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showInkAnnotation="0" autoCompressPictures="0"/>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VB/2. vanaf 2025 SDB/2. GVB Metrovoertuigen en Comfortschoonmaak/Documenten vanuit de aanbesteding 2024/"/>
    </mc:Choice>
  </mc:AlternateContent>
  <xr:revisionPtr revIDLastSave="5" documentId="8_{7851F4B9-4F3E-4CD2-9D47-CB474B0BE899}" xr6:coauthVersionLast="47" xr6:coauthVersionMax="47" xr10:uidLastSave="{B5229E74-510C-4B18-B2BD-320F9B9FDEB9}"/>
  <bookViews>
    <workbookView xWindow="-28920" yWindow="-810" windowWidth="29040" windowHeight="15720" tabRatio="677" firstSheet="2" activeTab="5" xr2:uid="{7ED9BF35-BE5E-439A-925B-AD7796BE9A6A}"/>
  </bookViews>
  <sheets>
    <sheet name="Uitgangspunten" sheetId="80" r:id="rId1"/>
    <sheet name="1-Totaal inschrijfbedrag" sheetId="38" r:id="rId2"/>
    <sheet name="2-Uren per locatie" sheetId="39" r:id="rId3"/>
    <sheet name="2a-Kosten per locatie" sheetId="83" r:id="rId4"/>
    <sheet name="3-Productie normen" sheetId="81" r:id="rId5"/>
    <sheet name="3-Ruimtestaat" sheetId="2" r:id="rId6"/>
    <sheet name="5-Aanvullend" sheetId="44" r:id="rId7"/>
    <sheet name="6-Sanitaire voorzieningen" sheetId="45" r:id="rId8"/>
    <sheet name="7a-Gladheidsbestrijding Metro" sheetId="73" r:id="rId9"/>
    <sheet name="7b-Gladheidsbestrijding Tram" sheetId="84" r:id="rId10"/>
    <sheet name="8- Afroepprijs" sheetId="48" r:id="rId11"/>
    <sheet name="9-Premies en opslagen" sheetId="77" r:id="rId12"/>
    <sheet name="10-Opbouw uurtarieven" sheetId="78" r:id="rId13"/>
    <sheet name="10a-Onderbouwing basis uurloon" sheetId="79"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s>
  <definedNames>
    <definedName name="\0" localSheetId="0">[1]Begroting!#REF!</definedName>
    <definedName name="\0">[1]Begroting!#REF!</definedName>
    <definedName name="\1" localSheetId="0">#REF!</definedName>
    <definedName name="\1">#REF!</definedName>
    <definedName name="\A" localSheetId="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M">[1]Begroting!#REF!</definedName>
    <definedName name="\N">#REF!</definedName>
    <definedName name="\P">[1]Begroting!#REF!</definedName>
    <definedName name="\S">'[2]B-1'!#REF!</definedName>
    <definedName name="\W">[1]Begroting!#REF!</definedName>
    <definedName name="\X">#REF!</definedName>
    <definedName name="_" hidden="1">[3]Blad1!#REF!</definedName>
    <definedName name="______pv2003">[4]prijsopbouw!$O$19</definedName>
    <definedName name="______pv2004">#REF!</definedName>
    <definedName name="_____pv2003">[4]prijsopbouw!$O$19</definedName>
    <definedName name="_____pv2004">#REF!</definedName>
    <definedName name="____DAT1">#REF!</definedName>
    <definedName name="____DAT10">#REF!</definedName>
    <definedName name="____DAT11">#REF!</definedName>
    <definedName name="____DAT12">#REF!</definedName>
    <definedName name="____DAT13">#REF!</definedName>
    <definedName name="____DAT14">#REF!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pv2003">[4]prijsopbouw!$O$19</definedName>
    <definedName name="____pv2004">#REF!</definedName>
    <definedName name="___DAT1">#REF!</definedName>
    <definedName name="___DAT10">#REF!</definedName>
    <definedName name="___DAT11">#REF!</definedName>
    <definedName name="___DAT12">#REF!</definedName>
    <definedName name="___DAT13">#REF!</definedName>
    <definedName name="___DAT14">#REF!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pv2003">[4]prijsopbouw!$O$19</definedName>
    <definedName name="___pv2004">#REF!</definedName>
    <definedName name="__123Graph_A" hidden="1">'[5]Offerteformulier 1'!#REF!</definedName>
    <definedName name="__123Graph_B" hidden="1">'[6]Labour Costs'!#REF!</definedName>
    <definedName name="__1F" localSheetId="4" hidden="1">[3]Psychiatrie!#REF!</definedName>
    <definedName name="__1F" localSheetId="0" hidden="1">[3]Psychiatrie!#REF!</definedName>
    <definedName name="__1F" hidden="1">[3]Psychiatrie!#REF!</definedName>
    <definedName name="__2_0_F" localSheetId="4" hidden="1">[3]Psychiatrie!#REF!</definedName>
    <definedName name="__2_0_F" localSheetId="0" hidden="1">[3]Psychiatrie!#REF!</definedName>
    <definedName name="__2_0_F" hidden="1">[3]Psychiatrie!#REF!</definedName>
    <definedName name="__3F" hidden="1">[3]Psychiatrie!#REF!</definedName>
    <definedName name="__DAT1">#REF!</definedName>
    <definedName name="__DAT10">#REF!</definedName>
    <definedName name="__DAT11">#REF!</definedName>
    <definedName name="__DAT12">#REF!</definedName>
    <definedName name="__DAT13">#REF!</definedName>
    <definedName name="__DAT14">#REF!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pv2003">[4]prijsopbouw!$O$19</definedName>
    <definedName name="__pv2004">#REF!</definedName>
    <definedName name="_1">[1]Begroting!#REF!</definedName>
    <definedName name="_1_________F" localSheetId="4" hidden="1">[3]Psychiatrie!#REF!</definedName>
    <definedName name="_1_________F" localSheetId="0" hidden="1">[3]Psychiatrie!#REF!</definedName>
    <definedName name="_1_________F" hidden="1">[3]Psychiatrie!#REF!</definedName>
    <definedName name="_1_0_F" hidden="1">[3]Blad1!#REF!</definedName>
    <definedName name="_10">[1]Begroting!#REF!</definedName>
    <definedName name="_10_0_F" hidden="1">[3]Psychiatrie!#REF!</definedName>
    <definedName name="_100">[7]Begroting!#REF!</definedName>
    <definedName name="_1011.1">#REF!</definedName>
    <definedName name="_11">[1]Begroting!#REF!</definedName>
    <definedName name="_11_0_F" hidden="1">[3]Blad1!#REF!</definedName>
    <definedName name="_11F" hidden="1">[3]Blad1!#REF!</definedName>
    <definedName name="_12">[1]Begroting!#REF!</definedName>
    <definedName name="_125">[8]Begroting!#REF!</definedName>
    <definedName name="_13">[1]Begroting!#REF!</definedName>
    <definedName name="_13F" hidden="1">[3]Psychiatrie!#REF!</definedName>
    <definedName name="_14">[1]Begroting!#REF!</definedName>
    <definedName name="_14_0_F" hidden="1">[3]Psychiatrie!#REF!</definedName>
    <definedName name="_15">[1]Begroting!#REF!</definedName>
    <definedName name="_15_0_F" hidden="1">[3]Blad1!#REF!</definedName>
    <definedName name="_16">[1]Begroting!#REF!</definedName>
    <definedName name="_16_0_F" hidden="1">[3]Psychiatrie!#REF!</definedName>
    <definedName name="_17">[1]Begroting!#REF!</definedName>
    <definedName name="_18">[1]Begroting!#REF!</definedName>
    <definedName name="_19">[1]Begroting!#REF!</definedName>
    <definedName name="_191">[9]Begroting!#REF!</definedName>
    <definedName name="_1F" localSheetId="4" hidden="1">[3]Blad1!#REF!</definedName>
    <definedName name="_1F" localSheetId="0" hidden="1">[3]Blad1!#REF!</definedName>
    <definedName name="_1F" hidden="1">[3]Blad1!#REF!</definedName>
    <definedName name="_2">[1]Begroting!#REF!</definedName>
    <definedName name="_2_______0_F" localSheetId="4" hidden="1">[3]Psychiatrie!#REF!</definedName>
    <definedName name="_2_______0_F" hidden="1">[3]Psychiatrie!#REF!</definedName>
    <definedName name="_2_0_F" localSheetId="4" hidden="1">[3]Psychiatrie!#REF!</definedName>
    <definedName name="_2_0_F" hidden="1">[3]Psychiatrie!#REF!</definedName>
    <definedName name="_20">[1]Begroting!#REF!</definedName>
    <definedName name="_20_0_F" hidden="1">[10]Kengetallen!#REF!</definedName>
    <definedName name="_21">[1]Begroting!#REF!</definedName>
    <definedName name="_22">[1]Begroting!#REF!</definedName>
    <definedName name="_23">[1]Begroting!#REF!</definedName>
    <definedName name="_2F" localSheetId="4" hidden="1">[3]Psychiatrie!#REF!</definedName>
    <definedName name="_2F" hidden="1">[3]Psychiatrie!#REF!</definedName>
    <definedName name="_3">[1]Begroting!#REF!</definedName>
    <definedName name="_3_0_F" localSheetId="4" hidden="1">[3]Psychiatrie!#REF!</definedName>
    <definedName name="_3_0_F" hidden="1">[3]Psychiatrie!#REF!</definedName>
    <definedName name="_36_0_F" hidden="1">[3]Blad1!#REF!</definedName>
    <definedName name="_37_0_F" hidden="1">[3]Blad1!#REF!</definedName>
    <definedName name="_3F" localSheetId="4" hidden="1">[3]Psychiatrie!#REF!</definedName>
    <definedName name="_3F" hidden="1">[3]Psychiatrie!#REF!</definedName>
    <definedName name="_4">[1]Begroting!#REF!</definedName>
    <definedName name="_4_0_F" hidden="1">[3]Blad1!#REF!</definedName>
    <definedName name="_4F" localSheetId="4" hidden="1">[3]Blad1!#REF!</definedName>
    <definedName name="_4F" hidden="1">[3]Blad1!#REF!</definedName>
    <definedName name="_5">[1]Begroting!#REF!</definedName>
    <definedName name="_5_0_F" localSheetId="4" hidden="1">[3]Psychiatrie!#REF!</definedName>
    <definedName name="_5_0_F" hidden="1">[3]Psychiatrie!#REF!</definedName>
    <definedName name="_5F" hidden="1">[3]Psychiatrie!#REF!</definedName>
    <definedName name="_6">[1]Begroting!#REF!</definedName>
    <definedName name="_6_0_F" hidden="1">[3]Psychiatrie!#REF!</definedName>
    <definedName name="_7">[1]Begroting!#REF!</definedName>
    <definedName name="_7_0_F" hidden="1">[3]Psychiatrie!#REF!</definedName>
    <definedName name="_7F" hidden="1">[3]Psychiatrie!#REF!</definedName>
    <definedName name="_8">[1]Begroting!#REF!</definedName>
    <definedName name="_8_0_F" localSheetId="4" hidden="1">[3]Psychiatrie!#REF!</definedName>
    <definedName name="_8_0_F" hidden="1">[3]Psychiatrie!#REF!</definedName>
    <definedName name="_8F" hidden="1">[3]Blad1!#REF!</definedName>
    <definedName name="_9">[1]Begroting!#REF!</definedName>
    <definedName name="_9_0_F" hidden="1">[10]Kengetallen!#REF!</definedName>
    <definedName name="_9F" hidden="1">[3]Blad1!#REF!</definedName>
    <definedName name="_BAY1">[11]BudAssum!$C$5</definedName>
    <definedName name="_BAY2">[11]BudAssum!$D$5</definedName>
    <definedName name="_BAY3">[11]BudAssum!$E$5</definedName>
    <definedName name="_BAY4">[11]BudAssum!$F$5</definedName>
    <definedName name="_BAY5">[11]BudAssum!$G$5</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Bin" localSheetId="4" hidden="1">#REF!</definedName>
    <definedName name="_Dist_Bin" localSheetId="0" hidden="1">#REF!</definedName>
    <definedName name="_Dist_Bin" hidden="1">#REF!</definedName>
    <definedName name="_Dist_Values" localSheetId="4" hidden="1">#REF!</definedName>
    <definedName name="_Dist_Values" localSheetId="0" hidden="1">#REF!</definedName>
    <definedName name="_Dist_Values" hidden="1">#REF!</definedName>
    <definedName name="_FDY1">'[11]Fin Input'!$C$426</definedName>
    <definedName name="_FDY2">'[11]Fin Input'!$D$426</definedName>
    <definedName name="_FDY3">'[11]Fin Input'!$E$426</definedName>
    <definedName name="_FDY4">'[11]Fin Input'!$F$426</definedName>
    <definedName name="_FDY5">'[11]Fin Input'!$G$426</definedName>
    <definedName name="_Fill" localSheetId="4" hidden="1">'[12]#REF'!#REF!</definedName>
    <definedName name="_Fill" localSheetId="8" hidden="1">'[12]#REF'!#REF!</definedName>
    <definedName name="_Fill" localSheetId="9" hidden="1">'[12]#REF'!#REF!</definedName>
    <definedName name="_Fill" localSheetId="0" hidden="1">'[13]#REF'!#REF!</definedName>
    <definedName name="_Fill" hidden="1">'[12]#REF'!#REF!</definedName>
    <definedName name="_fill2" localSheetId="0" hidden="1">[3]Blad1!#REF!</definedName>
    <definedName name="_fill2" hidden="1">[3]Blad1!#REF!</definedName>
    <definedName name="_filll" localSheetId="4" hidden="1">'[14]#REF'!#REF!</definedName>
    <definedName name="_filll" localSheetId="0" hidden="1">'[14]#REF'!#REF!</definedName>
    <definedName name="_filll" hidden="1">'[14]#REF'!#REF!</definedName>
    <definedName name="_xlnm._FilterDatabase" localSheetId="3" hidden="1">'2a-Kosten per locatie'!$A$13:$M$75</definedName>
    <definedName name="_xlnm._FilterDatabase" localSheetId="2" hidden="1">'2-Uren per locatie'!$A$14:$L$76</definedName>
    <definedName name="_xlnm._FilterDatabase" localSheetId="5" hidden="1">'3-Ruimtestaat'!$A$11:$AF$654</definedName>
    <definedName name="_xlnm._FilterDatabase" localSheetId="6" hidden="1">'5-Aanvullend'!$A$15:$W$46</definedName>
    <definedName name="_xlnm._FilterDatabase" localSheetId="8" hidden="1">'7a-Gladheidsbestrijding Metro'!$A$38:$O$76</definedName>
    <definedName name="_xlnm._FilterDatabase" localSheetId="9" hidden="1">'7b-Gladheidsbestrijding Tram'!$A$34:$N$54</definedName>
    <definedName name="_xlnm._FilterDatabase" localSheetId="0">#REF!</definedName>
    <definedName name="_xlnm._FilterDatabase">#REF!</definedName>
    <definedName name="_frq47" localSheetId="0">[15]Legenda!#REF!</definedName>
    <definedName name="_frq47">[15]Legenda!#REF!</definedName>
    <definedName name="_fte1">[16]data!$B$1:$C$65536</definedName>
    <definedName name="_Hlk39130726" localSheetId="0">Uitgangspunten!$A$16</definedName>
    <definedName name="_IY1">'[11]Fin Input'!$C$5</definedName>
    <definedName name="_IY2">'[11]Fin Input'!$D$5</definedName>
    <definedName name="_IY3">'[11]Fin Input'!$E$5</definedName>
    <definedName name="_IY4">'[11]Fin Input'!$F$5</definedName>
    <definedName name="_IY5">'[11]Fin Input'!$G$5</definedName>
    <definedName name="_Key1" localSheetId="4" hidden="1">'[12]#REF'!#REF!</definedName>
    <definedName name="_Key1" localSheetId="8" hidden="1">'[12]#REF'!#REF!</definedName>
    <definedName name="_Key1" localSheetId="9" hidden="1">'[12]#REF'!#REF!</definedName>
    <definedName name="_Key1" localSheetId="0" hidden="1">'[13]#REF'!#REF!</definedName>
    <definedName name="_Key1" hidden="1">'[12]#REF'!#REF!</definedName>
    <definedName name="_Key2" localSheetId="4" hidden="1">#REF!</definedName>
    <definedName name="_Key2" localSheetId="0" hidden="1">#REF!</definedName>
    <definedName name="_Key2" hidden="1">#REF!</definedName>
    <definedName name="_Key3" localSheetId="0" hidden="1">#REF!</definedName>
    <definedName name="_Key3" hidden="1">#REF!</definedName>
    <definedName name="_Order1" hidden="1">255</definedName>
    <definedName name="_Order2" hidden="1">255</definedName>
    <definedName name="_PAG1" localSheetId="0">'[2]B-1'!#REF!</definedName>
    <definedName name="_PAG1">'[2]B-1'!#REF!</definedName>
    <definedName name="_PAG2" localSheetId="0">'[2]B-1'!#REF!</definedName>
    <definedName name="_PAG2">'[2]B-1'!#REF!</definedName>
    <definedName name="_PAG3" localSheetId="0">'[2]B-1'!#REF!</definedName>
    <definedName name="_PAG3">'[2]B-1'!#REF!</definedName>
    <definedName name="_pv2003">[4]prijsopbouw!$O$19</definedName>
    <definedName name="_pv2004">#REF!</definedName>
    <definedName name="_sch10">#REF!</definedName>
    <definedName name="_sch11">#REF!</definedName>
    <definedName name="_sch20">#REF!</definedName>
    <definedName name="_sch21">#REF!</definedName>
    <definedName name="_sch22">#REF!</definedName>
    <definedName name="_sch23">#REF!</definedName>
    <definedName name="_sch24">#REF!</definedName>
    <definedName name="_sch31">#REF!</definedName>
    <definedName name="_sch32">#REF!</definedName>
    <definedName name="_sch33">#REF!</definedName>
    <definedName name="_sch34">#REF!</definedName>
    <definedName name="_sch35">#REF!</definedName>
    <definedName name="_sch41">#REF!</definedName>
    <definedName name="_sch42">#REF!</definedName>
    <definedName name="_sch43">#REF!</definedName>
    <definedName name="_sch44">#REF!</definedName>
    <definedName name="_sch45">#REF!</definedName>
    <definedName name="_sch51">#REF!</definedName>
    <definedName name="_sch52">#REF!</definedName>
    <definedName name="_sch61">#REF!</definedName>
    <definedName name="_sch62">#REF!</definedName>
    <definedName name="_sch63">#REF!</definedName>
    <definedName name="_sch64">#REF!</definedName>
    <definedName name="_Sort" localSheetId="4" hidden="1">#REF!</definedName>
    <definedName name="_Sort" localSheetId="0" hidden="1">#REF!</definedName>
    <definedName name="_Sort" hidden="1">#REF!</definedName>
    <definedName name="_Sort2" hidden="1">#REF!</definedName>
    <definedName name="_Table1_In1" localSheetId="4" hidden="1">#REF!</definedName>
    <definedName name="_Table1_In1" localSheetId="8" hidden="1">#REF!</definedName>
    <definedName name="_Table1_In1" localSheetId="9" hidden="1">#REF!</definedName>
    <definedName name="_Table1_In1" localSheetId="0" hidden="1">#REF!</definedName>
    <definedName name="_Table1_In1" hidden="1">#REF!</definedName>
    <definedName name="_Table1_Out" localSheetId="4" hidden="1">#REF!</definedName>
    <definedName name="_Table1_Out" localSheetId="8" hidden="1">#REF!</definedName>
    <definedName name="_Table1_Out" localSheetId="9" hidden="1">#REF!</definedName>
    <definedName name="_Table1_Out" localSheetId="0" hidden="1">#REF!</definedName>
    <definedName name="_Table1_Out" hidden="1">#REF!</definedName>
    <definedName name="_Toc106114456" localSheetId="0">Uitgangspunten!$A$2</definedName>
    <definedName name="_Toc106114457" localSheetId="0">Uitgangspunten!$A$5</definedName>
    <definedName name="_Toc106114458" localSheetId="0">Uitgangspunten!$A$9</definedName>
    <definedName name="_Toc106114459" localSheetId="0">Uitgangspunten!$A$13</definedName>
    <definedName name="_Toc518445846" localSheetId="0">Uitgangspunten!$A$17</definedName>
    <definedName name="a">[17]Prijsbladen!$D$444</definedName>
    <definedName name="a_nodig" localSheetId="0">#REF!</definedName>
    <definedName name="a_nodig">#REF!</definedName>
    <definedName name="aaa" localSheetId="0">#REF!</definedName>
    <definedName name="aaa">#REF!</definedName>
    <definedName name="Aanneemsomxyz" localSheetId="0" hidden="1">[3]Blad1!#REF!</definedName>
    <definedName name="Aanneemsomxyz" hidden="1">[3]Blad1!#REF!</definedName>
    <definedName name="aannemer">'[18]basisgegevens aannemer'!$C$3</definedName>
    <definedName name="AanpassingScriptFAQ" localSheetId="0">#REF!</definedName>
    <definedName name="AanpassingScriptFAQ">#REF!</definedName>
    <definedName name="AanpassingScriptHIP" localSheetId="0">#REF!</definedName>
    <definedName name="AanpassingScriptHIP">#REF!</definedName>
    <definedName name="aantal_niet_gebruikt">[19]Programma_check!$Y$1</definedName>
    <definedName name="AardWerk">[20]Frequnetie!$A$3:$B$27</definedName>
    <definedName name="AccessDatabase" hidden="1">"C:\data\excel\BASISWP.mdb"</definedName>
    <definedName name="Additioneel" localSheetId="4" hidden="1">'[21]#REF'!#REF!</definedName>
    <definedName name="Additioneel" localSheetId="0" hidden="1">'[21]#REF'!#REF!</definedName>
    <definedName name="Additioneel" hidden="1">'[21]#REF'!#REF!</definedName>
    <definedName name="Adj_CBIII" localSheetId="0">'[11]Value of Customer Contracts'!#REF!</definedName>
    <definedName name="Adj_CBIII">'[11]Value of Customer Contracts'!#REF!</definedName>
    <definedName name="Adj_LossRates" localSheetId="0">'[11]Value of Customer Contracts'!#REF!</definedName>
    <definedName name="Adj_LossRates">'[11]Value of Customer Contracts'!#REF!</definedName>
    <definedName name="Adj_TO" localSheetId="0">'[11]Value of Customer Contracts'!#REF!</definedName>
    <definedName name="Adj_TO">'[11]Value of Customer Contracts'!#REF!</definedName>
    <definedName name="Adjustments" localSheetId="0">#REF!</definedName>
    <definedName name="Adjustments">#REF!</definedName>
    <definedName name="AdjWACC" localSheetId="0">#REF!</definedName>
    <definedName name="AdjWACC">#REF!</definedName>
    <definedName name="adm" localSheetId="0">[22]Basisgegevens!#REF!</definedName>
    <definedName name="adm">[22]Basisgegevens!#REF!</definedName>
    <definedName name="administratie">[23]Basisgegevens!$E$66</definedName>
    <definedName name="adres">'[24]OBJECT '!$B$8</definedName>
    <definedName name="Afdeling_add" localSheetId="0">#REF!</definedName>
    <definedName name="Afdeling_add">#REF!</definedName>
    <definedName name="_xlnm.Print_Area" localSheetId="12">'10-Opbouw uurtarieven'!$A$1:$V$57</definedName>
    <definedName name="_xlnm.Print_Area" localSheetId="1">'1-Totaal inschrijfbedrag'!$A$1:$I$38</definedName>
    <definedName name="_xlnm.Print_Area" localSheetId="5">'3-Ruimtestaat'!$B$3:$AB$654</definedName>
    <definedName name="_xlnm.Print_Area" localSheetId="11">'9-Premies en opslagen'!$A$3:$E$55</definedName>
    <definedName name="_xlnm.Print_Area" localSheetId="0">#REF!</definedName>
    <definedName name="_xlnm.Print_Area">#REF!</definedName>
    <definedName name="Afdrukbereik_MI" localSheetId="0">#REF!</definedName>
    <definedName name="Afdrukbereik_MI">#REF!</definedName>
    <definedName name="_xlnm.Print_Titles" localSheetId="12">'10-Opbouw uurtarieven'!$A:$C</definedName>
    <definedName name="_xlnm.Print_Titles" localSheetId="5">'3-Ruimtestaat'!$11:$11</definedName>
    <definedName name="_xlnm.Print_Titles">#N/A</definedName>
    <definedName name="AFDRUKTITELS_MI" localSheetId="0">#REF!</definedName>
    <definedName name="AFDRUKTITELS_MI">#REF!</definedName>
    <definedName name="AFRICAcheck" localSheetId="0">#REF!</definedName>
    <definedName name="AFRICAcheck">#REF!</definedName>
    <definedName name="AFRICAtrig">#REF!</definedName>
    <definedName name="afschr">[23]Basisgegevens!$E$64</definedName>
    <definedName name="afschrijving">[25]Reductieberekening!$C$3</definedName>
    <definedName name="AfschrijvingenN">[26]Kengetallen!#REF!</definedName>
    <definedName name="AfschrijvingenNmin1">[26]Kengetallen!#REF!</definedName>
    <definedName name="AfschrijvingenNmin2">[26]Kengetallen!#REF!</definedName>
    <definedName name="age" localSheetId="0">#REF!</definedName>
    <definedName name="age">#REF!</definedName>
    <definedName name="Alg">[23]Basisgegevens!$E$70</definedName>
    <definedName name="AMEcheck" localSheetId="0">#REF!</definedName>
    <definedName name="AMEcheck">#REF!</definedName>
    <definedName name="AMEtrig" localSheetId="0">#REF!</definedName>
    <definedName name="AMEtrig">#REF!</definedName>
    <definedName name="anak" localSheetId="0">#REF!</definedName>
    <definedName name="anak">#REF!</definedName>
    <definedName name="antwoord">#REF!</definedName>
    <definedName name="AOP">#REF!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arbeidsprestatie">[27]Prestatiefactoren!#REF!</definedName>
    <definedName name="arnhem" localSheetId="0">#REF!</definedName>
    <definedName name="arnhem">#REF!</definedName>
    <definedName name="ASIAcheck" localSheetId="0">#REF!</definedName>
    <definedName name="ASIAcheck">#REF!</definedName>
    <definedName name="ASIAtrig" localSheetId="0">#REF!</definedName>
    <definedName name="ASIAtrig">#REF!</definedName>
    <definedName name="Austria">#REF!</definedName>
    <definedName name="Auto">[23]Basisgegevens!$E$69</definedName>
    <definedName name="Avond">[28]Personeel!#REF!</definedName>
    <definedName name="b" hidden="1">[3]Blad1!#REF!</definedName>
    <definedName name="b_nodig">#REF!</definedName>
    <definedName name="balanceinputlocal">'[11]Fin Input'!$B$64:$G$123</definedName>
    <definedName name="ballast">#REF!</definedName>
    <definedName name="basisuurlonen">#REF!</definedName>
    <definedName name="basisuurlonenjeugd">[23]Basisgegevens!$B$6:$C$12</definedName>
    <definedName name="basisuurlonenVakvolwassenen">[23]Basisgegevens!$E$6:$F$12</definedName>
    <definedName name="BAY">[11]BudAssum!$B$5</definedName>
    <definedName name="beheer">'[18]basisgegevens bestek contract'!$A$28</definedName>
    <definedName name="Belgium" localSheetId="0">#REF!</definedName>
    <definedName name="Belgium">#REF!</definedName>
    <definedName name="bench_cat">[29]Sheet1!$E$3:$E$17</definedName>
    <definedName name="berichtok" localSheetId="4">#N/A</definedName>
    <definedName name="berichtok" localSheetId="0">#N/A</definedName>
    <definedName name="berichtok">#N/A</definedName>
    <definedName name="berichtoke" localSheetId="4">#N/A</definedName>
    <definedName name="berichtoke" localSheetId="0">#N/A</definedName>
    <definedName name="berichtoke">#N/A</definedName>
    <definedName name="berichtoke1" localSheetId="4">#N/A</definedName>
    <definedName name="berichtoke1" localSheetId="0">#N/A</definedName>
    <definedName name="berichtoke1">#N/A</definedName>
    <definedName name="Berkt" localSheetId="4">#N/A</definedName>
    <definedName name="Berkt" localSheetId="0">#N/A</definedName>
    <definedName name="Berkt">#N/A</definedName>
    <definedName name="bestekcontract">[30]verzamelblad!$A$2</definedName>
    <definedName name="besteknr">[30]verzamelblad!$A$3</definedName>
    <definedName name="BijsluitenLeaflet250" localSheetId="0">#REF!</definedName>
    <definedName name="BijsluitenLeaflet250">#REF!</definedName>
    <definedName name="BijsluitenLeaflet250500" localSheetId="0">#REF!</definedName>
    <definedName name="BijsluitenLeaflet250500">#REF!</definedName>
    <definedName name="BijsluitenLeaflet500" localSheetId="0">#REF!</definedName>
    <definedName name="BijsluitenLeaflet500">#REF!</definedName>
    <definedName name="bla">#REF!</definedName>
    <definedName name="BoekjaarNmin1">[26]Parameters!#REF!</definedName>
    <definedName name="BoekjaarNmin2">[26]Parameters!#REF!</definedName>
    <definedName name="BonusdagenFT" localSheetId="0">#REF!</definedName>
    <definedName name="BonusdagenFT">#REF!</definedName>
    <definedName name="BonusdagenPT" localSheetId="0">#REF!</definedName>
    <definedName name="BonusdagenPT">#REF!</definedName>
    <definedName name="BorrowingRate" localSheetId="0">#REF!</definedName>
    <definedName name="BorrowingRate">#REF!</definedName>
    <definedName name="BriefpapierA3">#REF!</definedName>
    <definedName name="BriefpapierA4">#REF!</definedName>
    <definedName name="BriefpapierA5">#REF!</definedName>
    <definedName name="BriefpapierA6">#REF!</definedName>
    <definedName name="bries">#REF!</definedName>
    <definedName name="btypes">[31]Sheet3!$B$10:$B$18</definedName>
    <definedName name="Budget">[11]Valuation!$B$390</definedName>
    <definedName name="Budgetassumptions">[11]BudAssum!$B$2</definedName>
    <definedName name="bupa">#REF!</definedName>
    <definedName name="BurstSeat">#REF!</definedName>
    <definedName name="Capacity">#REF!</definedName>
    <definedName name="CashflowEVGemiddeld">[26]Kengetallen!#REF!</definedName>
    <definedName name="CashflowEVN">[26]Kengetallen!#REF!</definedName>
    <definedName name="CashflowEVNmin1">[26]Kengetallen!#REF!</definedName>
    <definedName name="CashflowEVNmin2">[26]Kengetallen!#REF!</definedName>
    <definedName name="CashflowGemiddeld">[26]Kengetallen!#REF!</definedName>
    <definedName name="CashflowN">[26]Kengetallen!#REF!</definedName>
    <definedName name="CashflowNmin1">[26]Kengetallen!#REF!</definedName>
    <definedName name="CashflowNmin2">[26]Kengetallen!#REF!</definedName>
    <definedName name="cashinputlocal">'[11]Fin Input'!$B$129:$G$179</definedName>
    <definedName name="Checklist_aanbesteding">#REF!</definedName>
    <definedName name="cluster">'[32]3-Basis ruimtestaat'!$B:$B</definedName>
    <definedName name="CodeNorm" localSheetId="0">#REF!</definedName>
    <definedName name="CodeNorm">#REF!</definedName>
    <definedName name="CodeOfferte" localSheetId="0">#REF!</definedName>
    <definedName name="CodeOfferte">#REF!</definedName>
    <definedName name="Comms_Tech">[29]Comms_Tech!$H$3:$H$4</definedName>
    <definedName name="CompensatieRentabiliteitDoorSolvabiliteit">[26]Parameters!#REF!</definedName>
    <definedName name="cons_prijs">[18]Uitvoergegevens!$E$22</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ountryid">#REF!</definedName>
    <definedName name="CountryList">#REF!</definedName>
    <definedName name="CRBs">[29]Other!$B$22:$B$23</definedName>
    <definedName name="CWS" localSheetId="0">#REF!</definedName>
    <definedName name="CWS">#REF!</definedName>
    <definedName name="d_gebruikers" localSheetId="0">#REF!</definedName>
    <definedName name="d_gebruikers">#REF!</definedName>
    <definedName name="D_kwal" localSheetId="0">#REF!</definedName>
    <definedName name="D_kwal">#REF!</definedName>
    <definedName name="D_open">#REF!</definedName>
    <definedName name="dag">#REF!</definedName>
    <definedName name="Dagelijks">#REF!</definedName>
    <definedName name="dagenperjaar1">[33]Omreken!$B$9</definedName>
    <definedName name="dagsoorttabel1">[33]Omreken!$A$13:$B$28</definedName>
    <definedName name="data" localSheetId="0">#REF!</definedName>
    <definedName name="data">#REF!</definedName>
    <definedName name="Data___Site" localSheetId="0">#REF!</definedName>
    <definedName name="Data___Site">#REF!</definedName>
    <definedName name="DATA1" localSheetId="0">#REF!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Range">#REF!</definedName>
    <definedName name="Date">#REF!</definedName>
    <definedName name="DATUM">#REF!</definedName>
    <definedName name="debtall">#REF!</definedName>
    <definedName name="Decision_2011">#REF!</definedName>
    <definedName name="Decision_2012">#REF!</definedName>
    <definedName name="Decision_2013">#REF!</definedName>
    <definedName name="Decision_2014">#REF!</definedName>
    <definedName name="Decision_2015">#REF!</definedName>
    <definedName name="Decision_2016">#REF!</definedName>
    <definedName name="Deeg">#REF!</definedName>
    <definedName name="DefualtStapBandbreedte">#REF!</definedName>
    <definedName name="delivery">'[34]Service Standards'!$G$3:$G$4</definedName>
    <definedName name="Denmark" localSheetId="0">#REF!</definedName>
    <definedName name="Denmark">#REF!</definedName>
    <definedName name="desAccount" localSheetId="0">#REF!</definedName>
    <definedName name="desAccount">#REF!</definedName>
    <definedName name="desCustom1" localSheetId="0">#REF!</definedName>
    <definedName name="desCustom1">#REF!</definedName>
    <definedName name="desCustom2">#REF!</definedName>
    <definedName name="desCustom3">#REF!</definedName>
    <definedName name="desCustom4">#REF!</definedName>
    <definedName name="desEntity">#REF!</definedName>
    <definedName name="desParent">#REF!</definedName>
    <definedName name="desPeriod">#REF!</definedName>
    <definedName name="desScenario">#REF!</definedName>
    <definedName name="desValue">#REF!</definedName>
    <definedName name="desView">#REF!</definedName>
    <definedName name="desYear">#REF!</definedName>
    <definedName name="dffdf" localSheetId="4" hidden="1">'[35]#REF'!#REF!</definedName>
    <definedName name="dffdf" localSheetId="8" hidden="1">'[12]#REF'!#REF!</definedName>
    <definedName name="dffdf" localSheetId="9" hidden="1">'[12]#REF'!#REF!</definedName>
    <definedName name="dffdf" localSheetId="0" hidden="1">'[13]#REF'!#REF!</definedName>
    <definedName name="dffdf" hidden="1">'[12]#REF'!#REF!</definedName>
    <definedName name="directtoezicht">[30]uurtariefopbouw!$D$26</definedName>
    <definedName name="Dix">[28]Personeel!#REF!</definedName>
    <definedName name="dk_lk">'[36]dagkracht uurtarief'!$E$16</definedName>
    <definedName name="dk_tarief">'[36]dagkracht uurtarief'!$E$42</definedName>
    <definedName name="dk_tarief_fe">'[36]Uurtarieven matrix'!$J$29</definedName>
    <definedName name="dk_tarief_za">'[36]Uurtarieven matrix'!$H$29</definedName>
    <definedName name="DM_Colour">[29]Other!$F$62:$F$64</definedName>
    <definedName name="DM_Freq">[29]Other!$G$62:$G$64</definedName>
    <definedName name="Documentation" localSheetId="0">#REF!</definedName>
    <definedName name="Documentation">#REF!</definedName>
    <definedName name="DoorverbondenGesprekPerSeconde" localSheetId="0">#REF!</definedName>
    <definedName name="DoorverbondenGesprekPerSeconde">#REF!</definedName>
    <definedName name="Drie" localSheetId="0">[28]Personeel!#REF!</definedName>
    <definedName name="Drie">[28]Personeel!#REF!</definedName>
    <definedName name="dsa" localSheetId="0">#REF!</definedName>
    <definedName name="dsa">#REF!</definedName>
    <definedName name="Dust_Mats">[29]Other!$B$62:$B$66</definedName>
    <definedName name="DynamischeHefboomfactorGemiddeld">[26]Kengetallen!#REF!</definedName>
    <definedName name="DynamischeHefboomfactorN">[26]Kengetallen!#REF!</definedName>
    <definedName name="DynamischeHefboomfactorNmin1">[26]Kengetallen!#REF!</definedName>
    <definedName name="DynamischeHefboomfactorNmin2">[26]Kengetallen!#REF!</definedName>
    <definedName name="ed" localSheetId="0">#REF!</definedName>
    <definedName name="ed">#REF!</definedName>
    <definedName name="ed_freq" localSheetId="0">#REF!</definedName>
    <definedName name="ed_freq">#REF!</definedName>
    <definedName name="ee" localSheetId="0">[37]vergelijken!#REF!</definedName>
    <definedName name="ee">[37]vergelijken!#REF!</definedName>
    <definedName name="Een" localSheetId="0">[28]Personeel!#REF!</definedName>
    <definedName name="Een">[28]Personeel!#REF!</definedName>
    <definedName name="EENMAL" localSheetId="0">#REF!</definedName>
    <definedName name="EENMAL">#REF!</definedName>
    <definedName name="eg" localSheetId="0">#REF!</definedName>
    <definedName name="eg">#REF!</definedName>
    <definedName name="Eindbeurt" localSheetId="0">#REF!</definedName>
    <definedName name="Eindbeurt">#REF!</definedName>
    <definedName name="einde" localSheetId="4">#N/A</definedName>
    <definedName name="einde" localSheetId="0">#N/A</definedName>
    <definedName name="einde">#N/A</definedName>
    <definedName name="Eindejaarstoeslag" localSheetId="0">#REF!</definedName>
    <definedName name="Eindejaarstoeslag">#REF!</definedName>
    <definedName name="eindhoven" localSheetId="0">#REF!</definedName>
    <definedName name="eindhoven">#REF!</definedName>
    <definedName name="EMEcheck" localSheetId="0">#REF!</definedName>
    <definedName name="EMEcheck">#REF!</definedName>
    <definedName name="EMEtrig">#REF!</definedName>
    <definedName name="EnvelopA4">#REF!</definedName>
    <definedName name="EnvelopA5">#REF!</definedName>
    <definedName name="eqcc">'[11]Fin Input'!$G$26</definedName>
    <definedName name="eqirr">#REF!</definedName>
    <definedName name="Equip_Type">[29]Equip!$J$3:$J$19</definedName>
    <definedName name="ervaringsjaren" localSheetId="0">#REF!</definedName>
    <definedName name="ervaringsjaren">#REF!</definedName>
    <definedName name="Ervaringsjarentoeslag">[23]Basisgegevens!$H$6:$I$12</definedName>
    <definedName name="Erwin" localSheetId="0">#REF!</definedName>
    <definedName name="Erwin">#REF!</definedName>
    <definedName name="euro">[38]Blad3!$C$2</definedName>
    <definedName name="EVA">[11]Valuation!$B$2</definedName>
    <definedName name="ExchangeRate">[11]Intro!$C$15</definedName>
    <definedName name="ExchangeRate1">[11]Intro!$D$12</definedName>
    <definedName name="ExpiryYear" localSheetId="0">#REF!</definedName>
    <definedName name="ExpiryYear">#REF!</definedName>
    <definedName name="Extra_Visitors">[29]Other!$B$100:$B$105</definedName>
    <definedName name="extrawerk" localSheetId="0">#REF!</definedName>
    <definedName name="extrawerk">#REF!</definedName>
    <definedName name="ExtraWerkstroom" localSheetId="0">#REF!</definedName>
    <definedName name="ExtraWerkstroom">#REF!</definedName>
    <definedName name="fe" localSheetId="0">Uitgangspunten!fe</definedName>
    <definedName name="fe">'[39]11c-Afroep RVS kraaiennest'!fe</definedName>
    <definedName name="FeestdagenFT">[23]Basisgegevens!$I$23</definedName>
    <definedName name="FeestdagenPT">[23]Basisgegevens!$F$23</definedName>
    <definedName name="ff" hidden="1">[3]Blad1!#REF!</definedName>
    <definedName name="fff">#REF!</definedName>
    <definedName name="fghf" localSheetId="4" hidden="1">'[13]#REF'!#REF!</definedName>
    <definedName name="fghf" localSheetId="8" hidden="1">'[12]#REF'!#REF!</definedName>
    <definedName name="fghf" localSheetId="9" hidden="1">'[12]#REF'!#REF!</definedName>
    <definedName name="fghf" localSheetId="0" hidden="1">'[13]#REF'!#REF!</definedName>
    <definedName name="fghf" hidden="1">'[12]#REF'!#REF!</definedName>
    <definedName name="FinancialData">'[11]Fin Input'!$B$422</definedName>
    <definedName name="Finland">#REF!</definedName>
    <definedName name="fkhwefhl">[28]Personeel!#REF!</definedName>
    <definedName name="Flex_Rates">'[29]Notes &amp; Assumptions'!$D$237:$H$237</definedName>
    <definedName name="France" localSheetId="0">#REF!</definedName>
    <definedName name="France">#REF!</definedName>
    <definedName name="franchisealgemeen">[23]Basisgegevens!$I$50</definedName>
    <definedName name="franchiseww">[23]Basisgegevens!$I$45</definedName>
    <definedName name="Frekwentie_0">'[40]Adm. ruimte 01.0'!#REF!</definedName>
    <definedName name="freq">[27]Werkprogramma!#REF!</definedName>
    <definedName name="freqtabel">'[41]Middag werk 5w'!#REF!</definedName>
    <definedName name="frequentie">[42]Categorieen!$A$1059:$X$1067</definedName>
    <definedName name="FSF" localSheetId="0">#REF!</definedName>
    <definedName name="FSF">#REF!</definedName>
    <definedName name="funk" localSheetId="0">#REF!</definedName>
    <definedName name="funk">#REF!</definedName>
    <definedName name="g" localSheetId="0">[43]Begroting!#REF!</definedName>
    <definedName name="g">[43]Begroting!#REF!</definedName>
    <definedName name="Gan_R" localSheetId="4">#N/A</definedName>
    <definedName name="Gan_R" localSheetId="0">#N/A</definedName>
    <definedName name="Gan_R">#N/A</definedName>
    <definedName name="gebouw" localSheetId="0">#REF!</definedName>
    <definedName name="gebouw">#REF!</definedName>
    <definedName name="Gebouw_glas">'[44]1A-Glas'!$A:$A</definedName>
    <definedName name="gebruikerscode">[19]Tussenblad!$A$12</definedName>
    <definedName name="gein" localSheetId="0">#REF!</definedName>
    <definedName name="gein">#REF!</definedName>
    <definedName name="Germany" localSheetId="0">#REF!</definedName>
    <definedName name="Germany">#REF!</definedName>
    <definedName name="GET_CLIENT" localSheetId="0">#REF!</definedName>
    <definedName name="GET_CLIENT">#REF!</definedName>
    <definedName name="GET_CLIENT96">#REF!</definedName>
    <definedName name="GewichtN">[26]Parameters!#REF!</definedName>
    <definedName name="GewichtNmin1">[26]Parameters!#REF!</definedName>
    <definedName name="GewichtNmin2">[26]Parameters!#REF!</definedName>
    <definedName name="GewichtTotaal">[26]Parameters!#REF!</definedName>
    <definedName name="glas" localSheetId="0">#N/A</definedName>
    <definedName name="glas">#N/A</definedName>
    <definedName name="glas_excl">[18]Uitvoergegevens!$I$11</definedName>
    <definedName name="glas_incl">[18]Uitvoergegevens!$I$10</definedName>
    <definedName name="Glasbewassing">'[44]1A-Glas'!$K:$K</definedName>
    <definedName name="glasbwas" localSheetId="0">#REF!</definedName>
    <definedName name="glasbwas">#REF!</definedName>
    <definedName name="glassoort" localSheetId="0">'[45]10-Glasstaat'!$I$2:$J$14</definedName>
    <definedName name="glassoort">#REF!</definedName>
    <definedName name="Glassoort2" localSheetId="0">'[46]10-Glasstaat'!$I$2:$J$14</definedName>
    <definedName name="Glassoort2">'[47]8a-Glasstaat'!$P$13:$R$25</definedName>
    <definedName name="Gls_G" localSheetId="0">[8]Begroting!#REF!</definedName>
    <definedName name="Gls_G">[8]Begroting!#REF!</definedName>
    <definedName name="gron" localSheetId="0">#REF!</definedName>
    <definedName name="gron">#REF!</definedName>
    <definedName name="gs" localSheetId="4" hidden="1">'[35]#REF'!#REF!</definedName>
    <definedName name="gs" localSheetId="8" hidden="1">'[12]#REF'!#REF!</definedName>
    <definedName name="gs" localSheetId="9" hidden="1">'[12]#REF'!#REF!</definedName>
    <definedName name="gs" localSheetId="0" hidden="1">'[13]#REF'!#REF!</definedName>
    <definedName name="gs" hidden="1">'[12]#REF'!#REF!</definedName>
    <definedName name="gs_lk">'[36]garderobe-sanitair uurtarief'!$E$16</definedName>
    <definedName name="gs_tarief">'[36]garderobe-sanitair uurtarief'!$E$42</definedName>
    <definedName name="gs_tarief_fe">'[36]Uurtarieven matrix'!#REF!</definedName>
    <definedName name="GWE_Oud_Nieuw" localSheetId="0">#REF!</definedName>
    <definedName name="GWE_Oud_Nieuw">#REF!</definedName>
    <definedName name="gy" localSheetId="0" hidden="1">#REF!</definedName>
    <definedName name="gy" hidden="1">#REF!</definedName>
    <definedName name="hallo" localSheetId="0">[28]Personeel!#REF!</definedName>
    <definedName name="hallo">[28]Personeel!#REF!</definedName>
    <definedName name="han" localSheetId="8" hidden="1">'[12]#REF'!#REF!</definedName>
    <definedName name="han" localSheetId="9" hidden="1">'[12]#REF'!#REF!</definedName>
    <definedName name="han" localSheetId="0" hidden="1">'[13]#REF'!#REF!</definedName>
    <definedName name="han" hidden="1">'[12]#REF'!#REF!</definedName>
    <definedName name="Hand_Soap">[29]Materials!$I$3:$I$7</definedName>
    <definedName name="Hand_Towels">[29]Materials!$J$3:$J$13</definedName>
    <definedName name="Handdoekrollen" localSheetId="0">#REF!</definedName>
    <definedName name="Handdoekrollen">#REF!</definedName>
    <definedName name="HC_2011" localSheetId="0">#REF!</definedName>
    <definedName name="HC_2011">#REF!</definedName>
    <definedName name="HC_2012" localSheetId="0">#REF!</definedName>
    <definedName name="HC_2012">#REF!</definedName>
    <definedName name="HC_2013">#REF!</definedName>
    <definedName name="HC_2014">#REF!</definedName>
    <definedName name="HC_2015">#REF!</definedName>
    <definedName name="HC_2016">#REF!</definedName>
    <definedName name="HC_2017">#REF!</definedName>
    <definedName name="HC_2018">#REF!</definedName>
    <definedName name="HC_2019">#REF!</definedName>
    <definedName name="hda">#REF!</definedName>
    <definedName name="headings">[48]!Table_owssvr[#Headers]</definedName>
    <definedName name="heerlen" localSheetId="0">#REF!</definedName>
    <definedName name="heerlen">#REF!</definedName>
    <definedName name="henk" localSheetId="0">[49]Begroting!#REF!</definedName>
    <definedName name="henk">[49]Begroting!#REF!</definedName>
    <definedName name="hfdhd">[50]Begroting!#REF!</definedName>
    <definedName name="hhhhh">[51]Begroting!#REF!</definedName>
    <definedName name="hjkjhkj" localSheetId="0">[52]Totaaloverzicht!$A$10:$L$37</definedName>
    <definedName name="hjkjhkj">'[53]2-Kengetal'!$A$10:$L$37</definedName>
    <definedName name="holendrecht" localSheetId="0">#REF!</definedName>
    <definedName name="holendrecht">#REF!</definedName>
    <definedName name="home" localSheetId="0">Uitgangspunten!home</definedName>
    <definedName name="home">'[39]11c-Afroep RVS kraaiennest'!home</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ours">[31]Sheet3!$C$21:$C$26</definedName>
    <definedName name="html" localSheetId="0" hidden="1">{"'Blad1'!$A$1:$Q$51"}</definedName>
    <definedName name="html" hidden="1">{"'Blad1'!$A$1:$Q$51"}</definedName>
    <definedName name="HTML_CodePage" hidden="1">1252</definedName>
    <definedName name="HTML_Control" localSheetId="4" hidden="1">{"'ma_vr'!$A$1:$AA$42"}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localSheetId="0" hidden="1">{"'Blad1'!$A$1:$Q$51"}</definedName>
    <definedName name="html2" hidden="1">{"'Blad1'!$A$1:$Q$51"}</definedName>
    <definedName name="html3" localSheetId="0" hidden="1">{"'Blad1'!$A$1:$Q$51"}</definedName>
    <definedName name="html3" hidden="1">{"'Blad1'!$A$1:$Q$51"}</definedName>
    <definedName name="huigenbosch">#REF!</definedName>
    <definedName name="huntum">#REF!</definedName>
    <definedName name="Hyg_Type">[29]Hygiene!$L$3:$L$13</definedName>
    <definedName name="IEfactor" localSheetId="0">#REF!</definedName>
    <definedName name="IEfactor">#REF!</definedName>
    <definedName name="INGNORM" localSheetId="0">#REF!</definedName>
    <definedName name="INGNORM">#REF!</definedName>
    <definedName name="InitiëleKostenInrichting" localSheetId="0">#REF!</definedName>
    <definedName name="InitiëleKostenInrichting">#REF!</definedName>
    <definedName name="Input">'[11]Fin Input'!$B$1</definedName>
    <definedName name="Inschrijver">#REF!</definedName>
    <definedName name="inspectie">[18]Uitvoergegevens!$E$24</definedName>
    <definedName name="instantie" localSheetId="0">#REF!</definedName>
    <definedName name="instantie">#REF!</definedName>
    <definedName name="Introduction">[11]Intro!$B$1</definedName>
    <definedName name="Invulinstructie">#N/A</definedName>
    <definedName name="irr">#REF!</definedName>
    <definedName name="ISSGAAP">[11]Adjust!#REF!</definedName>
    <definedName name="ISSownership">[11]Intro!#REF!</definedName>
    <definedName name="Italy" localSheetId="0">#REF!</definedName>
    <definedName name="Italy">#REF!</definedName>
    <definedName name="IY">'[11]Fin Input'!$B$5</definedName>
    <definedName name="jaaruren">[18]Uitvoergegevens!$E$11</definedName>
    <definedName name="Jeugd" localSheetId="0">#REF!</definedName>
    <definedName name="Jeugd">#REF!</definedName>
    <definedName name="jj" hidden="1">'[54]Offerteformulier 1'!#REF!</definedName>
    <definedName name="k_nodig" localSheetId="0">#REF!</definedName>
    <definedName name="k_nodig">#REF!</definedName>
    <definedName name="keesom" localSheetId="0">#REF!</definedName>
    <definedName name="keesom">#REF!</definedName>
    <definedName name="KengCode" localSheetId="0">'[55]2-Kengetal'!$A$9:$M$56</definedName>
    <definedName name="KengCode">'[56]2-Kengetal'!$A$9:$M$56</definedName>
    <definedName name="Kengetal" localSheetId="0">#REF!</definedName>
    <definedName name="Kengetal">#REF!</definedName>
    <definedName name="kengetallen" localSheetId="0">#REF!</definedName>
    <definedName name="kengetallen">#REF!</definedName>
    <definedName name="Kengetallenoverzicht">[57]Kengetallen!$B$5:$J$91</definedName>
    <definedName name="kengetaltabel" localSheetId="0">#REF!</definedName>
    <definedName name="kengetaltabel">#REF!</definedName>
    <definedName name="Kentalnvb" localSheetId="0">[58]Kengetal!$A$10:$H$58</definedName>
    <definedName name="Kentalnvb">[59]Kengetal!$A$10:$H$58</definedName>
    <definedName name="kjh" localSheetId="4" hidden="1">'[13]#REF'!#REF!</definedName>
    <definedName name="kjh" localSheetId="0" hidden="1">'[13]#REF'!#REF!</definedName>
    <definedName name="kjh" hidden="1">'[12]#REF'!#REF!</definedName>
    <definedName name="klant" localSheetId="0">#REF!</definedName>
    <definedName name="klant">#REF!</definedName>
    <definedName name="klantcode">#REF!</definedName>
    <definedName name="Kleding">[23]Basisgegevens!$E$65</definedName>
    <definedName name="kleihut" localSheetId="0">#REF!</definedName>
    <definedName name="kleihut">#REF!</definedName>
    <definedName name="KLFactor" localSheetId="0">#REF!</definedName>
    <definedName name="KLFactor">#REF!</definedName>
    <definedName name="kop" localSheetId="0">#REF!</definedName>
    <definedName name="kop">#REF!</definedName>
    <definedName name="KortverzuimFT">#REF!</definedName>
    <definedName name="kortverzuimPT">#REF!</definedName>
    <definedName name="Kosten_addit">#REF!</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kredtall">#REF!</definedName>
    <definedName name="kwartaal">#REF!</definedName>
    <definedName name="kwartaal_prijs">[18]Uitvoergegevens!$E$15</definedName>
    <definedName name="kwartaal_uren">[18]Uitvoergegevens!$E$16</definedName>
    <definedName name="l_gebruikers" localSheetId="0">#REF!</definedName>
    <definedName name="l_gebruikers">#REF!</definedName>
    <definedName name="L_Kwal" localSheetId="0">#REF!</definedName>
    <definedName name="L_Kwal">#REF!</definedName>
    <definedName name="L_open" localSheetId="0">#REF!</definedName>
    <definedName name="L_open">#REF!</definedName>
    <definedName name="Laag1">#REF!</definedName>
    <definedName name="Laag2">#REF!</definedName>
    <definedName name="Laag3">#REF!</definedName>
    <definedName name="Laag7">#REF!</definedName>
    <definedName name="Laag8">#REF!</definedName>
    <definedName name="LC">#REF!</definedName>
    <definedName name="LeaseDuration">#REF!</definedName>
    <definedName name="LHK">#REF!</definedName>
    <definedName name="Light_Periodics">[29]Other!$B$95:$B$97</definedName>
    <definedName name="Lijn" localSheetId="0">'[55]3-Basis ruimtestaat'!$C:$C</definedName>
    <definedName name="Lijn">'[56]3-Basis ruimtestaat'!$C:$C</definedName>
    <definedName name="lijst_zdg" localSheetId="0">#REF!</definedName>
    <definedName name="lijst_zdg">#REF!</definedName>
    <definedName name="LiquiditeitGemiddeld">[26]Kengetallen!#REF!</definedName>
    <definedName name="LiquiditeitN">[26]Kengetallen!#REF!</definedName>
    <definedName name="LiquiditeitNmin1">[26]Kengetallen!#REF!</definedName>
    <definedName name="LiquiditeitNmin2">[26]Kengetallen!#REF!</definedName>
    <definedName name="LiquidRatioN">[26]Kengetallen!#REF!</definedName>
    <definedName name="LiquidRatioNmin1">[26]Kengetallen!#REF!</definedName>
    <definedName name="LiquidRatioNmin2">[26]Kengetallen!#REF!</definedName>
    <definedName name="listENTITIES" localSheetId="0">#REF!</definedName>
    <definedName name="listENTITIES">#REF!</definedName>
    <definedName name="listENTITYPARENT" localSheetId="0">#REF!</definedName>
    <definedName name="listENTITYPARENT">#REF!</definedName>
    <definedName name="listPERIOD" localSheetId="0">#REF!</definedName>
    <definedName name="listPERIOD">#REF!</definedName>
    <definedName name="LIT">#REF!</definedName>
    <definedName name="lll" localSheetId="0">'[60]3-Basis ruimtestaat'!$O:$O</definedName>
    <definedName name="lll">'[61]3-Basis ruimtestaat'!$O:$O</definedName>
    <definedName name="lnkstn_divers">[18]uurtariefopbouw!$E$18</definedName>
    <definedName name="lnkstn_speciaal">[18]uurtariefopbouw!$G$18</definedName>
    <definedName name="LocalCurrency">[62]Intro!$C$10</definedName>
    <definedName name="LocalCurrency1">[11]Intro!$D$10</definedName>
    <definedName name="locatie">[18]Uitvoergegevens!$C$6</definedName>
    <definedName name="Locatiecode" localSheetId="0">#REF!</definedName>
    <definedName name="Locatiecode">#REF!</definedName>
    <definedName name="locationlist">[48]!Table_owssvr[#All]</definedName>
    <definedName name="Lokatieadres">'[63]Lokatie overzicht'!$C$1:$E$96</definedName>
    <definedName name="Loongroepen">'[64]1.5 Opbouw uurtarieven'!$A$12:$A$46</definedName>
    <definedName name="lotus" localSheetId="0">#REF!</definedName>
    <definedName name="lotus">#REF!</definedName>
    <definedName name="LW">[29]Sheet1!$G$3:$G$4</definedName>
    <definedName name="M_nodig" localSheetId="0">#REF!</definedName>
    <definedName name="M_nodig">#REF!</definedName>
    <definedName name="m2jaar" localSheetId="0">#REF!</definedName>
    <definedName name="m2jaar">#REF!</definedName>
    <definedName name="maand" localSheetId="0">#REF!</definedName>
    <definedName name="maand">#REF!</definedName>
    <definedName name="MaandelijkseFeeCallcenters">#REF!</definedName>
    <definedName name="maandprijs">[18]Uitvoergegevens!$E$10</definedName>
    <definedName name="maanduren">[18]Uitvoergegevens!$E$14</definedName>
    <definedName name="Machines">'[65]Basis ruimtestaat'!$V$11:$V$1507</definedName>
    <definedName name="Macro3" localSheetId="0">Uitgangspunten!Macro3</definedName>
    <definedName name="Macro3">'[39]11c-Afroep RVS kraaiennest'!Macro3</definedName>
    <definedName name="macrop12f2" localSheetId="0">Uitgangspunten!macrop12f2</definedName>
    <definedName name="macrop12f2">'[39]11c-Afroep RVS kraaiennest'!macrop12f2</definedName>
    <definedName name="MacroP17" localSheetId="0">Uitgangspunten!MacroP17</definedName>
    <definedName name="MacroP17">'[39]11c-Afroep RVS kraaiennest'!MacroP17</definedName>
    <definedName name="MacroP17_6" localSheetId="0">Uitgangspunten!MacroP17_6</definedName>
    <definedName name="MacroP17_6">'[39]11c-Afroep RVS kraaiennest'!MacroP17_6</definedName>
    <definedName name="Macrop2" localSheetId="0">Uitgangspunten!Macrop2</definedName>
    <definedName name="Macrop2">'[39]11c-Afroep RVS kraaiennest'!Macrop2</definedName>
    <definedName name="macroP3f16" localSheetId="0">Uitgangspunten!macroP3f16</definedName>
    <definedName name="macroP3f16">'[39]11c-Afroep RVS kraaiennest'!macroP3f16</definedName>
    <definedName name="Macrop6" localSheetId="0">Uitgangspunten!Macrop6</definedName>
    <definedName name="Macrop6">'[39]11c-Afroep RVS kraaiennest'!Macrop6</definedName>
    <definedName name="Macrop7" localSheetId="0">Uitgangspunten!Macrop7</definedName>
    <definedName name="Macrop7">'[39]11c-Afroep RVS kraaiennest'!Macrop7</definedName>
    <definedName name="macrox">#N/A</definedName>
    <definedName name="Man_Miles">[29]Other!$B$53:$B$57</definedName>
    <definedName name="Man_Track">[29]Other!$G$52:$G$53</definedName>
    <definedName name="Man_Trans">[29]Other!$C$52:$F$52</definedName>
    <definedName name="management">[23]Basisgegevens!$E$71</definedName>
    <definedName name="ManInput" localSheetId="0">#REF!</definedName>
    <definedName name="ManInput">#REF!</definedName>
    <definedName name="ManIntroduction" localSheetId="0">#REF!</definedName>
    <definedName name="ManIntroduction">#REF!</definedName>
    <definedName name="Manual" localSheetId="0">#REF!</definedName>
    <definedName name="Manual">#REF!</definedName>
    <definedName name="matmid">[23]Basisgegevens!$E$63</definedName>
    <definedName name="MatrixLiquiditeit">[26]Kengetallen!#REF!</definedName>
    <definedName name="MatrixRentabiliteit">[26]Kengetallen!#REF!</definedName>
    <definedName name="MatrixSolvabiliteit">[26]Kengetallen!#REF!</definedName>
    <definedName name="mavr">'[66]3-Basis ruimtestaat'!$M:$M</definedName>
    <definedName name="MaxLev" localSheetId="0">#REF!</definedName>
    <definedName name="MaxLev">#REF!</definedName>
    <definedName name="MaxX" localSheetId="0">#REF!</definedName>
    <definedName name="MaxX">#REF!</definedName>
    <definedName name="Medewerkergegevens" localSheetId="0">#REF!</definedName>
    <definedName name="Medewerkergegevens">#REF!</definedName>
    <definedName name="medium1">#REF!</definedName>
    <definedName name="medium2">#REF!</definedName>
    <definedName name="mercator">#REF!</definedName>
    <definedName name="Meters">'[64]1.3-Basis ruimtestaat'!$J:$J</definedName>
    <definedName name="MinimaleScore">[26]Parameters!#REF!</definedName>
    <definedName name="MinimumLiquiditeit">[26]Parameters!#REF!</definedName>
    <definedName name="MinimumPuntenPerJaar">[26]Parameters!#REF!</definedName>
    <definedName name="MinimumRentabiliteit">[26]Parameters!#REF!</definedName>
    <definedName name="MinimumScoreLiquiditeit">[26]Parameters!#REF!</definedName>
    <definedName name="MinimumScoreRentabiliteit">[26]Parameters!#REF!</definedName>
    <definedName name="MinimumScoreSolvabiliteit">[26]Parameters!#REF!</definedName>
    <definedName name="MinimumSolvabiliteit">[26]Parameters!#REF!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l">'[67]Glas 3.3'!$O$3:$P$8</definedName>
    <definedName name="mm" hidden="1">'[54]Offerteformulier 1'!#REF!</definedName>
    <definedName name="Month">[11]Intro!$C$8</definedName>
    <definedName name="Mutatiederdekwartaal" localSheetId="4" hidden="1">{"'ma_vr'!$A$1:$AA$42"}</definedName>
    <definedName name="Mutatiederdekwartaal" localSheetId="0" hidden="1">{"'ma_vr'!$A$1:$AA$42"}</definedName>
    <definedName name="Mutatiederdekwartaal" hidden="1">{"'ma_vr'!$A$1:$AA$42"}</definedName>
    <definedName name="MutatiesVoorzieningenN">[26]Kengetallen!#REF!</definedName>
    <definedName name="MutatiesVoorzieningenNmin1">[26]Kengetallen!#REF!</definedName>
    <definedName name="MutatiesVoorzieningenNmin2">[26]Kengetallen!#REF!</definedName>
    <definedName name="NaamLeverancier" localSheetId="0">#REF!</definedName>
    <definedName name="NaamLeverancier">#REF!</definedName>
    <definedName name="NAcht">[28]Personeel!#REF!</definedName>
    <definedName name="naloop">'[66]3-Basis ruimtestaat'!$N:$N</definedName>
    <definedName name="Nat_Acc" localSheetId="0">#REF!</definedName>
    <definedName name="Nat_Acc">#REF!</definedName>
    <definedName name="nieuw">#N/A</definedName>
    <definedName name="nieuw2">#N/A</definedName>
    <definedName name="nieuw3">#N/A</definedName>
    <definedName name="nieuw4">#N/A</definedName>
    <definedName name="nieuw5">#N/A</definedName>
    <definedName name="nieuwegein" localSheetId="0">#REF!</definedName>
    <definedName name="nieuwegein">#REF!</definedName>
    <definedName name="nm_ma_vr" localSheetId="0">#REF!</definedName>
    <definedName name="nm_ma_vr">#REF!</definedName>
    <definedName name="Norm">#REF!</definedName>
    <definedName name="norm_freq">#REF!</definedName>
    <definedName name="norm1">#REF!</definedName>
    <definedName name="normaal">#REF!</definedName>
    <definedName name="normblad">#REF!</definedName>
    <definedName name="NormCurrentRatio1">[26]Parameters!#REF!</definedName>
    <definedName name="NormCurrentRatio2">[26]Parameters!#REF!</definedName>
    <definedName name="NormCurrentRatio3">[26]Parameters!#REF!</definedName>
    <definedName name="Normen" localSheetId="0">#REF!</definedName>
    <definedName name="Normen">#REF!</definedName>
    <definedName name="NormenBarte" localSheetId="0">#REF!</definedName>
    <definedName name="NormenBarte">#REF!</definedName>
    <definedName name="NormenCult" localSheetId="0">#REF!</definedName>
    <definedName name="NormenCult">#REF!</definedName>
    <definedName name="NormenGym">#REF!</definedName>
    <definedName name="normentabel">[36]Normenblad!$Q$18:$R$89</definedName>
    <definedName name="Normentot">'[68]Invulblad P1'!$A$2:$D$164</definedName>
    <definedName name="normglas" localSheetId="0">#REF!</definedName>
    <definedName name="normglas">#REF!</definedName>
    <definedName name="normingtotaal" localSheetId="0">#REF!</definedName>
    <definedName name="normingtotaal">#REF!</definedName>
    <definedName name="NormOmzet" localSheetId="0">[26]Parameters!#REF!</definedName>
    <definedName name="NormOmzet">[26]Parameters!#REF!</definedName>
    <definedName name="normpeo" localSheetId="0">#REF!</definedName>
    <definedName name="normpeo">#REF!</definedName>
    <definedName name="NormRentabiliteit1" localSheetId="0">[26]Parameters!#REF!</definedName>
    <definedName name="NormRentabiliteit1">[26]Parameters!#REF!</definedName>
    <definedName name="NormRentabiliteit2" localSheetId="0">[26]Parameters!#REF!</definedName>
    <definedName name="NormRentabiliteit2">[26]Parameters!#REF!</definedName>
    <definedName name="NormSolvabiliteit1" localSheetId="0">[26]Parameters!#REF!</definedName>
    <definedName name="NormSolvabiliteit1">[26]Parameters!#REF!</definedName>
    <definedName name="NormSolvabiliteit2">[26]Parameters!#REF!</definedName>
    <definedName name="NormSolvabiliteit3">[26]Parameters!#REF!</definedName>
    <definedName name="NormSolvabiliteit4">[26]Parameters!#REF!</definedName>
    <definedName name="not" localSheetId="0">#REF!</definedName>
    <definedName name="not">#REF!</definedName>
    <definedName name="noti" localSheetId="0">#REF!</definedName>
    <definedName name="noti">#REF!</definedName>
    <definedName name="NvB" localSheetId="4" hidden="1">'[14]#REF'!#REF!</definedName>
    <definedName name="NvB" localSheetId="0" hidden="1">'[14]#REF'!#REF!</definedName>
    <definedName name="NvB" hidden="1">'[14]#REF'!#REF!</definedName>
    <definedName name="o" localSheetId="0">#REF!</definedName>
    <definedName name="o">#REF!</definedName>
    <definedName name="O_2" localSheetId="0">[69]BeginMeting!#REF!</definedName>
    <definedName name="O_2">[69]BeginMeting!#REF!</definedName>
    <definedName name="O_gebruikers" localSheetId="0">#REF!</definedName>
    <definedName name="O_gebruikers">#REF!</definedName>
    <definedName name="O_kwal" localSheetId="0">#REF!</definedName>
    <definedName name="O_kwal">#REF!</definedName>
    <definedName name="O_open" localSheetId="0">#REF!</definedName>
    <definedName name="O_open">#REF!</definedName>
    <definedName name="objecten">#REF!</definedName>
    <definedName name="Obnaam">'[24]OBJECT '!$B$3</definedName>
    <definedName name="Obnr">'[24]OBJECT '!$B$4</definedName>
    <definedName name="offertetarief">[30]uurtariefopbouw!$E$37</definedName>
    <definedName name="offerteuur">'[70]Offerte uurtarief'!$E$41</definedName>
    <definedName name="offerteuurolga">'[70]Offerte uurtarief OLGA'!$E$42</definedName>
    <definedName name="ol_lk">'[36]objectleiding smo uurtarief'!$E$16</definedName>
    <definedName name="ol_tarief">'[36]objectleiding smo uurtarief'!$E$42</definedName>
    <definedName name="ol_tarief_za">'[36]Uurtarieven matrix'!$H$23</definedName>
    <definedName name="olaa1">[71]Blad2!$A$1:$B$65536</definedName>
    <definedName name="OMSCHRIJVING">[72]Afroepprijzen!#REF!</definedName>
    <definedName name="omzetstaffel" localSheetId="0">#REF!</definedName>
    <definedName name="omzetstaffel">#REF!</definedName>
    <definedName name="Onderaannemer">[20]Frequnetie!$H$3:$J$420</definedName>
    <definedName name="onderhoud" localSheetId="0">#REF!</definedName>
    <definedName name="onderhoud">#REF!</definedName>
    <definedName name="oneortwo">[31]Sheet3!$C$30:$C$31</definedName>
    <definedName name="ool_tarief_fe">'[36]Uurtarieven matrix'!$J$23</definedName>
    <definedName name="op" localSheetId="0">#REF!</definedName>
    <definedName name="op">#REF!</definedName>
    <definedName name="OP_NP" localSheetId="0">#REF!</definedName>
    <definedName name="OP_NP">#REF!</definedName>
    <definedName name="opdrachtgever">[30]basisgegevens!$B$4</definedName>
    <definedName name="opdrachtnemer">[30]basisgegevens!$B$19</definedName>
    <definedName name="Opleidingskosten">[23]Basisgegevens!$E$68</definedName>
    <definedName name="OpNp">[23]Basisgegevens!$E$50</definedName>
    <definedName name="OpslagLeaflets" localSheetId="0">#REF!</definedName>
    <definedName name="OpslagLeaflets">#REF!</definedName>
    <definedName name="ORANGE">[69]BeginMeting!#REF!</definedName>
    <definedName name="ORT">[28]Personeel!#REF!</definedName>
    <definedName name="overgang">[23]Basisgegevens!$E$51</definedName>
    <definedName name="Overig" localSheetId="0">Uitgangspunten!Overig</definedName>
    <definedName name="Overig">'[39]11c-Afroep RVS kraaiennest'!Overig</definedName>
    <definedName name="ow">[73]ow!$A$6:$K$78</definedName>
    <definedName name="p" hidden="1">[3]Blad1!#REF!</definedName>
    <definedName name="P_KPN">[74]projectsheet!$I$12</definedName>
    <definedName name="P_O2">[74]projectsheet!$C$15</definedName>
    <definedName name="P_ORANGE">[74]projectsheet!$C$14</definedName>
    <definedName name="P_TELE2">[74]projectsheet!$C$17</definedName>
    <definedName name="P_TMOBILE">[74]projectsheet!$C$16</definedName>
    <definedName name="P_VODAFONE">[74]projectsheet!$C$13</definedName>
    <definedName name="P7_1_4" localSheetId="0">Uitgangspunten!Macrop7</definedName>
    <definedName name="P7_1_4">'[39]11c-Afroep RVS kraaiennest'!Macrop7</definedName>
    <definedName name="PAC_AW" localSheetId="0">#REF!</definedName>
    <definedName name="PAC_AW">#REF!</definedName>
    <definedName name="PAC_BP" localSheetId="0">#REF!</definedName>
    <definedName name="PAC_BP">#REF!</definedName>
    <definedName name="PAC_FG" localSheetId="0">#REF!</definedName>
    <definedName name="PAC_FG">#REF!</definedName>
    <definedName name="PAC_NB">#REF!</definedName>
    <definedName name="PAC_PP">#REF!</definedName>
    <definedName name="PAC_RR">#REF!</definedName>
    <definedName name="PAC_SS">#REF!</definedName>
    <definedName name="pandlinputlocal">'[11]Fin Input'!$B$4:$G$58</definedName>
    <definedName name="Papierenhanddoekrollen">#REF!</definedName>
    <definedName name="patrick">#REF!</definedName>
    <definedName name="paysSample">#REF!</definedName>
    <definedName name="pb">[75]CALCULATIONS!$AB$109</definedName>
    <definedName name="PCS_AW" localSheetId="0">#REF!</definedName>
    <definedName name="PCS_AW">#REF!</definedName>
    <definedName name="PCS_BP" localSheetId="0">#REF!</definedName>
    <definedName name="PCS_BP">#REF!</definedName>
    <definedName name="PCS_FG" localSheetId="0">#REF!</definedName>
    <definedName name="PCS_FG">#REF!</definedName>
    <definedName name="PCS_NB">#REF!</definedName>
    <definedName name="PCS_PP">#REF!</definedName>
    <definedName name="PCS_RR">#REF!</definedName>
    <definedName name="PCS_SS">#REF!</definedName>
    <definedName name="PDS_AW">#REF!</definedName>
    <definedName name="PDS_AW_Duo">#REF!</definedName>
    <definedName name="PDS_AW_NT">#REF!</definedName>
    <definedName name="PDS_BP">#REF!</definedName>
    <definedName name="PDS_BP_Duo">#REF!</definedName>
    <definedName name="PDS_BP_NT">#REF!</definedName>
    <definedName name="PDS_FG">#REF!</definedName>
    <definedName name="PDS_FG_Duo">#REF!</definedName>
    <definedName name="PDS_FG_NT">#REF!</definedName>
    <definedName name="PDS_NB">#REF!</definedName>
    <definedName name="PDS_NB_Duo">#REF!</definedName>
    <definedName name="PDS_NB_NT">#REF!</definedName>
    <definedName name="PDS_PP">#REF!</definedName>
    <definedName name="PDS_PP_Duo">#REF!</definedName>
    <definedName name="PDS_PP_NT">#REF!</definedName>
    <definedName name="PDS_RR">#REF!</definedName>
    <definedName name="PDS_RR_Duo">#REF!</definedName>
    <definedName name="PDS_RR_NT">#REF!</definedName>
    <definedName name="PDS_SS">#REF!</definedName>
    <definedName name="PDS_SS_Duo">#REF!</definedName>
    <definedName name="PDS_SS_NT">#REF!</definedName>
    <definedName name="pen">#REF!</definedName>
    <definedName name="PensioenWN">[23]Basisgegevens!$E$36</definedName>
    <definedName name="percent_drop">[29]Other!$B$83:$B$92</definedName>
    <definedName name="Percentage_eindejaars">[76]Uitgangspunten!$B$19</definedName>
    <definedName name="Period_Type">[29]Periodics!$K$3:$K$31</definedName>
    <definedName name="periodiek_prijs">[18]Uitvoergegevens!$E$17</definedName>
    <definedName name="periodiek_uren">[18]Uitvoergegevens!$E$18</definedName>
    <definedName name="petteflet" localSheetId="0">#REF!</definedName>
    <definedName name="petteflet">#REF!</definedName>
    <definedName name="PFS_AW" localSheetId="0">#REF!</definedName>
    <definedName name="PFS_AW">#REF!</definedName>
    <definedName name="PFS_BP" localSheetId="0">#REF!</definedName>
    <definedName name="PFS_BP">#REF!</definedName>
    <definedName name="PFS_FG">#REF!</definedName>
    <definedName name="PFS_NB">#REF!</definedName>
    <definedName name="PFS_NT_AW">#REF!</definedName>
    <definedName name="PFS_NT_BP">#REF!</definedName>
    <definedName name="PFS_NT_FG">#REF!</definedName>
    <definedName name="PFS_NT_NB">#REF!</definedName>
    <definedName name="PFS_NT_PP">#REF!</definedName>
    <definedName name="PFS_NT_RR">#REF!</definedName>
    <definedName name="PFS_NT_SS">#REF!</definedName>
    <definedName name="PFS_PP">#REF!</definedName>
    <definedName name="PFS_RR">#REF!</definedName>
    <definedName name="PFS_SS">#REF!</definedName>
    <definedName name="PHS_AW">#REF!</definedName>
    <definedName name="PHS_BP">#REF!</definedName>
    <definedName name="PHS_FG">#REF!</definedName>
    <definedName name="PHS_NB">#REF!</definedName>
    <definedName name="PHS_NT_AW">#REF!</definedName>
    <definedName name="PHS_NT_BP">#REF!</definedName>
    <definedName name="PHS_NT_FG">#REF!</definedName>
    <definedName name="PHS_NT_NB">#REF!</definedName>
    <definedName name="PHS_NT_PP">#REF!</definedName>
    <definedName name="PHS_NT_RR">#REF!</definedName>
    <definedName name="PHS_NT_SS">#REF!</definedName>
    <definedName name="PHS_PP">#REF!</definedName>
    <definedName name="PHS_RR">#REF!</definedName>
    <definedName name="PHS_SS">#REF!</definedName>
    <definedName name="PICT_HAMETROL">INDIRECT(#REF!)</definedName>
    <definedName name="PICT_PAC">INDIRECT('[77]CWS-Productspecs '!#REF!)</definedName>
    <definedName name="PICT_PCS" localSheetId="0">INDIRECT('[77]CWS-Productspecs '!#REF!)</definedName>
    <definedName name="PICT_PCS">INDIRECT('[77]CWS-Productspecs '!#REF!)</definedName>
    <definedName name="PICT_PCU" localSheetId="0">INDIRECT('[77]CWS-Productspecs '!#REF!)</definedName>
    <definedName name="PICT_PCU">INDIRECT('[77]CWS-Productspecs '!#REF!)</definedName>
    <definedName name="PICT_PDS" localSheetId="0">INDIRECT('[77]CWS-Productspecs '!#REF!)</definedName>
    <definedName name="PICT_PDS">INDIRECT('[77]CWS-Productspecs '!#REF!)</definedName>
    <definedName name="PICT_PDS_DUO" localSheetId="0">INDIRECT('[77]CWS-Productspecs '!#REF!)</definedName>
    <definedName name="PICT_PDS_DUO">INDIRECT('[77]CWS-Productspecs '!#REF!)</definedName>
    <definedName name="PICT_PDS_NT" localSheetId="0">INDIRECT('[77]CWS-Productspecs '!#REF!)</definedName>
    <definedName name="PICT_PDS_NT">INDIRECT('[77]CWS-Productspecs '!#REF!)</definedName>
    <definedName name="PICT_PFS" localSheetId="0">INDIRECT('[77]CWS-Productspecs '!#REF!)</definedName>
    <definedName name="PICT_PFS">INDIRECT('[77]CWS-Productspecs '!#REF!)</definedName>
    <definedName name="PICT_PFS_NT" localSheetId="0">INDIRECT('[77]CWS-Productspecs '!#REF!)</definedName>
    <definedName name="PICT_PFS_NT">INDIRECT('[77]CWS-Productspecs '!#REF!)</definedName>
    <definedName name="PICT_PFU" localSheetId="0">INDIRECT('[77]CWS-Productspecs '!#REF!)</definedName>
    <definedName name="PICT_PFU">INDIRECT('[77]CWS-Productspecs '!#REF!)</definedName>
    <definedName name="PICT_PHS" localSheetId="0">INDIRECT('[77]CWS-Productspecs '!#REF!)</definedName>
    <definedName name="PICT_PHS">INDIRECT('[77]CWS-Productspecs '!#REF!)</definedName>
    <definedName name="PICT_PHS_NT" localSheetId="0">INDIRECT('[77]CWS-Productspecs '!#REF!)</definedName>
    <definedName name="PICT_PHS_NT">INDIRECT('[77]CWS-Productspecs '!#REF!)</definedName>
    <definedName name="PICT_PPR" localSheetId="0">INDIRECT('[77]CWS-Productspecs '!#REF!)</definedName>
    <definedName name="PICT_PPR">INDIRECT('[77]CWS-Productspecs '!#REF!)</definedName>
    <definedName name="PICT_PSC" localSheetId="0">INDIRECT('[77]CWS-Productspecs '!#REF!)</definedName>
    <definedName name="PICT_PSC">INDIRECT('[77]CWS-Productspecs '!#REF!)</definedName>
    <definedName name="PICT_PTP" localSheetId="0">INDIRECT('[77]CWS-Productspecs '!#REF!)</definedName>
    <definedName name="PICT_PTP">INDIRECT('[77]CWS-Productspecs '!#REF!)</definedName>
    <definedName name="plaats_locatie">[18]Uitvoergegevens!$C$7</definedName>
    <definedName name="Poland" localSheetId="0">#REF!</definedName>
    <definedName name="Poland">#REF!</definedName>
    <definedName name="pollewop" localSheetId="0">#REF!</definedName>
    <definedName name="pollewop">#REF!</definedName>
    <definedName name="polymeren_prijs">[18]Uitvoergegevens!$E$21</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ortugal">#REF!</definedName>
    <definedName name="PPR_AW">#REF!</definedName>
    <definedName name="PPR_BP">#REF!</definedName>
    <definedName name="PPR_FG">#REF!</definedName>
    <definedName name="PPR_NB">#REF!</definedName>
    <definedName name="PPR_PP">#REF!</definedName>
    <definedName name="PPR_RR">#REF!</definedName>
    <definedName name="PPR_SS">#REF!</definedName>
    <definedName name="PPS">INDIRECT('[77]CWS-Productspecs '!#REF!)</definedName>
    <definedName name="PPS_AW" localSheetId="0">#REF!</definedName>
    <definedName name="PPS_AW">#REF!</definedName>
    <definedName name="PPS_BP">#REF!</definedName>
    <definedName name="PPS_FG">#REF!</definedName>
    <definedName name="PPS_FT">#REF!</definedName>
    <definedName name="PPS_NB">#REF!</definedName>
    <definedName name="PPS_PP">#REF!</definedName>
    <definedName name="PPS_RR">#REF!</definedName>
    <definedName name="PPS_SS">#REF!</definedName>
    <definedName name="prgterug">#REF!</definedName>
    <definedName name="Price">[11]Price!$C$13</definedName>
    <definedName name="prijsjaargegund" localSheetId="0">#REF!</definedName>
    <definedName name="prijsjaargegund">#REF!</definedName>
    <definedName name="prijsjaargegund1" localSheetId="0">#REF!</definedName>
    <definedName name="prijsjaargegund1">#REF!</definedName>
    <definedName name="PrijsPerMinuut120tot180" localSheetId="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_Area_MI">#REF!</definedName>
    <definedName name="PRINT_CLIENT">#REF!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DUCTIE_UREN_MAANDAG_T_M_VRIJDAG">#REF!</definedName>
    <definedName name="productiemavr">'[65]Basis ruimtestaat'!$Q$11:$Q$1507</definedName>
    <definedName name="productiezazo">'[65]Basis ruimtestaat'!$U$11:$U$1507</definedName>
    <definedName name="Prognose0tot10" localSheetId="0">#REF!</definedName>
    <definedName name="Prognose0tot10">#REF!</definedName>
    <definedName name="Prognose10tot20" localSheetId="0">#REF!</definedName>
    <definedName name="Prognose10tot20">#REF!</definedName>
    <definedName name="Prognose110tot120" localSheetId="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rogramma">#REF!</definedName>
    <definedName name="ProgrCode">'[78]Productienorm-Kengetal'!#REF!</definedName>
    <definedName name="PSC_AW" localSheetId="0">#REF!</definedName>
    <definedName name="PSC_AW">#REF!</definedName>
    <definedName name="PSC_BP" localSheetId="0">#REF!</definedName>
    <definedName name="PSC_BP">#REF!</definedName>
    <definedName name="PSC_FG" localSheetId="0">#REF!</definedName>
    <definedName name="PSC_FG">#REF!</definedName>
    <definedName name="PSC_NB">#REF!</definedName>
    <definedName name="PSC_PP">#REF!</definedName>
    <definedName name="PSC_RR">#REF!</definedName>
    <definedName name="PSC_SS">#REF!</definedName>
    <definedName name="PSC_SW">#REF!</definedName>
    <definedName name="PTP_AW">#REF!</definedName>
    <definedName name="PTP_BP">#REF!</definedName>
    <definedName name="PTP_FG">#REF!</definedName>
    <definedName name="PTP_GR">#REF!</definedName>
    <definedName name="PTP_NB">#REF!</definedName>
    <definedName name="PTP_PP">#REF!</definedName>
    <definedName name="PTP_RR">#REF!</definedName>
    <definedName name="PTP_SS">#REF!</definedName>
    <definedName name="PuntenCurrentRatio1">[26]Parameters!#REF!</definedName>
    <definedName name="PuntenCurrentRatio2">[26]Parameters!#REF!</definedName>
    <definedName name="PuntenCurrentRatio3">[26]Parameters!#REF!</definedName>
    <definedName name="PuntenCurrentRatio4">[26]Parameters!#REF!</definedName>
    <definedName name="PuntenCurrentRatioGemiddeld">[26]Kengetallen!#REF!</definedName>
    <definedName name="PuntenCurrentRatioN">[26]Kengetallen!#REF!</definedName>
    <definedName name="PuntenCurrentRatioNmin1">[26]Kengetallen!#REF!</definedName>
    <definedName name="PuntenCurrentRatioNmin2">[26]Kengetallen!#REF!</definedName>
    <definedName name="PuntenOmzetGemiddeld">[26]Kengetallen!#REF!</definedName>
    <definedName name="PuntenOmzetN">[26]Kengetallen!#REF!</definedName>
    <definedName name="PuntenOmzetNmin1">[26]Kengetallen!#REF!</definedName>
    <definedName name="PuntenOmzetNmin2">[26]Kengetallen!#REF!</definedName>
    <definedName name="PuntenRentabiliteit1">[26]Parameters!#REF!</definedName>
    <definedName name="PuntenRentabiliteit2">[26]Parameters!#REF!</definedName>
    <definedName name="PuntenRentabiliteit3">[26]Parameters!#REF!</definedName>
    <definedName name="PuntenRentabiliteit4">[26]Parameters!#REF!</definedName>
    <definedName name="PuntenRentabiliteitGemiddeld">[26]Kengetallen!#REF!</definedName>
    <definedName name="PuntenRentabiliteitN">[26]Kengetallen!#REF!</definedName>
    <definedName name="PuntenRentabiliteitNmin1">[26]Kengetallen!#REF!</definedName>
    <definedName name="PuntenRentabiliteitNmin2">[26]Kengetallen!#REF!</definedName>
    <definedName name="PuntenSolvabiliteit1">[26]Parameters!#REF!</definedName>
    <definedName name="PuntenSolvabiliteit2">[26]Parameters!#REF!</definedName>
    <definedName name="PuntenSolvabiliteit3">[26]Parameters!#REF!</definedName>
    <definedName name="PuntenSolvabiliteit4">[26]Parameters!#REF!</definedName>
    <definedName name="PuntenSolvabiliteitGemiddeld">[26]Kengetallen!#REF!</definedName>
    <definedName name="PuntenSolvabiliteitN">[26]Kengetallen!#REF!</definedName>
    <definedName name="PuntenSolvabiliteitNmin1">[26]Kengetallen!#REF!</definedName>
    <definedName name="PuntenSolvabiliteitNmin2">[26]Kengetallen!#REF!</definedName>
    <definedName name="pw" localSheetId="0">#REF!</definedName>
    <definedName name="pw">#REF!</definedName>
    <definedName name="q" hidden="1">[3]Blad1!#REF!</definedName>
    <definedName name="qc">'[70]Frequentie kwaliteitsmeting'!$H$7</definedName>
    <definedName name="qcolga">'[70]Frequentie kwaliteitsmeting'!XFB1048559</definedName>
    <definedName name="qry_Tbv_disk" localSheetId="0">#REF!</definedName>
    <definedName name="qry_Tbv_disk">#REF!</definedName>
    <definedName name="Query3a" localSheetId="0">#REF!</definedName>
    <definedName name="Query3a">#REF!</definedName>
    <definedName name="Query3b" localSheetId="0">#REF!</definedName>
    <definedName name="Query3b">#REF!</definedName>
    <definedName name="Quick_Calc">[29]Materials!$L$3:$L$8</definedName>
    <definedName name="R_Code">[27]Prestatiefactoren!#REF!</definedName>
    <definedName name="r_lk">'[36]regie uurtarief'!$E$16</definedName>
    <definedName name="r_tarief">'[36]regie uurtarief'!$E$42</definedName>
    <definedName name="RB">[19]Tussenblad!$B$11</definedName>
    <definedName name="Reconditioneren" localSheetId="0">#REF!</definedName>
    <definedName name="Reconditioneren">#REF!</definedName>
    <definedName name="reegl16" localSheetId="0">#REF!</definedName>
    <definedName name="reegl16">#REF!</definedName>
    <definedName name="Regel1" localSheetId="0">#REF!</definedName>
    <definedName name="Regel1">#REF!</definedName>
    <definedName name="regel100">#REF!</definedName>
    <definedName name="regel102">#REF!</definedName>
    <definedName name="regel103">#REF!</definedName>
    <definedName name="regel105">#REF!</definedName>
    <definedName name="regel106">#REF!</definedName>
    <definedName name="regel11">#REF!</definedName>
    <definedName name="regel12">#REF!</definedName>
    <definedName name="regel15">#REF!</definedName>
    <definedName name="regel18">#REF!</definedName>
    <definedName name="regel19">#REF!</definedName>
    <definedName name="regel22">#REF!</definedName>
    <definedName name="regel23">#REF!</definedName>
    <definedName name="regel26">#REF!</definedName>
    <definedName name="regel27">#REF!</definedName>
    <definedName name="regel28">#REF!</definedName>
    <definedName name="regel31">#REF!</definedName>
    <definedName name="regel32">#REF!</definedName>
    <definedName name="regel39">#REF!</definedName>
    <definedName name="regel4">#REF!</definedName>
    <definedName name="regel42">#REF!</definedName>
    <definedName name="regel43">#REF!</definedName>
    <definedName name="regel44">#REF!</definedName>
    <definedName name="regel45">#REF!</definedName>
    <definedName name="regel51">#REF!</definedName>
    <definedName name="regel53">#REF!</definedName>
    <definedName name="regel56">#REF!</definedName>
    <definedName name="regel58">#REF!</definedName>
    <definedName name="regel59">#REF!</definedName>
    <definedName name="regel61">#REF!</definedName>
    <definedName name="regel63">#REF!</definedName>
    <definedName name="regel66">#REF!</definedName>
    <definedName name="regel7">#REF!</definedName>
    <definedName name="regel72">#REF!</definedName>
    <definedName name="regel73">#REF!</definedName>
    <definedName name="regel75">#REF!</definedName>
    <definedName name="regel78">#REF!</definedName>
    <definedName name="regel8">#REF!</definedName>
    <definedName name="regel83">#REF!</definedName>
    <definedName name="regel84">#REF!</definedName>
    <definedName name="regel87">#REF!</definedName>
    <definedName name="regel9">#REF!</definedName>
    <definedName name="regel90">#REF!</definedName>
    <definedName name="regel91">#REF!</definedName>
    <definedName name="regel94">#REF!</definedName>
    <definedName name="regel95">#REF!</definedName>
    <definedName name="regel97">#REF!</definedName>
    <definedName name="regel99">#REF!</definedName>
    <definedName name="regietarief">[30]uurtariefopbouw!$G$37</definedName>
    <definedName name="Regiewerkzaamheden" localSheetId="0">#REF!</definedName>
    <definedName name="Regiewerkzaamheden">#REF!</definedName>
    <definedName name="reigersnest" localSheetId="0">#REF!</definedName>
    <definedName name="reigersnest">#REF!</definedName>
    <definedName name="rekenuurtariefHALO" localSheetId="0">#REF!</definedName>
    <definedName name="rekenuurtariefHALO">#REF!</definedName>
    <definedName name="rekenuurtariefHHS">#REF!</definedName>
    <definedName name="Reports">#REF!</definedName>
    <definedName name="resultaat">#REF!</definedName>
    <definedName name="rfqer" hidden="1">#REF!</definedName>
    <definedName name="RInput">#REF!</definedName>
    <definedName name="Rol_blauw">#REF!</definedName>
    <definedName name="Rol_wit">#REF!</definedName>
    <definedName name="roofs">[31]Sheet3!$B$21:$B$24</definedName>
    <definedName name="rooftype">[31]Sheet3!$B$21:$B$25</definedName>
    <definedName name="RouwdagenFT">[23]Basisgegevens!$I$24</definedName>
    <definedName name="RouwdagenPT">[23]Basisgegevens!$F$24</definedName>
    <definedName name="rtype" localSheetId="0">#REF!</definedName>
    <definedName name="rtype">#REF!</definedName>
    <definedName name="ruimte" localSheetId="0">#REF!</definedName>
    <definedName name="ruimte">#REF!</definedName>
    <definedName name="ruimtem2" localSheetId="0">#REF!</definedName>
    <definedName name="ruimtem2">#REF!</definedName>
    <definedName name="Ruimtesoort">#REF!</definedName>
    <definedName name="Ruimtesoorten">#REF!</definedName>
    <definedName name="ruimtestaten">#REF!</definedName>
    <definedName name="s" hidden="1">[3]Blad1!#REF!</definedName>
    <definedName name="SAVE_NEW_FILE">#REF!</definedName>
    <definedName name="SAVE_OLD_FILE">#REF!</definedName>
    <definedName name="sbhah">[79]!sbhah</definedName>
    <definedName name="schaal" localSheetId="0">#REF!</definedName>
    <definedName name="schaal">#REF!</definedName>
    <definedName name="Sensitivity">[11]Sensi!$B$2</definedName>
    <definedName name="Servetten" localSheetId="0">#REF!</definedName>
    <definedName name="Servetten">#REF!</definedName>
    <definedName name="SERVICE_CENTER">[22]normentabel!$L$1:$Q$15</definedName>
    <definedName name="Service_list">'[29]Multi Service Details'!$A$5:$A$29</definedName>
    <definedName name="setCLEAR" localSheetId="0">#REF!</definedName>
    <definedName name="setCLEAR">#REF!</definedName>
    <definedName name="setCOPYNAMES" localSheetId="0">#REF!</definedName>
    <definedName name="setCOPYNAMES">#REF!</definedName>
    <definedName name="setCOPYVALUES" localSheetId="0">#REF!</definedName>
    <definedName name="setCOPYVALUES">#REF!</definedName>
    <definedName name="setDATA">#REF!</definedName>
    <definedName name="setFORMULANAMES">#REF!</definedName>
    <definedName name="setFPOV">#REF!</definedName>
    <definedName name="setINPUT">#REF!</definedName>
    <definedName name="setLID">#REF!</definedName>
    <definedName name="setLOCAL">#REF!</definedName>
    <definedName name="setOPE22">#REF!</definedName>
    <definedName name="setOPE31">#REF!</definedName>
    <definedName name="setOPE33">#REF!</definedName>
    <definedName name="setOPE34">#REF!</definedName>
    <definedName name="setOPE35">#REF!</definedName>
    <definedName name="setOPE41">#REF!</definedName>
    <definedName name="setOPE42">#REF!</definedName>
    <definedName name="setOPE43">#REF!</definedName>
    <definedName name="setOPE51">#REF!</definedName>
    <definedName name="setOPE64">#REF!</definedName>
    <definedName name="setPeriod">#REF!</definedName>
    <definedName name="setPeriodName">#REF!</definedName>
    <definedName name="setTEXT">#REF!</definedName>
    <definedName name="Site_Trans">[29]Other!$C$70:$J$70</definedName>
    <definedName name="slingerb" localSheetId="0">Uitgangspunten!slingerb</definedName>
    <definedName name="slingerb">'[39]11c-Afroep RVS kraaiennest'!slingerb</definedName>
    <definedName name="small1" localSheetId="0">#REF!</definedName>
    <definedName name="small1">#REF!</definedName>
    <definedName name="small2" localSheetId="0">#REF!</definedName>
    <definedName name="small2">#REF!</definedName>
    <definedName name="smo_lk">'[36]medewerker smo uurtarief'!$E$16</definedName>
    <definedName name="SocialelastenexclWwOpNp">[23]Basisgegevens!$E$56</definedName>
    <definedName name="sortering" localSheetId="0">#REF!</definedName>
    <definedName name="sortering">#REF!</definedName>
    <definedName name="SouthAfrica" localSheetId="0">#REF!</definedName>
    <definedName name="SouthAfrica">#REF!</definedName>
    <definedName name="sp_lk">'[36]Specialistisch uurtarief'!$E$16</definedName>
    <definedName name="sp_tarief">'[36]Specialistisch uurtarief'!$E$42</definedName>
    <definedName name="Spain" localSheetId="0">#REF!</definedName>
    <definedName name="Spain">#REF!</definedName>
    <definedName name="specifiek">'[65]Basis ruimtestaat'!$W$11:$W$1507</definedName>
    <definedName name="spectarief">[30]uurtariefopbouw!$I$37</definedName>
    <definedName name="spray_meters">[18]Uitvoergegevens!$E$19</definedName>
    <definedName name="spray_prijs">[18]Uitvoergegevens!$E$20</definedName>
    <definedName name="ST_Miles">[29]Other!$B$71:$B$75</definedName>
    <definedName name="stampertjes" localSheetId="0">#REF!</definedName>
    <definedName name="stampertjes">#REF!</definedName>
    <definedName name="start" localSheetId="0">#REF!</definedName>
    <definedName name="start">#REF!</definedName>
    <definedName name="startFPOV" localSheetId="0">#REF!</definedName>
    <definedName name="startFPOV">#REF!</definedName>
    <definedName name="STARTFTEQ">#REF!</definedName>
    <definedName name="startpoint">#REF!</definedName>
    <definedName name="StarttariefPerCall">#REF!</definedName>
    <definedName name="StarttariefPerDoorverbondenCall">#REF!</definedName>
    <definedName name="status">[80]SSC!$P$2:$P$5</definedName>
    <definedName name="Subcon_Names">'[29]Hard Serv Subcon'!$B$4:$B$78</definedName>
    <definedName name="sur" localSheetId="0">#REF!</definedName>
    <definedName name="sur">#REF!</definedName>
    <definedName name="Switzerland" localSheetId="0">#REF!</definedName>
    <definedName name="Switzerland">#REF!</definedName>
    <definedName name="Synergies" localSheetId="0">#REF!</definedName>
    <definedName name="Synergies">#REF!</definedName>
    <definedName name="t">#REF!</definedName>
    <definedName name="T003_Totaaloverzicht_ruimtestaat_getotaliseerd">#REF!</definedName>
    <definedName name="TABEL">[78]Ruimtestaat!#REF!</definedName>
    <definedName name="tabelcodes" localSheetId="0">#REF!</definedName>
    <definedName name="tabelcodes">#REF!</definedName>
    <definedName name="Tabelruimtesoort">[81]Ruimtesoort!$A:$IV</definedName>
    <definedName name="tabeltype">[33]Omreken!$B$5:$B$5</definedName>
    <definedName name="TableName">"Dummy"</definedName>
    <definedName name="Tabruimte">[82]Blad1!$A:$IV</definedName>
    <definedName name="TargetWACC">[11]Intro!$D$26</definedName>
    <definedName name="targroot" localSheetId="0">#REF!</definedName>
    <definedName name="targroot">#REF!</definedName>
    <definedName name="tarief_2010_2012" localSheetId="0">#REF!</definedName>
    <definedName name="tarief_2010_2012">#REF!</definedName>
    <definedName name="tariefCSP">'[83]Kostenspecificatie reeel '!$AO$15:$AV$28</definedName>
    <definedName name="tariefopbouw" localSheetId="0">#REF!</definedName>
    <definedName name="tariefopbouw">#REF!</definedName>
    <definedName name="tariefopbouwadd" localSheetId="0">#REF!</definedName>
    <definedName name="tariefopbouwadd">#REF!</definedName>
    <definedName name="tarieftabel" localSheetId="0">#REF!</definedName>
    <definedName name="tarieftabel">#REF!</definedName>
    <definedName name="tariefupmavr">#REF!</definedName>
    <definedName name="Tarklein">#REF!</definedName>
    <definedName name="tarmidden">#REF!</definedName>
    <definedName name="Teicocodes">#REF!</definedName>
    <definedName name="TELE2">[69]BeginMeting!#REF!</definedName>
    <definedName name="tesstt" hidden="1">[3]Blad1!#REF!</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ien">[28]Personeel!#REF!</definedName>
    <definedName name="TMOBILE">[69]BeginMeting!#REF!</definedName>
    <definedName name="toeslagentabel" localSheetId="0">#REF!</definedName>
    <definedName name="toeslagentabel">#REF!</definedName>
    <definedName name="toezichtmavr">'[65]Basis ruimtestaat'!$R$11:$R$1507</definedName>
    <definedName name="Toilet_Paper">[29]Materials!$K$3:$K$11</definedName>
    <definedName name="Toiletpapier" localSheetId="0">#REF!</definedName>
    <definedName name="Toiletpapier">#REF!</definedName>
    <definedName name="ToolboxstudieFT">[23]Basisgegevens!$I$26</definedName>
    <definedName name="ToolboxstudiePT">[23]Basisgegevens!$F$26</definedName>
    <definedName name="torteltuin" localSheetId="0">#REF!</definedName>
    <definedName name="torteltuin">#REF!</definedName>
    <definedName name="totaal">[84]!totaal</definedName>
    <definedName name="Totaal_calculatie" localSheetId="0">#REF!</definedName>
    <definedName name="Totaal_calculatie">#REF!</definedName>
    <definedName name="totaal_divers">[18]uurtariefopbouw!$E$32</definedName>
    <definedName name="totaal_speciaal">[18]uurtariefopbouw!$G$32</definedName>
    <definedName name="Totaal2">'[64]1.3-Basis ruimtestaat'!$D$10:$S$825</definedName>
    <definedName name="TotaalN">[26]Kengetallen!#REF!</definedName>
    <definedName name="TotaalNmin1">[26]Kengetallen!#REF!</definedName>
    <definedName name="TotaalNmin2">[26]Kengetallen!#REF!</definedName>
    <definedName name="Totaaloverzicht_ruimtestaat_detail" localSheetId="0">#REF!</definedName>
    <definedName name="Totaaloverzicht_ruimtestaat_detail">#REF!</definedName>
    <definedName name="TotaalScore">[26]Kengetallen!#REF!</definedName>
    <definedName name="TotaleWaarde">[26]Kengetallen!#REF!</definedName>
    <definedName name="totkol">[70]Parameters!$C$18</definedName>
    <definedName name="tpa" localSheetId="0">#REF!</definedName>
    <definedName name="tpa">#REF!</definedName>
    <definedName name="tUren">[70]Normenblad!$BW$8</definedName>
    <definedName name="tUrenOlga">[70]Normenblad!A1048558</definedName>
    <definedName name="Turkey" localSheetId="0">#REF!</definedName>
    <definedName name="Turkey">#REF!</definedName>
    <definedName name="Tussenbeurt" localSheetId="0">#REF!</definedName>
    <definedName name="Tussenbeurt">#REF!</definedName>
    <definedName name="TypeInschrijver" localSheetId="0">#REF!</definedName>
    <definedName name="TypeInschrijver">#REF!</definedName>
    <definedName name="u">#REF!</definedName>
    <definedName name="uitvoerder">[20]Frequnetie!#REF!</definedName>
    <definedName name="UK" localSheetId="0">#REF!</definedName>
    <definedName name="UK">#REF!</definedName>
    <definedName name="UKcheck" localSheetId="0">#REF!</definedName>
    <definedName name="UKcheck">#REF!</definedName>
    <definedName name="UKtrig" localSheetId="0">#REF!</definedName>
    <definedName name="UKtrig">#REF!</definedName>
    <definedName name="UNIFORMS">[29]Other!$B$33:$B$47</definedName>
    <definedName name="union" localSheetId="0">#REF!</definedName>
    <definedName name="union">#REF!</definedName>
    <definedName name="Universal1000" localSheetId="0">#REF!</definedName>
    <definedName name="Universal1000">#REF!</definedName>
    <definedName name="Universal500" localSheetId="0">#REF!</definedName>
    <definedName name="Universal500">#REF!</definedName>
    <definedName name="UREMAVR">'[64]1.3-Basis ruimtestaat'!$Q$10:$Q$825</definedName>
    <definedName name="uren_mavr" localSheetId="0">#REF!</definedName>
    <definedName name="uren_mavr">#REF!</definedName>
    <definedName name="Uren_mavrij" localSheetId="0">'[85]10 OER ma- zzf'!#REF!</definedName>
    <definedName name="Uren_mavrij">'[85]10 OER ma- zzf'!#REF!</definedName>
    <definedName name="Uren_nal" localSheetId="0">'[85]10 OER ma- zzf'!#REF!</definedName>
    <definedName name="Uren_nal">'[85]10 OER ma- zzf'!#REF!</definedName>
    <definedName name="uren_naloop" localSheetId="0">'[86]3-Basis ruimtestaat'!#REF!</definedName>
    <definedName name="uren_naloop">'[86]3-Basis ruimtestaat'!#REF!</definedName>
    <definedName name="uren_zazo">'[87]6 - Basis ruimtestaat'!$Q$1:$Q$65536</definedName>
    <definedName name="uren_zazofe">'[88]4-Basis ruimtestaat'!$O:$O</definedName>
    <definedName name="uren_zazonaloop">'[87]6 - Basis ruimtestaat'!$R$1:$R$65536</definedName>
    <definedName name="Uren1" localSheetId="0">#REF!</definedName>
    <definedName name="Uren1">#REF!</definedName>
    <definedName name="Uren2" localSheetId="0">#REF!</definedName>
    <definedName name="Uren2">#REF!</definedName>
    <definedName name="urenfeest">'[89]3-ZMC Rmst UB '!$AF$3026</definedName>
    <definedName name="urenma" localSheetId="0">#REF!</definedName>
    <definedName name="urenma">#REF!</definedName>
    <definedName name="Urenmavr">'[90]3-Basis ruimtestaat'!$N$1:$N$65536</definedName>
    <definedName name="urenna" localSheetId="0">#REF!</definedName>
    <definedName name="urenna">#REF!</definedName>
    <definedName name="urennaloop">'[90]3-Basis ruimtestaat'!$O$1:$O$65536</definedName>
    <definedName name="urenspec" localSheetId="0">#REF!</definedName>
    <definedName name="urenspec">#REF!</definedName>
    <definedName name="urenza" localSheetId="0">#REF!</definedName>
    <definedName name="urenza">#REF!</definedName>
    <definedName name="urenzazofd" localSheetId="0">[91]ruimtestaat!#REF!</definedName>
    <definedName name="urenzazofd">[91]ruimtestaat!#REF!</definedName>
    <definedName name="urenzo">'[89]3-ZMC Rmst UB '!$AE$3026</definedName>
    <definedName name="uurt" localSheetId="0">[92]Uurtarieven!$F$57</definedName>
    <definedName name="uurt">[93]Uurtarieven!$F$57</definedName>
    <definedName name="Uurtarief" localSheetId="0">#REF!</definedName>
    <definedName name="Uurtarief">#REF!</definedName>
    <definedName name="uurtarief_fe">'[36]Uurtarieven matrix'!$J$11</definedName>
    <definedName name="uurtarief_za">'[36]Uurtarieven matrix'!$H$11</definedName>
    <definedName name="VakantiedagenFT">[23]Basisgegevens!$I$21</definedName>
    <definedName name="vakantiedagenPT">[23]Basisgegevens!$F$21</definedName>
    <definedName name="varPath" localSheetId="0">#REF!</definedName>
    <definedName name="varPath">#REF!</definedName>
    <definedName name="verbetring">[94]!verbetring</definedName>
    <definedName name="vergader">[95]norm!$C$2:$D$1133</definedName>
    <definedName name="Vergelijking_Verzamelpanden_nieuw" localSheetId="0">#REF!</definedName>
    <definedName name="Vergelijking_Verzamelpanden_nieuw">#REF!</definedName>
    <definedName name="Vergelijking_Verzamelpanden_Ter_Controle" localSheetId="0">#REF!</definedName>
    <definedName name="Vergelijking_Verzamelpanden_Ter_Controle">#REF!</definedName>
    <definedName name="verise" localSheetId="0">Uitgangspunten!verise</definedName>
    <definedName name="verise">'[39]11c-Afroep RVS kraaiennest'!verise</definedName>
    <definedName name="versienr">[18]Uitvoergegevens!$C$3</definedName>
    <definedName name="verz">[22]Basisgegevens!#REF!</definedName>
    <definedName name="verzamelblad">[18]verzamelblad!$A$2:$BZ$36</definedName>
    <definedName name="verzuim">[23]Basisgegevens!$E$67</definedName>
    <definedName name="vestigingsplaats">'[18]basisgegevens aannemer'!$C$4</definedName>
    <definedName name="vestigingsplaats_opdr">'[18]basisgegevens opdrachtgever'!$B$3</definedName>
    <definedName name="Vijfendertig">[28]Personeel!#REF!</definedName>
    <definedName name="Vl_Code">[27]Prestatiefactoren!#REF!</definedName>
    <definedName name="vloer">[27]Werkprogramma!#REF!</definedName>
    <definedName name="VloerK">'[96]Basis ruimtestaat'!$W:$W</definedName>
    <definedName name="VloerM" localSheetId="0">#REF!</definedName>
    <definedName name="VloerM">'[96]Basis ruimtestaat'!$K:$V</definedName>
    <definedName name="vloeroppervlak">'[65]Basis ruimtestaat'!$K$11:$K$1507</definedName>
    <definedName name="vloersoort" localSheetId="0">#REF!</definedName>
    <definedName name="vloersoort">#REF!</definedName>
    <definedName name="vloersoortkeuze" localSheetId="0">#REF!</definedName>
    <definedName name="vloersoortkeuze">#REF!</definedName>
    <definedName name="Vloersoortoms" localSheetId="0">#REF!</definedName>
    <definedName name="Vloersoortoms">#REF!</definedName>
    <definedName name="vm_lk">'[36]voorman smo uurtarief'!$E$16</definedName>
    <definedName name="vm_tarief">'[36]voorman smo uurtarief'!$E$42</definedName>
    <definedName name="vm_tarief_fe">'[36]Uurtarieven matrix'!$J$17</definedName>
    <definedName name="vm_tarief_za">'[36]Uurtarieven matrix'!$H$17</definedName>
    <definedName name="vnrm">[37]vergelijken!#REF!</definedName>
    <definedName name="VODAFONE">[69]BeginMeting!#REF!</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[26]Kengetallen!#REF!</definedName>
    <definedName name="VoorzieningenNmin1">[26]Kengetallen!#REF!</definedName>
    <definedName name="VoorzieningenNmin2">[26]Kengetallen!#REF!</definedName>
    <definedName name="VorstverletFT">[23]Basisgegevens!$I$25</definedName>
    <definedName name="VorstverletPT">[23]Basisgegevens!$F$25</definedName>
    <definedName name="vtype" localSheetId="0">#REF!</definedName>
    <definedName name="vtype">#REF!</definedName>
    <definedName name="VUT" localSheetId="0">#REF!</definedName>
    <definedName name="VUT">#REF!</definedName>
    <definedName name="w" localSheetId="0">#REF!</definedName>
    <definedName name="w">#REF!</definedName>
    <definedName name="WaardenMatrix" localSheetId="0">[26]Kengetallen!#REF!</definedName>
    <definedName name="WaardenMatrix">[26]Kengetallen!#REF!</definedName>
    <definedName name="wacc">'[11]Fin Input'!$G$27</definedName>
    <definedName name="WACHT">[1]Begroting!#REF!</definedName>
    <definedName name="wachtwoord">[19]Tussenblad!$A$11</definedName>
    <definedName name="WAOBAS" localSheetId="0">#REF!</definedName>
    <definedName name="WAOBAS">#REF!</definedName>
    <definedName name="WAOGED" localSheetId="0">#REF!</definedName>
    <definedName name="WAOGED">#REF!</definedName>
    <definedName name="Was_S" localSheetId="0">Uitgangspunten!Was_S</definedName>
    <definedName name="Was_S">'[39]11c-Afroep RVS kraaiennest'!Was_S</definedName>
    <definedName name="week">[97]Recap!$E$43</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#REF!</definedName>
    <definedName name="winst">[23]Basisgegevens!$E$72</definedName>
    <definedName name="wk">[27]Werkprogramma!#REF!</definedName>
    <definedName name="Woonplaats">'[24]OBJECT '!$B$12</definedName>
    <definedName name="wrn.RWReport1." localSheetId="0"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w">#REF!</definedName>
    <definedName name="WwWe">[23]Basisgegevens!$E$45</definedName>
    <definedName name="x" hidden="1">[3]Blad1!#REF!</definedName>
    <definedName name="xxx">[8]Begroting!#REF!</definedName>
    <definedName name="xxxxx">[98]Begroting!#REF!</definedName>
    <definedName name="y" localSheetId="0" hidden="1">#REF!</definedName>
    <definedName name="y" hidden="1">#REF!</definedName>
    <definedName name="z" localSheetId="0" hidden="1">#REF!</definedName>
    <definedName name="z" hidden="1">#REF!</definedName>
    <definedName name="zaal" localSheetId="0">Uitgangspunten!zaal</definedName>
    <definedName name="zaal">'[39]11c-Afroep RVS kraaiennest'!zaal</definedName>
    <definedName name="Zalen" localSheetId="0">#REF!</definedName>
    <definedName name="Zalen">#REF!</definedName>
    <definedName name="zcvdv" localSheetId="0">[49]Begroting!#REF!</definedName>
    <definedName name="zcvdv">[49]Begroting!#REF!</definedName>
    <definedName name="Zeventig" localSheetId="0">[28]Personeel!#REF!</definedName>
    <definedName name="Zeventig">[28]Personeel!#REF!</definedName>
    <definedName name="ZFW" localSheetId="0">#REF!</definedName>
    <definedName name="ZFW">#REF!</definedName>
    <definedName name="ziektedagen">[23]Basisgegevens!$E$22</definedName>
    <definedName name="ZiektedagenFT" localSheetId="0">#REF!</definedName>
    <definedName name="ZiektedagenFT">#REF!</definedName>
    <definedName name="ZiektedagenPT" localSheetId="0">#REF!</definedName>
    <definedName name="ZiektedagenPT">#REF!</definedName>
    <definedName name="zilverlinde" localSheetId="0">Uitgangspunten!zilverlinde</definedName>
    <definedName name="zilverlinde">'[39]11c-Afroep RVS kraaiennest'!zilverlinde</definedName>
    <definedName name="Zondag" localSheetId="0">[28]Personeel!#REF!</definedName>
    <definedName name="Zondag">[28]Personeel!#REF!</definedName>
    <definedName name="zozo1" localSheetId="0">#REF!</definedName>
    <definedName name="zozo1">#REF!</definedName>
    <definedName name="zozo2" localSheetId="0">#REF!</definedName>
    <definedName name="zozo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73" l="1"/>
  <c r="H16" i="73"/>
  <c r="H15" i="73"/>
  <c r="H14" i="73"/>
  <c r="H13" i="73"/>
  <c r="H12" i="73"/>
  <c r="H19" i="73"/>
  <c r="H18" i="73"/>
  <c r="H17" i="73"/>
  <c r="H52" i="78"/>
  <c r="H50" i="78"/>
  <c r="H48" i="78"/>
  <c r="E48" i="78"/>
  <c r="E46" i="78"/>
  <c r="E52" i="78" s="1"/>
  <c r="W485" i="2"/>
  <c r="V485" i="2"/>
  <c r="U485" i="2"/>
  <c r="T485" i="2"/>
  <c r="S485" i="2"/>
  <c r="R485" i="2"/>
  <c r="B4" i="2" l="1"/>
  <c r="B5" i="2"/>
  <c r="B6" i="2"/>
  <c r="B7" i="2"/>
  <c r="B8" i="2"/>
  <c r="B9" i="2"/>
  <c r="B3" i="2"/>
  <c r="A9" i="44"/>
  <c r="A8" i="44"/>
  <c r="A7" i="44"/>
  <c r="A6" i="44"/>
  <c r="A5" i="44"/>
  <c r="A4" i="44"/>
  <c r="A3" i="44"/>
  <c r="A4" i="45"/>
  <c r="A5" i="45"/>
  <c r="A6" i="45"/>
  <c r="A7" i="45"/>
  <c r="A8" i="45"/>
  <c r="A9" i="45"/>
  <c r="A3" i="45"/>
  <c r="A4" i="73"/>
  <c r="A5" i="73"/>
  <c r="A6" i="73"/>
  <c r="A7" i="73"/>
  <c r="A8" i="73"/>
  <c r="A9" i="73"/>
  <c r="A3" i="73"/>
  <c r="A9" i="84"/>
  <c r="A8" i="84"/>
  <c r="A7" i="84"/>
  <c r="A6" i="84"/>
  <c r="A5" i="84"/>
  <c r="A4" i="84"/>
  <c r="A3" i="84"/>
  <c r="A3" i="48"/>
  <c r="A4" i="48"/>
  <c r="A5" i="48"/>
  <c r="A6" i="48"/>
  <c r="A7" i="48"/>
  <c r="A8" i="48"/>
  <c r="D56" i="84"/>
  <c r="B12" i="84" s="1"/>
  <c r="B13" i="84" s="1"/>
  <c r="B14" i="84" s="1"/>
  <c r="B15" i="84" s="1"/>
  <c r="C54" i="84"/>
  <c r="B54" i="84"/>
  <c r="C53" i="84"/>
  <c r="B53" i="84"/>
  <c r="C52" i="84"/>
  <c r="B52" i="84"/>
  <c r="C51" i="84"/>
  <c r="B51" i="84"/>
  <c r="C50" i="84"/>
  <c r="B50" i="84"/>
  <c r="C49" i="84"/>
  <c r="B49" i="84"/>
  <c r="C48" i="84"/>
  <c r="B48" i="84"/>
  <c r="C47" i="84"/>
  <c r="B47" i="84"/>
  <c r="C46" i="84"/>
  <c r="B46" i="84"/>
  <c r="C45" i="84"/>
  <c r="B45" i="84"/>
  <c r="C44" i="84"/>
  <c r="B44" i="84"/>
  <c r="C43" i="84"/>
  <c r="B43" i="84"/>
  <c r="C42" i="84"/>
  <c r="B42" i="84"/>
  <c r="C41" i="84"/>
  <c r="B41" i="84"/>
  <c r="C40" i="84"/>
  <c r="B40" i="84"/>
  <c r="C39" i="84"/>
  <c r="B39" i="84"/>
  <c r="C38" i="84"/>
  <c r="B38" i="84"/>
  <c r="C37" i="84"/>
  <c r="B37" i="84"/>
  <c r="C36" i="84"/>
  <c r="B36" i="84"/>
  <c r="C35" i="84"/>
  <c r="B35" i="84"/>
  <c r="B9" i="84"/>
  <c r="B8" i="84"/>
  <c r="B7" i="84"/>
  <c r="B6" i="84"/>
  <c r="B5" i="84"/>
  <c r="B4" i="84"/>
  <c r="A31" i="38" s="1"/>
  <c r="B3" i="84"/>
  <c r="C9" i="83"/>
  <c r="C10" i="39"/>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12" i="2"/>
  <c r="G27" i="45"/>
  <c r="G26" i="45"/>
  <c r="G25" i="45"/>
  <c r="G24" i="45"/>
  <c r="G23" i="45"/>
  <c r="G28" i="45" l="1"/>
  <c r="A4" i="80"/>
  <c r="A3" i="80"/>
  <c r="A2" i="80"/>
  <c r="A1" i="80"/>
  <c r="B4" i="80"/>
  <c r="B1" i="80"/>
  <c r="B3" i="80"/>
  <c r="E25" i="38" l="1"/>
  <c r="L73" i="83"/>
  <c r="L72" i="83"/>
  <c r="L67" i="83"/>
  <c r="L65" i="83"/>
  <c r="L64" i="83"/>
  <c r="L63" i="83"/>
  <c r="L62" i="83"/>
  <c r="L61" i="83"/>
  <c r="L60" i="83"/>
  <c r="L59" i="83"/>
  <c r="L58" i="83"/>
  <c r="L57" i="83"/>
  <c r="L56" i="83"/>
  <c r="L55" i="83"/>
  <c r="L54" i="83"/>
  <c r="L53" i="83"/>
  <c r="L52" i="83"/>
  <c r="L51" i="83"/>
  <c r="L50" i="83"/>
  <c r="L49" i="83"/>
  <c r="L48" i="83"/>
  <c r="L47" i="83"/>
  <c r="L46" i="83"/>
  <c r="L45" i="83"/>
  <c r="L44" i="83"/>
  <c r="L43" i="83"/>
  <c r="L42" i="83"/>
  <c r="L41" i="83"/>
  <c r="L40" i="83"/>
  <c r="L39" i="83"/>
  <c r="L38" i="83"/>
  <c r="L37" i="83"/>
  <c r="L36" i="83"/>
  <c r="L35" i="83"/>
  <c r="A9" i="83"/>
  <c r="C8" i="83"/>
  <c r="A8" i="83"/>
  <c r="C7" i="83"/>
  <c r="A7" i="83"/>
  <c r="C6" i="83"/>
  <c r="A6" i="83"/>
  <c r="C5" i="83"/>
  <c r="A5" i="83"/>
  <c r="C4" i="83"/>
  <c r="A4" i="83"/>
  <c r="C3" i="83"/>
  <c r="A3" i="83"/>
  <c r="C2" i="83"/>
  <c r="A2" i="83"/>
  <c r="J485" i="2" l="1"/>
  <c r="AD485" i="2" s="1"/>
  <c r="B6" i="81" l="1"/>
  <c r="B5" i="81"/>
  <c r="B3" i="81"/>
  <c r="A6" i="81"/>
  <c r="A5" i="81"/>
  <c r="A4" i="81"/>
  <c r="A3" i="81"/>
  <c r="X12" i="2" s="1"/>
  <c r="Y12" i="2" s="1"/>
  <c r="C7" i="39"/>
  <c r="C6" i="39"/>
  <c r="A10" i="39"/>
  <c r="A9" i="39"/>
  <c r="A8" i="39"/>
  <c r="A7" i="39"/>
  <c r="A6" i="39"/>
  <c r="A5" i="39"/>
  <c r="A4" i="39"/>
  <c r="A3" i="39"/>
  <c r="B4" i="81"/>
  <c r="R12" i="2" l="1"/>
  <c r="S12" i="2"/>
  <c r="Z12" i="2"/>
  <c r="AA12" i="2"/>
  <c r="U12" i="2" l="1"/>
  <c r="W12" i="2"/>
  <c r="T12" i="2"/>
  <c r="V12" i="2"/>
  <c r="E58" i="73"/>
  <c r="B58" i="73"/>
  <c r="J385" i="2" l="1"/>
  <c r="AD385" i="2" s="1"/>
  <c r="X385" i="2" l="1"/>
  <c r="R385" i="2" l="1"/>
  <c r="Y385" i="2"/>
  <c r="S385" i="2" s="1"/>
  <c r="Z385" i="2"/>
  <c r="AA385" i="2"/>
  <c r="U385" i="2" l="1"/>
  <c r="W385" i="2"/>
  <c r="T385" i="2"/>
  <c r="V385" i="2"/>
  <c r="J31" i="2"/>
  <c r="AD31" i="2" s="1"/>
  <c r="J32" i="2"/>
  <c r="AD32" i="2" s="1"/>
  <c r="J33" i="2"/>
  <c r="AD33" i="2" s="1"/>
  <c r="J34" i="2"/>
  <c r="AD34" i="2" s="1"/>
  <c r="J35" i="2"/>
  <c r="AD35" i="2" s="1"/>
  <c r="J36" i="2"/>
  <c r="AD36" i="2" s="1"/>
  <c r="J37" i="2"/>
  <c r="AD37" i="2" s="1"/>
  <c r="J38" i="2"/>
  <c r="AD38" i="2" s="1"/>
  <c r="J39" i="2"/>
  <c r="AD39" i="2" s="1"/>
  <c r="J40" i="2"/>
  <c r="AD40" i="2" s="1"/>
  <c r="J41" i="2"/>
  <c r="AD41" i="2" s="1"/>
  <c r="J42" i="2"/>
  <c r="AD42" i="2" s="1"/>
  <c r="J43" i="2"/>
  <c r="AD43" i="2" s="1"/>
  <c r="J44" i="2"/>
  <c r="AD44" i="2" s="1"/>
  <c r="J45" i="2"/>
  <c r="AD45" i="2" s="1"/>
  <c r="J46" i="2"/>
  <c r="AD46" i="2" s="1"/>
  <c r="J47" i="2"/>
  <c r="AD47" i="2" s="1"/>
  <c r="J48" i="2"/>
  <c r="AD48" i="2" s="1"/>
  <c r="J49" i="2"/>
  <c r="AD49" i="2" s="1"/>
  <c r="J50" i="2"/>
  <c r="AD50" i="2" s="1"/>
  <c r="J51" i="2"/>
  <c r="AD51" i="2" s="1"/>
  <c r="J52" i="2"/>
  <c r="AD52" i="2" s="1"/>
  <c r="J53" i="2"/>
  <c r="AD53" i="2" s="1"/>
  <c r="J54" i="2"/>
  <c r="AD54" i="2" s="1"/>
  <c r="J55" i="2"/>
  <c r="AD55" i="2" s="1"/>
  <c r="J56" i="2"/>
  <c r="AD56" i="2" s="1"/>
  <c r="J57" i="2"/>
  <c r="AD57" i="2" s="1"/>
  <c r="J58" i="2"/>
  <c r="AD58" i="2" s="1"/>
  <c r="J59" i="2"/>
  <c r="AD59" i="2" s="1"/>
  <c r="J60" i="2"/>
  <c r="AD60" i="2" s="1"/>
  <c r="J61" i="2"/>
  <c r="AD61" i="2" s="1"/>
  <c r="J62" i="2"/>
  <c r="AD62" i="2" s="1"/>
  <c r="J63" i="2"/>
  <c r="AD63" i="2" s="1"/>
  <c r="J64" i="2"/>
  <c r="AD64" i="2" s="1"/>
  <c r="J65" i="2"/>
  <c r="AD65" i="2" s="1"/>
  <c r="J66" i="2"/>
  <c r="AD66" i="2" s="1"/>
  <c r="J67" i="2"/>
  <c r="AD67" i="2" s="1"/>
  <c r="J68" i="2"/>
  <c r="AD68" i="2" s="1"/>
  <c r="J69" i="2"/>
  <c r="AD69" i="2" s="1"/>
  <c r="J70" i="2"/>
  <c r="AD70" i="2" s="1"/>
  <c r="J71" i="2"/>
  <c r="AD71" i="2" s="1"/>
  <c r="J72" i="2"/>
  <c r="AD72" i="2" s="1"/>
  <c r="J73" i="2"/>
  <c r="AD73" i="2" s="1"/>
  <c r="J74" i="2"/>
  <c r="AD74" i="2" s="1"/>
  <c r="J75" i="2"/>
  <c r="AD75" i="2" s="1"/>
  <c r="J76" i="2"/>
  <c r="AD76" i="2" s="1"/>
  <c r="J77" i="2"/>
  <c r="AD77" i="2" s="1"/>
  <c r="J78" i="2"/>
  <c r="AD78" i="2" s="1"/>
  <c r="J79" i="2"/>
  <c r="AD79" i="2" s="1"/>
  <c r="J80" i="2"/>
  <c r="AD80" i="2" s="1"/>
  <c r="J81" i="2"/>
  <c r="AD81" i="2" s="1"/>
  <c r="J82" i="2"/>
  <c r="AD82" i="2" s="1"/>
  <c r="J83" i="2"/>
  <c r="AD83" i="2" s="1"/>
  <c r="J84" i="2"/>
  <c r="AD84" i="2" s="1"/>
  <c r="J85" i="2"/>
  <c r="AD85" i="2" s="1"/>
  <c r="J86" i="2"/>
  <c r="AD86" i="2" s="1"/>
  <c r="J87" i="2"/>
  <c r="AD87" i="2" s="1"/>
  <c r="J88" i="2"/>
  <c r="AD88" i="2" s="1"/>
  <c r="J89" i="2"/>
  <c r="AD89" i="2" s="1"/>
  <c r="J90" i="2"/>
  <c r="AD90" i="2" s="1"/>
  <c r="J91" i="2"/>
  <c r="AD91" i="2" s="1"/>
  <c r="J92" i="2"/>
  <c r="AD92" i="2" s="1"/>
  <c r="J93" i="2"/>
  <c r="AD93" i="2" s="1"/>
  <c r="J94" i="2"/>
  <c r="AD94" i="2" s="1"/>
  <c r="J95" i="2"/>
  <c r="AD95" i="2" s="1"/>
  <c r="J96" i="2"/>
  <c r="AD96" i="2" s="1"/>
  <c r="J97" i="2"/>
  <c r="AD97" i="2" s="1"/>
  <c r="J98" i="2"/>
  <c r="AD98" i="2" s="1"/>
  <c r="J99" i="2"/>
  <c r="AD99" i="2" s="1"/>
  <c r="J100" i="2"/>
  <c r="AD100" i="2" s="1"/>
  <c r="J101" i="2"/>
  <c r="AD101" i="2" s="1"/>
  <c r="J102" i="2"/>
  <c r="AD102" i="2" s="1"/>
  <c r="J103" i="2"/>
  <c r="AD103" i="2" s="1"/>
  <c r="J104" i="2"/>
  <c r="AD104" i="2" s="1"/>
  <c r="J105" i="2"/>
  <c r="AD105" i="2" s="1"/>
  <c r="J106" i="2"/>
  <c r="AD106" i="2" s="1"/>
  <c r="J107" i="2"/>
  <c r="AD107" i="2" s="1"/>
  <c r="J108" i="2"/>
  <c r="AD108" i="2" s="1"/>
  <c r="J109" i="2"/>
  <c r="AD109" i="2" s="1"/>
  <c r="J110" i="2"/>
  <c r="AD110" i="2" s="1"/>
  <c r="J111" i="2"/>
  <c r="AD111" i="2" s="1"/>
  <c r="J112" i="2"/>
  <c r="AD112" i="2" s="1"/>
  <c r="J113" i="2"/>
  <c r="AD113" i="2" s="1"/>
  <c r="J114" i="2"/>
  <c r="AD114" i="2" s="1"/>
  <c r="J115" i="2"/>
  <c r="AD115" i="2" s="1"/>
  <c r="J116" i="2"/>
  <c r="AD116" i="2" s="1"/>
  <c r="J117" i="2"/>
  <c r="AD117" i="2" s="1"/>
  <c r="J118" i="2"/>
  <c r="AD118" i="2" s="1"/>
  <c r="J119" i="2"/>
  <c r="AD119" i="2" s="1"/>
  <c r="J120" i="2"/>
  <c r="AD120" i="2" s="1"/>
  <c r="J121" i="2"/>
  <c r="AD121" i="2" s="1"/>
  <c r="J122" i="2"/>
  <c r="AD122" i="2" s="1"/>
  <c r="J123" i="2"/>
  <c r="AD123" i="2" s="1"/>
  <c r="J124" i="2"/>
  <c r="AD124" i="2" s="1"/>
  <c r="J125" i="2"/>
  <c r="AD125" i="2" s="1"/>
  <c r="J126" i="2"/>
  <c r="AD126" i="2" s="1"/>
  <c r="J127" i="2"/>
  <c r="AD127" i="2" s="1"/>
  <c r="J128" i="2"/>
  <c r="AD128" i="2" s="1"/>
  <c r="J129" i="2"/>
  <c r="AD129" i="2" s="1"/>
  <c r="J130" i="2"/>
  <c r="AD130" i="2" s="1"/>
  <c r="J131" i="2"/>
  <c r="AD131" i="2" s="1"/>
  <c r="J132" i="2"/>
  <c r="AD132" i="2" s="1"/>
  <c r="J133" i="2"/>
  <c r="AD133" i="2" s="1"/>
  <c r="J134" i="2"/>
  <c r="AD134" i="2" s="1"/>
  <c r="J135" i="2"/>
  <c r="AD135" i="2" s="1"/>
  <c r="J136" i="2"/>
  <c r="AD136" i="2" s="1"/>
  <c r="J137" i="2"/>
  <c r="AD137" i="2" s="1"/>
  <c r="J138" i="2"/>
  <c r="AD138" i="2" s="1"/>
  <c r="J139" i="2"/>
  <c r="AD139" i="2" s="1"/>
  <c r="J140" i="2"/>
  <c r="AD140" i="2" s="1"/>
  <c r="J141" i="2"/>
  <c r="AD141" i="2" s="1"/>
  <c r="J142" i="2"/>
  <c r="AD142" i="2" s="1"/>
  <c r="J143" i="2"/>
  <c r="AD143" i="2" s="1"/>
  <c r="J144" i="2"/>
  <c r="AD144" i="2" s="1"/>
  <c r="J145" i="2"/>
  <c r="AD145" i="2" s="1"/>
  <c r="J146" i="2"/>
  <c r="AD146" i="2" s="1"/>
  <c r="J147" i="2"/>
  <c r="AD147" i="2" s="1"/>
  <c r="J148" i="2"/>
  <c r="AD148" i="2" s="1"/>
  <c r="J149" i="2"/>
  <c r="AD149" i="2" s="1"/>
  <c r="J150" i="2"/>
  <c r="AD150" i="2" s="1"/>
  <c r="J151" i="2"/>
  <c r="AD151" i="2" s="1"/>
  <c r="J152" i="2"/>
  <c r="AD152" i="2" s="1"/>
  <c r="J153" i="2"/>
  <c r="AD153" i="2" s="1"/>
  <c r="J154" i="2"/>
  <c r="AD154" i="2" s="1"/>
  <c r="J155" i="2"/>
  <c r="AD155" i="2" s="1"/>
  <c r="J156" i="2"/>
  <c r="AD156" i="2" s="1"/>
  <c r="J157" i="2"/>
  <c r="AD157" i="2" s="1"/>
  <c r="J158" i="2"/>
  <c r="AD158" i="2" s="1"/>
  <c r="J159" i="2"/>
  <c r="AD159" i="2" s="1"/>
  <c r="J160" i="2"/>
  <c r="AD160" i="2" s="1"/>
  <c r="J161" i="2"/>
  <c r="AD161" i="2" s="1"/>
  <c r="J162" i="2"/>
  <c r="AD162" i="2" s="1"/>
  <c r="J163" i="2"/>
  <c r="AD163" i="2" s="1"/>
  <c r="J164" i="2"/>
  <c r="AD164" i="2" s="1"/>
  <c r="J165" i="2"/>
  <c r="AD165" i="2" s="1"/>
  <c r="J166" i="2"/>
  <c r="AD166" i="2" s="1"/>
  <c r="J167" i="2"/>
  <c r="AD167" i="2" s="1"/>
  <c r="J168" i="2"/>
  <c r="AD168" i="2" s="1"/>
  <c r="J169" i="2"/>
  <c r="AD169" i="2" s="1"/>
  <c r="J170" i="2"/>
  <c r="AD170" i="2" s="1"/>
  <c r="J171" i="2"/>
  <c r="AD171" i="2" s="1"/>
  <c r="J172" i="2"/>
  <c r="AD172" i="2" s="1"/>
  <c r="J173" i="2"/>
  <c r="AD173" i="2" s="1"/>
  <c r="J174" i="2"/>
  <c r="AD174" i="2" s="1"/>
  <c r="J175" i="2"/>
  <c r="AD175" i="2" s="1"/>
  <c r="J176" i="2"/>
  <c r="AD176" i="2" s="1"/>
  <c r="J177" i="2"/>
  <c r="AD177" i="2" s="1"/>
  <c r="J178" i="2"/>
  <c r="AD178" i="2" s="1"/>
  <c r="J179" i="2"/>
  <c r="AD179" i="2" s="1"/>
  <c r="J180" i="2"/>
  <c r="AD180" i="2" s="1"/>
  <c r="J181" i="2"/>
  <c r="AD181" i="2" s="1"/>
  <c r="J182" i="2"/>
  <c r="AD182" i="2" s="1"/>
  <c r="J183" i="2"/>
  <c r="AD183" i="2" s="1"/>
  <c r="J184" i="2"/>
  <c r="AD184" i="2" s="1"/>
  <c r="J185" i="2"/>
  <c r="AD185" i="2" s="1"/>
  <c r="J186" i="2"/>
  <c r="AD186" i="2" s="1"/>
  <c r="J187" i="2"/>
  <c r="AD187" i="2" s="1"/>
  <c r="J188" i="2"/>
  <c r="AD188" i="2" s="1"/>
  <c r="J189" i="2"/>
  <c r="AD189" i="2" s="1"/>
  <c r="J190" i="2"/>
  <c r="AD190" i="2" s="1"/>
  <c r="J191" i="2"/>
  <c r="AD191" i="2" s="1"/>
  <c r="J192" i="2"/>
  <c r="AD192" i="2" s="1"/>
  <c r="J193" i="2"/>
  <c r="AD193" i="2" s="1"/>
  <c r="J194" i="2"/>
  <c r="AD194" i="2" s="1"/>
  <c r="J195" i="2"/>
  <c r="AD195" i="2" s="1"/>
  <c r="J196" i="2"/>
  <c r="AD196" i="2" s="1"/>
  <c r="J197" i="2"/>
  <c r="AD197" i="2" s="1"/>
  <c r="J198" i="2"/>
  <c r="AD198" i="2" s="1"/>
  <c r="J199" i="2"/>
  <c r="AD199" i="2" s="1"/>
  <c r="J200" i="2"/>
  <c r="AD200" i="2" s="1"/>
  <c r="J201" i="2"/>
  <c r="AD201" i="2" s="1"/>
  <c r="J202" i="2"/>
  <c r="AD202" i="2" s="1"/>
  <c r="J203" i="2"/>
  <c r="AD203" i="2" s="1"/>
  <c r="J204" i="2"/>
  <c r="AD204" i="2" s="1"/>
  <c r="J205" i="2"/>
  <c r="AD205" i="2" s="1"/>
  <c r="J206" i="2"/>
  <c r="AD206" i="2" s="1"/>
  <c r="J207" i="2"/>
  <c r="AD207" i="2" s="1"/>
  <c r="J208" i="2"/>
  <c r="AD208" i="2" s="1"/>
  <c r="J209" i="2"/>
  <c r="AD209" i="2" s="1"/>
  <c r="J210" i="2"/>
  <c r="AD210" i="2" s="1"/>
  <c r="J211" i="2"/>
  <c r="AD211" i="2" s="1"/>
  <c r="J212" i="2"/>
  <c r="AD212" i="2" s="1"/>
  <c r="J213" i="2"/>
  <c r="AD213" i="2" s="1"/>
  <c r="J214" i="2"/>
  <c r="AD214" i="2" s="1"/>
  <c r="J215" i="2"/>
  <c r="AD215" i="2" s="1"/>
  <c r="J216" i="2"/>
  <c r="AD216" i="2" s="1"/>
  <c r="J217" i="2"/>
  <c r="AD217" i="2" s="1"/>
  <c r="J218" i="2"/>
  <c r="AD218" i="2" s="1"/>
  <c r="J219" i="2"/>
  <c r="AD219" i="2" s="1"/>
  <c r="J220" i="2"/>
  <c r="AD220" i="2" s="1"/>
  <c r="J221" i="2"/>
  <c r="AD221" i="2" s="1"/>
  <c r="J222" i="2"/>
  <c r="AD222" i="2" s="1"/>
  <c r="J223" i="2"/>
  <c r="AD223" i="2" s="1"/>
  <c r="J224" i="2"/>
  <c r="AD224" i="2" s="1"/>
  <c r="J225" i="2"/>
  <c r="AD225" i="2" s="1"/>
  <c r="J226" i="2"/>
  <c r="AD226" i="2" s="1"/>
  <c r="J227" i="2"/>
  <c r="AD227" i="2" s="1"/>
  <c r="J228" i="2"/>
  <c r="AD228" i="2" s="1"/>
  <c r="J229" i="2"/>
  <c r="AD229" i="2" s="1"/>
  <c r="J230" i="2"/>
  <c r="AD230" i="2" s="1"/>
  <c r="J231" i="2"/>
  <c r="AD231" i="2" s="1"/>
  <c r="J232" i="2"/>
  <c r="AD232" i="2" s="1"/>
  <c r="J233" i="2"/>
  <c r="AD233" i="2" s="1"/>
  <c r="J234" i="2"/>
  <c r="AD234" i="2" s="1"/>
  <c r="J235" i="2"/>
  <c r="AD235" i="2" s="1"/>
  <c r="J236" i="2"/>
  <c r="AD236" i="2" s="1"/>
  <c r="J237" i="2"/>
  <c r="AD237" i="2" s="1"/>
  <c r="J238" i="2"/>
  <c r="AD238" i="2" s="1"/>
  <c r="J239" i="2"/>
  <c r="AD239" i="2" s="1"/>
  <c r="J240" i="2"/>
  <c r="AD240" i="2" s="1"/>
  <c r="J241" i="2"/>
  <c r="AD241" i="2" s="1"/>
  <c r="J242" i="2"/>
  <c r="AD242" i="2" s="1"/>
  <c r="J243" i="2"/>
  <c r="AD243" i="2" s="1"/>
  <c r="J244" i="2"/>
  <c r="AD244" i="2" s="1"/>
  <c r="J245" i="2"/>
  <c r="AD245" i="2" s="1"/>
  <c r="J246" i="2"/>
  <c r="AD246" i="2" s="1"/>
  <c r="J247" i="2"/>
  <c r="AD247" i="2" s="1"/>
  <c r="J248" i="2"/>
  <c r="AD248" i="2" s="1"/>
  <c r="J249" i="2"/>
  <c r="AD249" i="2" s="1"/>
  <c r="J250" i="2"/>
  <c r="AD250" i="2" s="1"/>
  <c r="J251" i="2"/>
  <c r="AD251" i="2" s="1"/>
  <c r="J252" i="2"/>
  <c r="AD252" i="2" s="1"/>
  <c r="J253" i="2"/>
  <c r="AD253" i="2" s="1"/>
  <c r="J254" i="2"/>
  <c r="AD254" i="2" s="1"/>
  <c r="J255" i="2"/>
  <c r="AD255" i="2" s="1"/>
  <c r="J256" i="2"/>
  <c r="AD256" i="2" s="1"/>
  <c r="J257" i="2"/>
  <c r="AD257" i="2" s="1"/>
  <c r="J258" i="2"/>
  <c r="AD258" i="2" s="1"/>
  <c r="J259" i="2"/>
  <c r="AD259" i="2" s="1"/>
  <c r="J260" i="2"/>
  <c r="AD260" i="2" s="1"/>
  <c r="J261" i="2"/>
  <c r="AD261" i="2" s="1"/>
  <c r="J262" i="2"/>
  <c r="AD262" i="2" s="1"/>
  <c r="J263" i="2"/>
  <c r="AD263" i="2" s="1"/>
  <c r="J264" i="2"/>
  <c r="AD264" i="2" s="1"/>
  <c r="J265" i="2"/>
  <c r="AD265" i="2" s="1"/>
  <c r="J266" i="2"/>
  <c r="AD266" i="2" s="1"/>
  <c r="J267" i="2"/>
  <c r="AD267" i="2" s="1"/>
  <c r="J268" i="2"/>
  <c r="AD268" i="2" s="1"/>
  <c r="J269" i="2"/>
  <c r="AD269" i="2" s="1"/>
  <c r="J270" i="2"/>
  <c r="AD270" i="2" s="1"/>
  <c r="J271" i="2"/>
  <c r="AD271" i="2" s="1"/>
  <c r="J272" i="2"/>
  <c r="AD272" i="2" s="1"/>
  <c r="J273" i="2"/>
  <c r="AD273" i="2" s="1"/>
  <c r="J274" i="2"/>
  <c r="AD274" i="2" s="1"/>
  <c r="J275" i="2"/>
  <c r="AD275" i="2" s="1"/>
  <c r="J276" i="2"/>
  <c r="AD276" i="2" s="1"/>
  <c r="J277" i="2"/>
  <c r="AD277" i="2" s="1"/>
  <c r="J278" i="2"/>
  <c r="AD278" i="2" s="1"/>
  <c r="J279" i="2"/>
  <c r="AD279" i="2" s="1"/>
  <c r="J280" i="2"/>
  <c r="AD280" i="2" s="1"/>
  <c r="J281" i="2"/>
  <c r="AD281" i="2" s="1"/>
  <c r="J282" i="2"/>
  <c r="AD282" i="2" s="1"/>
  <c r="J283" i="2"/>
  <c r="AD283" i="2" s="1"/>
  <c r="J284" i="2"/>
  <c r="AD284" i="2" s="1"/>
  <c r="J285" i="2"/>
  <c r="AD285" i="2" s="1"/>
  <c r="J286" i="2"/>
  <c r="AD286" i="2" s="1"/>
  <c r="J287" i="2"/>
  <c r="AD287" i="2" s="1"/>
  <c r="J288" i="2"/>
  <c r="AD288" i="2" s="1"/>
  <c r="J289" i="2"/>
  <c r="AD289" i="2" s="1"/>
  <c r="J290" i="2"/>
  <c r="AD290" i="2" s="1"/>
  <c r="J291" i="2"/>
  <c r="AD291" i="2" s="1"/>
  <c r="J292" i="2"/>
  <c r="AD292" i="2" s="1"/>
  <c r="J293" i="2"/>
  <c r="AD293" i="2" s="1"/>
  <c r="J294" i="2"/>
  <c r="AD294" i="2" s="1"/>
  <c r="J295" i="2"/>
  <c r="AD295" i="2" s="1"/>
  <c r="J296" i="2"/>
  <c r="AD296" i="2" s="1"/>
  <c r="J297" i="2"/>
  <c r="AD297" i="2" s="1"/>
  <c r="J298" i="2"/>
  <c r="AD298" i="2" s="1"/>
  <c r="J299" i="2"/>
  <c r="AD299" i="2" s="1"/>
  <c r="J300" i="2"/>
  <c r="AD300" i="2" s="1"/>
  <c r="J301" i="2"/>
  <c r="AD301" i="2" s="1"/>
  <c r="J302" i="2"/>
  <c r="AD302" i="2" s="1"/>
  <c r="J303" i="2"/>
  <c r="AD303" i="2" s="1"/>
  <c r="J304" i="2"/>
  <c r="AD304" i="2" s="1"/>
  <c r="J305" i="2"/>
  <c r="AD305" i="2" s="1"/>
  <c r="J306" i="2"/>
  <c r="AD306" i="2" s="1"/>
  <c r="J307" i="2"/>
  <c r="AD307" i="2" s="1"/>
  <c r="J308" i="2"/>
  <c r="AD308" i="2" s="1"/>
  <c r="J309" i="2"/>
  <c r="AD309" i="2" s="1"/>
  <c r="J310" i="2"/>
  <c r="AD310" i="2" s="1"/>
  <c r="J311" i="2"/>
  <c r="AD311" i="2" s="1"/>
  <c r="J312" i="2"/>
  <c r="AD312" i="2" s="1"/>
  <c r="J313" i="2"/>
  <c r="AD313" i="2" s="1"/>
  <c r="J314" i="2"/>
  <c r="AD314" i="2" s="1"/>
  <c r="J315" i="2"/>
  <c r="AD315" i="2" s="1"/>
  <c r="J316" i="2"/>
  <c r="AD316" i="2" s="1"/>
  <c r="J317" i="2"/>
  <c r="AD317" i="2" s="1"/>
  <c r="J318" i="2"/>
  <c r="AD318" i="2" s="1"/>
  <c r="J319" i="2"/>
  <c r="AD319" i="2" s="1"/>
  <c r="J320" i="2"/>
  <c r="AD320" i="2" s="1"/>
  <c r="J321" i="2"/>
  <c r="AD321" i="2" s="1"/>
  <c r="J322" i="2"/>
  <c r="AD322" i="2" s="1"/>
  <c r="J323" i="2"/>
  <c r="AD323" i="2" s="1"/>
  <c r="J324" i="2"/>
  <c r="AD324" i="2" s="1"/>
  <c r="J325" i="2"/>
  <c r="AD325" i="2" s="1"/>
  <c r="J326" i="2"/>
  <c r="AD326" i="2" s="1"/>
  <c r="J327" i="2"/>
  <c r="AD327" i="2" s="1"/>
  <c r="J328" i="2"/>
  <c r="AD328" i="2" s="1"/>
  <c r="J329" i="2"/>
  <c r="AD329" i="2" s="1"/>
  <c r="J330" i="2"/>
  <c r="AD330" i="2" s="1"/>
  <c r="J331" i="2"/>
  <c r="AD331" i="2" s="1"/>
  <c r="J332" i="2"/>
  <c r="AD332" i="2" s="1"/>
  <c r="J333" i="2"/>
  <c r="AD333" i="2" s="1"/>
  <c r="J334" i="2"/>
  <c r="AD334" i="2" s="1"/>
  <c r="J335" i="2"/>
  <c r="AD335" i="2" s="1"/>
  <c r="J336" i="2"/>
  <c r="AD336" i="2" s="1"/>
  <c r="J337" i="2"/>
  <c r="AD337" i="2" s="1"/>
  <c r="J338" i="2"/>
  <c r="AD338" i="2" s="1"/>
  <c r="J339" i="2"/>
  <c r="AD339" i="2" s="1"/>
  <c r="J340" i="2"/>
  <c r="AD340" i="2" s="1"/>
  <c r="J341" i="2"/>
  <c r="AD341" i="2" s="1"/>
  <c r="J342" i="2"/>
  <c r="AD342" i="2" s="1"/>
  <c r="J343" i="2"/>
  <c r="AD343" i="2" s="1"/>
  <c r="J344" i="2"/>
  <c r="AD344" i="2" s="1"/>
  <c r="J345" i="2"/>
  <c r="AD345" i="2" s="1"/>
  <c r="J346" i="2"/>
  <c r="AD346" i="2" s="1"/>
  <c r="J347" i="2"/>
  <c r="AD347" i="2" s="1"/>
  <c r="J348" i="2"/>
  <c r="AD348" i="2" s="1"/>
  <c r="J349" i="2"/>
  <c r="AD349" i="2" s="1"/>
  <c r="J350" i="2"/>
  <c r="AD350" i="2" s="1"/>
  <c r="J351" i="2"/>
  <c r="AD351" i="2" s="1"/>
  <c r="J352" i="2"/>
  <c r="AD352" i="2" s="1"/>
  <c r="J353" i="2"/>
  <c r="AD353" i="2" s="1"/>
  <c r="J354" i="2"/>
  <c r="AD354" i="2" s="1"/>
  <c r="J355" i="2"/>
  <c r="AD355" i="2" s="1"/>
  <c r="J356" i="2"/>
  <c r="AD356" i="2" s="1"/>
  <c r="J357" i="2"/>
  <c r="AD357" i="2" s="1"/>
  <c r="J358" i="2"/>
  <c r="AD358" i="2" s="1"/>
  <c r="J359" i="2"/>
  <c r="AD359" i="2" s="1"/>
  <c r="J360" i="2"/>
  <c r="AD360" i="2" s="1"/>
  <c r="J361" i="2"/>
  <c r="AD361" i="2" s="1"/>
  <c r="J362" i="2"/>
  <c r="AD362" i="2" s="1"/>
  <c r="J363" i="2"/>
  <c r="AD363" i="2" s="1"/>
  <c r="J364" i="2"/>
  <c r="AD364" i="2" s="1"/>
  <c r="J365" i="2"/>
  <c r="AD365" i="2" s="1"/>
  <c r="J366" i="2"/>
  <c r="AD366" i="2" s="1"/>
  <c r="J367" i="2"/>
  <c r="AD367" i="2" s="1"/>
  <c r="J368" i="2"/>
  <c r="AD368" i="2" s="1"/>
  <c r="J369" i="2"/>
  <c r="AD369" i="2" s="1"/>
  <c r="J370" i="2"/>
  <c r="AD370" i="2" s="1"/>
  <c r="J371" i="2"/>
  <c r="AD371" i="2" s="1"/>
  <c r="J372" i="2"/>
  <c r="AD372" i="2" s="1"/>
  <c r="J373" i="2"/>
  <c r="AD373" i="2" s="1"/>
  <c r="J374" i="2"/>
  <c r="AD374" i="2" s="1"/>
  <c r="J375" i="2"/>
  <c r="AD375" i="2" s="1"/>
  <c r="J376" i="2"/>
  <c r="AD376" i="2" s="1"/>
  <c r="J377" i="2"/>
  <c r="AD377" i="2" s="1"/>
  <c r="J378" i="2"/>
  <c r="AD378" i="2" s="1"/>
  <c r="J379" i="2"/>
  <c r="AD379" i="2" s="1"/>
  <c r="J380" i="2"/>
  <c r="AD380" i="2" s="1"/>
  <c r="J381" i="2"/>
  <c r="AD381" i="2" s="1"/>
  <c r="J382" i="2"/>
  <c r="AD382" i="2" s="1"/>
  <c r="J383" i="2"/>
  <c r="AD383" i="2" s="1"/>
  <c r="J384" i="2"/>
  <c r="AD384" i="2" s="1"/>
  <c r="J386" i="2"/>
  <c r="AD386" i="2" s="1"/>
  <c r="J387" i="2"/>
  <c r="AD387" i="2" s="1"/>
  <c r="J388" i="2"/>
  <c r="AD388" i="2" s="1"/>
  <c r="J389" i="2"/>
  <c r="AD389" i="2" s="1"/>
  <c r="J390" i="2"/>
  <c r="AD390" i="2" s="1"/>
  <c r="J391" i="2"/>
  <c r="AD391" i="2" s="1"/>
  <c r="J392" i="2"/>
  <c r="AD392" i="2" s="1"/>
  <c r="J393" i="2"/>
  <c r="AD393" i="2" s="1"/>
  <c r="J394" i="2"/>
  <c r="AD394" i="2" s="1"/>
  <c r="J395" i="2"/>
  <c r="AD395" i="2" s="1"/>
  <c r="J396" i="2"/>
  <c r="AD396" i="2" s="1"/>
  <c r="J397" i="2"/>
  <c r="AD397" i="2" s="1"/>
  <c r="J398" i="2"/>
  <c r="AD398" i="2" s="1"/>
  <c r="J399" i="2"/>
  <c r="AD399" i="2" s="1"/>
  <c r="J400" i="2"/>
  <c r="AD400" i="2" s="1"/>
  <c r="J401" i="2"/>
  <c r="AD401" i="2" s="1"/>
  <c r="J402" i="2"/>
  <c r="AD402" i="2" s="1"/>
  <c r="J403" i="2"/>
  <c r="AD403" i="2" s="1"/>
  <c r="J404" i="2"/>
  <c r="AD404" i="2" s="1"/>
  <c r="J405" i="2"/>
  <c r="AD405" i="2" s="1"/>
  <c r="J406" i="2"/>
  <c r="AD406" i="2" s="1"/>
  <c r="J407" i="2"/>
  <c r="AD407" i="2" s="1"/>
  <c r="J408" i="2"/>
  <c r="AD408" i="2" s="1"/>
  <c r="J409" i="2"/>
  <c r="AD409" i="2" s="1"/>
  <c r="J410" i="2"/>
  <c r="AD410" i="2" s="1"/>
  <c r="J411" i="2"/>
  <c r="AD411" i="2" s="1"/>
  <c r="J412" i="2"/>
  <c r="AD412" i="2" s="1"/>
  <c r="J413" i="2"/>
  <c r="AD413" i="2" s="1"/>
  <c r="J414" i="2"/>
  <c r="AD414" i="2" s="1"/>
  <c r="J415" i="2"/>
  <c r="AD415" i="2" s="1"/>
  <c r="J416" i="2"/>
  <c r="AD416" i="2" s="1"/>
  <c r="J417" i="2"/>
  <c r="AD417" i="2" s="1"/>
  <c r="J418" i="2"/>
  <c r="AD418" i="2" s="1"/>
  <c r="J419" i="2"/>
  <c r="AD419" i="2" s="1"/>
  <c r="J420" i="2"/>
  <c r="AD420" i="2" s="1"/>
  <c r="J421" i="2"/>
  <c r="AD421" i="2" s="1"/>
  <c r="J422" i="2"/>
  <c r="AD422" i="2" s="1"/>
  <c r="J423" i="2"/>
  <c r="AD423" i="2" s="1"/>
  <c r="J424" i="2"/>
  <c r="AD424" i="2" s="1"/>
  <c r="J425" i="2"/>
  <c r="AD425" i="2" s="1"/>
  <c r="J426" i="2"/>
  <c r="AD426" i="2" s="1"/>
  <c r="J427" i="2"/>
  <c r="AD427" i="2" s="1"/>
  <c r="J428" i="2"/>
  <c r="AD428" i="2" s="1"/>
  <c r="J429" i="2"/>
  <c r="AD429" i="2" s="1"/>
  <c r="J430" i="2"/>
  <c r="AD430" i="2" s="1"/>
  <c r="J431" i="2"/>
  <c r="AD431" i="2" s="1"/>
  <c r="J432" i="2"/>
  <c r="AD432" i="2" s="1"/>
  <c r="J433" i="2"/>
  <c r="AD433" i="2" s="1"/>
  <c r="J434" i="2"/>
  <c r="AD434" i="2" s="1"/>
  <c r="J435" i="2"/>
  <c r="AD435" i="2" s="1"/>
  <c r="J436" i="2"/>
  <c r="AD436" i="2" s="1"/>
  <c r="J437" i="2"/>
  <c r="AD437" i="2" s="1"/>
  <c r="J438" i="2"/>
  <c r="AD438" i="2" s="1"/>
  <c r="J439" i="2"/>
  <c r="AD439" i="2" s="1"/>
  <c r="J440" i="2"/>
  <c r="AD440" i="2" s="1"/>
  <c r="J441" i="2"/>
  <c r="AD441" i="2" s="1"/>
  <c r="J442" i="2"/>
  <c r="AD442" i="2" s="1"/>
  <c r="J443" i="2"/>
  <c r="AD443" i="2" s="1"/>
  <c r="J444" i="2"/>
  <c r="AD444" i="2" s="1"/>
  <c r="J445" i="2"/>
  <c r="AD445" i="2" s="1"/>
  <c r="J446" i="2"/>
  <c r="AD446" i="2" s="1"/>
  <c r="J447" i="2"/>
  <c r="AD447" i="2" s="1"/>
  <c r="J448" i="2"/>
  <c r="AD448" i="2" s="1"/>
  <c r="J449" i="2"/>
  <c r="AD449" i="2" s="1"/>
  <c r="J450" i="2"/>
  <c r="AD450" i="2" s="1"/>
  <c r="J451" i="2"/>
  <c r="AD451" i="2" s="1"/>
  <c r="J452" i="2"/>
  <c r="AD452" i="2" s="1"/>
  <c r="J453" i="2"/>
  <c r="AD453" i="2" s="1"/>
  <c r="J454" i="2"/>
  <c r="AD454" i="2" s="1"/>
  <c r="J455" i="2"/>
  <c r="AD455" i="2" s="1"/>
  <c r="J456" i="2"/>
  <c r="AD456" i="2" s="1"/>
  <c r="J457" i="2"/>
  <c r="AD457" i="2" s="1"/>
  <c r="J458" i="2"/>
  <c r="AD458" i="2" s="1"/>
  <c r="J459" i="2"/>
  <c r="AD459" i="2" s="1"/>
  <c r="J460" i="2"/>
  <c r="AD460" i="2" s="1"/>
  <c r="J461" i="2"/>
  <c r="AD461" i="2" s="1"/>
  <c r="J462" i="2"/>
  <c r="AD462" i="2" s="1"/>
  <c r="J463" i="2"/>
  <c r="AD463" i="2" s="1"/>
  <c r="J464" i="2"/>
  <c r="AD464" i="2" s="1"/>
  <c r="J465" i="2"/>
  <c r="AD465" i="2" s="1"/>
  <c r="J466" i="2"/>
  <c r="AD466" i="2" s="1"/>
  <c r="J467" i="2"/>
  <c r="AD467" i="2" s="1"/>
  <c r="J468" i="2"/>
  <c r="AD468" i="2" s="1"/>
  <c r="J469" i="2"/>
  <c r="AD469" i="2" s="1"/>
  <c r="J470" i="2"/>
  <c r="AD470" i="2" s="1"/>
  <c r="J471" i="2"/>
  <c r="AD471" i="2" s="1"/>
  <c r="J472" i="2"/>
  <c r="AD472" i="2" s="1"/>
  <c r="J473" i="2"/>
  <c r="AD473" i="2" s="1"/>
  <c r="J474" i="2"/>
  <c r="AD474" i="2" s="1"/>
  <c r="J475" i="2"/>
  <c r="AD475" i="2" s="1"/>
  <c r="J476" i="2"/>
  <c r="AD476" i="2" s="1"/>
  <c r="J477" i="2"/>
  <c r="AD477" i="2" s="1"/>
  <c r="J478" i="2"/>
  <c r="AD478" i="2" s="1"/>
  <c r="J479" i="2"/>
  <c r="AD479" i="2" s="1"/>
  <c r="J480" i="2"/>
  <c r="AD480" i="2" s="1"/>
  <c r="J481" i="2"/>
  <c r="AD481" i="2" s="1"/>
  <c r="J482" i="2"/>
  <c r="AD482" i="2" s="1"/>
  <c r="J483" i="2"/>
  <c r="AD483" i="2" s="1"/>
  <c r="J484" i="2"/>
  <c r="AD484" i="2" s="1"/>
  <c r="J486" i="2"/>
  <c r="AD486" i="2" s="1"/>
  <c r="J487" i="2"/>
  <c r="AD487" i="2" s="1"/>
  <c r="J488" i="2"/>
  <c r="AD488" i="2" s="1"/>
  <c r="J489" i="2"/>
  <c r="AD489" i="2" s="1"/>
  <c r="J490" i="2"/>
  <c r="AD490" i="2" s="1"/>
  <c r="J491" i="2"/>
  <c r="AD491" i="2" s="1"/>
  <c r="J492" i="2"/>
  <c r="AD492" i="2" s="1"/>
  <c r="J493" i="2"/>
  <c r="AD493" i="2" s="1"/>
  <c r="J494" i="2"/>
  <c r="AD494" i="2" s="1"/>
  <c r="J495" i="2"/>
  <c r="AD495" i="2" s="1"/>
  <c r="J496" i="2"/>
  <c r="AD496" i="2" s="1"/>
  <c r="J497" i="2"/>
  <c r="AD497" i="2" s="1"/>
  <c r="J498" i="2"/>
  <c r="AD498" i="2" s="1"/>
  <c r="J499" i="2"/>
  <c r="AD499" i="2" s="1"/>
  <c r="J500" i="2"/>
  <c r="AD500" i="2" s="1"/>
  <c r="J501" i="2"/>
  <c r="AD501" i="2" s="1"/>
  <c r="J502" i="2"/>
  <c r="AD502" i="2" s="1"/>
  <c r="J503" i="2"/>
  <c r="AD503" i="2" s="1"/>
  <c r="J504" i="2"/>
  <c r="AD504" i="2" s="1"/>
  <c r="J505" i="2"/>
  <c r="AD505" i="2" s="1"/>
  <c r="J506" i="2"/>
  <c r="AD506" i="2" s="1"/>
  <c r="J507" i="2"/>
  <c r="AD507" i="2" s="1"/>
  <c r="J508" i="2"/>
  <c r="AD508" i="2" s="1"/>
  <c r="J509" i="2"/>
  <c r="AD509" i="2" s="1"/>
  <c r="J510" i="2"/>
  <c r="AD510" i="2" s="1"/>
  <c r="J511" i="2"/>
  <c r="AD511" i="2" s="1"/>
  <c r="J512" i="2"/>
  <c r="AD512" i="2" s="1"/>
  <c r="J513" i="2"/>
  <c r="AD513" i="2" s="1"/>
  <c r="J514" i="2"/>
  <c r="AD514" i="2" s="1"/>
  <c r="J515" i="2"/>
  <c r="AD515" i="2" s="1"/>
  <c r="J516" i="2"/>
  <c r="AD516" i="2" s="1"/>
  <c r="J517" i="2"/>
  <c r="AD517" i="2" s="1"/>
  <c r="J518" i="2"/>
  <c r="AD518" i="2" s="1"/>
  <c r="J519" i="2"/>
  <c r="AD519" i="2" s="1"/>
  <c r="J520" i="2"/>
  <c r="AD520" i="2" s="1"/>
  <c r="J521" i="2"/>
  <c r="AD521" i="2" s="1"/>
  <c r="J522" i="2"/>
  <c r="AD522" i="2" s="1"/>
  <c r="J523" i="2"/>
  <c r="AD523" i="2" s="1"/>
  <c r="J524" i="2"/>
  <c r="AD524" i="2" s="1"/>
  <c r="J525" i="2"/>
  <c r="AD525" i="2" s="1"/>
  <c r="J526" i="2"/>
  <c r="AD526" i="2" s="1"/>
  <c r="J527" i="2"/>
  <c r="AD527" i="2" s="1"/>
  <c r="J528" i="2"/>
  <c r="AD528" i="2" s="1"/>
  <c r="J529" i="2"/>
  <c r="AD529" i="2" s="1"/>
  <c r="J530" i="2"/>
  <c r="AD530" i="2" s="1"/>
  <c r="J531" i="2"/>
  <c r="AD531" i="2" s="1"/>
  <c r="J532" i="2"/>
  <c r="AD532" i="2" s="1"/>
  <c r="J533" i="2"/>
  <c r="AD533" i="2" s="1"/>
  <c r="J534" i="2"/>
  <c r="AD534" i="2" s="1"/>
  <c r="J535" i="2"/>
  <c r="AD535" i="2" s="1"/>
  <c r="J536" i="2"/>
  <c r="AD536" i="2" s="1"/>
  <c r="J537" i="2"/>
  <c r="AD537" i="2" s="1"/>
  <c r="J538" i="2"/>
  <c r="AD538" i="2" s="1"/>
  <c r="J539" i="2"/>
  <c r="AD539" i="2" s="1"/>
  <c r="J540" i="2"/>
  <c r="AD540" i="2" s="1"/>
  <c r="J541" i="2"/>
  <c r="AD541" i="2" s="1"/>
  <c r="J542" i="2"/>
  <c r="AD542" i="2" s="1"/>
  <c r="J543" i="2"/>
  <c r="AD543" i="2" s="1"/>
  <c r="J544" i="2"/>
  <c r="AD544" i="2" s="1"/>
  <c r="J545" i="2"/>
  <c r="AD545" i="2" s="1"/>
  <c r="J546" i="2"/>
  <c r="AD546" i="2" s="1"/>
  <c r="J547" i="2"/>
  <c r="AD547" i="2" s="1"/>
  <c r="J548" i="2"/>
  <c r="AD548" i="2" s="1"/>
  <c r="J549" i="2"/>
  <c r="AD549" i="2" s="1"/>
  <c r="J550" i="2"/>
  <c r="AD550" i="2" s="1"/>
  <c r="J551" i="2"/>
  <c r="AD551" i="2" s="1"/>
  <c r="J552" i="2"/>
  <c r="AD552" i="2" s="1"/>
  <c r="J553" i="2"/>
  <c r="AD553" i="2" s="1"/>
  <c r="J554" i="2"/>
  <c r="AD554" i="2" s="1"/>
  <c r="J555" i="2"/>
  <c r="AD555" i="2" s="1"/>
  <c r="J556" i="2"/>
  <c r="AD556" i="2" s="1"/>
  <c r="J557" i="2"/>
  <c r="AD557" i="2" s="1"/>
  <c r="J558" i="2"/>
  <c r="AD558" i="2" s="1"/>
  <c r="J559" i="2"/>
  <c r="AD559" i="2" s="1"/>
  <c r="J560" i="2"/>
  <c r="AD560" i="2" s="1"/>
  <c r="J561" i="2"/>
  <c r="AD561" i="2" s="1"/>
  <c r="J562" i="2"/>
  <c r="AD562" i="2" s="1"/>
  <c r="J563" i="2"/>
  <c r="AD563" i="2" s="1"/>
  <c r="J564" i="2"/>
  <c r="AD564" i="2" s="1"/>
  <c r="J565" i="2"/>
  <c r="AD565" i="2" s="1"/>
  <c r="J566" i="2"/>
  <c r="AD566" i="2" s="1"/>
  <c r="J567" i="2"/>
  <c r="AD567" i="2" s="1"/>
  <c r="J568" i="2"/>
  <c r="AD568" i="2" s="1"/>
  <c r="J569" i="2"/>
  <c r="AD569" i="2" s="1"/>
  <c r="J570" i="2"/>
  <c r="AD570" i="2" s="1"/>
  <c r="J571" i="2"/>
  <c r="AD571" i="2" s="1"/>
  <c r="J572" i="2"/>
  <c r="AD572" i="2" s="1"/>
  <c r="J573" i="2"/>
  <c r="AD573" i="2" s="1"/>
  <c r="J574" i="2"/>
  <c r="AD574" i="2" s="1"/>
  <c r="J575" i="2"/>
  <c r="AD575" i="2" s="1"/>
  <c r="J576" i="2"/>
  <c r="AD576" i="2" s="1"/>
  <c r="J577" i="2"/>
  <c r="AD577" i="2" s="1"/>
  <c r="J578" i="2"/>
  <c r="AD578" i="2" s="1"/>
  <c r="J579" i="2"/>
  <c r="AD579" i="2" s="1"/>
  <c r="J580" i="2"/>
  <c r="AD580" i="2" s="1"/>
  <c r="J581" i="2"/>
  <c r="AD581" i="2" s="1"/>
  <c r="J582" i="2"/>
  <c r="AD582" i="2" s="1"/>
  <c r="J583" i="2"/>
  <c r="AD583" i="2" s="1"/>
  <c r="J584" i="2"/>
  <c r="AD584" i="2" s="1"/>
  <c r="J585" i="2"/>
  <c r="AD585" i="2" s="1"/>
  <c r="J586" i="2"/>
  <c r="AD586" i="2" s="1"/>
  <c r="J587" i="2"/>
  <c r="AD587" i="2" s="1"/>
  <c r="J588" i="2"/>
  <c r="AD588" i="2" s="1"/>
  <c r="J589" i="2"/>
  <c r="AD589" i="2" s="1"/>
  <c r="J590" i="2"/>
  <c r="AD590" i="2" s="1"/>
  <c r="J591" i="2"/>
  <c r="AD591" i="2" s="1"/>
  <c r="J592" i="2"/>
  <c r="AD592" i="2" s="1"/>
  <c r="J593" i="2"/>
  <c r="AD593" i="2" s="1"/>
  <c r="J594" i="2"/>
  <c r="AD594" i="2" s="1"/>
  <c r="J595" i="2"/>
  <c r="AD595" i="2" s="1"/>
  <c r="J596" i="2"/>
  <c r="AD596" i="2" s="1"/>
  <c r="J597" i="2"/>
  <c r="AD597" i="2" s="1"/>
  <c r="J598" i="2"/>
  <c r="AD598" i="2" s="1"/>
  <c r="J599" i="2"/>
  <c r="AD599" i="2" s="1"/>
  <c r="J600" i="2"/>
  <c r="AD600" i="2" s="1"/>
  <c r="J601" i="2"/>
  <c r="AD601" i="2" s="1"/>
  <c r="J602" i="2"/>
  <c r="AD602" i="2" s="1"/>
  <c r="J603" i="2"/>
  <c r="AD603" i="2" s="1"/>
  <c r="J604" i="2"/>
  <c r="AD604" i="2" s="1"/>
  <c r="J605" i="2"/>
  <c r="AD605" i="2" s="1"/>
  <c r="J606" i="2"/>
  <c r="AD606" i="2" s="1"/>
  <c r="J607" i="2"/>
  <c r="AD607" i="2" s="1"/>
  <c r="J608" i="2"/>
  <c r="AD608" i="2" s="1"/>
  <c r="J609" i="2"/>
  <c r="AD609" i="2" s="1"/>
  <c r="J610" i="2"/>
  <c r="AD610" i="2" s="1"/>
  <c r="J611" i="2"/>
  <c r="AD611" i="2" s="1"/>
  <c r="J612" i="2"/>
  <c r="AD612" i="2" s="1"/>
  <c r="J613" i="2"/>
  <c r="AD613" i="2" s="1"/>
  <c r="J614" i="2"/>
  <c r="AD614" i="2" s="1"/>
  <c r="J615" i="2"/>
  <c r="AD615" i="2" s="1"/>
  <c r="J616" i="2"/>
  <c r="AD616" i="2" s="1"/>
  <c r="J617" i="2"/>
  <c r="AD617" i="2" s="1"/>
  <c r="J618" i="2"/>
  <c r="AD618" i="2" s="1"/>
  <c r="J619" i="2"/>
  <c r="AD619" i="2" s="1"/>
  <c r="J620" i="2"/>
  <c r="AD620" i="2" s="1"/>
  <c r="J621" i="2"/>
  <c r="AD621" i="2" s="1"/>
  <c r="J622" i="2"/>
  <c r="AD622" i="2" s="1"/>
  <c r="J623" i="2"/>
  <c r="AD623" i="2" s="1"/>
  <c r="J624" i="2"/>
  <c r="AD624" i="2" s="1"/>
  <c r="J625" i="2"/>
  <c r="AD625" i="2" s="1"/>
  <c r="J626" i="2"/>
  <c r="AD626" i="2" s="1"/>
  <c r="J627" i="2"/>
  <c r="AD627" i="2" s="1"/>
  <c r="J628" i="2"/>
  <c r="AD628" i="2" s="1"/>
  <c r="J629" i="2"/>
  <c r="AD629" i="2" s="1"/>
  <c r="J630" i="2"/>
  <c r="AD630" i="2" s="1"/>
  <c r="J631" i="2"/>
  <c r="AD631" i="2" s="1"/>
  <c r="J632" i="2"/>
  <c r="AD632" i="2" s="1"/>
  <c r="J633" i="2"/>
  <c r="AD633" i="2" s="1"/>
  <c r="J634" i="2"/>
  <c r="AD634" i="2" s="1"/>
  <c r="J635" i="2"/>
  <c r="AD635" i="2" s="1"/>
  <c r="J636" i="2"/>
  <c r="AD636" i="2" s="1"/>
  <c r="J637" i="2"/>
  <c r="AD637" i="2" s="1"/>
  <c r="J638" i="2"/>
  <c r="AD638" i="2" s="1"/>
  <c r="J639" i="2"/>
  <c r="AD639" i="2" s="1"/>
  <c r="J640" i="2"/>
  <c r="AD640" i="2" s="1"/>
  <c r="J641" i="2"/>
  <c r="AD641" i="2" s="1"/>
  <c r="J642" i="2"/>
  <c r="AD642" i="2" s="1"/>
  <c r="J643" i="2"/>
  <c r="AD643" i="2" s="1"/>
  <c r="J644" i="2"/>
  <c r="AD644" i="2" s="1"/>
  <c r="J645" i="2"/>
  <c r="AD645" i="2" s="1"/>
  <c r="J646" i="2"/>
  <c r="AD646" i="2" s="1"/>
  <c r="J647" i="2"/>
  <c r="AD647" i="2" s="1"/>
  <c r="J648" i="2"/>
  <c r="AD648" i="2" s="1"/>
  <c r="J649" i="2"/>
  <c r="AD649" i="2" s="1"/>
  <c r="J650" i="2"/>
  <c r="AD650" i="2" s="1"/>
  <c r="J651" i="2"/>
  <c r="AD651" i="2" s="1"/>
  <c r="J652" i="2"/>
  <c r="AD652" i="2" s="1"/>
  <c r="J653" i="2"/>
  <c r="AD653" i="2" s="1"/>
  <c r="J654" i="2"/>
  <c r="AD654" i="2" s="1"/>
  <c r="J13" i="2"/>
  <c r="AD13" i="2" s="1"/>
  <c r="J14" i="2"/>
  <c r="AD14" i="2" s="1"/>
  <c r="J15" i="2"/>
  <c r="AD15" i="2" s="1"/>
  <c r="J16" i="2"/>
  <c r="AD16" i="2" s="1"/>
  <c r="J17" i="2"/>
  <c r="AD17" i="2" s="1"/>
  <c r="J18" i="2"/>
  <c r="AD18" i="2" s="1"/>
  <c r="J19" i="2"/>
  <c r="AD19" i="2" s="1"/>
  <c r="J20" i="2"/>
  <c r="AD20" i="2" s="1"/>
  <c r="J21" i="2"/>
  <c r="AD21" i="2" s="1"/>
  <c r="J22" i="2"/>
  <c r="AD22" i="2" s="1"/>
  <c r="J23" i="2"/>
  <c r="AD23" i="2" s="1"/>
  <c r="J24" i="2"/>
  <c r="AD24" i="2" s="1"/>
  <c r="J25" i="2"/>
  <c r="AD25" i="2" s="1"/>
  <c r="J26" i="2"/>
  <c r="AD26" i="2" s="1"/>
  <c r="J27" i="2"/>
  <c r="AD27" i="2" s="1"/>
  <c r="J28" i="2"/>
  <c r="AD28" i="2" s="1"/>
  <c r="J29" i="2"/>
  <c r="AD29" i="2" s="1"/>
  <c r="J30" i="2"/>
  <c r="AD30" i="2" s="1"/>
  <c r="J12" i="2"/>
  <c r="AD12" i="2" s="1"/>
  <c r="AK258" i="2" l="1"/>
  <c r="AK257" i="2"/>
  <c r="AF169" i="2"/>
  <c r="AF139" i="2"/>
  <c r="AF106" i="2"/>
  <c r="X258" i="2" l="1"/>
  <c r="X257" i="2"/>
  <c r="X106" i="2"/>
  <c r="X139" i="2"/>
  <c r="X466" i="2"/>
  <c r="X387" i="2"/>
  <c r="X35" i="2"/>
  <c r="X169" i="2"/>
  <c r="X34" i="2"/>
  <c r="X30" i="2"/>
  <c r="X32" i="2"/>
  <c r="R258" i="2" l="1"/>
  <c r="Y258" i="2"/>
  <c r="R35" i="2"/>
  <c r="Y35" i="2"/>
  <c r="R34" i="2"/>
  <c r="Y34" i="2"/>
  <c r="R387" i="2"/>
  <c r="Y387" i="2"/>
  <c r="S387" i="2" s="1"/>
  <c r="R466" i="2"/>
  <c r="Y466" i="2"/>
  <c r="R169" i="2"/>
  <c r="Y169" i="2"/>
  <c r="R139" i="2"/>
  <c r="Y139" i="2"/>
  <c r="R32" i="2"/>
  <c r="Y32" i="2"/>
  <c r="S32" i="2" s="1"/>
  <c r="R106" i="2"/>
  <c r="Y106" i="2"/>
  <c r="R30" i="2"/>
  <c r="Y30" i="2"/>
  <c r="R257" i="2"/>
  <c r="Y257" i="2"/>
  <c r="S257" i="2" s="1"/>
  <c r="Z35" i="2"/>
  <c r="AA35" i="2"/>
  <c r="Z387" i="2"/>
  <c r="AA387" i="2"/>
  <c r="Z169" i="2"/>
  <c r="AA169" i="2"/>
  <c r="Z466" i="2"/>
  <c r="AA466" i="2"/>
  <c r="Z32" i="2"/>
  <c r="AA32" i="2"/>
  <c r="Z139" i="2"/>
  <c r="AA139" i="2"/>
  <c r="AA106" i="2"/>
  <c r="Z106" i="2"/>
  <c r="Z30" i="2"/>
  <c r="AA30" i="2"/>
  <c r="AA34" i="2"/>
  <c r="Z34" i="2"/>
  <c r="Z257" i="2"/>
  <c r="AA257" i="2"/>
  <c r="Z258" i="2"/>
  <c r="AA258" i="2"/>
  <c r="S35" i="2"/>
  <c r="S34" i="2"/>
  <c r="S466" i="2"/>
  <c r="S106" i="2"/>
  <c r="S30" i="2"/>
  <c r="S258" i="2"/>
  <c r="S139" i="2"/>
  <c r="S169" i="2"/>
  <c r="AL182" i="2"/>
  <c r="AF182" i="2"/>
  <c r="B2" i="80"/>
  <c r="U30" i="2" l="1"/>
  <c r="W30" i="2"/>
  <c r="U466" i="2"/>
  <c r="W466" i="2"/>
  <c r="T30" i="2"/>
  <c r="V30" i="2"/>
  <c r="T466" i="2"/>
  <c r="V466" i="2"/>
  <c r="T258" i="2"/>
  <c r="V258" i="2"/>
  <c r="U106" i="2"/>
  <c r="W106" i="2"/>
  <c r="T169" i="2"/>
  <c r="V169" i="2"/>
  <c r="T106" i="2"/>
  <c r="V106" i="2"/>
  <c r="U257" i="2"/>
  <c r="W257" i="2"/>
  <c r="U139" i="2"/>
  <c r="W139" i="2"/>
  <c r="U387" i="2"/>
  <c r="W387" i="2"/>
  <c r="U258" i="2"/>
  <c r="W258" i="2"/>
  <c r="U169" i="2"/>
  <c r="W169" i="2"/>
  <c r="T257" i="2"/>
  <c r="V257" i="2"/>
  <c r="T139" i="2"/>
  <c r="V139" i="2"/>
  <c r="T387" i="2"/>
  <c r="V387" i="2"/>
  <c r="T34" i="2"/>
  <c r="V34" i="2"/>
  <c r="U32" i="2"/>
  <c r="W32" i="2"/>
  <c r="U35" i="2"/>
  <c r="W35" i="2"/>
  <c r="U34" i="2"/>
  <c r="W34" i="2"/>
  <c r="T32" i="2"/>
  <c r="V32" i="2"/>
  <c r="T35" i="2"/>
  <c r="V35" i="2"/>
  <c r="X529" i="2"/>
  <c r="X182" i="2"/>
  <c r="R182" i="2" l="1"/>
  <c r="Y182" i="2"/>
  <c r="R529" i="2"/>
  <c r="Y529" i="2"/>
  <c r="S529" i="2" s="1"/>
  <c r="Z182" i="2"/>
  <c r="AA182" i="2"/>
  <c r="Z529" i="2"/>
  <c r="AA529" i="2"/>
  <c r="S182" i="2"/>
  <c r="U529" i="2" l="1"/>
  <c r="W529" i="2"/>
  <c r="T529" i="2"/>
  <c r="V529" i="2"/>
  <c r="U182" i="2"/>
  <c r="W182" i="2"/>
  <c r="T182" i="2"/>
  <c r="V182" i="2"/>
  <c r="B8" i="79"/>
  <c r="A8" i="79"/>
  <c r="B7" i="79"/>
  <c r="A7" i="79"/>
  <c r="B6" i="79"/>
  <c r="A6" i="79"/>
  <c r="B5" i="79"/>
  <c r="A5" i="79"/>
  <c r="B4" i="79"/>
  <c r="A4" i="79"/>
  <c r="B3" i="79"/>
  <c r="A3" i="79"/>
  <c r="B8" i="78"/>
  <c r="A8" i="78"/>
  <c r="B7" i="78"/>
  <c r="A7" i="78"/>
  <c r="B6" i="78"/>
  <c r="A6" i="78"/>
  <c r="B5" i="78"/>
  <c r="A5" i="78"/>
  <c r="B4" i="78"/>
  <c r="A4" i="78"/>
  <c r="B3" i="78"/>
  <c r="A3" i="78"/>
  <c r="B8" i="77"/>
  <c r="B7" i="77"/>
  <c r="B6" i="77"/>
  <c r="B5" i="77"/>
  <c r="B3" i="77"/>
  <c r="A8" i="77"/>
  <c r="A7" i="77"/>
  <c r="A6" i="77"/>
  <c r="A5" i="77"/>
  <c r="A4" i="77"/>
  <c r="A3" i="77"/>
  <c r="O39" i="79"/>
  <c r="N39" i="79"/>
  <c r="M39" i="79"/>
  <c r="L39" i="79"/>
  <c r="K39" i="79"/>
  <c r="J39" i="79"/>
  <c r="G39" i="79"/>
  <c r="F39" i="79"/>
  <c r="E39" i="79"/>
  <c r="D39" i="79"/>
  <c r="C39" i="79"/>
  <c r="B39" i="79"/>
  <c r="O38" i="79"/>
  <c r="N38" i="79"/>
  <c r="M38" i="79"/>
  <c r="L38" i="79"/>
  <c r="K38" i="79"/>
  <c r="J38" i="79"/>
  <c r="G38" i="79"/>
  <c r="F38" i="79"/>
  <c r="E38" i="79"/>
  <c r="D38" i="79"/>
  <c r="C38" i="79"/>
  <c r="B38" i="79"/>
  <c r="O37" i="79"/>
  <c r="N37" i="79"/>
  <c r="M37" i="79"/>
  <c r="L37" i="79"/>
  <c r="K37" i="79"/>
  <c r="J37" i="79"/>
  <c r="G37" i="79"/>
  <c r="F37" i="79"/>
  <c r="E37" i="79"/>
  <c r="D37" i="79"/>
  <c r="C37" i="79"/>
  <c r="B37" i="79"/>
  <c r="O36" i="79"/>
  <c r="N36" i="79"/>
  <c r="M36" i="79"/>
  <c r="L36" i="79"/>
  <c r="K36" i="79"/>
  <c r="J36" i="79"/>
  <c r="G36" i="79"/>
  <c r="F36" i="79"/>
  <c r="E36" i="79"/>
  <c r="D36" i="79"/>
  <c r="C36" i="79"/>
  <c r="B36" i="79"/>
  <c r="O35" i="79"/>
  <c r="N35" i="79"/>
  <c r="M35" i="79"/>
  <c r="L35" i="79"/>
  <c r="K35" i="79"/>
  <c r="J35" i="79"/>
  <c r="G35" i="79"/>
  <c r="F35" i="79"/>
  <c r="E35" i="79"/>
  <c r="D35" i="79"/>
  <c r="C35" i="79"/>
  <c r="B35" i="79"/>
  <c r="O34" i="79"/>
  <c r="N34" i="79"/>
  <c r="M34" i="79"/>
  <c r="L34" i="79"/>
  <c r="K34" i="79"/>
  <c r="J34" i="79"/>
  <c r="G34" i="79"/>
  <c r="F34" i="79"/>
  <c r="E34" i="79"/>
  <c r="D34" i="79"/>
  <c r="C34" i="79"/>
  <c r="B34" i="79"/>
  <c r="O33" i="79"/>
  <c r="N33" i="79"/>
  <c r="M33" i="79"/>
  <c r="L33" i="79"/>
  <c r="K33" i="79"/>
  <c r="J33" i="79"/>
  <c r="G33" i="79"/>
  <c r="F33" i="79"/>
  <c r="E33" i="79"/>
  <c r="D33" i="79"/>
  <c r="C33" i="79"/>
  <c r="B33" i="79"/>
  <c r="B40" i="79" s="1"/>
  <c r="O29" i="79"/>
  <c r="N29" i="79"/>
  <c r="M29" i="79"/>
  <c r="L29" i="79"/>
  <c r="K29" i="79"/>
  <c r="J29" i="79"/>
  <c r="G29" i="79"/>
  <c r="F29" i="79"/>
  <c r="E29" i="79"/>
  <c r="D29" i="79"/>
  <c r="C29" i="79"/>
  <c r="B29" i="79"/>
  <c r="B52" i="77"/>
  <c r="B41" i="77"/>
  <c r="B47" i="77" s="1"/>
  <c r="C16" i="77"/>
  <c r="B4" i="77"/>
  <c r="G40" i="79" l="1"/>
  <c r="E40" i="79"/>
  <c r="J40" i="79"/>
  <c r="L40" i="79"/>
  <c r="C40" i="79"/>
  <c r="K40" i="79"/>
  <c r="M40" i="79"/>
  <c r="O40" i="79"/>
  <c r="N40" i="79"/>
  <c r="D40" i="79"/>
  <c r="F40" i="79"/>
  <c r="B49" i="77"/>
  <c r="B51" i="77"/>
  <c r="B50" i="77"/>
  <c r="G41" i="79" l="1"/>
  <c r="H15" i="78" s="1"/>
  <c r="O41" i="79"/>
  <c r="B53" i="77"/>
  <c r="E15" i="78" l="1"/>
  <c r="E18" i="78" s="1"/>
  <c r="H18" i="78"/>
  <c r="H17" i="78"/>
  <c r="E17" i="78" l="1"/>
  <c r="E19" i="78" s="1"/>
  <c r="E21" i="78" s="1"/>
  <c r="C29" i="77" s="1"/>
  <c r="C31" i="77" s="1"/>
  <c r="C34" i="77" s="1"/>
  <c r="C21" i="77" s="1"/>
  <c r="C24" i="77" s="1"/>
  <c r="E22" i="78" s="1"/>
  <c r="E23" i="78" s="1"/>
  <c r="E25" i="78" s="1"/>
  <c r="E26" i="78" s="1"/>
  <c r="H19" i="78"/>
  <c r="H21" i="78" s="1"/>
  <c r="E31" i="78" l="1"/>
  <c r="E42" i="78" s="1"/>
  <c r="H22" i="78"/>
  <c r="H23" i="78" s="1"/>
  <c r="H25" i="78" s="1"/>
  <c r="H26" i="78" s="1"/>
  <c r="H31" i="78" l="1"/>
  <c r="H42" i="78" s="1"/>
  <c r="H46" i="78" l="1"/>
  <c r="G15" i="38" l="1"/>
  <c r="G20" i="38"/>
  <c r="E50" i="78"/>
  <c r="G19" i="38" s="1"/>
  <c r="G24" i="38"/>
  <c r="G23" i="38"/>
  <c r="I42" i="78"/>
  <c r="G17" i="38"/>
  <c r="I44" i="78"/>
  <c r="F40" i="78"/>
  <c r="I37" i="78"/>
  <c r="F38" i="78"/>
  <c r="I35" i="78"/>
  <c r="F37" i="78"/>
  <c r="I34" i="78"/>
  <c r="I40" i="78"/>
  <c r="F35" i="78"/>
  <c r="I41" i="78"/>
  <c r="F36" i="78"/>
  <c r="I33" i="78"/>
  <c r="I39" i="78"/>
  <c r="F34" i="78"/>
  <c r="F41" i="78"/>
  <c r="I38" i="78"/>
  <c r="F33" i="78"/>
  <c r="F39" i="78"/>
  <c r="I36" i="78"/>
  <c r="F19" i="78"/>
  <c r="F23" i="78"/>
  <c r="F26" i="78"/>
  <c r="F31" i="78"/>
  <c r="F42" i="78"/>
  <c r="F44" i="78"/>
  <c r="I19" i="78"/>
  <c r="I23" i="78"/>
  <c r="I26" i="78"/>
  <c r="I31" i="78"/>
  <c r="G14" i="84" l="1"/>
  <c r="G15" i="84"/>
  <c r="G13" i="84"/>
  <c r="I46" i="78"/>
  <c r="F46" i="78"/>
  <c r="K38" i="44" l="1"/>
  <c r="D78" i="73" l="1"/>
  <c r="B12" i="73" s="1"/>
  <c r="B70" i="73"/>
  <c r="C70" i="73"/>
  <c r="B71" i="73"/>
  <c r="C71" i="73"/>
  <c r="B72" i="73"/>
  <c r="C72" i="73"/>
  <c r="B73" i="73"/>
  <c r="C73" i="73"/>
  <c r="B74" i="73"/>
  <c r="C74" i="73"/>
  <c r="B75" i="73"/>
  <c r="C75" i="73"/>
  <c r="B76" i="73"/>
  <c r="C76" i="73"/>
  <c r="C58" i="73"/>
  <c r="B40" i="73"/>
  <c r="C40" i="73"/>
  <c r="B41" i="73"/>
  <c r="C41" i="73"/>
  <c r="B42" i="73"/>
  <c r="C42" i="73"/>
  <c r="B43" i="73"/>
  <c r="C43" i="73"/>
  <c r="B44" i="73"/>
  <c r="C44" i="73"/>
  <c r="B45" i="73"/>
  <c r="C45" i="73"/>
  <c r="B46" i="73"/>
  <c r="C46" i="73"/>
  <c r="B47" i="73"/>
  <c r="C47" i="73"/>
  <c r="B48" i="73"/>
  <c r="C48" i="73"/>
  <c r="B49" i="73"/>
  <c r="C49" i="73"/>
  <c r="B50" i="73"/>
  <c r="C50" i="73"/>
  <c r="B51" i="73"/>
  <c r="C51" i="73"/>
  <c r="B52" i="73"/>
  <c r="C52" i="73"/>
  <c r="B53" i="73"/>
  <c r="C53" i="73"/>
  <c r="B54" i="73"/>
  <c r="C54" i="73"/>
  <c r="B55" i="73"/>
  <c r="C55" i="73"/>
  <c r="B56" i="73"/>
  <c r="C56" i="73"/>
  <c r="B57" i="73"/>
  <c r="C57" i="73"/>
  <c r="B69" i="73"/>
  <c r="C69" i="73"/>
  <c r="B68" i="73"/>
  <c r="C68" i="73"/>
  <c r="B67" i="73"/>
  <c r="C67" i="73"/>
  <c r="B66" i="73"/>
  <c r="C66" i="73"/>
  <c r="B65" i="73"/>
  <c r="C65" i="73"/>
  <c r="B64" i="73"/>
  <c r="C64" i="73"/>
  <c r="B63" i="73"/>
  <c r="C63" i="73"/>
  <c r="B62" i="73"/>
  <c r="C62" i="73"/>
  <c r="B61" i="73"/>
  <c r="C61" i="73"/>
  <c r="B60" i="73"/>
  <c r="C60" i="73"/>
  <c r="B59" i="73"/>
  <c r="C59" i="73"/>
  <c r="C39" i="73"/>
  <c r="B39" i="73"/>
  <c r="B13" i="73" l="1"/>
  <c r="L45" i="44"/>
  <c r="L44" i="44"/>
  <c r="L43" i="44"/>
  <c r="L42" i="44"/>
  <c r="L41" i="44"/>
  <c r="L40" i="44"/>
  <c r="L39" i="44"/>
  <c r="L38" i="44"/>
  <c r="M38" i="44" s="1"/>
  <c r="K45" i="44"/>
  <c r="K44" i="44"/>
  <c r="K43" i="44"/>
  <c r="K42" i="44"/>
  <c r="K41" i="44"/>
  <c r="K40" i="44"/>
  <c r="K39" i="44"/>
  <c r="B38" i="44"/>
  <c r="B39" i="44"/>
  <c r="B40" i="44"/>
  <c r="B41" i="44"/>
  <c r="B42" i="44"/>
  <c r="B43" i="44"/>
  <c r="B44" i="44"/>
  <c r="B45" i="44"/>
  <c r="B23" i="44"/>
  <c r="B24" i="44"/>
  <c r="B25" i="44"/>
  <c r="B26" i="44"/>
  <c r="B27" i="44"/>
  <c r="B28" i="44"/>
  <c r="B29" i="44"/>
  <c r="B30" i="44"/>
  <c r="B31" i="44"/>
  <c r="B32" i="44"/>
  <c r="B33" i="44"/>
  <c r="B34" i="44"/>
  <c r="B35" i="44"/>
  <c r="B36" i="44"/>
  <c r="B37" i="44"/>
  <c r="B17" i="44"/>
  <c r="B18" i="44"/>
  <c r="B19" i="44"/>
  <c r="B20" i="44"/>
  <c r="B21" i="44"/>
  <c r="B22" i="44"/>
  <c r="B16" i="44"/>
  <c r="C38" i="44"/>
  <c r="C39" i="44"/>
  <c r="C40" i="44"/>
  <c r="C41" i="44"/>
  <c r="C42" i="44"/>
  <c r="C43" i="44"/>
  <c r="C44" i="44"/>
  <c r="C45" i="44"/>
  <c r="L37" i="44"/>
  <c r="M37" i="44" s="1"/>
  <c r="L34" i="83" s="1"/>
  <c r="C37" i="44"/>
  <c r="B14" i="73" l="1"/>
  <c r="M39" i="44"/>
  <c r="L66" i="83" s="1"/>
  <c r="M40" i="44"/>
  <c r="L68" i="83" s="1"/>
  <c r="M41" i="44"/>
  <c r="L69" i="83" s="1"/>
  <c r="M43" i="44"/>
  <c r="L70" i="83" s="1"/>
  <c r="M44" i="44"/>
  <c r="M45" i="44"/>
  <c r="M42" i="44"/>
  <c r="L14" i="83" s="1"/>
  <c r="B15" i="73" l="1"/>
  <c r="L71" i="83"/>
  <c r="C36" i="44"/>
  <c r="C35" i="44"/>
  <c r="C34" i="44"/>
  <c r="C33" i="44"/>
  <c r="C32" i="44"/>
  <c r="C31" i="44"/>
  <c r="C30" i="44"/>
  <c r="C29" i="44"/>
  <c r="C28" i="44"/>
  <c r="C27" i="44"/>
  <c r="C26" i="44"/>
  <c r="C25" i="44"/>
  <c r="C24" i="44"/>
  <c r="C23" i="44"/>
  <c r="C22" i="44"/>
  <c r="C21" i="44"/>
  <c r="C20" i="44"/>
  <c r="C19" i="44"/>
  <c r="C18" i="44"/>
  <c r="C17" i="44"/>
  <c r="C16" i="44"/>
  <c r="AM335" i="2"/>
  <c r="AM334" i="2"/>
  <c r="AM332" i="2"/>
  <c r="AN331" i="2"/>
  <c r="AN330" i="2"/>
  <c r="AN329" i="2"/>
  <c r="AM323" i="2"/>
  <c r="AM322" i="2"/>
  <c r="AN321" i="2"/>
  <c r="AL320" i="2"/>
  <c r="AM319" i="2"/>
  <c r="AN317" i="2"/>
  <c r="AN316" i="2"/>
  <c r="AM315" i="2"/>
  <c r="AN314" i="2"/>
  <c r="AN313" i="2"/>
  <c r="AN312" i="2"/>
  <c r="AN311" i="2"/>
  <c r="AN310" i="2"/>
  <c r="AN309" i="2"/>
  <c r="AN308" i="2"/>
  <c r="AN307" i="2"/>
  <c r="AM306" i="2"/>
  <c r="AM305" i="2"/>
  <c r="AM303" i="2"/>
  <c r="AN302" i="2"/>
  <c r="AN301" i="2"/>
  <c r="AN300" i="2"/>
  <c r="AM299" i="2"/>
  <c r="AM298" i="2"/>
  <c r="AM297" i="2"/>
  <c r="AM296" i="2"/>
  <c r="AM295" i="2"/>
  <c r="AN294" i="2"/>
  <c r="AN293" i="2"/>
  <c r="AM291" i="2"/>
  <c r="AN290" i="2"/>
  <c r="AN289" i="2"/>
  <c r="AM288" i="2"/>
  <c r="AM287" i="2"/>
  <c r="AM286" i="2"/>
  <c r="AM284" i="2"/>
  <c r="AM283" i="2"/>
  <c r="AN282" i="2"/>
  <c r="AN281" i="2"/>
  <c r="AN280" i="2"/>
  <c r="AM279" i="2"/>
  <c r="AM278" i="2"/>
  <c r="AN277" i="2"/>
  <c r="AN276" i="2"/>
  <c r="AM271" i="2"/>
  <c r="AN270" i="2"/>
  <c r="AN269" i="2"/>
  <c r="AM268" i="2"/>
  <c r="AM267" i="2"/>
  <c r="AK266" i="2"/>
  <c r="AL264" i="2"/>
  <c r="AK259" i="2"/>
  <c r="AN256" i="2"/>
  <c r="AN255" i="2"/>
  <c r="AN254" i="2"/>
  <c r="AL253" i="2"/>
  <c r="AN252" i="2"/>
  <c r="AL251" i="2"/>
  <c r="AN250" i="2"/>
  <c r="AF250" i="2"/>
  <c r="AN247" i="2"/>
  <c r="AN246" i="2"/>
  <c r="AN245" i="2"/>
  <c r="AM243" i="2"/>
  <c r="AM242" i="2"/>
  <c r="AK237" i="2"/>
  <c r="AK232" i="2"/>
  <c r="AL231" i="2"/>
  <c r="AL230" i="2"/>
  <c r="AJ230" i="2"/>
  <c r="AM228" i="2"/>
  <c r="AM227" i="2"/>
  <c r="AF227" i="2"/>
  <c r="AM226" i="2"/>
  <c r="AF226" i="2"/>
  <c r="AI223" i="2"/>
  <c r="AL216" i="2"/>
  <c r="AL215" i="2"/>
  <c r="AN212" i="2"/>
  <c r="AN211" i="2"/>
  <c r="AN210" i="2"/>
  <c r="AM209" i="2"/>
  <c r="AM208" i="2"/>
  <c r="AK203" i="2"/>
  <c r="AN200" i="2"/>
  <c r="AN199" i="2"/>
  <c r="AN198" i="2"/>
  <c r="AN197" i="2"/>
  <c r="AN196" i="2"/>
  <c r="AM195" i="2"/>
  <c r="AM194" i="2"/>
  <c r="AK189" i="2"/>
  <c r="AK188" i="2"/>
  <c r="AM187" i="2"/>
  <c r="AN186" i="2"/>
  <c r="AN185" i="2"/>
  <c r="AM184" i="2"/>
  <c r="AK177" i="2"/>
  <c r="AK176" i="2"/>
  <c r="AM173" i="2"/>
  <c r="AJ173" i="2"/>
  <c r="AI173" i="2"/>
  <c r="AL168" i="2"/>
  <c r="AF168" i="2"/>
  <c r="AL167" i="2"/>
  <c r="AF167" i="2"/>
  <c r="AL166" i="2"/>
  <c r="AF166" i="2"/>
  <c r="AL165" i="2"/>
  <c r="AF165" i="2"/>
  <c r="AL164" i="2"/>
  <c r="AH164" i="2"/>
  <c r="AM160" i="2"/>
  <c r="AJ160" i="2"/>
  <c r="AI160" i="2"/>
  <c r="AM158" i="2"/>
  <c r="AJ158" i="2"/>
  <c r="AI158" i="2"/>
  <c r="AM157" i="2"/>
  <c r="AJ157" i="2"/>
  <c r="AI157" i="2"/>
  <c r="AM152" i="2"/>
  <c r="AJ152" i="2"/>
  <c r="AI152" i="2"/>
  <c r="AL150" i="2"/>
  <c r="AJ150" i="2"/>
  <c r="AI150" i="2"/>
  <c r="AM149" i="2"/>
  <c r="AJ149" i="2"/>
  <c r="AI149" i="2"/>
  <c r="AG123" i="2"/>
  <c r="AG121" i="2"/>
  <c r="AG120" i="2"/>
  <c r="AG118" i="2"/>
  <c r="AM117" i="2"/>
  <c r="AG117" i="2"/>
  <c r="AG116" i="2"/>
  <c r="AM109" i="2"/>
  <c r="AJ109" i="2"/>
  <c r="AI109" i="2"/>
  <c r="AF109" i="2"/>
  <c r="AF105" i="2"/>
  <c r="AF104" i="2"/>
  <c r="AF103" i="2"/>
  <c r="AJ98" i="2"/>
  <c r="AJ90" i="2"/>
  <c r="AF90" i="2" s="1"/>
  <c r="AI90" i="2"/>
  <c r="AI85" i="2"/>
  <c r="AF85" i="2"/>
  <c r="AG57" i="2"/>
  <c r="AM55" i="2"/>
  <c r="AG55" i="2"/>
  <c r="AG54" i="2"/>
  <c r="E47" i="73" l="1"/>
  <c r="L36" i="44" l="1"/>
  <c r="M36" i="44" s="1"/>
  <c r="L33" i="83" s="1"/>
  <c r="L35" i="44"/>
  <c r="M35" i="44" s="1"/>
  <c r="L32" i="83" s="1"/>
  <c r="L34" i="44"/>
  <c r="M34" i="44" s="1"/>
  <c r="L31" i="83" s="1"/>
  <c r="L33" i="44"/>
  <c r="M33" i="44" s="1"/>
  <c r="L30" i="83" s="1"/>
  <c r="L32" i="44"/>
  <c r="M32" i="44" s="1"/>
  <c r="L29" i="83" s="1"/>
  <c r="L31" i="44"/>
  <c r="M31" i="44" s="1"/>
  <c r="L28" i="83" s="1"/>
  <c r="L30" i="44"/>
  <c r="M30" i="44" s="1"/>
  <c r="L27" i="83" s="1"/>
  <c r="L29" i="44"/>
  <c r="M29" i="44" s="1"/>
  <c r="L26" i="83" s="1"/>
  <c r="L28" i="44"/>
  <c r="M28" i="44" s="1"/>
  <c r="L25" i="83" s="1"/>
  <c r="L27" i="44"/>
  <c r="M27" i="44" s="1"/>
  <c r="L24" i="83" s="1"/>
  <c r="L26" i="44"/>
  <c r="M26" i="44" s="1"/>
  <c r="L23" i="83" s="1"/>
  <c r="L25" i="44"/>
  <c r="M25" i="44" s="1"/>
  <c r="L21" i="83" s="1"/>
  <c r="L24" i="44"/>
  <c r="M24" i="44" s="1"/>
  <c r="L20" i="83" s="1"/>
  <c r="L23" i="44"/>
  <c r="M23" i="44" s="1"/>
  <c r="L18" i="83" s="1"/>
  <c r="L22" i="44"/>
  <c r="M22" i="44" s="1"/>
  <c r="L17" i="83" s="1"/>
  <c r="L21" i="44"/>
  <c r="M21" i="44" s="1"/>
  <c r="L16" i="83" s="1"/>
  <c r="L20" i="44"/>
  <c r="M20" i="44" s="1"/>
  <c r="L15" i="83" s="1"/>
  <c r="B9" i="73" l="1"/>
  <c r="B8" i="73"/>
  <c r="B7" i="73"/>
  <c r="B6" i="73"/>
  <c r="B5" i="73"/>
  <c r="B4" i="73"/>
  <c r="B3" i="73"/>
  <c r="E53" i="73"/>
  <c r="E55" i="73"/>
  <c r="E69" i="73"/>
  <c r="E61" i="73"/>
  <c r="E78" i="73" l="1"/>
  <c r="A30" i="38"/>
  <c r="B19" i="73" l="1"/>
  <c r="B18" i="73"/>
  <c r="B17" i="73"/>
  <c r="B16" i="73"/>
  <c r="X631" i="2" l="1"/>
  <c r="X202" i="2"/>
  <c r="X632" i="2"/>
  <c r="X291" i="2"/>
  <c r="X195" i="2"/>
  <c r="X618" i="2"/>
  <c r="X271" i="2"/>
  <c r="X283" i="2"/>
  <c r="X214" i="2"/>
  <c r="X636" i="2"/>
  <c r="X23" i="2"/>
  <c r="X91" i="2"/>
  <c r="X132" i="2"/>
  <c r="X191" i="2"/>
  <c r="X247" i="2"/>
  <c r="X297" i="2"/>
  <c r="X419" i="2"/>
  <c r="X443" i="2"/>
  <c r="X484" i="2"/>
  <c r="X524" i="2"/>
  <c r="X613" i="2"/>
  <c r="X16" i="2"/>
  <c r="X24" i="2"/>
  <c r="X36" i="2"/>
  <c r="X44" i="2"/>
  <c r="X52" i="2"/>
  <c r="X60" i="2"/>
  <c r="X68" i="2"/>
  <c r="X76" i="2"/>
  <c r="X84" i="2"/>
  <c r="X92" i="2"/>
  <c r="X100" i="2"/>
  <c r="X109" i="2"/>
  <c r="X117" i="2"/>
  <c r="X125" i="2"/>
  <c r="X133" i="2"/>
  <c r="X142" i="2"/>
  <c r="X150" i="2"/>
  <c r="X158" i="2"/>
  <c r="X166" i="2"/>
  <c r="X175" i="2"/>
  <c r="X184" i="2"/>
  <c r="X192" i="2"/>
  <c r="X200" i="2"/>
  <c r="X208" i="2"/>
  <c r="X216" i="2"/>
  <c r="X224" i="2"/>
  <c r="X232" i="2"/>
  <c r="X240" i="2"/>
  <c r="X248" i="2"/>
  <c r="X256" i="2"/>
  <c r="X266" i="2"/>
  <c r="X274" i="2"/>
  <c r="X282" i="2"/>
  <c r="X290" i="2"/>
  <c r="X298" i="2"/>
  <c r="X306" i="2"/>
  <c r="X314" i="2"/>
  <c r="X322" i="2"/>
  <c r="X330" i="2"/>
  <c r="X338" i="2"/>
  <c r="X346" i="2"/>
  <c r="X354" i="2"/>
  <c r="X362" i="2"/>
  <c r="X370" i="2"/>
  <c r="X378" i="2"/>
  <c r="X388" i="2"/>
  <c r="X396" i="2"/>
  <c r="X404" i="2"/>
  <c r="X412" i="2"/>
  <c r="X420" i="2"/>
  <c r="X428" i="2"/>
  <c r="X436" i="2"/>
  <c r="X444" i="2"/>
  <c r="X452" i="2"/>
  <c r="X460" i="2"/>
  <c r="X469" i="2"/>
  <c r="X477" i="2"/>
  <c r="X485" i="2"/>
  <c r="Y485" i="2" s="1"/>
  <c r="X493" i="2"/>
  <c r="X501" i="2"/>
  <c r="X509" i="2"/>
  <c r="X517" i="2"/>
  <c r="X525" i="2"/>
  <c r="X534" i="2"/>
  <c r="X542" i="2"/>
  <c r="X550" i="2"/>
  <c r="X558" i="2"/>
  <c r="X566" i="2"/>
  <c r="X574" i="2"/>
  <c r="X582" i="2"/>
  <c r="X590" i="2"/>
  <c r="X598" i="2"/>
  <c r="X606" i="2"/>
  <c r="X614" i="2"/>
  <c r="X622" i="2"/>
  <c r="X630" i="2"/>
  <c r="X638" i="2"/>
  <c r="X646" i="2"/>
  <c r="X654" i="2"/>
  <c r="X59" i="2"/>
  <c r="X116" i="2"/>
  <c r="X165" i="2"/>
  <c r="X215" i="2"/>
  <c r="X273" i="2"/>
  <c r="X329" i="2"/>
  <c r="X353" i="2"/>
  <c r="X395" i="2"/>
  <c r="X492" i="2"/>
  <c r="X541" i="2"/>
  <c r="X589" i="2"/>
  <c r="X637" i="2"/>
  <c r="X17" i="2"/>
  <c r="X25" i="2"/>
  <c r="X37" i="2"/>
  <c r="X45" i="2"/>
  <c r="X53" i="2"/>
  <c r="X61" i="2"/>
  <c r="X69" i="2"/>
  <c r="X77" i="2"/>
  <c r="X85" i="2"/>
  <c r="X93" i="2"/>
  <c r="X101" i="2"/>
  <c r="X110" i="2"/>
  <c r="X118" i="2"/>
  <c r="X126" i="2"/>
  <c r="X134" i="2"/>
  <c r="X143" i="2"/>
  <c r="X151" i="2"/>
  <c r="X159" i="2"/>
  <c r="X167" i="2"/>
  <c r="X176" i="2"/>
  <c r="X185" i="2"/>
  <c r="X193" i="2"/>
  <c r="X201" i="2"/>
  <c r="X209" i="2"/>
  <c r="X217" i="2"/>
  <c r="X225" i="2"/>
  <c r="X233" i="2"/>
  <c r="X241" i="2"/>
  <c r="X249" i="2"/>
  <c r="X259" i="2"/>
  <c r="X267" i="2"/>
  <c r="X275" i="2"/>
  <c r="X299" i="2"/>
  <c r="X307" i="2"/>
  <c r="X315" i="2"/>
  <c r="X323" i="2"/>
  <c r="X331" i="2"/>
  <c r="X339" i="2"/>
  <c r="X347" i="2"/>
  <c r="X355" i="2"/>
  <c r="X363" i="2"/>
  <c r="X371" i="2"/>
  <c r="X379" i="2"/>
  <c r="X389" i="2"/>
  <c r="X397" i="2"/>
  <c r="X405" i="2"/>
  <c r="X413" i="2"/>
  <c r="X421" i="2"/>
  <c r="X429" i="2"/>
  <c r="X437" i="2"/>
  <c r="X445" i="2"/>
  <c r="X453" i="2"/>
  <c r="X461" i="2"/>
  <c r="X470" i="2"/>
  <c r="X478" i="2"/>
  <c r="X486" i="2"/>
  <c r="X494" i="2"/>
  <c r="X502" i="2"/>
  <c r="X510" i="2"/>
  <c r="X518" i="2"/>
  <c r="X526" i="2"/>
  <c r="X535" i="2"/>
  <c r="X543" i="2"/>
  <c r="X551" i="2"/>
  <c r="X559" i="2"/>
  <c r="X567" i="2"/>
  <c r="X575" i="2"/>
  <c r="X583" i="2"/>
  <c r="X591" i="2"/>
  <c r="X599" i="2"/>
  <c r="X607" i="2"/>
  <c r="X615" i="2"/>
  <c r="X623" i="2"/>
  <c r="X639" i="2"/>
  <c r="X647" i="2"/>
  <c r="X51" i="2"/>
  <c r="X75" i="2"/>
  <c r="X141" i="2"/>
  <c r="X199" i="2"/>
  <c r="X255" i="2"/>
  <c r="X305" i="2"/>
  <c r="X361" i="2"/>
  <c r="X369" i="2"/>
  <c r="X411" i="2"/>
  <c r="X435" i="2"/>
  <c r="X459" i="2"/>
  <c r="X549" i="2"/>
  <c r="X605" i="2"/>
  <c r="X18" i="2"/>
  <c r="X26" i="2"/>
  <c r="X54" i="2"/>
  <c r="X70" i="2"/>
  <c r="X78" i="2"/>
  <c r="X94" i="2"/>
  <c r="X102" i="2"/>
  <c r="X111" i="2"/>
  <c r="X119" i="2"/>
  <c r="X127" i="2"/>
  <c r="X135" i="2"/>
  <c r="X144" i="2"/>
  <c r="X152" i="2"/>
  <c r="X160" i="2"/>
  <c r="X168" i="2"/>
  <c r="X177" i="2"/>
  <c r="X186" i="2"/>
  <c r="X194" i="2"/>
  <c r="X210" i="2"/>
  <c r="X218" i="2"/>
  <c r="X226" i="2"/>
  <c r="X234" i="2"/>
  <c r="X242" i="2"/>
  <c r="X250" i="2"/>
  <c r="X260" i="2"/>
  <c r="X268" i="2"/>
  <c r="X276" i="2"/>
  <c r="X284" i="2"/>
  <c r="X292" i="2"/>
  <c r="X300" i="2"/>
  <c r="X308" i="2"/>
  <c r="X316" i="2"/>
  <c r="X324" i="2"/>
  <c r="X332" i="2"/>
  <c r="X340" i="2"/>
  <c r="X348" i="2"/>
  <c r="X356" i="2"/>
  <c r="X364" i="2"/>
  <c r="X372" i="2"/>
  <c r="X380" i="2"/>
  <c r="X390" i="2"/>
  <c r="X398" i="2"/>
  <c r="X406" i="2"/>
  <c r="X414" i="2"/>
  <c r="X422" i="2"/>
  <c r="X430" i="2"/>
  <c r="X438" i="2"/>
  <c r="X446" i="2"/>
  <c r="X454" i="2"/>
  <c r="X462" i="2"/>
  <c r="X471" i="2"/>
  <c r="X479" i="2"/>
  <c r="X487" i="2"/>
  <c r="X495" i="2"/>
  <c r="X503" i="2"/>
  <c r="X511" i="2"/>
  <c r="X519" i="2"/>
  <c r="X527" i="2"/>
  <c r="X536" i="2"/>
  <c r="X544" i="2"/>
  <c r="X552" i="2"/>
  <c r="X560" i="2"/>
  <c r="X568" i="2"/>
  <c r="X576" i="2"/>
  <c r="X584" i="2"/>
  <c r="X592" i="2"/>
  <c r="X600" i="2"/>
  <c r="X608" i="2"/>
  <c r="X616" i="2"/>
  <c r="X624" i="2"/>
  <c r="X640" i="2"/>
  <c r="X648" i="2"/>
  <c r="X43" i="2"/>
  <c r="X99" i="2"/>
  <c r="X149" i="2"/>
  <c r="X207" i="2"/>
  <c r="X265" i="2"/>
  <c r="X345" i="2"/>
  <c r="X386" i="2"/>
  <c r="X476" i="2"/>
  <c r="X533" i="2"/>
  <c r="X573" i="2"/>
  <c r="X653" i="2"/>
  <c r="X38" i="2"/>
  <c r="X46" i="2"/>
  <c r="X62" i="2"/>
  <c r="X86" i="2"/>
  <c r="X19" i="2"/>
  <c r="X27" i="2"/>
  <c r="X39" i="2"/>
  <c r="X47" i="2"/>
  <c r="X55" i="2"/>
  <c r="X63" i="2"/>
  <c r="X71" i="2"/>
  <c r="X79" i="2"/>
  <c r="X87" i="2"/>
  <c r="X95" i="2"/>
  <c r="X103" i="2"/>
  <c r="X112" i="2"/>
  <c r="X120" i="2"/>
  <c r="X128" i="2"/>
  <c r="X136" i="2"/>
  <c r="X145" i="2"/>
  <c r="X153" i="2"/>
  <c r="X161" i="2"/>
  <c r="X170" i="2"/>
  <c r="X178" i="2"/>
  <c r="X187" i="2"/>
  <c r="X203" i="2"/>
  <c r="X211" i="2"/>
  <c r="X219" i="2"/>
  <c r="X227" i="2"/>
  <c r="X235" i="2"/>
  <c r="X243" i="2"/>
  <c r="X251" i="2"/>
  <c r="X261" i="2"/>
  <c r="X269" i="2"/>
  <c r="X277" i="2"/>
  <c r="X285" i="2"/>
  <c r="X293" i="2"/>
  <c r="X301" i="2"/>
  <c r="X309" i="2"/>
  <c r="X317" i="2"/>
  <c r="X325" i="2"/>
  <c r="X333" i="2"/>
  <c r="X341" i="2"/>
  <c r="X349" i="2"/>
  <c r="X357" i="2"/>
  <c r="X365" i="2"/>
  <c r="X373" i="2"/>
  <c r="X381" i="2"/>
  <c r="X391" i="2"/>
  <c r="X399" i="2"/>
  <c r="X407" i="2"/>
  <c r="X415" i="2"/>
  <c r="X423" i="2"/>
  <c r="X431" i="2"/>
  <c r="X439" i="2"/>
  <c r="X447" i="2"/>
  <c r="X455" i="2"/>
  <c r="X463" i="2"/>
  <c r="X472" i="2"/>
  <c r="X480" i="2"/>
  <c r="X488" i="2"/>
  <c r="X496" i="2"/>
  <c r="X504" i="2"/>
  <c r="X512" i="2"/>
  <c r="X520" i="2"/>
  <c r="X528" i="2"/>
  <c r="X537" i="2"/>
  <c r="X545" i="2"/>
  <c r="X553" i="2"/>
  <c r="X561" i="2"/>
  <c r="X569" i="2"/>
  <c r="X577" i="2"/>
  <c r="X585" i="2"/>
  <c r="X593" i="2"/>
  <c r="X601" i="2"/>
  <c r="X609" i="2"/>
  <c r="X617" i="2"/>
  <c r="X625" i="2"/>
  <c r="X633" i="2"/>
  <c r="X641" i="2"/>
  <c r="X649" i="2"/>
  <c r="X15" i="2"/>
  <c r="X67" i="2"/>
  <c r="X108" i="2"/>
  <c r="X183" i="2"/>
  <c r="X239" i="2"/>
  <c r="X289" i="2"/>
  <c r="X403" i="2"/>
  <c r="X468" i="2"/>
  <c r="X516" i="2"/>
  <c r="X597" i="2"/>
  <c r="X645" i="2"/>
  <c r="X20" i="2"/>
  <c r="X40" i="2"/>
  <c r="X56" i="2"/>
  <c r="X64" i="2"/>
  <c r="X72" i="2"/>
  <c r="X80" i="2"/>
  <c r="X88" i="2"/>
  <c r="X96" i="2"/>
  <c r="X104" i="2"/>
  <c r="X113" i="2"/>
  <c r="X121" i="2"/>
  <c r="X129" i="2"/>
  <c r="X137" i="2"/>
  <c r="X146" i="2"/>
  <c r="X154" i="2"/>
  <c r="X162" i="2"/>
  <c r="X171" i="2"/>
  <c r="X179" i="2"/>
  <c r="X188" i="2"/>
  <c r="X196" i="2"/>
  <c r="X204" i="2"/>
  <c r="X212" i="2"/>
  <c r="X220" i="2"/>
  <c r="X228" i="2"/>
  <c r="X236" i="2"/>
  <c r="X244" i="2"/>
  <c r="X252" i="2"/>
  <c r="X262" i="2"/>
  <c r="X270" i="2"/>
  <c r="X278" i="2"/>
  <c r="X286" i="2"/>
  <c r="X294" i="2"/>
  <c r="X302" i="2"/>
  <c r="X310" i="2"/>
  <c r="X318" i="2"/>
  <c r="X326" i="2"/>
  <c r="X334" i="2"/>
  <c r="X342" i="2"/>
  <c r="X350" i="2"/>
  <c r="X358" i="2"/>
  <c r="X366" i="2"/>
  <c r="X374" i="2"/>
  <c r="X382" i="2"/>
  <c r="X392" i="2"/>
  <c r="X400" i="2"/>
  <c r="X408" i="2"/>
  <c r="X416" i="2"/>
  <c r="X424" i="2"/>
  <c r="X432" i="2"/>
  <c r="X440" i="2"/>
  <c r="X448" i="2"/>
  <c r="X456" i="2"/>
  <c r="X464" i="2"/>
  <c r="X473" i="2"/>
  <c r="X481" i="2"/>
  <c r="X489" i="2"/>
  <c r="X497" i="2"/>
  <c r="X505" i="2"/>
  <c r="X513" i="2"/>
  <c r="X521" i="2"/>
  <c r="X530" i="2"/>
  <c r="X538" i="2"/>
  <c r="X546" i="2"/>
  <c r="X554" i="2"/>
  <c r="X562" i="2"/>
  <c r="X570" i="2"/>
  <c r="X578" i="2"/>
  <c r="X586" i="2"/>
  <c r="X594" i="2"/>
  <c r="X602" i="2"/>
  <c r="X610" i="2"/>
  <c r="X626" i="2"/>
  <c r="X634" i="2"/>
  <c r="X642" i="2"/>
  <c r="X650" i="2"/>
  <c r="X83" i="2"/>
  <c r="X157" i="2"/>
  <c r="X231" i="2"/>
  <c r="X281" i="2"/>
  <c r="X321" i="2"/>
  <c r="X337" i="2"/>
  <c r="X377" i="2"/>
  <c r="X500" i="2"/>
  <c r="X557" i="2"/>
  <c r="X565" i="2"/>
  <c r="X621" i="2"/>
  <c r="X28" i="2"/>
  <c r="X48" i="2"/>
  <c r="X13" i="2"/>
  <c r="Y13" i="2" s="1"/>
  <c r="L14" i="81"/>
  <c r="L16" i="81"/>
  <c r="L21" i="81"/>
  <c r="L20" i="81"/>
  <c r="L11" i="81"/>
  <c r="L13" i="81"/>
  <c r="L12" i="81"/>
  <c r="L18" i="81"/>
  <c r="L10" i="81"/>
  <c r="L15" i="81"/>
  <c r="L23" i="81"/>
  <c r="L19" i="81"/>
  <c r="L17" i="81"/>
  <c r="L22" i="81"/>
  <c r="X21" i="2"/>
  <c r="X29" i="2"/>
  <c r="X41" i="2"/>
  <c r="X49" i="2"/>
  <c r="X57" i="2"/>
  <c r="X65" i="2"/>
  <c r="X73" i="2"/>
  <c r="X81" i="2"/>
  <c r="X89" i="2"/>
  <c r="X97" i="2"/>
  <c r="X105" i="2"/>
  <c r="X114" i="2"/>
  <c r="X122" i="2"/>
  <c r="X130" i="2"/>
  <c r="X138" i="2"/>
  <c r="X147" i="2"/>
  <c r="X155" i="2"/>
  <c r="X163" i="2"/>
  <c r="X172" i="2"/>
  <c r="X180" i="2"/>
  <c r="X189" i="2"/>
  <c r="X197" i="2"/>
  <c r="X205" i="2"/>
  <c r="X213" i="2"/>
  <c r="X221" i="2"/>
  <c r="X229" i="2"/>
  <c r="X237" i="2"/>
  <c r="X245" i="2"/>
  <c r="X253" i="2"/>
  <c r="X263" i="2"/>
  <c r="X279" i="2"/>
  <c r="X287" i="2"/>
  <c r="X295" i="2"/>
  <c r="X303" i="2"/>
  <c r="X311" i="2"/>
  <c r="X319" i="2"/>
  <c r="X327" i="2"/>
  <c r="X335" i="2"/>
  <c r="X343" i="2"/>
  <c r="X351" i="2"/>
  <c r="X359" i="2"/>
  <c r="X367" i="2"/>
  <c r="X375" i="2"/>
  <c r="X383" i="2"/>
  <c r="X393" i="2"/>
  <c r="X401" i="2"/>
  <c r="X409" i="2"/>
  <c r="X417" i="2"/>
  <c r="X425" i="2"/>
  <c r="X433" i="2"/>
  <c r="X441" i="2"/>
  <c r="X449" i="2"/>
  <c r="X457" i="2"/>
  <c r="X465" i="2"/>
  <c r="X474" i="2"/>
  <c r="X482" i="2"/>
  <c r="X490" i="2"/>
  <c r="X498" i="2"/>
  <c r="X506" i="2"/>
  <c r="X514" i="2"/>
  <c r="X522" i="2"/>
  <c r="X531" i="2"/>
  <c r="X539" i="2"/>
  <c r="X547" i="2"/>
  <c r="X555" i="2"/>
  <c r="X563" i="2"/>
  <c r="X571" i="2"/>
  <c r="X579" i="2"/>
  <c r="X587" i="2"/>
  <c r="X595" i="2"/>
  <c r="X603" i="2"/>
  <c r="X611" i="2"/>
  <c r="X619" i="2"/>
  <c r="X627" i="2"/>
  <c r="X635" i="2"/>
  <c r="X643" i="2"/>
  <c r="X651" i="2"/>
  <c r="X33" i="2"/>
  <c r="X124" i="2"/>
  <c r="X174" i="2"/>
  <c r="X223" i="2"/>
  <c r="X313" i="2"/>
  <c r="X427" i="2"/>
  <c r="X451" i="2"/>
  <c r="X508" i="2"/>
  <c r="X581" i="2"/>
  <c r="X629" i="2"/>
  <c r="X14" i="2"/>
  <c r="X22" i="2"/>
  <c r="X31" i="2"/>
  <c r="X42" i="2"/>
  <c r="X50" i="2"/>
  <c r="X58" i="2"/>
  <c r="X66" i="2"/>
  <c r="X74" i="2"/>
  <c r="X82" i="2"/>
  <c r="X90" i="2"/>
  <c r="X98" i="2"/>
  <c r="X107" i="2"/>
  <c r="X115" i="2"/>
  <c r="X123" i="2"/>
  <c r="X131" i="2"/>
  <c r="X140" i="2"/>
  <c r="X148" i="2"/>
  <c r="X156" i="2"/>
  <c r="X164" i="2"/>
  <c r="X173" i="2"/>
  <c r="X181" i="2"/>
  <c r="X190" i="2"/>
  <c r="X198" i="2"/>
  <c r="X206" i="2"/>
  <c r="X222" i="2"/>
  <c r="X230" i="2"/>
  <c r="X238" i="2"/>
  <c r="X246" i="2"/>
  <c r="X254" i="2"/>
  <c r="X264" i="2"/>
  <c r="X272" i="2"/>
  <c r="X280" i="2"/>
  <c r="X288" i="2"/>
  <c r="X296" i="2"/>
  <c r="X304" i="2"/>
  <c r="X312" i="2"/>
  <c r="X320" i="2"/>
  <c r="X328" i="2"/>
  <c r="X336" i="2"/>
  <c r="X344" i="2"/>
  <c r="X352" i="2"/>
  <c r="X360" i="2"/>
  <c r="X368" i="2"/>
  <c r="X376" i="2"/>
  <c r="X384" i="2"/>
  <c r="X394" i="2"/>
  <c r="X402" i="2"/>
  <c r="X410" i="2"/>
  <c r="X418" i="2"/>
  <c r="X426" i="2"/>
  <c r="X434" i="2"/>
  <c r="X442" i="2"/>
  <c r="X450" i="2"/>
  <c r="X458" i="2"/>
  <c r="X467" i="2"/>
  <c r="X475" i="2"/>
  <c r="X483" i="2"/>
  <c r="X491" i="2"/>
  <c r="X499" i="2"/>
  <c r="X507" i="2"/>
  <c r="X515" i="2"/>
  <c r="X523" i="2"/>
  <c r="X532" i="2"/>
  <c r="X540" i="2"/>
  <c r="X548" i="2"/>
  <c r="X556" i="2"/>
  <c r="X564" i="2"/>
  <c r="X572" i="2"/>
  <c r="X580" i="2"/>
  <c r="X588" i="2"/>
  <c r="X596" i="2"/>
  <c r="X604" i="2"/>
  <c r="X612" i="2"/>
  <c r="X620" i="2"/>
  <c r="X628" i="2"/>
  <c r="X644" i="2"/>
  <c r="X652" i="2"/>
  <c r="A9" i="48"/>
  <c r="R628" i="2" l="1"/>
  <c r="Y628" i="2"/>
  <c r="R164" i="2"/>
  <c r="Y164" i="2"/>
  <c r="R433" i="2"/>
  <c r="Y433" i="2"/>
  <c r="R29" i="2"/>
  <c r="Y29" i="2"/>
  <c r="S29" i="2" s="1"/>
  <c r="R497" i="2"/>
  <c r="Y497" i="2"/>
  <c r="R104" i="2"/>
  <c r="Y104" i="2"/>
  <c r="R423" i="2"/>
  <c r="Y423" i="2"/>
  <c r="R476" i="2"/>
  <c r="Y476" i="2"/>
  <c r="S476" i="2" s="1"/>
  <c r="R446" i="2"/>
  <c r="Y446" i="2"/>
  <c r="R111" i="2"/>
  <c r="Y111" i="2"/>
  <c r="R421" i="2"/>
  <c r="Y421" i="2"/>
  <c r="S421" i="2" s="1"/>
  <c r="R637" i="2"/>
  <c r="Y637" i="2"/>
  <c r="S637" i="2" s="1"/>
  <c r="R622" i="2"/>
  <c r="Y622" i="2"/>
  <c r="R298" i="2"/>
  <c r="Y298" i="2"/>
  <c r="R232" i="2"/>
  <c r="Y232" i="2"/>
  <c r="R166" i="2"/>
  <c r="Y166" i="2"/>
  <c r="S166" i="2" s="1"/>
  <c r="R100" i="2"/>
  <c r="Y100" i="2"/>
  <c r="R36" i="2"/>
  <c r="Y36" i="2"/>
  <c r="R297" i="2"/>
  <c r="Y297" i="2"/>
  <c r="R283" i="2"/>
  <c r="Y283" i="2"/>
  <c r="R620" i="2"/>
  <c r="Y620" i="2"/>
  <c r="R556" i="2"/>
  <c r="Y556" i="2"/>
  <c r="R491" i="2"/>
  <c r="Y491" i="2"/>
  <c r="R426" i="2"/>
  <c r="Y426" i="2"/>
  <c r="R360" i="2"/>
  <c r="Y360" i="2"/>
  <c r="R296" i="2"/>
  <c r="Y296" i="2"/>
  <c r="R230" i="2"/>
  <c r="Y230" i="2"/>
  <c r="S230" i="2" s="1"/>
  <c r="R156" i="2"/>
  <c r="Y156" i="2"/>
  <c r="S156" i="2" s="1"/>
  <c r="R90" i="2"/>
  <c r="Y90" i="2"/>
  <c r="R22" i="2"/>
  <c r="Y22" i="2"/>
  <c r="R223" i="2"/>
  <c r="Y223" i="2"/>
  <c r="R619" i="2"/>
  <c r="Y619" i="2"/>
  <c r="S619" i="2" s="1"/>
  <c r="R555" i="2"/>
  <c r="Y555" i="2"/>
  <c r="R490" i="2"/>
  <c r="Y490" i="2"/>
  <c r="R425" i="2"/>
  <c r="Y425" i="2"/>
  <c r="S425" i="2" s="1"/>
  <c r="R359" i="2"/>
  <c r="Y359" i="2"/>
  <c r="S359" i="2" s="1"/>
  <c r="R295" i="2"/>
  <c r="Y295" i="2"/>
  <c r="R221" i="2"/>
  <c r="Y221" i="2"/>
  <c r="R155" i="2"/>
  <c r="Y155" i="2"/>
  <c r="R89" i="2"/>
  <c r="Y89" i="2"/>
  <c r="S89" i="2" s="1"/>
  <c r="R21" i="2"/>
  <c r="Y21" i="2"/>
  <c r="R48" i="2"/>
  <c r="Y48" i="2"/>
  <c r="R321" i="2"/>
  <c r="Y321" i="2"/>
  <c r="R626" i="2"/>
  <c r="Y626" i="2"/>
  <c r="S626" i="2" s="1"/>
  <c r="R554" i="2"/>
  <c r="Y554" i="2"/>
  <c r="R489" i="2"/>
  <c r="Y489" i="2"/>
  <c r="R424" i="2"/>
  <c r="Y424" i="2"/>
  <c r="S424" i="2" s="1"/>
  <c r="R358" i="2"/>
  <c r="Y358" i="2"/>
  <c r="S358" i="2" s="1"/>
  <c r="R294" i="2"/>
  <c r="Y294" i="2"/>
  <c r="R228" i="2"/>
  <c r="Y228" i="2"/>
  <c r="R162" i="2"/>
  <c r="Y162" i="2"/>
  <c r="R96" i="2"/>
  <c r="Y96" i="2"/>
  <c r="S96" i="2" s="1"/>
  <c r="R645" i="2"/>
  <c r="Y645" i="2"/>
  <c r="R108" i="2"/>
  <c r="Y108" i="2"/>
  <c r="R609" i="2"/>
  <c r="Y609" i="2"/>
  <c r="R545" i="2"/>
  <c r="Y545" i="2"/>
  <c r="S545" i="2" s="1"/>
  <c r="R480" i="2"/>
  <c r="Y480" i="2"/>
  <c r="R415" i="2"/>
  <c r="Y415" i="2"/>
  <c r="R349" i="2"/>
  <c r="Y349" i="2"/>
  <c r="S349" i="2" s="1"/>
  <c r="R285" i="2"/>
  <c r="Y285" i="2"/>
  <c r="S285" i="2" s="1"/>
  <c r="R219" i="2"/>
  <c r="Y219" i="2"/>
  <c r="R145" i="2"/>
  <c r="Y145" i="2"/>
  <c r="R79" i="2"/>
  <c r="Y79" i="2"/>
  <c r="R86" i="2"/>
  <c r="Y86" i="2"/>
  <c r="R386" i="2"/>
  <c r="Y386" i="2"/>
  <c r="R640" i="2"/>
  <c r="Y640" i="2"/>
  <c r="R568" i="2"/>
  <c r="Y568" i="2"/>
  <c r="R503" i="2"/>
  <c r="Y503" i="2"/>
  <c r="R438" i="2"/>
  <c r="Y438" i="2"/>
  <c r="R372" i="2"/>
  <c r="Y372" i="2"/>
  <c r="R308" i="2"/>
  <c r="Y308" i="2"/>
  <c r="R242" i="2"/>
  <c r="Y242" i="2"/>
  <c r="S242" i="2" s="1"/>
  <c r="R168" i="2"/>
  <c r="Y168" i="2"/>
  <c r="R102" i="2"/>
  <c r="Y102" i="2"/>
  <c r="R549" i="2"/>
  <c r="Y549" i="2"/>
  <c r="R199" i="2"/>
  <c r="Y199" i="2"/>
  <c r="S199" i="2" s="1"/>
  <c r="R607" i="2"/>
  <c r="Y607" i="2"/>
  <c r="R543" i="2"/>
  <c r="Y543" i="2"/>
  <c r="R478" i="2"/>
  <c r="Y478" i="2"/>
  <c r="S478" i="2" s="1"/>
  <c r="R413" i="2"/>
  <c r="Y413" i="2"/>
  <c r="S413" i="2" s="1"/>
  <c r="R347" i="2"/>
  <c r="Y347" i="2"/>
  <c r="R267" i="2"/>
  <c r="Y267" i="2"/>
  <c r="R201" i="2"/>
  <c r="Y201" i="2"/>
  <c r="S201" i="2" s="1"/>
  <c r="R134" i="2"/>
  <c r="Y134" i="2"/>
  <c r="S134" i="2" s="1"/>
  <c r="R69" i="2"/>
  <c r="Y69" i="2"/>
  <c r="R589" i="2"/>
  <c r="Y589" i="2"/>
  <c r="R165" i="2"/>
  <c r="Y165" i="2"/>
  <c r="R614" i="2"/>
  <c r="Y614" i="2"/>
  <c r="S614" i="2" s="1"/>
  <c r="R550" i="2"/>
  <c r="Y550" i="2"/>
  <c r="R420" i="2"/>
  <c r="Y420" i="2"/>
  <c r="R354" i="2"/>
  <c r="Y354" i="2"/>
  <c r="S354" i="2" s="1"/>
  <c r="R290" i="2"/>
  <c r="Y290" i="2"/>
  <c r="S290" i="2" s="1"/>
  <c r="R224" i="2"/>
  <c r="Y224" i="2"/>
  <c r="R158" i="2"/>
  <c r="Y158" i="2"/>
  <c r="R92" i="2"/>
  <c r="Y92" i="2"/>
  <c r="R24" i="2"/>
  <c r="Y24" i="2"/>
  <c r="S24" i="2" s="1"/>
  <c r="R247" i="2"/>
  <c r="Y247" i="2"/>
  <c r="R271" i="2"/>
  <c r="Y271" i="2"/>
  <c r="R434" i="2"/>
  <c r="Y434" i="2"/>
  <c r="R31" i="2"/>
  <c r="Y31" i="2"/>
  <c r="S31" i="2" s="1"/>
  <c r="R367" i="2"/>
  <c r="Y367" i="2"/>
  <c r="R97" i="2"/>
  <c r="Y97" i="2"/>
  <c r="R634" i="2"/>
  <c r="Y634" i="2"/>
  <c r="S634" i="2" s="1"/>
  <c r="R236" i="2"/>
  <c r="Y236" i="2"/>
  <c r="R553" i="2"/>
  <c r="Y553" i="2"/>
  <c r="R87" i="2"/>
  <c r="Y87" i="2"/>
  <c r="R380" i="2"/>
  <c r="Y380" i="2"/>
  <c r="R605" i="2"/>
  <c r="Y605" i="2"/>
  <c r="S605" i="2" s="1"/>
  <c r="R486" i="2"/>
  <c r="Y486" i="2"/>
  <c r="R143" i="2"/>
  <c r="Y143" i="2"/>
  <c r="R558" i="2"/>
  <c r="Y558" i="2"/>
  <c r="S558" i="2" s="1"/>
  <c r="R483" i="2"/>
  <c r="Y483" i="2"/>
  <c r="S483" i="2" s="1"/>
  <c r="R82" i="2"/>
  <c r="Y82" i="2"/>
  <c r="R351" i="2"/>
  <c r="Y351" i="2"/>
  <c r="R81" i="2"/>
  <c r="Y81" i="2"/>
  <c r="R546" i="2"/>
  <c r="Y546" i="2"/>
  <c r="S546" i="2" s="1"/>
  <c r="R154" i="2"/>
  <c r="Y154" i="2"/>
  <c r="R537" i="2"/>
  <c r="Y537" i="2"/>
  <c r="R407" i="2"/>
  <c r="Y407" i="2"/>
  <c r="S407" i="2" s="1"/>
  <c r="R71" i="2"/>
  <c r="Y71" i="2"/>
  <c r="S71" i="2" s="1"/>
  <c r="R495" i="2"/>
  <c r="Y495" i="2"/>
  <c r="R160" i="2"/>
  <c r="Y160" i="2"/>
  <c r="R470" i="2"/>
  <c r="Y470" i="2"/>
  <c r="R126" i="2"/>
  <c r="Y126" i="2"/>
  <c r="R542" i="2"/>
  <c r="Y542" i="2"/>
  <c r="R216" i="2"/>
  <c r="Y216" i="2"/>
  <c r="R618" i="2"/>
  <c r="Y618" i="2"/>
  <c r="S618" i="2" s="1"/>
  <c r="R604" i="2"/>
  <c r="Y604" i="2"/>
  <c r="S604" i="2" s="1"/>
  <c r="R540" i="2"/>
  <c r="Y540" i="2"/>
  <c r="R475" i="2"/>
  <c r="Y475" i="2"/>
  <c r="R410" i="2"/>
  <c r="Y410" i="2"/>
  <c r="S410" i="2" s="1"/>
  <c r="R344" i="2"/>
  <c r="Y344" i="2"/>
  <c r="S344" i="2" s="1"/>
  <c r="R280" i="2"/>
  <c r="Y280" i="2"/>
  <c r="R206" i="2"/>
  <c r="Y206" i="2"/>
  <c r="R140" i="2"/>
  <c r="Y140" i="2"/>
  <c r="R74" i="2"/>
  <c r="Y74" i="2"/>
  <c r="S74" i="2" s="1"/>
  <c r="R629" i="2"/>
  <c r="Y629" i="2"/>
  <c r="R124" i="2"/>
  <c r="Y124" i="2"/>
  <c r="R603" i="2"/>
  <c r="Y603" i="2"/>
  <c r="S603" i="2" s="1"/>
  <c r="R539" i="2"/>
  <c r="Y539" i="2"/>
  <c r="S539" i="2" s="1"/>
  <c r="R474" i="2"/>
  <c r="Y474" i="2"/>
  <c r="R409" i="2"/>
  <c r="Y409" i="2"/>
  <c r="R343" i="2"/>
  <c r="Y343" i="2"/>
  <c r="R279" i="2"/>
  <c r="Y279" i="2"/>
  <c r="S279" i="2" s="1"/>
  <c r="R205" i="2"/>
  <c r="Y205" i="2"/>
  <c r="R138" i="2"/>
  <c r="Y138" i="2"/>
  <c r="R73" i="2"/>
  <c r="Y73" i="2"/>
  <c r="R621" i="2"/>
  <c r="Y621" i="2"/>
  <c r="S621" i="2" s="1"/>
  <c r="R231" i="2"/>
  <c r="Y231" i="2"/>
  <c r="R602" i="2"/>
  <c r="Y602" i="2"/>
  <c r="R538" i="2"/>
  <c r="Y538" i="2"/>
  <c r="R473" i="2"/>
  <c r="Y473" i="2"/>
  <c r="S473" i="2" s="1"/>
  <c r="R408" i="2"/>
  <c r="Y408" i="2"/>
  <c r="R342" i="2"/>
  <c r="Y342" i="2"/>
  <c r="R278" i="2"/>
  <c r="Y278" i="2"/>
  <c r="S278" i="2" s="1"/>
  <c r="R212" i="2"/>
  <c r="Y212" i="2"/>
  <c r="S212" i="2" s="1"/>
  <c r="R146" i="2"/>
  <c r="Y146" i="2"/>
  <c r="R80" i="2"/>
  <c r="Y80" i="2"/>
  <c r="R516" i="2"/>
  <c r="Y516" i="2"/>
  <c r="S516" i="2" s="1"/>
  <c r="R15" i="2"/>
  <c r="Y15" i="2"/>
  <c r="S15" i="2" s="1"/>
  <c r="R593" i="2"/>
  <c r="Y593" i="2"/>
  <c r="R528" i="2"/>
  <c r="Y528" i="2"/>
  <c r="R463" i="2"/>
  <c r="Y463" i="2"/>
  <c r="R399" i="2"/>
  <c r="Y399" i="2"/>
  <c r="S399" i="2" s="1"/>
  <c r="R333" i="2"/>
  <c r="Y333" i="2"/>
  <c r="R269" i="2"/>
  <c r="Y269" i="2"/>
  <c r="R203" i="2"/>
  <c r="Y203" i="2"/>
  <c r="R128" i="2"/>
  <c r="Y128" i="2"/>
  <c r="S128" i="2" s="1"/>
  <c r="R63" i="2"/>
  <c r="Y63" i="2"/>
  <c r="R46" i="2"/>
  <c r="Y46" i="2"/>
  <c r="R265" i="2"/>
  <c r="Y265" i="2"/>
  <c r="R616" i="2"/>
  <c r="Y616" i="2"/>
  <c r="S616" i="2" s="1"/>
  <c r="R552" i="2"/>
  <c r="Y552" i="2"/>
  <c r="R487" i="2"/>
  <c r="Y487" i="2"/>
  <c r="R422" i="2"/>
  <c r="Y422" i="2"/>
  <c r="R356" i="2"/>
  <c r="Y356" i="2"/>
  <c r="S356" i="2" s="1"/>
  <c r="R292" i="2"/>
  <c r="Y292" i="2"/>
  <c r="R226" i="2"/>
  <c r="Y226" i="2"/>
  <c r="R152" i="2"/>
  <c r="Y152" i="2"/>
  <c r="S152" i="2" s="1"/>
  <c r="R78" i="2"/>
  <c r="Y78" i="2"/>
  <c r="S78" i="2" s="1"/>
  <c r="R435" i="2"/>
  <c r="Y435" i="2"/>
  <c r="R75" i="2"/>
  <c r="Y75" i="2"/>
  <c r="R591" i="2"/>
  <c r="Y591" i="2"/>
  <c r="R526" i="2"/>
  <c r="Y526" i="2"/>
  <c r="S526" i="2" s="1"/>
  <c r="R461" i="2"/>
  <c r="Y461" i="2"/>
  <c r="R397" i="2"/>
  <c r="Y397" i="2"/>
  <c r="R331" i="2"/>
  <c r="Y331" i="2"/>
  <c r="S331" i="2" s="1"/>
  <c r="R249" i="2"/>
  <c r="Y249" i="2"/>
  <c r="S249" i="2" s="1"/>
  <c r="R185" i="2"/>
  <c r="Y185" i="2"/>
  <c r="R118" i="2"/>
  <c r="Y118" i="2"/>
  <c r="R53" i="2"/>
  <c r="Y53" i="2"/>
  <c r="R492" i="2"/>
  <c r="Y492" i="2"/>
  <c r="S492" i="2" s="1"/>
  <c r="R59" i="2"/>
  <c r="Y59" i="2"/>
  <c r="R598" i="2"/>
  <c r="Y598" i="2"/>
  <c r="R534" i="2"/>
  <c r="Y534" i="2"/>
  <c r="R469" i="2"/>
  <c r="Y469" i="2"/>
  <c r="S469" i="2" s="1"/>
  <c r="R404" i="2"/>
  <c r="Y404" i="2"/>
  <c r="R338" i="2"/>
  <c r="Y338" i="2"/>
  <c r="R274" i="2"/>
  <c r="Y274" i="2"/>
  <c r="S274" i="2" s="1"/>
  <c r="R208" i="2"/>
  <c r="Y208" i="2"/>
  <c r="S208" i="2" s="1"/>
  <c r="R142" i="2"/>
  <c r="Y142" i="2"/>
  <c r="R76" i="2"/>
  <c r="Y76" i="2"/>
  <c r="R613" i="2"/>
  <c r="Y613" i="2"/>
  <c r="S613" i="2" s="1"/>
  <c r="R132" i="2"/>
  <c r="Y132" i="2"/>
  <c r="S132" i="2" s="1"/>
  <c r="R195" i="2"/>
  <c r="Y195" i="2"/>
  <c r="R564" i="2"/>
  <c r="Y564" i="2"/>
  <c r="R238" i="2"/>
  <c r="Y238" i="2"/>
  <c r="R627" i="2"/>
  <c r="Y627" i="2"/>
  <c r="S627" i="2" s="1"/>
  <c r="R303" i="2"/>
  <c r="Y303" i="2"/>
  <c r="R337" i="2"/>
  <c r="Y337" i="2"/>
  <c r="R302" i="2"/>
  <c r="Y302" i="2"/>
  <c r="R183" i="2"/>
  <c r="Y183" i="2"/>
  <c r="S183" i="2" s="1"/>
  <c r="R357" i="2"/>
  <c r="Y357" i="2"/>
  <c r="R648" i="2"/>
  <c r="Y648" i="2"/>
  <c r="R316" i="2"/>
  <c r="Y316" i="2"/>
  <c r="R615" i="2"/>
  <c r="Y615" i="2"/>
  <c r="S615" i="2" s="1"/>
  <c r="R209" i="2"/>
  <c r="Y209" i="2"/>
  <c r="R362" i="2"/>
  <c r="Y362" i="2"/>
  <c r="R288" i="2"/>
  <c r="Y288" i="2"/>
  <c r="R148" i="2"/>
  <c r="Y148" i="2"/>
  <c r="S148" i="2" s="1"/>
  <c r="R482" i="2"/>
  <c r="Y482" i="2"/>
  <c r="R281" i="2"/>
  <c r="Y281" i="2"/>
  <c r="R211" i="2"/>
  <c r="Y211" i="2"/>
  <c r="S211" i="2" s="1"/>
  <c r="R624" i="2"/>
  <c r="Y624" i="2"/>
  <c r="S624" i="2" s="1"/>
  <c r="R364" i="2"/>
  <c r="Y364" i="2"/>
  <c r="R141" i="2"/>
  <c r="Y141" i="2"/>
  <c r="R339" i="2"/>
  <c r="Y339" i="2"/>
  <c r="S339" i="2" s="1"/>
  <c r="R116" i="2"/>
  <c r="Y116" i="2"/>
  <c r="S116" i="2" s="1"/>
  <c r="R477" i="2"/>
  <c r="Y477" i="2"/>
  <c r="R84" i="2"/>
  <c r="Y84" i="2"/>
  <c r="R596" i="2"/>
  <c r="Y596" i="2"/>
  <c r="S596" i="2" s="1"/>
  <c r="R532" i="2"/>
  <c r="Y532" i="2"/>
  <c r="S532" i="2" s="1"/>
  <c r="R467" i="2"/>
  <c r="Y467" i="2"/>
  <c r="R402" i="2"/>
  <c r="Y402" i="2"/>
  <c r="R336" i="2"/>
  <c r="Y336" i="2"/>
  <c r="R272" i="2"/>
  <c r="Y272" i="2"/>
  <c r="R198" i="2"/>
  <c r="Y198" i="2"/>
  <c r="R131" i="2"/>
  <c r="Y131" i="2"/>
  <c r="R66" i="2"/>
  <c r="Y66" i="2"/>
  <c r="R581" i="2"/>
  <c r="Y581" i="2"/>
  <c r="S581" i="2" s="1"/>
  <c r="R33" i="2"/>
  <c r="Y33" i="2"/>
  <c r="R595" i="2"/>
  <c r="Y595" i="2"/>
  <c r="R531" i="2"/>
  <c r="Y531" i="2"/>
  <c r="S531" i="2" s="1"/>
  <c r="R465" i="2"/>
  <c r="Y465" i="2"/>
  <c r="S465" i="2" s="1"/>
  <c r="R401" i="2"/>
  <c r="Y401" i="2"/>
  <c r="R335" i="2"/>
  <c r="Y335" i="2"/>
  <c r="R263" i="2"/>
  <c r="Y263" i="2"/>
  <c r="R197" i="2"/>
  <c r="Y197" i="2"/>
  <c r="S197" i="2" s="1"/>
  <c r="R130" i="2"/>
  <c r="Y130" i="2"/>
  <c r="R65" i="2"/>
  <c r="Y65" i="2"/>
  <c r="R565" i="2"/>
  <c r="Y565" i="2"/>
  <c r="R157" i="2"/>
  <c r="Y157" i="2"/>
  <c r="S157" i="2" s="1"/>
  <c r="R594" i="2"/>
  <c r="Y594" i="2"/>
  <c r="R530" i="2"/>
  <c r="Y530" i="2"/>
  <c r="R464" i="2"/>
  <c r="Y464" i="2"/>
  <c r="R400" i="2"/>
  <c r="Y400" i="2"/>
  <c r="S400" i="2" s="1"/>
  <c r="R334" i="2"/>
  <c r="Y334" i="2"/>
  <c r="R270" i="2"/>
  <c r="Y270" i="2"/>
  <c r="R204" i="2"/>
  <c r="Y204" i="2"/>
  <c r="S204" i="2" s="1"/>
  <c r="R137" i="2"/>
  <c r="Y137" i="2"/>
  <c r="S137" i="2" s="1"/>
  <c r="R72" i="2"/>
  <c r="Y72" i="2"/>
  <c r="R468" i="2"/>
  <c r="Y468" i="2"/>
  <c r="R649" i="2"/>
  <c r="Y649" i="2"/>
  <c r="R585" i="2"/>
  <c r="Y585" i="2"/>
  <c r="R520" i="2"/>
  <c r="Y520" i="2"/>
  <c r="R455" i="2"/>
  <c r="Y455" i="2"/>
  <c r="R391" i="2"/>
  <c r="Y391" i="2"/>
  <c r="S391" i="2" s="1"/>
  <c r="R325" i="2"/>
  <c r="Y325" i="2"/>
  <c r="S325" i="2" s="1"/>
  <c r="R261" i="2"/>
  <c r="Y261" i="2"/>
  <c r="R187" i="2"/>
  <c r="Y187" i="2"/>
  <c r="R120" i="2"/>
  <c r="Y120" i="2"/>
  <c r="R55" i="2"/>
  <c r="Y55" i="2"/>
  <c r="S55" i="2" s="1"/>
  <c r="R38" i="2"/>
  <c r="Y38" i="2"/>
  <c r="R207" i="2"/>
  <c r="Y207" i="2"/>
  <c r="R608" i="2"/>
  <c r="Y608" i="2"/>
  <c r="S608" i="2" s="1"/>
  <c r="R544" i="2"/>
  <c r="Y544" i="2"/>
  <c r="S544" i="2" s="1"/>
  <c r="R479" i="2"/>
  <c r="Y479" i="2"/>
  <c r="R414" i="2"/>
  <c r="Y414" i="2"/>
  <c r="R348" i="2"/>
  <c r="Y348" i="2"/>
  <c r="R284" i="2"/>
  <c r="Y284" i="2"/>
  <c r="S284" i="2" s="1"/>
  <c r="R218" i="2"/>
  <c r="Y218" i="2"/>
  <c r="R144" i="2"/>
  <c r="Y144" i="2"/>
  <c r="R70" i="2"/>
  <c r="Y70" i="2"/>
  <c r="R411" i="2"/>
  <c r="Y411" i="2"/>
  <c r="S411" i="2" s="1"/>
  <c r="R51" i="2"/>
  <c r="Y51" i="2"/>
  <c r="R583" i="2"/>
  <c r="Y583" i="2"/>
  <c r="R518" i="2"/>
  <c r="Y518" i="2"/>
  <c r="S518" i="2" s="1"/>
  <c r="R453" i="2"/>
  <c r="Y453" i="2"/>
  <c r="S453" i="2" s="1"/>
  <c r="R389" i="2"/>
  <c r="Y389" i="2"/>
  <c r="R323" i="2"/>
  <c r="Y323" i="2"/>
  <c r="R241" i="2"/>
  <c r="Y241" i="2"/>
  <c r="S241" i="2" s="1"/>
  <c r="R176" i="2"/>
  <c r="Y176" i="2"/>
  <c r="R110" i="2"/>
  <c r="Y110" i="2"/>
  <c r="R45" i="2"/>
  <c r="Y45" i="2"/>
  <c r="R395" i="2"/>
  <c r="Y395" i="2"/>
  <c r="R654" i="2"/>
  <c r="Y654" i="2"/>
  <c r="S654" i="2" s="1"/>
  <c r="R590" i="2"/>
  <c r="Y590" i="2"/>
  <c r="R525" i="2"/>
  <c r="Y525" i="2"/>
  <c r="R460" i="2"/>
  <c r="Y460" i="2"/>
  <c r="R396" i="2"/>
  <c r="Y396" i="2"/>
  <c r="S396" i="2" s="1"/>
  <c r="R330" i="2"/>
  <c r="Y330" i="2"/>
  <c r="R266" i="2"/>
  <c r="Y266" i="2"/>
  <c r="R200" i="2"/>
  <c r="Y200" i="2"/>
  <c r="S200" i="2" s="1"/>
  <c r="R133" i="2"/>
  <c r="Y133" i="2"/>
  <c r="S133" i="2" s="1"/>
  <c r="R68" i="2"/>
  <c r="Y68" i="2"/>
  <c r="R524" i="2"/>
  <c r="Y524" i="2"/>
  <c r="R91" i="2"/>
  <c r="Y91" i="2"/>
  <c r="S91" i="2" s="1"/>
  <c r="R291" i="2"/>
  <c r="Y291" i="2"/>
  <c r="S291" i="2" s="1"/>
  <c r="R499" i="2"/>
  <c r="Y499" i="2"/>
  <c r="R98" i="2"/>
  <c r="Y98" i="2"/>
  <c r="R498" i="2"/>
  <c r="Y498" i="2"/>
  <c r="R229" i="2"/>
  <c r="Y229" i="2"/>
  <c r="S229" i="2" s="1"/>
  <c r="R432" i="2"/>
  <c r="Y432" i="2"/>
  <c r="R617" i="2"/>
  <c r="Y617" i="2"/>
  <c r="R293" i="2"/>
  <c r="Y293" i="2"/>
  <c r="R19" i="2"/>
  <c r="Y19" i="2"/>
  <c r="S19" i="2" s="1"/>
  <c r="R250" i="2"/>
  <c r="Y250" i="2"/>
  <c r="R551" i="2"/>
  <c r="Y551" i="2"/>
  <c r="R275" i="2"/>
  <c r="Y275" i="2"/>
  <c r="R493" i="2"/>
  <c r="Y493" i="2"/>
  <c r="S493" i="2" s="1"/>
  <c r="R352" i="2"/>
  <c r="Y352" i="2"/>
  <c r="R174" i="2"/>
  <c r="Y174" i="2"/>
  <c r="R417" i="2"/>
  <c r="Y417" i="2"/>
  <c r="R147" i="2"/>
  <c r="Y147" i="2"/>
  <c r="S147" i="2" s="1"/>
  <c r="R481" i="2"/>
  <c r="Y481" i="2"/>
  <c r="R220" i="2"/>
  <c r="Y220" i="2"/>
  <c r="R67" i="2"/>
  <c r="Y67" i="2"/>
  <c r="R277" i="2"/>
  <c r="Y277" i="2"/>
  <c r="S277" i="2" s="1"/>
  <c r="R560" i="2"/>
  <c r="Y560" i="2"/>
  <c r="R234" i="2"/>
  <c r="Y234" i="2"/>
  <c r="R599" i="2"/>
  <c r="Y599" i="2"/>
  <c r="S599" i="2" s="1"/>
  <c r="R259" i="2"/>
  <c r="Y259" i="2"/>
  <c r="S259" i="2" s="1"/>
  <c r="R61" i="2"/>
  <c r="Y61" i="2"/>
  <c r="R412" i="2"/>
  <c r="Y412" i="2"/>
  <c r="R191" i="2"/>
  <c r="Y191" i="2"/>
  <c r="R588" i="2"/>
  <c r="Y588" i="2"/>
  <c r="S588" i="2" s="1"/>
  <c r="R523" i="2"/>
  <c r="Y523" i="2"/>
  <c r="R458" i="2"/>
  <c r="Y458" i="2"/>
  <c r="R394" i="2"/>
  <c r="Y394" i="2"/>
  <c r="S394" i="2" s="1"/>
  <c r="R328" i="2"/>
  <c r="Y328" i="2"/>
  <c r="S328" i="2" s="1"/>
  <c r="R264" i="2"/>
  <c r="Y264" i="2"/>
  <c r="R190" i="2"/>
  <c r="Y190" i="2"/>
  <c r="R123" i="2"/>
  <c r="Y123" i="2"/>
  <c r="S123" i="2" s="1"/>
  <c r="R58" i="2"/>
  <c r="Y58" i="2"/>
  <c r="S58" i="2" s="1"/>
  <c r="R508" i="2"/>
  <c r="Y508" i="2"/>
  <c r="R651" i="2"/>
  <c r="Y651" i="2"/>
  <c r="R587" i="2"/>
  <c r="Y587" i="2"/>
  <c r="S587" i="2" s="1"/>
  <c r="R522" i="2"/>
  <c r="Y522" i="2"/>
  <c r="S522" i="2" s="1"/>
  <c r="R457" i="2"/>
  <c r="Y457" i="2"/>
  <c r="R393" i="2"/>
  <c r="Y393" i="2"/>
  <c r="R327" i="2"/>
  <c r="Y327" i="2"/>
  <c r="S327" i="2" s="1"/>
  <c r="R253" i="2"/>
  <c r="Y253" i="2"/>
  <c r="S253" i="2" s="1"/>
  <c r="R189" i="2"/>
  <c r="Y189" i="2"/>
  <c r="R122" i="2"/>
  <c r="Y122" i="2"/>
  <c r="R57" i="2"/>
  <c r="Y57" i="2"/>
  <c r="S57" i="2" s="1"/>
  <c r="R557" i="2"/>
  <c r="Y557" i="2"/>
  <c r="S557" i="2" s="1"/>
  <c r="R83" i="2"/>
  <c r="Y83" i="2"/>
  <c r="R586" i="2"/>
  <c r="Y586" i="2"/>
  <c r="R521" i="2"/>
  <c r="Y521" i="2"/>
  <c r="S521" i="2" s="1"/>
  <c r="R456" i="2"/>
  <c r="Y456" i="2"/>
  <c r="S456" i="2" s="1"/>
  <c r="R392" i="2"/>
  <c r="Y392" i="2"/>
  <c r="R326" i="2"/>
  <c r="Y326" i="2"/>
  <c r="R262" i="2"/>
  <c r="Y262" i="2"/>
  <c r="R196" i="2"/>
  <c r="Y196" i="2"/>
  <c r="S196" i="2" s="1"/>
  <c r="R129" i="2"/>
  <c r="Y129" i="2"/>
  <c r="R64" i="2"/>
  <c r="Y64" i="2"/>
  <c r="R403" i="2"/>
  <c r="Y403" i="2"/>
  <c r="S403" i="2" s="1"/>
  <c r="R641" i="2"/>
  <c r="Y641" i="2"/>
  <c r="S641" i="2" s="1"/>
  <c r="R577" i="2"/>
  <c r="Y577" i="2"/>
  <c r="R512" i="2"/>
  <c r="Y512" i="2"/>
  <c r="R447" i="2"/>
  <c r="Y447" i="2"/>
  <c r="R381" i="2"/>
  <c r="Y381" i="2"/>
  <c r="S381" i="2" s="1"/>
  <c r="R317" i="2"/>
  <c r="Y317" i="2"/>
  <c r="R251" i="2"/>
  <c r="Y251" i="2"/>
  <c r="R178" i="2"/>
  <c r="Y178" i="2"/>
  <c r="S178" i="2" s="1"/>
  <c r="R112" i="2"/>
  <c r="Y112" i="2"/>
  <c r="S112" i="2" s="1"/>
  <c r="R47" i="2"/>
  <c r="Y47" i="2"/>
  <c r="R653" i="2"/>
  <c r="Y653" i="2"/>
  <c r="R149" i="2"/>
  <c r="Y149" i="2"/>
  <c r="S149" i="2" s="1"/>
  <c r="R600" i="2"/>
  <c r="Y600" i="2"/>
  <c r="S600" i="2" s="1"/>
  <c r="R536" i="2"/>
  <c r="Y536" i="2"/>
  <c r="R471" i="2"/>
  <c r="Y471" i="2"/>
  <c r="R406" i="2"/>
  <c r="Y406" i="2"/>
  <c r="R340" i="2"/>
  <c r="Y340" i="2"/>
  <c r="S340" i="2" s="1"/>
  <c r="R276" i="2"/>
  <c r="Y276" i="2"/>
  <c r="R210" i="2"/>
  <c r="Y210" i="2"/>
  <c r="R135" i="2"/>
  <c r="Y135" i="2"/>
  <c r="S135" i="2" s="1"/>
  <c r="R54" i="2"/>
  <c r="Y54" i="2"/>
  <c r="S54" i="2" s="1"/>
  <c r="R369" i="2"/>
  <c r="Y369" i="2"/>
  <c r="R647" i="2"/>
  <c r="Y647" i="2"/>
  <c r="R575" i="2"/>
  <c r="Y575" i="2"/>
  <c r="R510" i="2"/>
  <c r="Y510" i="2"/>
  <c r="S510" i="2" s="1"/>
  <c r="R445" i="2"/>
  <c r="Y445" i="2"/>
  <c r="R379" i="2"/>
  <c r="Y379" i="2"/>
  <c r="R315" i="2"/>
  <c r="Y315" i="2"/>
  <c r="S315" i="2" s="1"/>
  <c r="R233" i="2"/>
  <c r="Y233" i="2"/>
  <c r="S233" i="2" s="1"/>
  <c r="R167" i="2"/>
  <c r="Y167" i="2"/>
  <c r="R101" i="2"/>
  <c r="Y101" i="2"/>
  <c r="R37" i="2"/>
  <c r="Y37" i="2"/>
  <c r="R353" i="2"/>
  <c r="Y353" i="2"/>
  <c r="S353" i="2" s="1"/>
  <c r="R646" i="2"/>
  <c r="Y646" i="2"/>
  <c r="R582" i="2"/>
  <c r="Y582" i="2"/>
  <c r="R517" i="2"/>
  <c r="Y517" i="2"/>
  <c r="S517" i="2" s="1"/>
  <c r="R452" i="2"/>
  <c r="Y452" i="2"/>
  <c r="S452" i="2" s="1"/>
  <c r="R388" i="2"/>
  <c r="Y388" i="2"/>
  <c r="R322" i="2"/>
  <c r="Y322" i="2"/>
  <c r="R256" i="2"/>
  <c r="Y256" i="2"/>
  <c r="S256" i="2" s="1"/>
  <c r="R192" i="2"/>
  <c r="Y192" i="2"/>
  <c r="R125" i="2"/>
  <c r="Y125" i="2"/>
  <c r="R60" i="2"/>
  <c r="Y60" i="2"/>
  <c r="R484" i="2"/>
  <c r="Y484" i="2"/>
  <c r="S484" i="2" s="1"/>
  <c r="R23" i="2"/>
  <c r="Y23" i="2"/>
  <c r="S23" i="2" s="1"/>
  <c r="R632" i="2"/>
  <c r="Y632" i="2"/>
  <c r="R368" i="2"/>
  <c r="Y368" i="2"/>
  <c r="R313" i="2"/>
  <c r="Y313" i="2"/>
  <c r="S313" i="2" s="1"/>
  <c r="R366" i="2"/>
  <c r="Y366" i="2"/>
  <c r="S366" i="2" s="1"/>
  <c r="R171" i="2"/>
  <c r="Y171" i="2"/>
  <c r="R488" i="2"/>
  <c r="Y488" i="2"/>
  <c r="R153" i="2"/>
  <c r="Y153" i="2"/>
  <c r="S153" i="2" s="1"/>
  <c r="R511" i="2"/>
  <c r="Y511" i="2"/>
  <c r="S511" i="2" s="1"/>
  <c r="R255" i="2"/>
  <c r="Y255" i="2"/>
  <c r="R77" i="2"/>
  <c r="Y77" i="2"/>
  <c r="R428" i="2"/>
  <c r="Y428" i="2"/>
  <c r="R548" i="2"/>
  <c r="Y548" i="2"/>
  <c r="S548" i="2" s="1"/>
  <c r="R222" i="2"/>
  <c r="Y222" i="2"/>
  <c r="R611" i="2"/>
  <c r="Y611" i="2"/>
  <c r="R287" i="2"/>
  <c r="Y287" i="2"/>
  <c r="S287" i="2" s="1"/>
  <c r="R28" i="2"/>
  <c r="Y28" i="2"/>
  <c r="S28" i="2" s="1"/>
  <c r="R416" i="2"/>
  <c r="Y416" i="2"/>
  <c r="R286" i="2"/>
  <c r="Y286" i="2"/>
  <c r="R597" i="2"/>
  <c r="Y597" i="2"/>
  <c r="S597" i="2" s="1"/>
  <c r="R472" i="2"/>
  <c r="Y472" i="2"/>
  <c r="S472" i="2" s="1"/>
  <c r="R136" i="2"/>
  <c r="Y136" i="2"/>
  <c r="R345" i="2"/>
  <c r="Y345" i="2"/>
  <c r="R300" i="2"/>
  <c r="Y300" i="2"/>
  <c r="R459" i="2"/>
  <c r="Y459" i="2"/>
  <c r="S459" i="2" s="1"/>
  <c r="R405" i="2"/>
  <c r="Y405" i="2"/>
  <c r="R541" i="2"/>
  <c r="Y541" i="2"/>
  <c r="R346" i="2"/>
  <c r="Y346" i="2"/>
  <c r="S346" i="2" s="1"/>
  <c r="R150" i="2"/>
  <c r="Y150" i="2"/>
  <c r="S150" i="2" s="1"/>
  <c r="R652" i="2"/>
  <c r="Y652" i="2"/>
  <c r="R580" i="2"/>
  <c r="Y580" i="2"/>
  <c r="R515" i="2"/>
  <c r="Y515" i="2"/>
  <c r="R450" i="2"/>
  <c r="Y450" i="2"/>
  <c r="R384" i="2"/>
  <c r="Y384" i="2"/>
  <c r="R320" i="2"/>
  <c r="Y320" i="2"/>
  <c r="R254" i="2"/>
  <c r="Y254" i="2"/>
  <c r="S254" i="2" s="1"/>
  <c r="R181" i="2"/>
  <c r="Y181" i="2"/>
  <c r="S181" i="2" s="1"/>
  <c r="R115" i="2"/>
  <c r="Y115" i="2"/>
  <c r="R50" i="2"/>
  <c r="Y50" i="2"/>
  <c r="R451" i="2"/>
  <c r="Y451" i="2"/>
  <c r="R643" i="2"/>
  <c r="Y643" i="2"/>
  <c r="S643" i="2" s="1"/>
  <c r="R579" i="2"/>
  <c r="Y579" i="2"/>
  <c r="R514" i="2"/>
  <c r="Y514" i="2"/>
  <c r="R449" i="2"/>
  <c r="Y449" i="2"/>
  <c r="S449" i="2" s="1"/>
  <c r="R383" i="2"/>
  <c r="Y383" i="2"/>
  <c r="S383" i="2" s="1"/>
  <c r="R319" i="2"/>
  <c r="Y319" i="2"/>
  <c r="R245" i="2"/>
  <c r="Y245" i="2"/>
  <c r="R180" i="2"/>
  <c r="Y180" i="2"/>
  <c r="S180" i="2" s="1"/>
  <c r="R114" i="2"/>
  <c r="Y114" i="2"/>
  <c r="S114" i="2" s="1"/>
  <c r="R49" i="2"/>
  <c r="Y49" i="2"/>
  <c r="R500" i="2"/>
  <c r="Y500" i="2"/>
  <c r="R650" i="2"/>
  <c r="Y650" i="2"/>
  <c r="R578" i="2"/>
  <c r="Y578" i="2"/>
  <c r="S578" i="2" s="1"/>
  <c r="R513" i="2"/>
  <c r="Y513" i="2"/>
  <c r="R448" i="2"/>
  <c r="Y448" i="2"/>
  <c r="R382" i="2"/>
  <c r="Y382" i="2"/>
  <c r="S382" i="2" s="1"/>
  <c r="R318" i="2"/>
  <c r="Y318" i="2"/>
  <c r="R252" i="2"/>
  <c r="Y252" i="2"/>
  <c r="R188" i="2"/>
  <c r="Y188" i="2"/>
  <c r="R121" i="2"/>
  <c r="Y121" i="2"/>
  <c r="R56" i="2"/>
  <c r="Y56" i="2"/>
  <c r="S56" i="2" s="1"/>
  <c r="R289" i="2"/>
  <c r="Y289" i="2"/>
  <c r="R633" i="2"/>
  <c r="Y633" i="2"/>
  <c r="R569" i="2"/>
  <c r="Y569" i="2"/>
  <c r="S569" i="2" s="1"/>
  <c r="R504" i="2"/>
  <c r="Y504" i="2"/>
  <c r="S504" i="2" s="1"/>
  <c r="R439" i="2"/>
  <c r="Y439" i="2"/>
  <c r="R373" i="2"/>
  <c r="Y373" i="2"/>
  <c r="R309" i="2"/>
  <c r="Y309" i="2"/>
  <c r="R243" i="2"/>
  <c r="Y243" i="2"/>
  <c r="R170" i="2"/>
  <c r="Y170" i="2"/>
  <c r="R103" i="2"/>
  <c r="Y103" i="2"/>
  <c r="R39" i="2"/>
  <c r="Y39" i="2"/>
  <c r="S39" i="2" s="1"/>
  <c r="R573" i="2"/>
  <c r="Y573" i="2"/>
  <c r="S573" i="2" s="1"/>
  <c r="R99" i="2"/>
  <c r="Y99" i="2"/>
  <c r="R592" i="2"/>
  <c r="Y592" i="2"/>
  <c r="R527" i="2"/>
  <c r="Y527" i="2"/>
  <c r="R462" i="2"/>
  <c r="Y462" i="2"/>
  <c r="S462" i="2" s="1"/>
  <c r="R398" i="2"/>
  <c r="Y398" i="2"/>
  <c r="R332" i="2"/>
  <c r="Y332" i="2"/>
  <c r="R268" i="2"/>
  <c r="Y268" i="2"/>
  <c r="S268" i="2" s="1"/>
  <c r="R194" i="2"/>
  <c r="Y194" i="2"/>
  <c r="S194" i="2" s="1"/>
  <c r="R127" i="2"/>
  <c r="Y127" i="2"/>
  <c r="R26" i="2"/>
  <c r="Y26" i="2"/>
  <c r="R361" i="2"/>
  <c r="Y361" i="2"/>
  <c r="S361" i="2" s="1"/>
  <c r="R639" i="2"/>
  <c r="Y639" i="2"/>
  <c r="S639" i="2" s="1"/>
  <c r="R567" i="2"/>
  <c r="Y567" i="2"/>
  <c r="R502" i="2"/>
  <c r="Y502" i="2"/>
  <c r="R437" i="2"/>
  <c r="Y437" i="2"/>
  <c r="S437" i="2" s="1"/>
  <c r="R371" i="2"/>
  <c r="Y371" i="2"/>
  <c r="S371" i="2" s="1"/>
  <c r="R307" i="2"/>
  <c r="Y307" i="2"/>
  <c r="R225" i="2"/>
  <c r="Y225" i="2"/>
  <c r="R159" i="2"/>
  <c r="Y159" i="2"/>
  <c r="S159" i="2" s="1"/>
  <c r="R93" i="2"/>
  <c r="Y93" i="2"/>
  <c r="R25" i="2"/>
  <c r="Y25" i="2"/>
  <c r="R329" i="2"/>
  <c r="Y329" i="2"/>
  <c r="R638" i="2"/>
  <c r="Y638" i="2"/>
  <c r="R574" i="2"/>
  <c r="Y574" i="2"/>
  <c r="R509" i="2"/>
  <c r="Y509" i="2"/>
  <c r="R444" i="2"/>
  <c r="Y444" i="2"/>
  <c r="R378" i="2"/>
  <c r="Y378" i="2"/>
  <c r="S378" i="2" s="1"/>
  <c r="R314" i="2"/>
  <c r="Y314" i="2"/>
  <c r="S314" i="2" s="1"/>
  <c r="R248" i="2"/>
  <c r="Y248" i="2"/>
  <c r="R184" i="2"/>
  <c r="Y184" i="2"/>
  <c r="R117" i="2"/>
  <c r="Y117" i="2"/>
  <c r="S117" i="2" s="1"/>
  <c r="R52" i="2"/>
  <c r="Y52" i="2"/>
  <c r="S52" i="2" s="1"/>
  <c r="R443" i="2"/>
  <c r="Y443" i="2"/>
  <c r="R636" i="2"/>
  <c r="Y636" i="2"/>
  <c r="R202" i="2"/>
  <c r="Y202" i="2"/>
  <c r="S202" i="2" s="1"/>
  <c r="R304" i="2"/>
  <c r="Y304" i="2"/>
  <c r="S304" i="2" s="1"/>
  <c r="R563" i="2"/>
  <c r="Y563" i="2"/>
  <c r="R163" i="2"/>
  <c r="Y163" i="2"/>
  <c r="R562" i="2"/>
  <c r="Y562" i="2"/>
  <c r="S562" i="2" s="1"/>
  <c r="R20" i="2"/>
  <c r="Y20" i="2"/>
  <c r="S20" i="2" s="1"/>
  <c r="R227" i="2"/>
  <c r="Y227" i="2"/>
  <c r="R576" i="2"/>
  <c r="Y576" i="2"/>
  <c r="R177" i="2"/>
  <c r="Y177" i="2"/>
  <c r="S177" i="2" s="1"/>
  <c r="R355" i="2"/>
  <c r="Y355" i="2"/>
  <c r="S355" i="2" s="1"/>
  <c r="R215" i="2"/>
  <c r="Y215" i="2"/>
  <c r="R612" i="2"/>
  <c r="Y612" i="2"/>
  <c r="R418" i="2"/>
  <c r="Y418" i="2"/>
  <c r="R14" i="2"/>
  <c r="Y14" i="2"/>
  <c r="S14" i="2" s="1"/>
  <c r="R547" i="2"/>
  <c r="Y547" i="2"/>
  <c r="R213" i="2"/>
  <c r="Y213" i="2"/>
  <c r="R610" i="2"/>
  <c r="Y610" i="2"/>
  <c r="R350" i="2"/>
  <c r="Y350" i="2"/>
  <c r="S350" i="2" s="1"/>
  <c r="R88" i="2"/>
  <c r="Y88" i="2"/>
  <c r="R601" i="2"/>
  <c r="Y601" i="2"/>
  <c r="R341" i="2"/>
  <c r="Y341" i="2"/>
  <c r="S341" i="2" s="1"/>
  <c r="R62" i="2"/>
  <c r="Y62" i="2"/>
  <c r="S62" i="2" s="1"/>
  <c r="R430" i="2"/>
  <c r="Y430" i="2"/>
  <c r="R94" i="2"/>
  <c r="Y94" i="2"/>
  <c r="R535" i="2"/>
  <c r="Y535" i="2"/>
  <c r="R193" i="2"/>
  <c r="Y193" i="2"/>
  <c r="R606" i="2"/>
  <c r="Y606" i="2"/>
  <c r="R282" i="2"/>
  <c r="Y282" i="2"/>
  <c r="R16" i="2"/>
  <c r="Y16" i="2"/>
  <c r="R644" i="2"/>
  <c r="Y644" i="2"/>
  <c r="S644" i="2" s="1"/>
  <c r="R572" i="2"/>
  <c r="Y572" i="2"/>
  <c r="R507" i="2"/>
  <c r="Y507" i="2"/>
  <c r="R442" i="2"/>
  <c r="Y442" i="2"/>
  <c r="R376" i="2"/>
  <c r="Y376" i="2"/>
  <c r="S376" i="2" s="1"/>
  <c r="R312" i="2"/>
  <c r="Y312" i="2"/>
  <c r="R246" i="2"/>
  <c r="Y246" i="2"/>
  <c r="R173" i="2"/>
  <c r="Y173" i="2"/>
  <c r="S173" i="2" s="1"/>
  <c r="R107" i="2"/>
  <c r="Y107" i="2"/>
  <c r="S107" i="2" s="1"/>
  <c r="R42" i="2"/>
  <c r="Y42" i="2"/>
  <c r="R427" i="2"/>
  <c r="Y427" i="2"/>
  <c r="R635" i="2"/>
  <c r="Y635" i="2"/>
  <c r="R571" i="2"/>
  <c r="Y571" i="2"/>
  <c r="S571" i="2" s="1"/>
  <c r="R506" i="2"/>
  <c r="Y506" i="2"/>
  <c r="R441" i="2"/>
  <c r="Y441" i="2"/>
  <c r="R375" i="2"/>
  <c r="Y375" i="2"/>
  <c r="R311" i="2"/>
  <c r="Y311" i="2"/>
  <c r="S311" i="2" s="1"/>
  <c r="R237" i="2"/>
  <c r="Y237" i="2"/>
  <c r="R172" i="2"/>
  <c r="Y172" i="2"/>
  <c r="R105" i="2"/>
  <c r="Y105" i="2"/>
  <c r="S105" i="2" s="1"/>
  <c r="R41" i="2"/>
  <c r="Y41" i="2"/>
  <c r="S41" i="2" s="1"/>
  <c r="R377" i="2"/>
  <c r="Y377" i="2"/>
  <c r="R642" i="2"/>
  <c r="Y642" i="2"/>
  <c r="R570" i="2"/>
  <c r="Y570" i="2"/>
  <c r="R505" i="2"/>
  <c r="Y505" i="2"/>
  <c r="S505" i="2" s="1"/>
  <c r="R440" i="2"/>
  <c r="Y440" i="2"/>
  <c r="R374" i="2"/>
  <c r="Y374" i="2"/>
  <c r="R310" i="2"/>
  <c r="Y310" i="2"/>
  <c r="R244" i="2"/>
  <c r="Y244" i="2"/>
  <c r="S244" i="2" s="1"/>
  <c r="R179" i="2"/>
  <c r="Y179" i="2"/>
  <c r="R113" i="2"/>
  <c r="Y113" i="2"/>
  <c r="R40" i="2"/>
  <c r="Y40" i="2"/>
  <c r="S40" i="2" s="1"/>
  <c r="R239" i="2"/>
  <c r="Y239" i="2"/>
  <c r="S239" i="2" s="1"/>
  <c r="R625" i="2"/>
  <c r="Y625" i="2"/>
  <c r="R561" i="2"/>
  <c r="Y561" i="2"/>
  <c r="R496" i="2"/>
  <c r="Y496" i="2"/>
  <c r="R431" i="2"/>
  <c r="Y431" i="2"/>
  <c r="S431" i="2" s="1"/>
  <c r="R365" i="2"/>
  <c r="Y365" i="2"/>
  <c r="R301" i="2"/>
  <c r="Y301" i="2"/>
  <c r="R235" i="2"/>
  <c r="Y235" i="2"/>
  <c r="S235" i="2" s="1"/>
  <c r="R161" i="2"/>
  <c r="Y161" i="2"/>
  <c r="R95" i="2"/>
  <c r="Y95" i="2"/>
  <c r="R27" i="2"/>
  <c r="Y27" i="2"/>
  <c r="R533" i="2"/>
  <c r="Y533" i="2"/>
  <c r="S533" i="2" s="1"/>
  <c r="R43" i="2"/>
  <c r="Y43" i="2"/>
  <c r="S43" i="2" s="1"/>
  <c r="R584" i="2"/>
  <c r="Y584" i="2"/>
  <c r="R519" i="2"/>
  <c r="Y519" i="2"/>
  <c r="R454" i="2"/>
  <c r="Y454" i="2"/>
  <c r="S454" i="2" s="1"/>
  <c r="R390" i="2"/>
  <c r="Y390" i="2"/>
  <c r="S390" i="2" s="1"/>
  <c r="R324" i="2"/>
  <c r="Y324" i="2"/>
  <c r="R260" i="2"/>
  <c r="Y260" i="2"/>
  <c r="R186" i="2"/>
  <c r="Y186" i="2"/>
  <c r="R119" i="2"/>
  <c r="Y119" i="2"/>
  <c r="S119" i="2" s="1"/>
  <c r="R18" i="2"/>
  <c r="Y18" i="2"/>
  <c r="R305" i="2"/>
  <c r="Y305" i="2"/>
  <c r="R623" i="2"/>
  <c r="Y623" i="2"/>
  <c r="R559" i="2"/>
  <c r="Y559" i="2"/>
  <c r="S559" i="2" s="1"/>
  <c r="R494" i="2"/>
  <c r="Y494" i="2"/>
  <c r="R429" i="2"/>
  <c r="Y429" i="2"/>
  <c r="R363" i="2"/>
  <c r="Y363" i="2"/>
  <c r="S363" i="2" s="1"/>
  <c r="R299" i="2"/>
  <c r="Y299" i="2"/>
  <c r="S299" i="2" s="1"/>
  <c r="R217" i="2"/>
  <c r="Y217" i="2"/>
  <c r="R151" i="2"/>
  <c r="Y151" i="2"/>
  <c r="R85" i="2"/>
  <c r="Y85" i="2"/>
  <c r="S85" i="2" s="1"/>
  <c r="R17" i="2"/>
  <c r="Y17" i="2"/>
  <c r="S17" i="2" s="1"/>
  <c r="R273" i="2"/>
  <c r="Y273" i="2"/>
  <c r="R630" i="2"/>
  <c r="Y630" i="2"/>
  <c r="R566" i="2"/>
  <c r="Y566" i="2"/>
  <c r="S566" i="2" s="1"/>
  <c r="R501" i="2"/>
  <c r="Y501" i="2"/>
  <c r="S501" i="2" s="1"/>
  <c r="R436" i="2"/>
  <c r="Y436" i="2"/>
  <c r="R370" i="2"/>
  <c r="Y370" i="2"/>
  <c r="R306" i="2"/>
  <c r="Y306" i="2"/>
  <c r="R240" i="2"/>
  <c r="Y240" i="2"/>
  <c r="S240" i="2" s="1"/>
  <c r="R175" i="2"/>
  <c r="Y175" i="2"/>
  <c r="R109" i="2"/>
  <c r="Y109" i="2"/>
  <c r="R44" i="2"/>
  <c r="Y44" i="2"/>
  <c r="S44" i="2" s="1"/>
  <c r="R419" i="2"/>
  <c r="Y419" i="2"/>
  <c r="S419" i="2" s="1"/>
  <c r="R214" i="2"/>
  <c r="Y214" i="2"/>
  <c r="R631" i="2"/>
  <c r="Y631" i="2"/>
  <c r="R13" i="2"/>
  <c r="F15" i="39"/>
  <c r="H30" i="38"/>
  <c r="Z628" i="2"/>
  <c r="AA628" i="2"/>
  <c r="AA164" i="2"/>
  <c r="Z164" i="2"/>
  <c r="Z433" i="2"/>
  <c r="AA433" i="2"/>
  <c r="Z97" i="2"/>
  <c r="AA97" i="2"/>
  <c r="Z432" i="2"/>
  <c r="AA432" i="2"/>
  <c r="Z183" i="2"/>
  <c r="AA183" i="2"/>
  <c r="Z227" i="2"/>
  <c r="AA227" i="2"/>
  <c r="Z511" i="2"/>
  <c r="AA511" i="2"/>
  <c r="Z255" i="2"/>
  <c r="AA255" i="2"/>
  <c r="Z77" i="2"/>
  <c r="AA77" i="2"/>
  <c r="AA622" i="2"/>
  <c r="Z622" i="2"/>
  <c r="Z493" i="2"/>
  <c r="AA493" i="2"/>
  <c r="AA100" i="2"/>
  <c r="Z100" i="2"/>
  <c r="AA36" i="2"/>
  <c r="Z36" i="2"/>
  <c r="AA297" i="2"/>
  <c r="Z297" i="2"/>
  <c r="AA283" i="2"/>
  <c r="Z283" i="2"/>
  <c r="Z620" i="2"/>
  <c r="AA620" i="2"/>
  <c r="Z556" i="2"/>
  <c r="AA556" i="2"/>
  <c r="Z491" i="2"/>
  <c r="AA491" i="2"/>
  <c r="Z426" i="2"/>
  <c r="AA426" i="2"/>
  <c r="Z360" i="2"/>
  <c r="AA360" i="2"/>
  <c r="Z296" i="2"/>
  <c r="AA296" i="2"/>
  <c r="Z230" i="2"/>
  <c r="AA230" i="2"/>
  <c r="AA156" i="2"/>
  <c r="Z156" i="2"/>
  <c r="AA90" i="2"/>
  <c r="Z90" i="2"/>
  <c r="Z22" i="2"/>
  <c r="AA22" i="2"/>
  <c r="Z223" i="2"/>
  <c r="AA223" i="2"/>
  <c r="AA619" i="2"/>
  <c r="Z619" i="2"/>
  <c r="AA555" i="2"/>
  <c r="Z555" i="2"/>
  <c r="Z490" i="2"/>
  <c r="AA490" i="2"/>
  <c r="Z425" i="2"/>
  <c r="AA425" i="2"/>
  <c r="Z359" i="2"/>
  <c r="AA359" i="2"/>
  <c r="Z295" i="2"/>
  <c r="AA295" i="2"/>
  <c r="Z221" i="2"/>
  <c r="AA221" i="2"/>
  <c r="Z155" i="2"/>
  <c r="AA155" i="2"/>
  <c r="Z89" i="2"/>
  <c r="AA89" i="2"/>
  <c r="Z21" i="2"/>
  <c r="AA21" i="2"/>
  <c r="Z48" i="2"/>
  <c r="AA48" i="2"/>
  <c r="AA321" i="2"/>
  <c r="Z321" i="2"/>
  <c r="Z626" i="2"/>
  <c r="AA626" i="2"/>
  <c r="Z554" i="2"/>
  <c r="AA554" i="2"/>
  <c r="Z489" i="2"/>
  <c r="AA489" i="2"/>
  <c r="Z424" i="2"/>
  <c r="AA424" i="2"/>
  <c r="Z358" i="2"/>
  <c r="AA358" i="2"/>
  <c r="Z294" i="2"/>
  <c r="AA294" i="2"/>
  <c r="AA228" i="2"/>
  <c r="Z228" i="2"/>
  <c r="AA162" i="2"/>
  <c r="Z162" i="2"/>
  <c r="Z96" i="2"/>
  <c r="AA96" i="2"/>
  <c r="Z645" i="2"/>
  <c r="AA645" i="2"/>
  <c r="AA108" i="2"/>
  <c r="Z108" i="2"/>
  <c r="Z609" i="2"/>
  <c r="AA609" i="2"/>
  <c r="Z545" i="2"/>
  <c r="AA545" i="2"/>
  <c r="Z480" i="2"/>
  <c r="AA480" i="2"/>
  <c r="Z415" i="2"/>
  <c r="AA415" i="2"/>
  <c r="Z349" i="2"/>
  <c r="AA349" i="2"/>
  <c r="Z285" i="2"/>
  <c r="AA285" i="2"/>
  <c r="Z219" i="2"/>
  <c r="AA219" i="2"/>
  <c r="Z145" i="2"/>
  <c r="AA145" i="2"/>
  <c r="Z79" i="2"/>
  <c r="AA79" i="2"/>
  <c r="Z86" i="2"/>
  <c r="AA86" i="2"/>
  <c r="Z386" i="2"/>
  <c r="AA386" i="2"/>
  <c r="Z640" i="2"/>
  <c r="AA640" i="2"/>
  <c r="Z568" i="2"/>
  <c r="AA568" i="2"/>
  <c r="Z503" i="2"/>
  <c r="AA503" i="2"/>
  <c r="Z438" i="2"/>
  <c r="AA438" i="2"/>
  <c r="AA372" i="2"/>
  <c r="Z372" i="2"/>
  <c r="Z308" i="2"/>
  <c r="AA308" i="2"/>
  <c r="AA242" i="2"/>
  <c r="Z242" i="2"/>
  <c r="Z168" i="2"/>
  <c r="AA168" i="2"/>
  <c r="Z102" i="2"/>
  <c r="AA102" i="2"/>
  <c r="Z549" i="2"/>
  <c r="AA549" i="2"/>
  <c r="Z199" i="2"/>
  <c r="AA199" i="2"/>
  <c r="Z607" i="2"/>
  <c r="AA607" i="2"/>
  <c r="Z543" i="2"/>
  <c r="AA543" i="2"/>
  <c r="Z478" i="2"/>
  <c r="AA478" i="2"/>
  <c r="Z413" i="2"/>
  <c r="AA413" i="2"/>
  <c r="Z347" i="2"/>
  <c r="AA347" i="2"/>
  <c r="AA267" i="2"/>
  <c r="Z267" i="2"/>
  <c r="Z201" i="2"/>
  <c r="AA201" i="2"/>
  <c r="Z134" i="2"/>
  <c r="AA134" i="2"/>
  <c r="Z69" i="2"/>
  <c r="AA69" i="2"/>
  <c r="Z589" i="2"/>
  <c r="AA589" i="2"/>
  <c r="Z165" i="2"/>
  <c r="AA165" i="2"/>
  <c r="AA614" i="2"/>
  <c r="Z614" i="2"/>
  <c r="AA550" i="2"/>
  <c r="Z550" i="2"/>
  <c r="Z485" i="2"/>
  <c r="AA485" i="2"/>
  <c r="AA420" i="2"/>
  <c r="Z420" i="2"/>
  <c r="Z354" i="2"/>
  <c r="AA354" i="2"/>
  <c r="Z290" i="2"/>
  <c r="AA290" i="2"/>
  <c r="Z224" i="2"/>
  <c r="AA224" i="2"/>
  <c r="Z158" i="2"/>
  <c r="AA158" i="2"/>
  <c r="AA92" i="2"/>
  <c r="Z92" i="2"/>
  <c r="Z24" i="2"/>
  <c r="AA24" i="2"/>
  <c r="Z247" i="2"/>
  <c r="AA247" i="2"/>
  <c r="Z271" i="2"/>
  <c r="AA271" i="2"/>
  <c r="Z564" i="2"/>
  <c r="AA564" i="2"/>
  <c r="Z31" i="2"/>
  <c r="AA31" i="2"/>
  <c r="Z367" i="2"/>
  <c r="AA367" i="2"/>
  <c r="Z562" i="2"/>
  <c r="AA562" i="2"/>
  <c r="AA20" i="2"/>
  <c r="Z20" i="2"/>
  <c r="Z293" i="2"/>
  <c r="AA293" i="2"/>
  <c r="Z576" i="2"/>
  <c r="AA576" i="2"/>
  <c r="Z111" i="2"/>
  <c r="AA111" i="2"/>
  <c r="Z486" i="2"/>
  <c r="AA486" i="2"/>
  <c r="Z215" i="2"/>
  <c r="AA215" i="2"/>
  <c r="Z232" i="2"/>
  <c r="AA232" i="2"/>
  <c r="Z288" i="2"/>
  <c r="AA288" i="2"/>
  <c r="Z14" i="2"/>
  <c r="AA14" i="2"/>
  <c r="Z174" i="2"/>
  <c r="AA174" i="2"/>
  <c r="AA611" i="2"/>
  <c r="Z611" i="2"/>
  <c r="AA547" i="2"/>
  <c r="Z547" i="2"/>
  <c r="Z482" i="2"/>
  <c r="AA482" i="2"/>
  <c r="Z417" i="2"/>
  <c r="AA417" i="2"/>
  <c r="Z351" i="2"/>
  <c r="AA351" i="2"/>
  <c r="Z287" i="2"/>
  <c r="AA287" i="2"/>
  <c r="Z213" i="2"/>
  <c r="AA213" i="2"/>
  <c r="Z147" i="2"/>
  <c r="AA147" i="2"/>
  <c r="Z81" i="2"/>
  <c r="AA81" i="2"/>
  <c r="AA28" i="2"/>
  <c r="Z28" i="2"/>
  <c r="AA281" i="2"/>
  <c r="Z281" i="2"/>
  <c r="Z610" i="2"/>
  <c r="AA610" i="2"/>
  <c r="Z546" i="2"/>
  <c r="AA546" i="2"/>
  <c r="Z481" i="2"/>
  <c r="AA481" i="2"/>
  <c r="Z416" i="2"/>
  <c r="AA416" i="2"/>
  <c r="Z350" i="2"/>
  <c r="AA350" i="2"/>
  <c r="Z286" i="2"/>
  <c r="AA286" i="2"/>
  <c r="AA220" i="2"/>
  <c r="Z220" i="2"/>
  <c r="AA154" i="2"/>
  <c r="Z154" i="2"/>
  <c r="Z88" i="2"/>
  <c r="AA88" i="2"/>
  <c r="Z597" i="2"/>
  <c r="AA597" i="2"/>
  <c r="Z67" i="2"/>
  <c r="AA67" i="2"/>
  <c r="Z601" i="2"/>
  <c r="AA601" i="2"/>
  <c r="Z537" i="2"/>
  <c r="AA537" i="2"/>
  <c r="Z472" i="2"/>
  <c r="AA472" i="2"/>
  <c r="Z407" i="2"/>
  <c r="AA407" i="2"/>
  <c r="Z341" i="2"/>
  <c r="AA341" i="2"/>
  <c r="Z277" i="2"/>
  <c r="AA277" i="2"/>
  <c r="Z211" i="2"/>
  <c r="AA211" i="2"/>
  <c r="Z136" i="2"/>
  <c r="AA136" i="2"/>
  <c r="Z71" i="2"/>
  <c r="AA71" i="2"/>
  <c r="Z62" i="2"/>
  <c r="AA62" i="2"/>
  <c r="Z345" i="2"/>
  <c r="AA345" i="2"/>
  <c r="Z624" i="2"/>
  <c r="AA624" i="2"/>
  <c r="Z560" i="2"/>
  <c r="AA560" i="2"/>
  <c r="Z495" i="2"/>
  <c r="AA495" i="2"/>
  <c r="Z430" i="2"/>
  <c r="AA430" i="2"/>
  <c r="AA364" i="2"/>
  <c r="Z364" i="2"/>
  <c r="Z300" i="2"/>
  <c r="AA300" i="2"/>
  <c r="AA234" i="2"/>
  <c r="Z234" i="2"/>
  <c r="Z160" i="2"/>
  <c r="AA160" i="2"/>
  <c r="Z94" i="2"/>
  <c r="AA94" i="2"/>
  <c r="Z459" i="2"/>
  <c r="AA459" i="2"/>
  <c r="Z141" i="2"/>
  <c r="AA141" i="2"/>
  <c r="Z599" i="2"/>
  <c r="AA599" i="2"/>
  <c r="Z535" i="2"/>
  <c r="AA535" i="2"/>
  <c r="Z470" i="2"/>
  <c r="AA470" i="2"/>
  <c r="Z405" i="2"/>
  <c r="AA405" i="2"/>
  <c r="AA339" i="2"/>
  <c r="Z339" i="2"/>
  <c r="AA259" i="2"/>
  <c r="Z259" i="2"/>
  <c r="Z193" i="2"/>
  <c r="AA193" i="2"/>
  <c r="Z126" i="2"/>
  <c r="AA126" i="2"/>
  <c r="Z61" i="2"/>
  <c r="AA61" i="2"/>
  <c r="Z541" i="2"/>
  <c r="AA541" i="2"/>
  <c r="AA116" i="2"/>
  <c r="Z116" i="2"/>
  <c r="AA606" i="2"/>
  <c r="Z606" i="2"/>
  <c r="AA542" i="2"/>
  <c r="Z542" i="2"/>
  <c r="Z477" i="2"/>
  <c r="AA477" i="2"/>
  <c r="AA412" i="2"/>
  <c r="Z412" i="2"/>
  <c r="AA346" i="2"/>
  <c r="Z346" i="2"/>
  <c r="Z282" i="2"/>
  <c r="AA282" i="2"/>
  <c r="Z216" i="2"/>
  <c r="AA216" i="2"/>
  <c r="Z150" i="2"/>
  <c r="AA150" i="2"/>
  <c r="AA84" i="2"/>
  <c r="Z84" i="2"/>
  <c r="Z16" i="2"/>
  <c r="AA16" i="2"/>
  <c r="Z191" i="2"/>
  <c r="AA191" i="2"/>
  <c r="Z618" i="2"/>
  <c r="AA618" i="2"/>
  <c r="Z499" i="2"/>
  <c r="AA499" i="2"/>
  <c r="AA98" i="2"/>
  <c r="Z98" i="2"/>
  <c r="Z229" i="2"/>
  <c r="AA229" i="2"/>
  <c r="Z634" i="2"/>
  <c r="AA634" i="2"/>
  <c r="AA236" i="2"/>
  <c r="Z236" i="2"/>
  <c r="Z488" i="2"/>
  <c r="AA488" i="2"/>
  <c r="Z153" i="2"/>
  <c r="AA153" i="2"/>
  <c r="AA380" i="2"/>
  <c r="Z380" i="2"/>
  <c r="Z615" i="2"/>
  <c r="AA615" i="2"/>
  <c r="Z637" i="2"/>
  <c r="AA637" i="2"/>
  <c r="Z298" i="2"/>
  <c r="AA298" i="2"/>
  <c r="Z548" i="2"/>
  <c r="AA548" i="2"/>
  <c r="Z222" i="2"/>
  <c r="AA222" i="2"/>
  <c r="AA148" i="2"/>
  <c r="Z148" i="2"/>
  <c r="Z540" i="2"/>
  <c r="AA540" i="2"/>
  <c r="Z344" i="2"/>
  <c r="AA344" i="2"/>
  <c r="Z206" i="2"/>
  <c r="AA206" i="2"/>
  <c r="AA74" i="2"/>
  <c r="Z74" i="2"/>
  <c r="Z629" i="2"/>
  <c r="AA629" i="2"/>
  <c r="AA124" i="2"/>
  <c r="Z124" i="2"/>
  <c r="AA603" i="2"/>
  <c r="Z603" i="2"/>
  <c r="AA539" i="2"/>
  <c r="Z539" i="2"/>
  <c r="Z474" i="2"/>
  <c r="AA474" i="2"/>
  <c r="Z409" i="2"/>
  <c r="AA409" i="2"/>
  <c r="Z343" i="2"/>
  <c r="AA343" i="2"/>
  <c r="Z279" i="2"/>
  <c r="AA279" i="2"/>
  <c r="Z205" i="2"/>
  <c r="AA205" i="2"/>
  <c r="AA138" i="2"/>
  <c r="Z138" i="2"/>
  <c r="Z73" i="2"/>
  <c r="AA73" i="2"/>
  <c r="Z621" i="2"/>
  <c r="AA621" i="2"/>
  <c r="Z231" i="2"/>
  <c r="AA231" i="2"/>
  <c r="Z602" i="2"/>
  <c r="AA602" i="2"/>
  <c r="Z538" i="2"/>
  <c r="AA538" i="2"/>
  <c r="Z473" i="2"/>
  <c r="AA473" i="2"/>
  <c r="Z408" i="2"/>
  <c r="AA408" i="2"/>
  <c r="AA342" i="2"/>
  <c r="Z342" i="2"/>
  <c r="Z278" i="2"/>
  <c r="AA278" i="2"/>
  <c r="AA212" i="2"/>
  <c r="Z212" i="2"/>
  <c r="AA146" i="2"/>
  <c r="Z146" i="2"/>
  <c r="Z80" i="2"/>
  <c r="AA80" i="2"/>
  <c r="Z516" i="2"/>
  <c r="AA516" i="2"/>
  <c r="Z15" i="2"/>
  <c r="AA15" i="2"/>
  <c r="Z593" i="2"/>
  <c r="AA593" i="2"/>
  <c r="Z528" i="2"/>
  <c r="AA528" i="2"/>
  <c r="Z463" i="2"/>
  <c r="AA463" i="2"/>
  <c r="Z399" i="2"/>
  <c r="AA399" i="2"/>
  <c r="Z333" i="2"/>
  <c r="AA333" i="2"/>
  <c r="Z269" i="2"/>
  <c r="AA269" i="2"/>
  <c r="Z203" i="2"/>
  <c r="AA203" i="2"/>
  <c r="Z128" i="2"/>
  <c r="AA128" i="2"/>
  <c r="Z63" i="2"/>
  <c r="AA63" i="2"/>
  <c r="Z46" i="2"/>
  <c r="AA46" i="2"/>
  <c r="AA265" i="2"/>
  <c r="Z265" i="2"/>
  <c r="Z616" i="2"/>
  <c r="AA616" i="2"/>
  <c r="Z552" i="2"/>
  <c r="AA552" i="2"/>
  <c r="Z487" i="2"/>
  <c r="AA487" i="2"/>
  <c r="Z422" i="2"/>
  <c r="AA422" i="2"/>
  <c r="AA356" i="2"/>
  <c r="Z356" i="2"/>
  <c r="Z292" i="2"/>
  <c r="AA292" i="2"/>
  <c r="AA226" i="2"/>
  <c r="Z226" i="2"/>
  <c r="Z152" i="2"/>
  <c r="AA152" i="2"/>
  <c r="Z78" i="2"/>
  <c r="AA78" i="2"/>
  <c r="Z435" i="2"/>
  <c r="AA435" i="2"/>
  <c r="Z75" i="2"/>
  <c r="AA75" i="2"/>
  <c r="Z591" i="2"/>
  <c r="AA591" i="2"/>
  <c r="AA526" i="2"/>
  <c r="Z526" i="2"/>
  <c r="Z461" i="2"/>
  <c r="AA461" i="2"/>
  <c r="Z397" i="2"/>
  <c r="AA397" i="2"/>
  <c r="Z331" i="2"/>
  <c r="AA331" i="2"/>
  <c r="Z249" i="2"/>
  <c r="AA249" i="2"/>
  <c r="Z185" i="2"/>
  <c r="AA185" i="2"/>
  <c r="Z118" i="2"/>
  <c r="AA118" i="2"/>
  <c r="Z53" i="2"/>
  <c r="AA53" i="2"/>
  <c r="AA492" i="2"/>
  <c r="Z492" i="2"/>
  <c r="Z59" i="2"/>
  <c r="AA59" i="2"/>
  <c r="AA598" i="2"/>
  <c r="Z598" i="2"/>
  <c r="AA534" i="2"/>
  <c r="Z534" i="2"/>
  <c r="Z469" i="2"/>
  <c r="AA469" i="2"/>
  <c r="AA404" i="2"/>
  <c r="Z404" i="2"/>
  <c r="Z338" i="2"/>
  <c r="AA338" i="2"/>
  <c r="Z274" i="2"/>
  <c r="AA274" i="2"/>
  <c r="Z208" i="2"/>
  <c r="AA208" i="2"/>
  <c r="Z142" i="2"/>
  <c r="AA142" i="2"/>
  <c r="AA76" i="2"/>
  <c r="Z76" i="2"/>
  <c r="Z613" i="2"/>
  <c r="AA613" i="2"/>
  <c r="AA132" i="2"/>
  <c r="Z132" i="2"/>
  <c r="Z195" i="2"/>
  <c r="AA195" i="2"/>
  <c r="Z368" i="2"/>
  <c r="AA368" i="2"/>
  <c r="AA627" i="2"/>
  <c r="Z627" i="2"/>
  <c r="Z303" i="2"/>
  <c r="AA303" i="2"/>
  <c r="Z337" i="2"/>
  <c r="AA337" i="2"/>
  <c r="Z104" i="2"/>
  <c r="AA104" i="2"/>
  <c r="Z357" i="2"/>
  <c r="AA357" i="2"/>
  <c r="Z19" i="2"/>
  <c r="AA19" i="2"/>
  <c r="Z177" i="2"/>
  <c r="AA177" i="2"/>
  <c r="Z605" i="2"/>
  <c r="AA605" i="2"/>
  <c r="Z209" i="2"/>
  <c r="AA209" i="2"/>
  <c r="AA428" i="2"/>
  <c r="Z428" i="2"/>
  <c r="Z483" i="2"/>
  <c r="AA483" i="2"/>
  <c r="AA82" i="2"/>
  <c r="Z82" i="2"/>
  <c r="Z475" i="2"/>
  <c r="AA475" i="2"/>
  <c r="Z280" i="2"/>
  <c r="AA280" i="2"/>
  <c r="AA140" i="2"/>
  <c r="Z140" i="2"/>
  <c r="Z596" i="2"/>
  <c r="AA596" i="2"/>
  <c r="Z532" i="2"/>
  <c r="AA532" i="2"/>
  <c r="Z467" i="2"/>
  <c r="AA467" i="2"/>
  <c r="Z402" i="2"/>
  <c r="AA402" i="2"/>
  <c r="Z336" i="2"/>
  <c r="AA336" i="2"/>
  <c r="Z272" i="2"/>
  <c r="AA272" i="2"/>
  <c r="Z198" i="2"/>
  <c r="AA198" i="2"/>
  <c r="Z131" i="2"/>
  <c r="AA131" i="2"/>
  <c r="AA66" i="2"/>
  <c r="Z66" i="2"/>
  <c r="Z581" i="2"/>
  <c r="AA581" i="2"/>
  <c r="Z33" i="2"/>
  <c r="AA33" i="2"/>
  <c r="AA595" i="2"/>
  <c r="Z595" i="2"/>
  <c r="AA531" i="2"/>
  <c r="Z531" i="2"/>
  <c r="Z465" i="2"/>
  <c r="AA465" i="2"/>
  <c r="Z401" i="2"/>
  <c r="AA401" i="2"/>
  <c r="AA335" i="2"/>
  <c r="Z335" i="2"/>
  <c r="Z263" i="2"/>
  <c r="AA263" i="2"/>
  <c r="Z197" i="2"/>
  <c r="AA197" i="2"/>
  <c r="AA130" i="2"/>
  <c r="Z130" i="2"/>
  <c r="Z65" i="2"/>
  <c r="AA65" i="2"/>
  <c r="Z565" i="2"/>
  <c r="AA565" i="2"/>
  <c r="Z157" i="2"/>
  <c r="AA157" i="2"/>
  <c r="Z594" i="2"/>
  <c r="AA594" i="2"/>
  <c r="Z530" i="2"/>
  <c r="AA530" i="2"/>
  <c r="Z464" i="2"/>
  <c r="AA464" i="2"/>
  <c r="Z400" i="2"/>
  <c r="AA400" i="2"/>
  <c r="Z334" i="2"/>
  <c r="AA334" i="2"/>
  <c r="Z270" i="2"/>
  <c r="AA270" i="2"/>
  <c r="AA204" i="2"/>
  <c r="Z204" i="2"/>
  <c r="Z137" i="2"/>
  <c r="AA137" i="2"/>
  <c r="Z72" i="2"/>
  <c r="AA72" i="2"/>
  <c r="AA468" i="2"/>
  <c r="Z468" i="2"/>
  <c r="Z649" i="2"/>
  <c r="AA649" i="2"/>
  <c r="Z585" i="2"/>
  <c r="AA585" i="2"/>
  <c r="Z520" i="2"/>
  <c r="AA520" i="2"/>
  <c r="Z455" i="2"/>
  <c r="AA455" i="2"/>
  <c r="Z391" i="2"/>
  <c r="AA391" i="2"/>
  <c r="Z325" i="2"/>
  <c r="AA325" i="2"/>
  <c r="Z261" i="2"/>
  <c r="AA261" i="2"/>
  <c r="Z187" i="2"/>
  <c r="AA187" i="2"/>
  <c r="Z120" i="2"/>
  <c r="AA120" i="2"/>
  <c r="Z55" i="2"/>
  <c r="AA55" i="2"/>
  <c r="Z38" i="2"/>
  <c r="AA38" i="2"/>
  <c r="Z207" i="2"/>
  <c r="AA207" i="2"/>
  <c r="Z608" i="2"/>
  <c r="AA608" i="2"/>
  <c r="Z544" i="2"/>
  <c r="AA544" i="2"/>
  <c r="Z479" i="2"/>
  <c r="AA479" i="2"/>
  <c r="Z414" i="2"/>
  <c r="AA414" i="2"/>
  <c r="Z348" i="2"/>
  <c r="AA348" i="2"/>
  <c r="Z284" i="2"/>
  <c r="AA284" i="2"/>
  <c r="AA218" i="2"/>
  <c r="Z218" i="2"/>
  <c r="Z144" i="2"/>
  <c r="AA144" i="2"/>
  <c r="Z70" i="2"/>
  <c r="AA70" i="2"/>
  <c r="Z411" i="2"/>
  <c r="AA411" i="2"/>
  <c r="Z51" i="2"/>
  <c r="AA51" i="2"/>
  <c r="Z583" i="2"/>
  <c r="AA583" i="2"/>
  <c r="AA518" i="2"/>
  <c r="Z518" i="2"/>
  <c r="Z453" i="2"/>
  <c r="AA453" i="2"/>
  <c r="Z389" i="2"/>
  <c r="AA389" i="2"/>
  <c r="AA323" i="2"/>
  <c r="Z323" i="2"/>
  <c r="Z241" i="2"/>
  <c r="AA241" i="2"/>
  <c r="Z176" i="2"/>
  <c r="AA176" i="2"/>
  <c r="Z110" i="2"/>
  <c r="AA110" i="2"/>
  <c r="Z45" i="2"/>
  <c r="AA45" i="2"/>
  <c r="Z395" i="2"/>
  <c r="AA395" i="2"/>
  <c r="AA654" i="2"/>
  <c r="Z654" i="2"/>
  <c r="AA590" i="2"/>
  <c r="Z590" i="2"/>
  <c r="Z525" i="2"/>
  <c r="AA525" i="2"/>
  <c r="AA460" i="2"/>
  <c r="Z460" i="2"/>
  <c r="AA396" i="2"/>
  <c r="Z396" i="2"/>
  <c r="Z330" i="2"/>
  <c r="AA330" i="2"/>
  <c r="Z266" i="2"/>
  <c r="AA266" i="2"/>
  <c r="Z200" i="2"/>
  <c r="AA200" i="2"/>
  <c r="Z133" i="2"/>
  <c r="AA133" i="2"/>
  <c r="AA68" i="2"/>
  <c r="Z68" i="2"/>
  <c r="Z524" i="2"/>
  <c r="AA524" i="2"/>
  <c r="Z91" i="2"/>
  <c r="AA91" i="2"/>
  <c r="AA291" i="2"/>
  <c r="Z291" i="2"/>
  <c r="Z434" i="2"/>
  <c r="AA434" i="2"/>
  <c r="AA563" i="2"/>
  <c r="Z563" i="2"/>
  <c r="Z13" i="2"/>
  <c r="AA13" i="2"/>
  <c r="Z366" i="2"/>
  <c r="AA366" i="2"/>
  <c r="Z617" i="2"/>
  <c r="AA617" i="2"/>
  <c r="AA476" i="2"/>
  <c r="Z476" i="2"/>
  <c r="AA250" i="2"/>
  <c r="Z250" i="2"/>
  <c r="Z355" i="2"/>
  <c r="AA355" i="2"/>
  <c r="Z143" i="2"/>
  <c r="AA143" i="2"/>
  <c r="Z362" i="2"/>
  <c r="AA362" i="2"/>
  <c r="Z352" i="2"/>
  <c r="AA352" i="2"/>
  <c r="Z604" i="2"/>
  <c r="AA604" i="2"/>
  <c r="Z410" i="2"/>
  <c r="AA410" i="2"/>
  <c r="Z588" i="2"/>
  <c r="AA588" i="2"/>
  <c r="AA523" i="2"/>
  <c r="Z523" i="2"/>
  <c r="Z458" i="2"/>
  <c r="AA458" i="2"/>
  <c r="Z394" i="2"/>
  <c r="AA394" i="2"/>
  <c r="Z328" i="2"/>
  <c r="AA328" i="2"/>
  <c r="Z264" i="2"/>
  <c r="AA264" i="2"/>
  <c r="Z190" i="2"/>
  <c r="AA190" i="2"/>
  <c r="Z123" i="2"/>
  <c r="AA123" i="2"/>
  <c r="AA58" i="2"/>
  <c r="Z58" i="2"/>
  <c r="AA508" i="2"/>
  <c r="Z508" i="2"/>
  <c r="AA651" i="2"/>
  <c r="Z651" i="2"/>
  <c r="AA587" i="2"/>
  <c r="Z587" i="2"/>
  <c r="Z522" i="2"/>
  <c r="AA522" i="2"/>
  <c r="Z457" i="2"/>
  <c r="AA457" i="2"/>
  <c r="Z393" i="2"/>
  <c r="AA393" i="2"/>
  <c r="Z327" i="2"/>
  <c r="AA327" i="2"/>
  <c r="Z253" i="2"/>
  <c r="AA253" i="2"/>
  <c r="Z189" i="2"/>
  <c r="AA189" i="2"/>
  <c r="AA122" i="2"/>
  <c r="Z122" i="2"/>
  <c r="Z57" i="2"/>
  <c r="AA57" i="2"/>
  <c r="Z557" i="2"/>
  <c r="AA557" i="2"/>
  <c r="Z83" i="2"/>
  <c r="AA83" i="2"/>
  <c r="Z586" i="2"/>
  <c r="AA586" i="2"/>
  <c r="Z521" i="2"/>
  <c r="AA521" i="2"/>
  <c r="Z456" i="2"/>
  <c r="AA456" i="2"/>
  <c r="Z392" i="2"/>
  <c r="AA392" i="2"/>
  <c r="Z326" i="2"/>
  <c r="AA326" i="2"/>
  <c r="Z262" i="2"/>
  <c r="AA262" i="2"/>
  <c r="AA196" i="2"/>
  <c r="Z196" i="2"/>
  <c r="Z129" i="2"/>
  <c r="AA129" i="2"/>
  <c r="Z64" i="2"/>
  <c r="AA64" i="2"/>
  <c r="Z403" i="2"/>
  <c r="AA403" i="2"/>
  <c r="Z641" i="2"/>
  <c r="AA641" i="2"/>
  <c r="Z577" i="2"/>
  <c r="AA577" i="2"/>
  <c r="Z512" i="2"/>
  <c r="AA512" i="2"/>
  <c r="Z447" i="2"/>
  <c r="AA447" i="2"/>
  <c r="Z381" i="2"/>
  <c r="AA381" i="2"/>
  <c r="Z317" i="2"/>
  <c r="AA317" i="2"/>
  <c r="Z251" i="2"/>
  <c r="AA251" i="2"/>
  <c r="AA178" i="2"/>
  <c r="Z178" i="2"/>
  <c r="Z112" i="2"/>
  <c r="AA112" i="2"/>
  <c r="Z47" i="2"/>
  <c r="AA47" i="2"/>
  <c r="Z653" i="2"/>
  <c r="AA653" i="2"/>
  <c r="Z149" i="2"/>
  <c r="AA149" i="2"/>
  <c r="Z600" i="2"/>
  <c r="AA600" i="2"/>
  <c r="Z536" i="2"/>
  <c r="AA536" i="2"/>
  <c r="Z471" i="2"/>
  <c r="AA471" i="2"/>
  <c r="Z406" i="2"/>
  <c r="AA406" i="2"/>
  <c r="Z340" i="2"/>
  <c r="AA340" i="2"/>
  <c r="Z276" i="2"/>
  <c r="AA276" i="2"/>
  <c r="AA210" i="2"/>
  <c r="Z210" i="2"/>
  <c r="Z135" i="2"/>
  <c r="AA135" i="2"/>
  <c r="Z54" i="2"/>
  <c r="AA54" i="2"/>
  <c r="Z369" i="2"/>
  <c r="AA369" i="2"/>
  <c r="Z647" i="2"/>
  <c r="AA647" i="2"/>
  <c r="Z575" i="2"/>
  <c r="AA575" i="2"/>
  <c r="Z510" i="2"/>
  <c r="AA510" i="2"/>
  <c r="Z445" i="2"/>
  <c r="AA445" i="2"/>
  <c r="Z379" i="2"/>
  <c r="AA379" i="2"/>
  <c r="AA315" i="2"/>
  <c r="Z315" i="2"/>
  <c r="Z233" i="2"/>
  <c r="AA233" i="2"/>
  <c r="Z167" i="2"/>
  <c r="AA167" i="2"/>
  <c r="Z101" i="2"/>
  <c r="AA101" i="2"/>
  <c r="Z37" i="2"/>
  <c r="AA37" i="2"/>
  <c r="Z353" i="2"/>
  <c r="AA353" i="2"/>
  <c r="AA646" i="2"/>
  <c r="Z646" i="2"/>
  <c r="AA582" i="2"/>
  <c r="Z582" i="2"/>
  <c r="Z517" i="2"/>
  <c r="AA517" i="2"/>
  <c r="AA452" i="2"/>
  <c r="Z452" i="2"/>
  <c r="AA388" i="2"/>
  <c r="Z388" i="2"/>
  <c r="Z322" i="2"/>
  <c r="AA322" i="2"/>
  <c r="Z256" i="2"/>
  <c r="AA256" i="2"/>
  <c r="Z192" i="2"/>
  <c r="AA192" i="2"/>
  <c r="Z125" i="2"/>
  <c r="AA125" i="2"/>
  <c r="AA60" i="2"/>
  <c r="Z60" i="2"/>
  <c r="AA484" i="2"/>
  <c r="Z484" i="2"/>
  <c r="Z23" i="2"/>
  <c r="AA23" i="2"/>
  <c r="Z632" i="2"/>
  <c r="AA632" i="2"/>
  <c r="Z304" i="2"/>
  <c r="AA304" i="2"/>
  <c r="AA313" i="2"/>
  <c r="Z313" i="2"/>
  <c r="Z163" i="2"/>
  <c r="AA163" i="2"/>
  <c r="Z497" i="2"/>
  <c r="AA497" i="2"/>
  <c r="Z171" i="2"/>
  <c r="AA171" i="2"/>
  <c r="Z423" i="2"/>
  <c r="AA423" i="2"/>
  <c r="Z648" i="2"/>
  <c r="AA648" i="2"/>
  <c r="Z316" i="2"/>
  <c r="AA316" i="2"/>
  <c r="Z421" i="2"/>
  <c r="AA421" i="2"/>
  <c r="AA558" i="2"/>
  <c r="Z558" i="2"/>
  <c r="Z612" i="2"/>
  <c r="AA612" i="2"/>
  <c r="Z418" i="2"/>
  <c r="AA418" i="2"/>
  <c r="Z580" i="2"/>
  <c r="AA580" i="2"/>
  <c r="Z450" i="2"/>
  <c r="AA450" i="2"/>
  <c r="Z384" i="2"/>
  <c r="AA384" i="2"/>
  <c r="Z320" i="2"/>
  <c r="AA320" i="2"/>
  <c r="Z254" i="2"/>
  <c r="AA254" i="2"/>
  <c r="Z181" i="2"/>
  <c r="AA181" i="2"/>
  <c r="Z115" i="2"/>
  <c r="AA115" i="2"/>
  <c r="AA50" i="2"/>
  <c r="Z50" i="2"/>
  <c r="Z451" i="2"/>
  <c r="AA451" i="2"/>
  <c r="AA643" i="2"/>
  <c r="Z643" i="2"/>
  <c r="AA579" i="2"/>
  <c r="Z579" i="2"/>
  <c r="Z514" i="2"/>
  <c r="AA514" i="2"/>
  <c r="Z449" i="2"/>
  <c r="AA449" i="2"/>
  <c r="Z383" i="2"/>
  <c r="AA383" i="2"/>
  <c r="Z319" i="2"/>
  <c r="AA319" i="2"/>
  <c r="Z245" i="2"/>
  <c r="AA245" i="2"/>
  <c r="AA180" i="2"/>
  <c r="Z180" i="2"/>
  <c r="AA114" i="2"/>
  <c r="Z114" i="2"/>
  <c r="Z49" i="2"/>
  <c r="AA49" i="2"/>
  <c r="AA500" i="2"/>
  <c r="Z500" i="2"/>
  <c r="Z650" i="2"/>
  <c r="AA650" i="2"/>
  <c r="Z578" i="2"/>
  <c r="AA578" i="2"/>
  <c r="Z513" i="2"/>
  <c r="AA513" i="2"/>
  <c r="Z448" i="2"/>
  <c r="AA448" i="2"/>
  <c r="Z382" i="2"/>
  <c r="AA382" i="2"/>
  <c r="Z318" i="2"/>
  <c r="AA318" i="2"/>
  <c r="AA252" i="2"/>
  <c r="Z252" i="2"/>
  <c r="AA188" i="2"/>
  <c r="Z188" i="2"/>
  <c r="Z121" i="2"/>
  <c r="AA121" i="2"/>
  <c r="Z56" i="2"/>
  <c r="AA56" i="2"/>
  <c r="AA289" i="2"/>
  <c r="Z289" i="2"/>
  <c r="Z633" i="2"/>
  <c r="AA633" i="2"/>
  <c r="Z569" i="2"/>
  <c r="AA569" i="2"/>
  <c r="Z504" i="2"/>
  <c r="AA504" i="2"/>
  <c r="Z439" i="2"/>
  <c r="AA439" i="2"/>
  <c r="Z373" i="2"/>
  <c r="AA373" i="2"/>
  <c r="Z309" i="2"/>
  <c r="AA309" i="2"/>
  <c r="Z243" i="2"/>
  <c r="AA243" i="2"/>
  <c r="AA170" i="2"/>
  <c r="Z170" i="2"/>
  <c r="Z103" i="2"/>
  <c r="AA103" i="2"/>
  <c r="Z39" i="2"/>
  <c r="AA39" i="2"/>
  <c r="Z573" i="2"/>
  <c r="AA573" i="2"/>
  <c r="Z99" i="2"/>
  <c r="AA99" i="2"/>
  <c r="Z592" i="2"/>
  <c r="AA592" i="2"/>
  <c r="Z527" i="2"/>
  <c r="AA527" i="2"/>
  <c r="Z462" i="2"/>
  <c r="AA462" i="2"/>
  <c r="Z398" i="2"/>
  <c r="AA398" i="2"/>
  <c r="Z332" i="2"/>
  <c r="AA332" i="2"/>
  <c r="Z268" i="2"/>
  <c r="AA268" i="2"/>
  <c r="AA194" i="2"/>
  <c r="Z194" i="2"/>
  <c r="Z127" i="2"/>
  <c r="AA127" i="2"/>
  <c r="AA26" i="2"/>
  <c r="Z26" i="2"/>
  <c r="Z361" i="2"/>
  <c r="AA361" i="2"/>
  <c r="Z639" i="2"/>
  <c r="AA639" i="2"/>
  <c r="Z567" i="2"/>
  <c r="AA567" i="2"/>
  <c r="Z502" i="2"/>
  <c r="AA502" i="2"/>
  <c r="Z437" i="2"/>
  <c r="AA437" i="2"/>
  <c r="Z371" i="2"/>
  <c r="AA371" i="2"/>
  <c r="AA307" i="2"/>
  <c r="Z307" i="2"/>
  <c r="Z225" i="2"/>
  <c r="AA225" i="2"/>
  <c r="Z159" i="2"/>
  <c r="AA159" i="2"/>
  <c r="Z93" i="2"/>
  <c r="AA93" i="2"/>
  <c r="Z25" i="2"/>
  <c r="AA25" i="2"/>
  <c r="AA329" i="2"/>
  <c r="Z329" i="2"/>
  <c r="AA638" i="2"/>
  <c r="Z638" i="2"/>
  <c r="AA574" i="2"/>
  <c r="Z574" i="2"/>
  <c r="Z509" i="2"/>
  <c r="AA509" i="2"/>
  <c r="AA444" i="2"/>
  <c r="Z444" i="2"/>
  <c r="Z378" i="2"/>
  <c r="AA378" i="2"/>
  <c r="Z314" i="2"/>
  <c r="AA314" i="2"/>
  <c r="Z248" i="2"/>
  <c r="AA248" i="2"/>
  <c r="Z184" i="2"/>
  <c r="AA184" i="2"/>
  <c r="Z117" i="2"/>
  <c r="AA117" i="2"/>
  <c r="AA52" i="2"/>
  <c r="Z52" i="2"/>
  <c r="Z443" i="2"/>
  <c r="AA443" i="2"/>
  <c r="Z636" i="2"/>
  <c r="AA636" i="2"/>
  <c r="AA202" i="2"/>
  <c r="Z202" i="2"/>
  <c r="Z238" i="2"/>
  <c r="AA238" i="2"/>
  <c r="Z498" i="2"/>
  <c r="AA498" i="2"/>
  <c r="Z29" i="2"/>
  <c r="AA29" i="2"/>
  <c r="Z302" i="2"/>
  <c r="AA302" i="2"/>
  <c r="Z553" i="2"/>
  <c r="AA553" i="2"/>
  <c r="Z87" i="2"/>
  <c r="AA87" i="2"/>
  <c r="Z446" i="2"/>
  <c r="AA446" i="2"/>
  <c r="Z551" i="2"/>
  <c r="AA551" i="2"/>
  <c r="AA275" i="2"/>
  <c r="Z275" i="2"/>
  <c r="Z166" i="2"/>
  <c r="AA166" i="2"/>
  <c r="Z652" i="2"/>
  <c r="AA652" i="2"/>
  <c r="AA515" i="2"/>
  <c r="Z515" i="2"/>
  <c r="Z644" i="2"/>
  <c r="AA644" i="2"/>
  <c r="Z572" i="2"/>
  <c r="AA572" i="2"/>
  <c r="Z507" i="2"/>
  <c r="AA507" i="2"/>
  <c r="Z442" i="2"/>
  <c r="AA442" i="2"/>
  <c r="Z376" i="2"/>
  <c r="AA376" i="2"/>
  <c r="Z312" i="2"/>
  <c r="AA312" i="2"/>
  <c r="Z246" i="2"/>
  <c r="AA246" i="2"/>
  <c r="Z173" i="2"/>
  <c r="AA173" i="2"/>
  <c r="Z107" i="2"/>
  <c r="AA107" i="2"/>
  <c r="AA42" i="2"/>
  <c r="Z42" i="2"/>
  <c r="Z427" i="2"/>
  <c r="AA427" i="2"/>
  <c r="AA635" i="2"/>
  <c r="Z635" i="2"/>
  <c r="AA571" i="2"/>
  <c r="Z571" i="2"/>
  <c r="Z506" i="2"/>
  <c r="AA506" i="2"/>
  <c r="Z441" i="2"/>
  <c r="AA441" i="2"/>
  <c r="Z375" i="2"/>
  <c r="AA375" i="2"/>
  <c r="Z311" i="2"/>
  <c r="AA311" i="2"/>
  <c r="Z237" i="2"/>
  <c r="AA237" i="2"/>
  <c r="AA172" i="2"/>
  <c r="Z172" i="2"/>
  <c r="Z105" i="2"/>
  <c r="AA105" i="2"/>
  <c r="Z41" i="2"/>
  <c r="AA41" i="2"/>
  <c r="Z377" i="2"/>
  <c r="AA377" i="2"/>
  <c r="Z642" i="2"/>
  <c r="AA642" i="2"/>
  <c r="Z570" i="2"/>
  <c r="AA570" i="2"/>
  <c r="Z505" i="2"/>
  <c r="AA505" i="2"/>
  <c r="Z440" i="2"/>
  <c r="AA440" i="2"/>
  <c r="Z374" i="2"/>
  <c r="AA374" i="2"/>
  <c r="Z310" i="2"/>
  <c r="AA310" i="2"/>
  <c r="AA244" i="2"/>
  <c r="Z244" i="2"/>
  <c r="Z179" i="2"/>
  <c r="AA179" i="2"/>
  <c r="Z113" i="2"/>
  <c r="AA113" i="2"/>
  <c r="Z40" i="2"/>
  <c r="AA40" i="2"/>
  <c r="Z239" i="2"/>
  <c r="AA239" i="2"/>
  <c r="Z625" i="2"/>
  <c r="AA625" i="2"/>
  <c r="Z561" i="2"/>
  <c r="AA561" i="2"/>
  <c r="Z496" i="2"/>
  <c r="AA496" i="2"/>
  <c r="Z431" i="2"/>
  <c r="AA431" i="2"/>
  <c r="Z365" i="2"/>
  <c r="AA365" i="2"/>
  <c r="Z301" i="2"/>
  <c r="AA301" i="2"/>
  <c r="Z235" i="2"/>
  <c r="AA235" i="2"/>
  <c r="Z161" i="2"/>
  <c r="AA161" i="2"/>
  <c r="Z95" i="2"/>
  <c r="AA95" i="2"/>
  <c r="Z27" i="2"/>
  <c r="AA27" i="2"/>
  <c r="Z533" i="2"/>
  <c r="AA533" i="2"/>
  <c r="Z43" i="2"/>
  <c r="AA43" i="2"/>
  <c r="Z584" i="2"/>
  <c r="AA584" i="2"/>
  <c r="Z519" i="2"/>
  <c r="AA519" i="2"/>
  <c r="Z454" i="2"/>
  <c r="AA454" i="2"/>
  <c r="Z390" i="2"/>
  <c r="AA390" i="2"/>
  <c r="Z324" i="2"/>
  <c r="AA324" i="2"/>
  <c r="Z260" i="2"/>
  <c r="AA260" i="2"/>
  <c r="AA186" i="2"/>
  <c r="Z186" i="2"/>
  <c r="Z119" i="2"/>
  <c r="AA119" i="2"/>
  <c r="AA18" i="2"/>
  <c r="Z18" i="2"/>
  <c r="AA305" i="2"/>
  <c r="Z305" i="2"/>
  <c r="Z623" i="2"/>
  <c r="AA623" i="2"/>
  <c r="Z559" i="2"/>
  <c r="AA559" i="2"/>
  <c r="Z494" i="2"/>
  <c r="AA494" i="2"/>
  <c r="Z429" i="2"/>
  <c r="AA429" i="2"/>
  <c r="Z363" i="2"/>
  <c r="AA363" i="2"/>
  <c r="AA299" i="2"/>
  <c r="Z299" i="2"/>
  <c r="Z217" i="2"/>
  <c r="AA217" i="2"/>
  <c r="Z151" i="2"/>
  <c r="AA151" i="2"/>
  <c r="Z85" i="2"/>
  <c r="AA85" i="2"/>
  <c r="AA17" i="2"/>
  <c r="Z17" i="2"/>
  <c r="AA273" i="2"/>
  <c r="Z273" i="2"/>
  <c r="AA630" i="2"/>
  <c r="Z630" i="2"/>
  <c r="AA566" i="2"/>
  <c r="Z566" i="2"/>
  <c r="Z501" i="2"/>
  <c r="AA501" i="2"/>
  <c r="AA436" i="2"/>
  <c r="Z436" i="2"/>
  <c r="Z370" i="2"/>
  <c r="AA370" i="2"/>
  <c r="Z306" i="2"/>
  <c r="AA306" i="2"/>
  <c r="Z240" i="2"/>
  <c r="AA240" i="2"/>
  <c r="Z175" i="2"/>
  <c r="AA175" i="2"/>
  <c r="Z109" i="2"/>
  <c r="AA109" i="2"/>
  <c r="AA44" i="2"/>
  <c r="Z44" i="2"/>
  <c r="Z419" i="2"/>
  <c r="AA419" i="2"/>
  <c r="Z214" i="2"/>
  <c r="AA214" i="2"/>
  <c r="Z631" i="2"/>
  <c r="AA631" i="2"/>
  <c r="S155" i="2"/>
  <c r="S489" i="2"/>
  <c r="S108" i="2"/>
  <c r="S480" i="2"/>
  <c r="S568" i="2"/>
  <c r="S503" i="2"/>
  <c r="S438" i="2"/>
  <c r="S247" i="2"/>
  <c r="S303" i="2"/>
  <c r="S213" i="2"/>
  <c r="S234" i="2"/>
  <c r="S160" i="2"/>
  <c r="S141" i="2"/>
  <c r="S423" i="2"/>
  <c r="S397" i="2"/>
  <c r="S33" i="2"/>
  <c r="S187" i="2"/>
  <c r="S38" i="2"/>
  <c r="S176" i="2"/>
  <c r="S45" i="2"/>
  <c r="S622" i="2"/>
  <c r="S47" i="2"/>
  <c r="S369" i="2"/>
  <c r="S575" i="2"/>
  <c r="S388" i="2"/>
  <c r="S632" i="2"/>
  <c r="S448" i="2"/>
  <c r="S252" i="2"/>
  <c r="S26" i="2"/>
  <c r="S25" i="2"/>
  <c r="S509" i="2"/>
  <c r="S553" i="2"/>
  <c r="S27" i="2"/>
  <c r="S584" i="2"/>
  <c r="S494" i="2"/>
  <c r="S307" i="2"/>
  <c r="S198" i="2"/>
  <c r="S99" i="2"/>
  <c r="S375" i="2"/>
  <c r="S628" i="2"/>
  <c r="S564" i="2"/>
  <c r="S583" i="2"/>
  <c r="S464" i="2"/>
  <c r="S294" i="2"/>
  <c r="S93" i="2"/>
  <c r="S631" i="2"/>
  <c r="S280" i="2"/>
  <c r="S151" i="2"/>
  <c r="S53" i="2"/>
  <c r="S309" i="2"/>
  <c r="S36" i="2"/>
  <c r="S131" i="2"/>
  <c r="S347" i="2"/>
  <c r="S594" i="2"/>
  <c r="S565" i="2"/>
  <c r="S238" i="2"/>
  <c r="S66" i="2"/>
  <c r="S441" i="2"/>
  <c r="S221" i="2"/>
  <c r="S188" i="2"/>
  <c r="S207" i="2"/>
  <c r="S329" i="2"/>
  <c r="S102" i="2"/>
  <c r="S458" i="2"/>
  <c r="S264" i="2"/>
  <c r="S409" i="2"/>
  <c r="S172" i="2"/>
  <c r="S163" i="2"/>
  <c r="S97" i="2"/>
  <c r="S90" i="2"/>
  <c r="S22" i="2"/>
  <c r="S223" i="2"/>
  <c r="S555" i="2"/>
  <c r="S490" i="2"/>
  <c r="S295" i="2"/>
  <c r="S592" i="2"/>
  <c r="S527" i="2"/>
  <c r="S398" i="2"/>
  <c r="S332" i="2"/>
  <c r="S467" i="2"/>
  <c r="S402" i="2"/>
  <c r="S336" i="2"/>
  <c r="S272" i="2"/>
  <c r="S174" i="2"/>
  <c r="S611" i="2"/>
  <c r="S547" i="2"/>
  <c r="S482" i="2"/>
  <c r="S417" i="2"/>
  <c r="S351" i="2"/>
  <c r="S343" i="2"/>
  <c r="S126" i="2"/>
  <c r="S541" i="2"/>
  <c r="S606" i="2"/>
  <c r="S412" i="2"/>
  <c r="S282" i="2"/>
  <c r="S216" i="2"/>
  <c r="S84" i="2"/>
  <c r="S580" i="2"/>
  <c r="S450" i="2"/>
  <c r="S384" i="2"/>
  <c r="S320" i="2"/>
  <c r="S72" i="2"/>
  <c r="S468" i="2"/>
  <c r="S649" i="2"/>
  <c r="S585" i="2"/>
  <c r="S520" i="2"/>
  <c r="S455" i="2"/>
  <c r="S261" i="2"/>
  <c r="S145" i="2"/>
  <c r="S79" i="2"/>
  <c r="S86" i="2"/>
  <c r="S386" i="2"/>
  <c r="S640" i="2"/>
  <c r="S206" i="2"/>
  <c r="S124" i="2"/>
  <c r="S474" i="2"/>
  <c r="S193" i="2"/>
  <c r="S61" i="2"/>
  <c r="S542" i="2"/>
  <c r="S477" i="2"/>
  <c r="S16" i="2"/>
  <c r="S191" i="2"/>
  <c r="S586" i="2"/>
  <c r="S392" i="2"/>
  <c r="S326" i="2"/>
  <c r="S262" i="2"/>
  <c r="S140" i="2"/>
  <c r="S245" i="2"/>
  <c r="S49" i="2"/>
  <c r="S82" i="2"/>
  <c r="S435" i="2"/>
  <c r="S75" i="2"/>
  <c r="S551" i="2"/>
  <c r="S486" i="2"/>
  <c r="S515" i="2"/>
  <c r="S523" i="2"/>
  <c r="S629" i="2"/>
  <c r="S237" i="2"/>
  <c r="S13" i="2"/>
  <c r="S337" i="2"/>
  <c r="S500" i="2"/>
  <c r="S650" i="2"/>
  <c r="S602" i="2"/>
  <c r="S538" i="2"/>
  <c r="S408" i="2"/>
  <c r="S220" i="2"/>
  <c r="S88" i="2"/>
  <c r="S67" i="2"/>
  <c r="S601" i="2"/>
  <c r="S537" i="2"/>
  <c r="S168" i="2"/>
  <c r="S549" i="2"/>
  <c r="S275" i="2"/>
  <c r="S143" i="2"/>
  <c r="S77" i="2"/>
  <c r="S612" i="2"/>
  <c r="S499" i="2"/>
  <c r="S222" i="2"/>
  <c r="S115" i="2"/>
  <c r="S502" i="2"/>
  <c r="S122" i="2"/>
  <c r="S414" i="2"/>
  <c r="S232" i="2"/>
  <c r="S146" i="2"/>
  <c r="S87" i="2"/>
  <c r="S536" i="2"/>
  <c r="S471" i="2"/>
  <c r="S406" i="2"/>
  <c r="S276" i="2"/>
  <c r="S210" i="2"/>
  <c r="S429" i="2"/>
  <c r="S69" i="2"/>
  <c r="S589" i="2"/>
  <c r="S165" i="2"/>
  <c r="S550" i="2"/>
  <c r="S420" i="2"/>
  <c r="S224" i="2"/>
  <c r="S158" i="2"/>
  <c r="S92" i="2"/>
  <c r="S475" i="2"/>
  <c r="S434" i="2"/>
  <c r="S368" i="2"/>
  <c r="S42" i="2"/>
  <c r="S283" i="2"/>
  <c r="S653" i="2"/>
  <c r="S305" i="2"/>
  <c r="S635" i="2"/>
  <c r="S506" i="2"/>
  <c r="S401" i="2"/>
  <c r="S335" i="2"/>
  <c r="S271" i="2"/>
  <c r="S334" i="2"/>
  <c r="S154" i="2"/>
  <c r="S64" i="2"/>
  <c r="S439" i="2"/>
  <c r="S95" i="2"/>
  <c r="S348" i="2"/>
  <c r="S218" i="2"/>
  <c r="S404" i="2"/>
  <c r="S338" i="2"/>
  <c r="S100" i="2"/>
  <c r="S48" i="2"/>
  <c r="S321" i="2"/>
  <c r="S129" i="2"/>
  <c r="S512" i="2"/>
  <c r="S317" i="2"/>
  <c r="S251" i="2"/>
  <c r="S519" i="2"/>
  <c r="S324" i="2"/>
  <c r="S260" i="2"/>
  <c r="S144" i="2"/>
  <c r="S70" i="2"/>
  <c r="S607" i="2"/>
  <c r="S185" i="2"/>
  <c r="S540" i="2"/>
  <c r="S491" i="2"/>
  <c r="S214" i="2"/>
  <c r="S405" i="2"/>
  <c r="S377" i="2"/>
  <c r="S59" i="2"/>
  <c r="S651" i="2"/>
  <c r="S563" i="2"/>
  <c r="S189" i="2"/>
  <c r="S81" i="2"/>
  <c r="S647" i="2"/>
  <c r="S318" i="2"/>
  <c r="S228" i="2"/>
  <c r="S633" i="2"/>
  <c r="S333" i="2"/>
  <c r="S136" i="2"/>
  <c r="S94" i="2"/>
  <c r="S209" i="2"/>
  <c r="S281" i="2"/>
  <c r="S374" i="2"/>
  <c r="S310" i="2"/>
  <c r="S289" i="2"/>
  <c r="S63" i="2"/>
  <c r="S46" i="2"/>
  <c r="S576" i="2"/>
  <c r="S446" i="2"/>
  <c r="S380" i="2"/>
  <c r="S316" i="2"/>
  <c r="S250" i="2"/>
  <c r="S110" i="2"/>
  <c r="S590" i="2"/>
  <c r="S525" i="2"/>
  <c r="S460" i="2"/>
  <c r="S330" i="2"/>
  <c r="S266" i="2"/>
  <c r="S68" i="2"/>
  <c r="S636" i="2"/>
  <c r="S426" i="2"/>
  <c r="S360" i="2"/>
  <c r="S296" i="2"/>
  <c r="S98" i="2"/>
  <c r="S265" i="2"/>
  <c r="S498" i="2"/>
  <c r="S457" i="2"/>
  <c r="S393" i="2"/>
  <c r="S427" i="2"/>
  <c r="S215" i="2"/>
  <c r="S570" i="2"/>
  <c r="S530" i="2"/>
  <c r="S593" i="2"/>
  <c r="S463" i="2"/>
  <c r="S373" i="2"/>
  <c r="S243" i="2"/>
  <c r="S203" i="2"/>
  <c r="S567" i="2"/>
  <c r="S508" i="2"/>
  <c r="S451" i="2"/>
  <c r="S205" i="2"/>
  <c r="S73" i="2"/>
  <c r="S231" i="2"/>
  <c r="S497" i="2"/>
  <c r="S432" i="2"/>
  <c r="S302" i="2"/>
  <c r="S236" i="2"/>
  <c r="S179" i="2"/>
  <c r="S113" i="2"/>
  <c r="S625" i="2"/>
  <c r="S561" i="2"/>
  <c r="S496" i="2"/>
  <c r="S365" i="2"/>
  <c r="S301" i="2"/>
  <c r="S127" i="2"/>
  <c r="S591" i="2"/>
  <c r="S167" i="2"/>
  <c r="S101" i="2"/>
  <c r="S322" i="2"/>
  <c r="S60" i="2"/>
  <c r="S620" i="2"/>
  <c r="S556" i="2"/>
  <c r="S507" i="2"/>
  <c r="S190" i="2"/>
  <c r="S164" i="2"/>
  <c r="S535" i="2"/>
  <c r="S461" i="2"/>
  <c r="S267" i="2"/>
  <c r="S217" i="2"/>
  <c r="S579" i="2"/>
  <c r="S433" i="2"/>
  <c r="S367" i="2"/>
  <c r="S263" i="2"/>
  <c r="S138" i="2"/>
  <c r="S440" i="2"/>
  <c r="S270" i="2"/>
  <c r="S470" i="2"/>
  <c r="S120" i="2"/>
  <c r="S37" i="2"/>
  <c r="S372" i="2"/>
  <c r="S428" i="2"/>
  <c r="S362" i="2"/>
  <c r="S192" i="2"/>
  <c r="S142" i="2"/>
  <c r="S76" i="2"/>
  <c r="S297" i="2"/>
  <c r="S130" i="2"/>
  <c r="S171" i="2"/>
  <c r="S104" i="2"/>
  <c r="S293" i="2"/>
  <c r="S560" i="2"/>
  <c r="S495" i="2"/>
  <c r="S430" i="2"/>
  <c r="S364" i="2"/>
  <c r="S300" i="2"/>
  <c r="S186" i="2"/>
  <c r="S18" i="2"/>
  <c r="S323" i="2"/>
  <c r="S225" i="2"/>
  <c r="S638" i="2"/>
  <c r="S574" i="2"/>
  <c r="S444" i="2"/>
  <c r="S248" i="2"/>
  <c r="S184" i="2"/>
  <c r="S443" i="2"/>
  <c r="S652" i="2"/>
  <c r="S442" i="2"/>
  <c r="S312" i="2"/>
  <c r="S246" i="2"/>
  <c r="S50" i="2"/>
  <c r="S118" i="2"/>
  <c r="S395" i="2"/>
  <c r="S345" i="2"/>
  <c r="S514" i="2"/>
  <c r="S65" i="2"/>
  <c r="S642" i="2"/>
  <c r="S342" i="2"/>
  <c r="S162" i="2"/>
  <c r="S80" i="2"/>
  <c r="S577" i="2"/>
  <c r="S488" i="2"/>
  <c r="S447" i="2"/>
  <c r="S357" i="2"/>
  <c r="S161" i="2"/>
  <c r="S524" i="2"/>
  <c r="S648" i="2"/>
  <c r="S308" i="2"/>
  <c r="S646" i="2"/>
  <c r="S598" i="2"/>
  <c r="S298" i="2"/>
  <c r="S125" i="2"/>
  <c r="S645" i="2"/>
  <c r="S51" i="2"/>
  <c r="S83" i="2"/>
  <c r="S610" i="2"/>
  <c r="S481" i="2"/>
  <c r="S416" i="2"/>
  <c r="S286" i="2"/>
  <c r="S609" i="2"/>
  <c r="S415" i="2"/>
  <c r="S219" i="2"/>
  <c r="S170" i="2"/>
  <c r="S103" i="2"/>
  <c r="S552" i="2"/>
  <c r="S487" i="2"/>
  <c r="S422" i="2"/>
  <c r="S292" i="2"/>
  <c r="S226" i="2"/>
  <c r="S111" i="2"/>
  <c r="S255" i="2"/>
  <c r="S445" i="2"/>
  <c r="S379" i="2"/>
  <c r="S273" i="2"/>
  <c r="S630" i="2"/>
  <c r="S436" i="2"/>
  <c r="S370" i="2"/>
  <c r="S306" i="2"/>
  <c r="S175" i="2"/>
  <c r="S109" i="2"/>
  <c r="S572" i="2"/>
  <c r="S418" i="2"/>
  <c r="S352" i="2"/>
  <c r="S288" i="2"/>
  <c r="S623" i="2"/>
  <c r="S595" i="2"/>
  <c r="S319" i="2"/>
  <c r="S21" i="2"/>
  <c r="S554" i="2"/>
  <c r="S513" i="2"/>
  <c r="S121" i="2"/>
  <c r="S617" i="2"/>
  <c r="S528" i="2"/>
  <c r="S269" i="2"/>
  <c r="S227" i="2"/>
  <c r="S543" i="2"/>
  <c r="S479" i="2"/>
  <c r="S389" i="2"/>
  <c r="S582" i="2"/>
  <c r="S534" i="2"/>
  <c r="S195" i="2"/>
  <c r="L25" i="81"/>
  <c r="T436" i="2" l="1"/>
  <c r="V436" i="2"/>
  <c r="T18" i="2"/>
  <c r="V18" i="2"/>
  <c r="U625" i="2"/>
  <c r="W625" i="2"/>
  <c r="U506" i="2"/>
  <c r="W506" i="2"/>
  <c r="U87" i="2"/>
  <c r="W87" i="2"/>
  <c r="U248" i="2"/>
  <c r="W248" i="2"/>
  <c r="U99" i="2"/>
  <c r="W99" i="2"/>
  <c r="U439" i="2"/>
  <c r="W439" i="2"/>
  <c r="U319" i="2"/>
  <c r="W319" i="2"/>
  <c r="U612" i="2"/>
  <c r="W612" i="2"/>
  <c r="T452" i="2"/>
  <c r="V452" i="2"/>
  <c r="U510" i="2"/>
  <c r="W510" i="2"/>
  <c r="U641" i="2"/>
  <c r="W641" i="2"/>
  <c r="U456" i="2"/>
  <c r="W456" i="2"/>
  <c r="U328" i="2"/>
  <c r="W328" i="2"/>
  <c r="T563" i="2"/>
  <c r="V563" i="2"/>
  <c r="U525" i="2"/>
  <c r="W525" i="2"/>
  <c r="U583" i="2"/>
  <c r="W583" i="2"/>
  <c r="T468" i="2"/>
  <c r="V468" i="2"/>
  <c r="U131" i="2"/>
  <c r="W131" i="2"/>
  <c r="U337" i="2"/>
  <c r="W337" i="2"/>
  <c r="U195" i="2"/>
  <c r="W195" i="2"/>
  <c r="U185" i="2"/>
  <c r="W185" i="2"/>
  <c r="U552" i="2"/>
  <c r="W552" i="2"/>
  <c r="U593" i="2"/>
  <c r="W593" i="2"/>
  <c r="U231" i="2"/>
  <c r="W231" i="2"/>
  <c r="U298" i="2"/>
  <c r="W298" i="2"/>
  <c r="U541" i="2"/>
  <c r="W541" i="2"/>
  <c r="T364" i="2"/>
  <c r="V364" i="2"/>
  <c r="U407" i="2"/>
  <c r="W407" i="2"/>
  <c r="U287" i="2"/>
  <c r="W287" i="2"/>
  <c r="U288" i="2"/>
  <c r="W288" i="2"/>
  <c r="T420" i="2"/>
  <c r="V420" i="2"/>
  <c r="U308" i="2"/>
  <c r="W308" i="2"/>
  <c r="U609" i="2"/>
  <c r="W609" i="2"/>
  <c r="T297" i="2"/>
  <c r="V297" i="2"/>
  <c r="T214" i="2"/>
  <c r="V214" i="2"/>
  <c r="T175" i="2"/>
  <c r="V175" i="2"/>
  <c r="U436" i="2"/>
  <c r="W436" i="2"/>
  <c r="U273" i="2"/>
  <c r="W273" i="2"/>
  <c r="T217" i="2"/>
  <c r="V217" i="2"/>
  <c r="T494" i="2"/>
  <c r="V494" i="2"/>
  <c r="U18" i="2"/>
  <c r="W18" i="2"/>
  <c r="T324" i="2"/>
  <c r="V324" i="2"/>
  <c r="T584" i="2"/>
  <c r="V584" i="2"/>
  <c r="T95" i="2"/>
  <c r="V95" i="2"/>
  <c r="T365" i="2"/>
  <c r="V365" i="2"/>
  <c r="T625" i="2"/>
  <c r="V625" i="2"/>
  <c r="T179" i="2"/>
  <c r="V179" i="2"/>
  <c r="T440" i="2"/>
  <c r="V440" i="2"/>
  <c r="T377" i="2"/>
  <c r="V377" i="2"/>
  <c r="T237" i="2"/>
  <c r="V237" i="2"/>
  <c r="T506" i="2"/>
  <c r="V506" i="2"/>
  <c r="U42" i="2"/>
  <c r="W42" i="2"/>
  <c r="T312" i="2"/>
  <c r="V312" i="2"/>
  <c r="T572" i="2"/>
  <c r="V572" i="2"/>
  <c r="T166" i="2"/>
  <c r="V166" i="2"/>
  <c r="T87" i="2"/>
  <c r="V87" i="2"/>
  <c r="T498" i="2"/>
  <c r="V498" i="2"/>
  <c r="T443" i="2"/>
  <c r="V443" i="2"/>
  <c r="T248" i="2"/>
  <c r="V248" i="2"/>
  <c r="T509" i="2"/>
  <c r="V509" i="2"/>
  <c r="T25" i="2"/>
  <c r="V25" i="2"/>
  <c r="U307" i="2"/>
  <c r="W307" i="2"/>
  <c r="T567" i="2"/>
  <c r="V567" i="2"/>
  <c r="T127" i="2"/>
  <c r="V127" i="2"/>
  <c r="T398" i="2"/>
  <c r="V398" i="2"/>
  <c r="T99" i="2"/>
  <c r="V99" i="2"/>
  <c r="U170" i="2"/>
  <c r="W170" i="2"/>
  <c r="T439" i="2"/>
  <c r="V439" i="2"/>
  <c r="U289" i="2"/>
  <c r="W289" i="2"/>
  <c r="U252" i="2"/>
  <c r="W252" i="2"/>
  <c r="T513" i="2"/>
  <c r="V513" i="2"/>
  <c r="T49" i="2"/>
  <c r="V49" i="2"/>
  <c r="T319" i="2"/>
  <c r="V319" i="2"/>
  <c r="U579" i="2"/>
  <c r="W579" i="2"/>
  <c r="T115" i="2"/>
  <c r="V115" i="2"/>
  <c r="T384" i="2"/>
  <c r="V384" i="2"/>
  <c r="T612" i="2"/>
  <c r="V612" i="2"/>
  <c r="T648" i="2"/>
  <c r="V648" i="2"/>
  <c r="T163" i="2"/>
  <c r="V163" i="2"/>
  <c r="T23" i="2"/>
  <c r="V23" i="2"/>
  <c r="T192" i="2"/>
  <c r="V192" i="2"/>
  <c r="U452" i="2"/>
  <c r="W452" i="2"/>
  <c r="T353" i="2"/>
  <c r="V353" i="2"/>
  <c r="T233" i="2"/>
  <c r="V233" i="2"/>
  <c r="T510" i="2"/>
  <c r="V510" i="2"/>
  <c r="T54" i="2"/>
  <c r="V54" i="2"/>
  <c r="T340" i="2"/>
  <c r="V340" i="2"/>
  <c r="T600" i="2"/>
  <c r="V600" i="2"/>
  <c r="T112" i="2"/>
  <c r="V112" i="2"/>
  <c r="T381" i="2"/>
  <c r="V381" i="2"/>
  <c r="T641" i="2"/>
  <c r="V641" i="2"/>
  <c r="U196" i="2"/>
  <c r="W196" i="2"/>
  <c r="T456" i="2"/>
  <c r="V456" i="2"/>
  <c r="T557" i="2"/>
  <c r="V557" i="2"/>
  <c r="T253" i="2"/>
  <c r="V253" i="2"/>
  <c r="T522" i="2"/>
  <c r="V522" i="2"/>
  <c r="U58" i="2"/>
  <c r="W58" i="2"/>
  <c r="T328" i="2"/>
  <c r="V328" i="2"/>
  <c r="T588" i="2"/>
  <c r="V588" i="2"/>
  <c r="T362" i="2"/>
  <c r="V362" i="2"/>
  <c r="U476" i="2"/>
  <c r="W476" i="2"/>
  <c r="U563" i="2"/>
  <c r="W563" i="2"/>
  <c r="T524" i="2"/>
  <c r="V524" i="2"/>
  <c r="T266" i="2"/>
  <c r="V266" i="2"/>
  <c r="T525" i="2"/>
  <c r="V525" i="2"/>
  <c r="T45" i="2"/>
  <c r="V45" i="2"/>
  <c r="U323" i="2"/>
  <c r="W323" i="2"/>
  <c r="T583" i="2"/>
  <c r="V583" i="2"/>
  <c r="T144" i="2"/>
  <c r="V144" i="2"/>
  <c r="T414" i="2"/>
  <c r="V414" i="2"/>
  <c r="T207" i="2"/>
  <c r="V207" i="2"/>
  <c r="T187" i="2"/>
  <c r="V187" i="2"/>
  <c r="T455" i="2"/>
  <c r="V455" i="2"/>
  <c r="U468" i="2"/>
  <c r="W468" i="2"/>
  <c r="T270" i="2"/>
  <c r="V270" i="2"/>
  <c r="T530" i="2"/>
  <c r="V530" i="2"/>
  <c r="T65" i="2"/>
  <c r="V65" i="2"/>
  <c r="U335" i="2"/>
  <c r="W335" i="2"/>
  <c r="U595" i="2"/>
  <c r="W595" i="2"/>
  <c r="T131" i="2"/>
  <c r="V131" i="2"/>
  <c r="T402" i="2"/>
  <c r="V402" i="2"/>
  <c r="U140" i="2"/>
  <c r="W140" i="2"/>
  <c r="T483" i="2"/>
  <c r="V483" i="2"/>
  <c r="T177" i="2"/>
  <c r="V177" i="2"/>
  <c r="T337" i="2"/>
  <c r="V337" i="2"/>
  <c r="T195" i="2"/>
  <c r="V195" i="2"/>
  <c r="T142" i="2"/>
  <c r="V142" i="2"/>
  <c r="U404" i="2"/>
  <c r="W404" i="2"/>
  <c r="T59" i="2"/>
  <c r="V59" i="2"/>
  <c r="T185" i="2"/>
  <c r="V185" i="2"/>
  <c r="T461" i="2"/>
  <c r="V461" i="2"/>
  <c r="T435" i="2"/>
  <c r="V435" i="2"/>
  <c r="T292" i="2"/>
  <c r="V292" i="2"/>
  <c r="T552" i="2"/>
  <c r="V552" i="2"/>
  <c r="T63" i="2"/>
  <c r="V63" i="2"/>
  <c r="T333" i="2"/>
  <c r="V333" i="2"/>
  <c r="T593" i="2"/>
  <c r="V593" i="2"/>
  <c r="U146" i="2"/>
  <c r="W146" i="2"/>
  <c r="T408" i="2"/>
  <c r="V408" i="2"/>
  <c r="T231" i="2"/>
  <c r="V231" i="2"/>
  <c r="T205" i="2"/>
  <c r="V205" i="2"/>
  <c r="T474" i="2"/>
  <c r="V474" i="2"/>
  <c r="T629" i="2"/>
  <c r="V629" i="2"/>
  <c r="T540" i="2"/>
  <c r="V540" i="2"/>
  <c r="T298" i="2"/>
  <c r="V298" i="2"/>
  <c r="T153" i="2"/>
  <c r="V153" i="2"/>
  <c r="T229" i="2"/>
  <c r="V229" i="2"/>
  <c r="T191" i="2"/>
  <c r="V191" i="2"/>
  <c r="T216" i="2"/>
  <c r="V216" i="2"/>
  <c r="T477" i="2"/>
  <c r="V477" i="2"/>
  <c r="T541" i="2"/>
  <c r="V541" i="2"/>
  <c r="U259" i="2"/>
  <c r="W259" i="2"/>
  <c r="T535" i="2"/>
  <c r="V535" i="2"/>
  <c r="T94" i="2"/>
  <c r="V94" i="2"/>
  <c r="U364" i="2"/>
  <c r="W364" i="2"/>
  <c r="T624" i="2"/>
  <c r="V624" i="2"/>
  <c r="T136" i="2"/>
  <c r="V136" i="2"/>
  <c r="T407" i="2"/>
  <c r="V407" i="2"/>
  <c r="T67" i="2"/>
  <c r="V67" i="2"/>
  <c r="U220" i="2"/>
  <c r="W220" i="2"/>
  <c r="T481" i="2"/>
  <c r="V481" i="2"/>
  <c r="U28" i="2"/>
  <c r="W28" i="2"/>
  <c r="T287" i="2"/>
  <c r="V287" i="2"/>
  <c r="U547" i="2"/>
  <c r="W547" i="2"/>
  <c r="T288" i="2"/>
  <c r="V288" i="2"/>
  <c r="T111" i="2"/>
  <c r="V111" i="2"/>
  <c r="T562" i="2"/>
  <c r="V562" i="2"/>
  <c r="T271" i="2"/>
  <c r="V271" i="2"/>
  <c r="T158" i="2"/>
  <c r="V158" i="2"/>
  <c r="U420" i="2"/>
  <c r="W420" i="2"/>
  <c r="T165" i="2"/>
  <c r="V165" i="2"/>
  <c r="T201" i="2"/>
  <c r="V201" i="2"/>
  <c r="T478" i="2"/>
  <c r="V478" i="2"/>
  <c r="T549" i="2"/>
  <c r="V549" i="2"/>
  <c r="T308" i="2"/>
  <c r="V308" i="2"/>
  <c r="T568" i="2"/>
  <c r="V568" i="2"/>
  <c r="T79" i="2"/>
  <c r="V79" i="2"/>
  <c r="T349" i="2"/>
  <c r="V349" i="2"/>
  <c r="T609" i="2"/>
  <c r="V609" i="2"/>
  <c r="U162" i="2"/>
  <c r="W162" i="2"/>
  <c r="T424" i="2"/>
  <c r="V424" i="2"/>
  <c r="U321" i="2"/>
  <c r="W321" i="2"/>
  <c r="T155" i="2"/>
  <c r="V155" i="2"/>
  <c r="T425" i="2"/>
  <c r="V425" i="2"/>
  <c r="T223" i="2"/>
  <c r="V223" i="2"/>
  <c r="T230" i="2"/>
  <c r="V230" i="2"/>
  <c r="T491" i="2"/>
  <c r="V491" i="2"/>
  <c r="U297" i="2"/>
  <c r="W297" i="2"/>
  <c r="U622" i="2"/>
  <c r="W622" i="2"/>
  <c r="T227" i="2"/>
  <c r="V227" i="2"/>
  <c r="T433" i="2"/>
  <c r="V433" i="2"/>
  <c r="T273" i="2"/>
  <c r="V273" i="2"/>
  <c r="U95" i="2"/>
  <c r="W95" i="2"/>
  <c r="U237" i="2"/>
  <c r="W237" i="2"/>
  <c r="U312" i="2"/>
  <c r="W312" i="2"/>
  <c r="U443" i="2"/>
  <c r="W443" i="2"/>
  <c r="U127" i="2"/>
  <c r="W127" i="2"/>
  <c r="U513" i="2"/>
  <c r="W513" i="2"/>
  <c r="U384" i="2"/>
  <c r="W384" i="2"/>
  <c r="U353" i="2"/>
  <c r="W353" i="2"/>
  <c r="U381" i="2"/>
  <c r="W381" i="2"/>
  <c r="U522" i="2"/>
  <c r="W522" i="2"/>
  <c r="U362" i="2"/>
  <c r="W362" i="2"/>
  <c r="U45" i="2"/>
  <c r="W45" i="2"/>
  <c r="U207" i="2"/>
  <c r="W207" i="2"/>
  <c r="U65" i="2"/>
  <c r="W65" i="2"/>
  <c r="U402" i="2"/>
  <c r="W402" i="2"/>
  <c r="U59" i="2"/>
  <c r="W59" i="2"/>
  <c r="U292" i="2"/>
  <c r="W292" i="2"/>
  <c r="T146" i="2"/>
  <c r="V146" i="2"/>
  <c r="U540" i="2"/>
  <c r="W540" i="2"/>
  <c r="U216" i="2"/>
  <c r="W216" i="2"/>
  <c r="U624" i="2"/>
  <c r="W624" i="2"/>
  <c r="T28" i="2"/>
  <c r="V28" i="2"/>
  <c r="U111" i="2"/>
  <c r="W111" i="2"/>
  <c r="U201" i="2"/>
  <c r="W201" i="2"/>
  <c r="U568" i="2"/>
  <c r="W568" i="2"/>
  <c r="U155" i="2"/>
  <c r="W155" i="2"/>
  <c r="U223" i="2"/>
  <c r="W223" i="2"/>
  <c r="T622" i="2"/>
  <c r="V622" i="2"/>
  <c r="U419" i="2"/>
  <c r="W419" i="2"/>
  <c r="U240" i="2"/>
  <c r="W240" i="2"/>
  <c r="U501" i="2"/>
  <c r="W501" i="2"/>
  <c r="T17" i="2"/>
  <c r="V17" i="2"/>
  <c r="T299" i="2"/>
  <c r="V299" i="2"/>
  <c r="U559" i="2"/>
  <c r="W559" i="2"/>
  <c r="U119" i="2"/>
  <c r="W119" i="2"/>
  <c r="U390" i="2"/>
  <c r="W390" i="2"/>
  <c r="U43" i="2"/>
  <c r="W43" i="2"/>
  <c r="U161" i="2"/>
  <c r="W161" i="2"/>
  <c r="U431" i="2"/>
  <c r="W431" i="2"/>
  <c r="U239" i="2"/>
  <c r="W239" i="2"/>
  <c r="T244" i="2"/>
  <c r="V244" i="2"/>
  <c r="U505" i="2"/>
  <c r="W505" i="2"/>
  <c r="U41" i="2"/>
  <c r="W41" i="2"/>
  <c r="U311" i="2"/>
  <c r="W311" i="2"/>
  <c r="T571" i="2"/>
  <c r="V571" i="2"/>
  <c r="U107" i="2"/>
  <c r="W107" i="2"/>
  <c r="U376" i="2"/>
  <c r="W376" i="2"/>
  <c r="U644" i="2"/>
  <c r="W644" i="2"/>
  <c r="T275" i="2"/>
  <c r="V275" i="2"/>
  <c r="U553" i="2"/>
  <c r="W553" i="2"/>
  <c r="U238" i="2"/>
  <c r="W238" i="2"/>
  <c r="T52" i="2"/>
  <c r="V52" i="2"/>
  <c r="U314" i="2"/>
  <c r="W314" i="2"/>
  <c r="T574" i="2"/>
  <c r="V574" i="2"/>
  <c r="U93" i="2"/>
  <c r="W93" i="2"/>
  <c r="U371" i="2"/>
  <c r="W371" i="2"/>
  <c r="U639" i="2"/>
  <c r="W639" i="2"/>
  <c r="T194" i="2"/>
  <c r="V194" i="2"/>
  <c r="U462" i="2"/>
  <c r="W462" i="2"/>
  <c r="U573" i="2"/>
  <c r="W573" i="2"/>
  <c r="U243" i="2"/>
  <c r="W243" i="2"/>
  <c r="U504" i="2"/>
  <c r="W504" i="2"/>
  <c r="U56" i="2"/>
  <c r="W56" i="2"/>
  <c r="U318" i="2"/>
  <c r="W318" i="2"/>
  <c r="U578" i="2"/>
  <c r="W578" i="2"/>
  <c r="T114" i="2"/>
  <c r="V114" i="2"/>
  <c r="U383" i="2"/>
  <c r="W383" i="2"/>
  <c r="T643" i="2"/>
  <c r="V643" i="2"/>
  <c r="U181" i="2"/>
  <c r="W181" i="2"/>
  <c r="U450" i="2"/>
  <c r="W450" i="2"/>
  <c r="T558" i="2"/>
  <c r="V558" i="2"/>
  <c r="U423" i="2"/>
  <c r="W423" i="2"/>
  <c r="T313" i="2"/>
  <c r="V313" i="2"/>
  <c r="T484" i="2"/>
  <c r="V484" i="2"/>
  <c r="U256" i="2"/>
  <c r="W256" i="2"/>
  <c r="U517" i="2"/>
  <c r="W517" i="2"/>
  <c r="U37" i="2"/>
  <c r="W37" i="2"/>
  <c r="T315" i="2"/>
  <c r="V315" i="2"/>
  <c r="U575" i="2"/>
  <c r="W575" i="2"/>
  <c r="U135" i="2"/>
  <c r="W135" i="2"/>
  <c r="U406" i="2"/>
  <c r="W406" i="2"/>
  <c r="U149" i="2"/>
  <c r="W149" i="2"/>
  <c r="T178" i="2"/>
  <c r="V178" i="2"/>
  <c r="U447" i="2"/>
  <c r="W447" i="2"/>
  <c r="U403" i="2"/>
  <c r="W403" i="2"/>
  <c r="U262" i="2"/>
  <c r="W262" i="2"/>
  <c r="U521" i="2"/>
  <c r="W521" i="2"/>
  <c r="U57" i="2"/>
  <c r="W57" i="2"/>
  <c r="U327" i="2"/>
  <c r="W327" i="2"/>
  <c r="T587" i="2"/>
  <c r="V587" i="2"/>
  <c r="U123" i="2"/>
  <c r="W123" i="2"/>
  <c r="U394" i="2"/>
  <c r="W394" i="2"/>
  <c r="U410" i="2"/>
  <c r="W410" i="2"/>
  <c r="U143" i="2"/>
  <c r="W143" i="2"/>
  <c r="U617" i="2"/>
  <c r="W617" i="2"/>
  <c r="U434" i="2"/>
  <c r="W434" i="2"/>
  <c r="T68" i="2"/>
  <c r="V68" i="2"/>
  <c r="U330" i="2"/>
  <c r="W330" i="2"/>
  <c r="T590" i="2"/>
  <c r="V590" i="2"/>
  <c r="U110" i="2"/>
  <c r="W110" i="2"/>
  <c r="U389" i="2"/>
  <c r="W389" i="2"/>
  <c r="U51" i="2"/>
  <c r="W51" i="2"/>
  <c r="T218" i="2"/>
  <c r="V218" i="2"/>
  <c r="U479" i="2"/>
  <c r="W479" i="2"/>
  <c r="U38" i="2"/>
  <c r="W38" i="2"/>
  <c r="U261" i="2"/>
  <c r="W261" i="2"/>
  <c r="U520" i="2"/>
  <c r="W520" i="2"/>
  <c r="U72" i="2"/>
  <c r="W72" i="2"/>
  <c r="U334" i="2"/>
  <c r="W334" i="2"/>
  <c r="U594" i="2"/>
  <c r="W594" i="2"/>
  <c r="T130" i="2"/>
  <c r="V130" i="2"/>
  <c r="U401" i="2"/>
  <c r="W401" i="2"/>
  <c r="U33" i="2"/>
  <c r="W33" i="2"/>
  <c r="U198" i="2"/>
  <c r="W198" i="2"/>
  <c r="U467" i="2"/>
  <c r="W467" i="2"/>
  <c r="U280" i="2"/>
  <c r="W280" i="2"/>
  <c r="T428" i="2"/>
  <c r="V428" i="2"/>
  <c r="U19" i="2"/>
  <c r="W19" i="2"/>
  <c r="U303" i="2"/>
  <c r="W303" i="2"/>
  <c r="T132" i="2"/>
  <c r="V132" i="2"/>
  <c r="U208" i="2"/>
  <c r="W208" i="2"/>
  <c r="U469" i="2"/>
  <c r="W469" i="2"/>
  <c r="T492" i="2"/>
  <c r="V492" i="2"/>
  <c r="U249" i="2"/>
  <c r="W249" i="2"/>
  <c r="T526" i="2"/>
  <c r="V526" i="2"/>
  <c r="U78" i="2"/>
  <c r="W78" i="2"/>
  <c r="T356" i="2"/>
  <c r="V356" i="2"/>
  <c r="U616" i="2"/>
  <c r="W616" i="2"/>
  <c r="U128" i="2"/>
  <c r="W128" i="2"/>
  <c r="U399" i="2"/>
  <c r="W399" i="2"/>
  <c r="U15" i="2"/>
  <c r="W15" i="2"/>
  <c r="T212" i="2"/>
  <c r="V212" i="2"/>
  <c r="U473" i="2"/>
  <c r="W473" i="2"/>
  <c r="U621" i="2"/>
  <c r="W621" i="2"/>
  <c r="U279" i="2"/>
  <c r="W279" i="2"/>
  <c r="T539" i="2"/>
  <c r="V539" i="2"/>
  <c r="T74" i="2"/>
  <c r="V74" i="2"/>
  <c r="T148" i="2"/>
  <c r="V148" i="2"/>
  <c r="U637" i="2"/>
  <c r="W637" i="2"/>
  <c r="U488" i="2"/>
  <c r="W488" i="2"/>
  <c r="T98" i="2"/>
  <c r="V98" i="2"/>
  <c r="U16" i="2"/>
  <c r="W16" i="2"/>
  <c r="U282" i="2"/>
  <c r="W282" i="2"/>
  <c r="T542" i="2"/>
  <c r="V542" i="2"/>
  <c r="U61" i="2"/>
  <c r="W61" i="2"/>
  <c r="T339" i="2"/>
  <c r="V339" i="2"/>
  <c r="U599" i="2"/>
  <c r="W599" i="2"/>
  <c r="U160" i="2"/>
  <c r="W160" i="2"/>
  <c r="U430" i="2"/>
  <c r="W430" i="2"/>
  <c r="U345" i="2"/>
  <c r="W345" i="2"/>
  <c r="U211" i="2"/>
  <c r="W211" i="2"/>
  <c r="U472" i="2"/>
  <c r="W472" i="2"/>
  <c r="U597" i="2"/>
  <c r="W597" i="2"/>
  <c r="U286" i="2"/>
  <c r="W286" i="2"/>
  <c r="U546" i="2"/>
  <c r="W546" i="2"/>
  <c r="U81" i="2"/>
  <c r="W81" i="2"/>
  <c r="U351" i="2"/>
  <c r="W351" i="2"/>
  <c r="T611" i="2"/>
  <c r="V611" i="2"/>
  <c r="U232" i="2"/>
  <c r="W232" i="2"/>
  <c r="U576" i="2"/>
  <c r="W576" i="2"/>
  <c r="U367" i="2"/>
  <c r="W367" i="2"/>
  <c r="U247" i="2"/>
  <c r="W247" i="2"/>
  <c r="U224" i="2"/>
  <c r="W224" i="2"/>
  <c r="U589" i="2"/>
  <c r="W589" i="2"/>
  <c r="T267" i="2"/>
  <c r="V267" i="2"/>
  <c r="U543" i="2"/>
  <c r="W543" i="2"/>
  <c r="U102" i="2"/>
  <c r="W102" i="2"/>
  <c r="T372" i="2"/>
  <c r="V372" i="2"/>
  <c r="U640" i="2"/>
  <c r="W640" i="2"/>
  <c r="U145" i="2"/>
  <c r="W145" i="2"/>
  <c r="U415" i="2"/>
  <c r="W415" i="2"/>
  <c r="T108" i="2"/>
  <c r="V108" i="2"/>
  <c r="T228" i="2"/>
  <c r="V228" i="2"/>
  <c r="U489" i="2"/>
  <c r="W489" i="2"/>
  <c r="U48" i="2"/>
  <c r="W48" i="2"/>
  <c r="U221" i="2"/>
  <c r="W221" i="2"/>
  <c r="U490" i="2"/>
  <c r="W490" i="2"/>
  <c r="U22" i="2"/>
  <c r="W22" i="2"/>
  <c r="U296" i="2"/>
  <c r="W296" i="2"/>
  <c r="U556" i="2"/>
  <c r="W556" i="2"/>
  <c r="T36" i="2"/>
  <c r="V36" i="2"/>
  <c r="U77" i="2"/>
  <c r="W77" i="2"/>
  <c r="U183" i="2"/>
  <c r="W183" i="2"/>
  <c r="T164" i="2"/>
  <c r="V164" i="2"/>
  <c r="U214" i="2"/>
  <c r="W214" i="2"/>
  <c r="U217" i="2"/>
  <c r="W217" i="2"/>
  <c r="U365" i="2"/>
  <c r="W365" i="2"/>
  <c r="U179" i="2"/>
  <c r="W179" i="2"/>
  <c r="T42" i="2"/>
  <c r="V42" i="2"/>
  <c r="U498" i="2"/>
  <c r="W498" i="2"/>
  <c r="T307" i="2"/>
  <c r="V307" i="2"/>
  <c r="U398" i="2"/>
  <c r="W398" i="2"/>
  <c r="T252" i="2"/>
  <c r="V252" i="2"/>
  <c r="U115" i="2"/>
  <c r="W115" i="2"/>
  <c r="U23" i="2"/>
  <c r="W23" i="2"/>
  <c r="U54" i="2"/>
  <c r="W54" i="2"/>
  <c r="U112" i="2"/>
  <c r="W112" i="2"/>
  <c r="U253" i="2"/>
  <c r="W253" i="2"/>
  <c r="U524" i="2"/>
  <c r="W524" i="2"/>
  <c r="U187" i="2"/>
  <c r="W187" i="2"/>
  <c r="U483" i="2"/>
  <c r="W483" i="2"/>
  <c r="U205" i="2"/>
  <c r="W205" i="2"/>
  <c r="U153" i="2"/>
  <c r="W153" i="2"/>
  <c r="U94" i="2"/>
  <c r="W94" i="2"/>
  <c r="T220" i="2"/>
  <c r="V220" i="2"/>
  <c r="U158" i="2"/>
  <c r="W158" i="2"/>
  <c r="U549" i="2"/>
  <c r="W549" i="2"/>
  <c r="T162" i="2"/>
  <c r="V162" i="2"/>
  <c r="U227" i="2"/>
  <c r="W227" i="2"/>
  <c r="T419" i="2"/>
  <c r="V419" i="2"/>
  <c r="T240" i="2"/>
  <c r="V240" i="2"/>
  <c r="T501" i="2"/>
  <c r="V501" i="2"/>
  <c r="U17" i="2"/>
  <c r="W17" i="2"/>
  <c r="U299" i="2"/>
  <c r="W299" i="2"/>
  <c r="T559" i="2"/>
  <c r="V559" i="2"/>
  <c r="T119" i="2"/>
  <c r="V119" i="2"/>
  <c r="T390" i="2"/>
  <c r="V390" i="2"/>
  <c r="T43" i="2"/>
  <c r="V43" i="2"/>
  <c r="T161" i="2"/>
  <c r="V161" i="2"/>
  <c r="T431" i="2"/>
  <c r="V431" i="2"/>
  <c r="T239" i="2"/>
  <c r="V239" i="2"/>
  <c r="U244" i="2"/>
  <c r="W244" i="2"/>
  <c r="T505" i="2"/>
  <c r="V505" i="2"/>
  <c r="T41" i="2"/>
  <c r="V41" i="2"/>
  <c r="T311" i="2"/>
  <c r="V311" i="2"/>
  <c r="U571" i="2"/>
  <c r="W571" i="2"/>
  <c r="T107" i="2"/>
  <c r="V107" i="2"/>
  <c r="T376" i="2"/>
  <c r="V376" i="2"/>
  <c r="T644" i="2"/>
  <c r="V644" i="2"/>
  <c r="U275" i="2"/>
  <c r="W275" i="2"/>
  <c r="T553" i="2"/>
  <c r="V553" i="2"/>
  <c r="T238" i="2"/>
  <c r="V238" i="2"/>
  <c r="U52" i="2"/>
  <c r="W52" i="2"/>
  <c r="T314" i="2"/>
  <c r="V314" i="2"/>
  <c r="U574" i="2"/>
  <c r="W574" i="2"/>
  <c r="T93" i="2"/>
  <c r="V93" i="2"/>
  <c r="T371" i="2"/>
  <c r="V371" i="2"/>
  <c r="T639" i="2"/>
  <c r="V639" i="2"/>
  <c r="U194" i="2"/>
  <c r="W194" i="2"/>
  <c r="T462" i="2"/>
  <c r="V462" i="2"/>
  <c r="T573" i="2"/>
  <c r="V573" i="2"/>
  <c r="T243" i="2"/>
  <c r="V243" i="2"/>
  <c r="T504" i="2"/>
  <c r="V504" i="2"/>
  <c r="T56" i="2"/>
  <c r="V56" i="2"/>
  <c r="T318" i="2"/>
  <c r="V318" i="2"/>
  <c r="T578" i="2"/>
  <c r="V578" i="2"/>
  <c r="U114" i="2"/>
  <c r="W114" i="2"/>
  <c r="T383" i="2"/>
  <c r="V383" i="2"/>
  <c r="U643" i="2"/>
  <c r="W643" i="2"/>
  <c r="T181" i="2"/>
  <c r="V181" i="2"/>
  <c r="T450" i="2"/>
  <c r="V450" i="2"/>
  <c r="U558" i="2"/>
  <c r="W558" i="2"/>
  <c r="T423" i="2"/>
  <c r="V423" i="2"/>
  <c r="U313" i="2"/>
  <c r="W313" i="2"/>
  <c r="U484" i="2"/>
  <c r="W484" i="2"/>
  <c r="T256" i="2"/>
  <c r="V256" i="2"/>
  <c r="T517" i="2"/>
  <c r="V517" i="2"/>
  <c r="T37" i="2"/>
  <c r="V37" i="2"/>
  <c r="U315" i="2"/>
  <c r="W315" i="2"/>
  <c r="T575" i="2"/>
  <c r="V575" i="2"/>
  <c r="T135" i="2"/>
  <c r="V135" i="2"/>
  <c r="T406" i="2"/>
  <c r="V406" i="2"/>
  <c r="T149" i="2"/>
  <c r="V149" i="2"/>
  <c r="U178" i="2"/>
  <c r="W178" i="2"/>
  <c r="T447" i="2"/>
  <c r="V447" i="2"/>
  <c r="T403" i="2"/>
  <c r="V403" i="2"/>
  <c r="T262" i="2"/>
  <c r="V262" i="2"/>
  <c r="T521" i="2"/>
  <c r="V521" i="2"/>
  <c r="T57" i="2"/>
  <c r="V57" i="2"/>
  <c r="T327" i="2"/>
  <c r="V327" i="2"/>
  <c r="U587" i="2"/>
  <c r="W587" i="2"/>
  <c r="T123" i="2"/>
  <c r="V123" i="2"/>
  <c r="T394" i="2"/>
  <c r="V394" i="2"/>
  <c r="T410" i="2"/>
  <c r="V410" i="2"/>
  <c r="T143" i="2"/>
  <c r="V143" i="2"/>
  <c r="T617" i="2"/>
  <c r="V617" i="2"/>
  <c r="T434" i="2"/>
  <c r="V434" i="2"/>
  <c r="U68" i="2"/>
  <c r="W68" i="2"/>
  <c r="T330" i="2"/>
  <c r="V330" i="2"/>
  <c r="U590" i="2"/>
  <c r="W590" i="2"/>
  <c r="T110" i="2"/>
  <c r="V110" i="2"/>
  <c r="T389" i="2"/>
  <c r="V389" i="2"/>
  <c r="T51" i="2"/>
  <c r="V51" i="2"/>
  <c r="U218" i="2"/>
  <c r="W218" i="2"/>
  <c r="T479" i="2"/>
  <c r="V479" i="2"/>
  <c r="T38" i="2"/>
  <c r="V38" i="2"/>
  <c r="T261" i="2"/>
  <c r="V261" i="2"/>
  <c r="T520" i="2"/>
  <c r="V520" i="2"/>
  <c r="T72" i="2"/>
  <c r="V72" i="2"/>
  <c r="T334" i="2"/>
  <c r="V334" i="2"/>
  <c r="T594" i="2"/>
  <c r="V594" i="2"/>
  <c r="U130" i="2"/>
  <c r="W130" i="2"/>
  <c r="T401" i="2"/>
  <c r="V401" i="2"/>
  <c r="T33" i="2"/>
  <c r="V33" i="2"/>
  <c r="T198" i="2"/>
  <c r="V198" i="2"/>
  <c r="T467" i="2"/>
  <c r="V467" i="2"/>
  <c r="T280" i="2"/>
  <c r="V280" i="2"/>
  <c r="U428" i="2"/>
  <c r="W428" i="2"/>
  <c r="T19" i="2"/>
  <c r="V19" i="2"/>
  <c r="T303" i="2"/>
  <c r="V303" i="2"/>
  <c r="U132" i="2"/>
  <c r="W132" i="2"/>
  <c r="T208" i="2"/>
  <c r="V208" i="2"/>
  <c r="T469" i="2"/>
  <c r="V469" i="2"/>
  <c r="U492" i="2"/>
  <c r="W492" i="2"/>
  <c r="T249" i="2"/>
  <c r="V249" i="2"/>
  <c r="U526" i="2"/>
  <c r="W526" i="2"/>
  <c r="T78" i="2"/>
  <c r="V78" i="2"/>
  <c r="U356" i="2"/>
  <c r="W356" i="2"/>
  <c r="T616" i="2"/>
  <c r="V616" i="2"/>
  <c r="T128" i="2"/>
  <c r="V128" i="2"/>
  <c r="T399" i="2"/>
  <c r="V399" i="2"/>
  <c r="T15" i="2"/>
  <c r="V15" i="2"/>
  <c r="U212" i="2"/>
  <c r="W212" i="2"/>
  <c r="T473" i="2"/>
  <c r="V473" i="2"/>
  <c r="T621" i="2"/>
  <c r="V621" i="2"/>
  <c r="T279" i="2"/>
  <c r="V279" i="2"/>
  <c r="U539" i="2"/>
  <c r="W539" i="2"/>
  <c r="U74" i="2"/>
  <c r="W74" i="2"/>
  <c r="U148" i="2"/>
  <c r="W148" i="2"/>
  <c r="T637" i="2"/>
  <c r="V637" i="2"/>
  <c r="T488" i="2"/>
  <c r="V488" i="2"/>
  <c r="U98" i="2"/>
  <c r="W98" i="2"/>
  <c r="T16" i="2"/>
  <c r="V16" i="2"/>
  <c r="T282" i="2"/>
  <c r="V282" i="2"/>
  <c r="U542" i="2"/>
  <c r="W542" i="2"/>
  <c r="T61" i="2"/>
  <c r="V61" i="2"/>
  <c r="U339" i="2"/>
  <c r="W339" i="2"/>
  <c r="T599" i="2"/>
  <c r="V599" i="2"/>
  <c r="T160" i="2"/>
  <c r="V160" i="2"/>
  <c r="T430" i="2"/>
  <c r="V430" i="2"/>
  <c r="T345" i="2"/>
  <c r="V345" i="2"/>
  <c r="T211" i="2"/>
  <c r="V211" i="2"/>
  <c r="T472" i="2"/>
  <c r="V472" i="2"/>
  <c r="T597" i="2"/>
  <c r="V597" i="2"/>
  <c r="T286" i="2"/>
  <c r="V286" i="2"/>
  <c r="T546" i="2"/>
  <c r="V546" i="2"/>
  <c r="T81" i="2"/>
  <c r="V81" i="2"/>
  <c r="T351" i="2"/>
  <c r="V351" i="2"/>
  <c r="U611" i="2"/>
  <c r="W611" i="2"/>
  <c r="T232" i="2"/>
  <c r="V232" i="2"/>
  <c r="T576" i="2"/>
  <c r="V576" i="2"/>
  <c r="T367" i="2"/>
  <c r="V367" i="2"/>
  <c r="T247" i="2"/>
  <c r="V247" i="2"/>
  <c r="T224" i="2"/>
  <c r="V224" i="2"/>
  <c r="T589" i="2"/>
  <c r="V589" i="2"/>
  <c r="U267" i="2"/>
  <c r="W267" i="2"/>
  <c r="T543" i="2"/>
  <c r="V543" i="2"/>
  <c r="T102" i="2"/>
  <c r="V102" i="2"/>
  <c r="U372" i="2"/>
  <c r="W372" i="2"/>
  <c r="T640" i="2"/>
  <c r="V640" i="2"/>
  <c r="T145" i="2"/>
  <c r="V145" i="2"/>
  <c r="T415" i="2"/>
  <c r="V415" i="2"/>
  <c r="U108" i="2"/>
  <c r="W108" i="2"/>
  <c r="U228" i="2"/>
  <c r="W228" i="2"/>
  <c r="T489" i="2"/>
  <c r="V489" i="2"/>
  <c r="T48" i="2"/>
  <c r="V48" i="2"/>
  <c r="T221" i="2"/>
  <c r="V221" i="2"/>
  <c r="T490" i="2"/>
  <c r="V490" i="2"/>
  <c r="T22" i="2"/>
  <c r="V22" i="2"/>
  <c r="T296" i="2"/>
  <c r="V296" i="2"/>
  <c r="T556" i="2"/>
  <c r="V556" i="2"/>
  <c r="U36" i="2"/>
  <c r="W36" i="2"/>
  <c r="T77" i="2"/>
  <c r="V77" i="2"/>
  <c r="T183" i="2"/>
  <c r="V183" i="2"/>
  <c r="U164" i="2"/>
  <c r="W164" i="2"/>
  <c r="U494" i="2"/>
  <c r="W494" i="2"/>
  <c r="U584" i="2"/>
  <c r="W584" i="2"/>
  <c r="U440" i="2"/>
  <c r="W440" i="2"/>
  <c r="U572" i="2"/>
  <c r="W572" i="2"/>
  <c r="U509" i="2"/>
  <c r="W509" i="2"/>
  <c r="U567" i="2"/>
  <c r="W567" i="2"/>
  <c r="T289" i="2"/>
  <c r="V289" i="2"/>
  <c r="T579" i="2"/>
  <c r="V579" i="2"/>
  <c r="U163" i="2"/>
  <c r="W163" i="2"/>
  <c r="U233" i="2"/>
  <c r="W233" i="2"/>
  <c r="U600" i="2"/>
  <c r="W600" i="2"/>
  <c r="T196" i="2"/>
  <c r="V196" i="2"/>
  <c r="T58" i="2"/>
  <c r="V58" i="2"/>
  <c r="T476" i="2"/>
  <c r="V476" i="2"/>
  <c r="T323" i="2"/>
  <c r="V323" i="2"/>
  <c r="U414" i="2"/>
  <c r="W414" i="2"/>
  <c r="U455" i="2"/>
  <c r="W455" i="2"/>
  <c r="U530" i="2"/>
  <c r="W530" i="2"/>
  <c r="T595" i="2"/>
  <c r="V595" i="2"/>
  <c r="U177" i="2"/>
  <c r="W177" i="2"/>
  <c r="U142" i="2"/>
  <c r="W142" i="2"/>
  <c r="U435" i="2"/>
  <c r="W435" i="2"/>
  <c r="U63" i="2"/>
  <c r="W63" i="2"/>
  <c r="U408" i="2"/>
  <c r="W408" i="2"/>
  <c r="U474" i="2"/>
  <c r="W474" i="2"/>
  <c r="U229" i="2"/>
  <c r="W229" i="2"/>
  <c r="T259" i="2"/>
  <c r="V259" i="2"/>
  <c r="U136" i="2"/>
  <c r="W136" i="2"/>
  <c r="U481" i="2"/>
  <c r="W481" i="2"/>
  <c r="T547" i="2"/>
  <c r="V547" i="2"/>
  <c r="U271" i="2"/>
  <c r="W271" i="2"/>
  <c r="U478" i="2"/>
  <c r="W478" i="2"/>
  <c r="U349" i="2"/>
  <c r="W349" i="2"/>
  <c r="T321" i="2"/>
  <c r="V321" i="2"/>
  <c r="U491" i="2"/>
  <c r="W491" i="2"/>
  <c r="T44" i="2"/>
  <c r="V44" i="2"/>
  <c r="U306" i="2"/>
  <c r="W306" i="2"/>
  <c r="T566" i="2"/>
  <c r="V566" i="2"/>
  <c r="U85" i="2"/>
  <c r="W85" i="2"/>
  <c r="U363" i="2"/>
  <c r="W363" i="2"/>
  <c r="U623" i="2"/>
  <c r="W623" i="2"/>
  <c r="T186" i="2"/>
  <c r="V186" i="2"/>
  <c r="U454" i="2"/>
  <c r="W454" i="2"/>
  <c r="U533" i="2"/>
  <c r="W533" i="2"/>
  <c r="U235" i="2"/>
  <c r="W235" i="2"/>
  <c r="U496" i="2"/>
  <c r="W496" i="2"/>
  <c r="U40" i="2"/>
  <c r="W40" i="2"/>
  <c r="U310" i="2"/>
  <c r="W310" i="2"/>
  <c r="U570" i="2"/>
  <c r="W570" i="2"/>
  <c r="U105" i="2"/>
  <c r="W105" i="2"/>
  <c r="U375" i="2"/>
  <c r="W375" i="2"/>
  <c r="T635" i="2"/>
  <c r="V635" i="2"/>
  <c r="U173" i="2"/>
  <c r="W173" i="2"/>
  <c r="U442" i="2"/>
  <c r="W442" i="2"/>
  <c r="T515" i="2"/>
  <c r="V515" i="2"/>
  <c r="U551" i="2"/>
  <c r="W551" i="2"/>
  <c r="U302" i="2"/>
  <c r="W302" i="2"/>
  <c r="T202" i="2"/>
  <c r="V202" i="2"/>
  <c r="U117" i="2"/>
  <c r="W117" i="2"/>
  <c r="U378" i="2"/>
  <c r="W378" i="2"/>
  <c r="T638" i="2"/>
  <c r="V638" i="2"/>
  <c r="U159" i="2"/>
  <c r="W159" i="2"/>
  <c r="U437" i="2"/>
  <c r="W437" i="2"/>
  <c r="U361" i="2"/>
  <c r="W361" i="2"/>
  <c r="U268" i="2"/>
  <c r="W268" i="2"/>
  <c r="U527" i="2"/>
  <c r="W527" i="2"/>
  <c r="U39" i="2"/>
  <c r="W39" i="2"/>
  <c r="U309" i="2"/>
  <c r="W309" i="2"/>
  <c r="U569" i="2"/>
  <c r="W569" i="2"/>
  <c r="U121" i="2"/>
  <c r="W121" i="2"/>
  <c r="U382" i="2"/>
  <c r="W382" i="2"/>
  <c r="U650" i="2"/>
  <c r="W650" i="2"/>
  <c r="T180" i="2"/>
  <c r="V180" i="2"/>
  <c r="U449" i="2"/>
  <c r="W449" i="2"/>
  <c r="U451" i="2"/>
  <c r="W451" i="2"/>
  <c r="U254" i="2"/>
  <c r="W254" i="2"/>
  <c r="U580" i="2"/>
  <c r="W580" i="2"/>
  <c r="U421" i="2"/>
  <c r="W421" i="2"/>
  <c r="U171" i="2"/>
  <c r="W171" i="2"/>
  <c r="U304" i="2"/>
  <c r="W304" i="2"/>
  <c r="T60" i="2"/>
  <c r="V60" i="2"/>
  <c r="U322" i="2"/>
  <c r="W322" i="2"/>
  <c r="T582" i="2"/>
  <c r="V582" i="2"/>
  <c r="U101" i="2"/>
  <c r="W101" i="2"/>
  <c r="U379" i="2"/>
  <c r="W379" i="2"/>
  <c r="U647" i="2"/>
  <c r="W647" i="2"/>
  <c r="T210" i="2"/>
  <c r="V210" i="2"/>
  <c r="U471" i="2"/>
  <c r="W471" i="2"/>
  <c r="U653" i="2"/>
  <c r="W653" i="2"/>
  <c r="U251" i="2"/>
  <c r="W251" i="2"/>
  <c r="U512" i="2"/>
  <c r="W512" i="2"/>
  <c r="U64" i="2"/>
  <c r="W64" i="2"/>
  <c r="U326" i="2"/>
  <c r="W326" i="2"/>
  <c r="U586" i="2"/>
  <c r="W586" i="2"/>
  <c r="T122" i="2"/>
  <c r="V122" i="2"/>
  <c r="U393" i="2"/>
  <c r="W393" i="2"/>
  <c r="T651" i="2"/>
  <c r="V651" i="2"/>
  <c r="U190" i="2"/>
  <c r="W190" i="2"/>
  <c r="U458" i="2"/>
  <c r="W458" i="2"/>
  <c r="U604" i="2"/>
  <c r="W604" i="2"/>
  <c r="U355" i="2"/>
  <c r="W355" i="2"/>
  <c r="U366" i="2"/>
  <c r="W366" i="2"/>
  <c r="T291" i="2"/>
  <c r="V291" i="2"/>
  <c r="U133" i="2"/>
  <c r="W133" i="2"/>
  <c r="T396" i="2"/>
  <c r="V396" i="2"/>
  <c r="T654" i="2"/>
  <c r="V654" i="2"/>
  <c r="U176" i="2"/>
  <c r="W176" i="2"/>
  <c r="U453" i="2"/>
  <c r="W453" i="2"/>
  <c r="U411" i="2"/>
  <c r="W411" i="2"/>
  <c r="U284" i="2"/>
  <c r="W284" i="2"/>
  <c r="U544" i="2"/>
  <c r="W544" i="2"/>
  <c r="U55" i="2"/>
  <c r="W55" i="2"/>
  <c r="U325" i="2"/>
  <c r="W325" i="2"/>
  <c r="U585" i="2"/>
  <c r="W585" i="2"/>
  <c r="U137" i="2"/>
  <c r="W137" i="2"/>
  <c r="U400" i="2"/>
  <c r="W400" i="2"/>
  <c r="U157" i="2"/>
  <c r="W157" i="2"/>
  <c r="U197" i="2"/>
  <c r="W197" i="2"/>
  <c r="U465" i="2"/>
  <c r="W465" i="2"/>
  <c r="U581" i="2"/>
  <c r="W581" i="2"/>
  <c r="U272" i="2"/>
  <c r="W272" i="2"/>
  <c r="U532" i="2"/>
  <c r="W532" i="2"/>
  <c r="U475" i="2"/>
  <c r="W475" i="2"/>
  <c r="U209" i="2"/>
  <c r="W209" i="2"/>
  <c r="U357" i="2"/>
  <c r="W357" i="2"/>
  <c r="T627" i="2"/>
  <c r="V627" i="2"/>
  <c r="U613" i="2"/>
  <c r="W613" i="2"/>
  <c r="U274" i="2"/>
  <c r="W274" i="2"/>
  <c r="T534" i="2"/>
  <c r="V534" i="2"/>
  <c r="U53" i="2"/>
  <c r="W53" i="2"/>
  <c r="U331" i="2"/>
  <c r="W331" i="2"/>
  <c r="U591" i="2"/>
  <c r="W591" i="2"/>
  <c r="U152" i="2"/>
  <c r="W152" i="2"/>
  <c r="U422" i="2"/>
  <c r="W422" i="2"/>
  <c r="T265" i="2"/>
  <c r="V265" i="2"/>
  <c r="U203" i="2"/>
  <c r="W203" i="2"/>
  <c r="U463" i="2"/>
  <c r="W463" i="2"/>
  <c r="U516" i="2"/>
  <c r="W516" i="2"/>
  <c r="U278" i="2"/>
  <c r="W278" i="2"/>
  <c r="U538" i="2"/>
  <c r="W538" i="2"/>
  <c r="U73" i="2"/>
  <c r="W73" i="2"/>
  <c r="U343" i="2"/>
  <c r="W343" i="2"/>
  <c r="T603" i="2"/>
  <c r="V603" i="2"/>
  <c r="U206" i="2"/>
  <c r="W206" i="2"/>
  <c r="U222" i="2"/>
  <c r="W222" i="2"/>
  <c r="U615" i="2"/>
  <c r="W615" i="2"/>
  <c r="T236" i="2"/>
  <c r="V236" i="2"/>
  <c r="U499" i="2"/>
  <c r="W499" i="2"/>
  <c r="T84" i="2"/>
  <c r="V84" i="2"/>
  <c r="T346" i="2"/>
  <c r="V346" i="2"/>
  <c r="T606" i="2"/>
  <c r="V606" i="2"/>
  <c r="U126" i="2"/>
  <c r="W126" i="2"/>
  <c r="U405" i="2"/>
  <c r="W405" i="2"/>
  <c r="U141" i="2"/>
  <c r="W141" i="2"/>
  <c r="T234" i="2"/>
  <c r="V234" i="2"/>
  <c r="U495" i="2"/>
  <c r="W495" i="2"/>
  <c r="U62" i="2"/>
  <c r="W62" i="2"/>
  <c r="U277" i="2"/>
  <c r="W277" i="2"/>
  <c r="U537" i="2"/>
  <c r="W537" i="2"/>
  <c r="U88" i="2"/>
  <c r="W88" i="2"/>
  <c r="U350" i="2"/>
  <c r="W350" i="2"/>
  <c r="U610" i="2"/>
  <c r="W610" i="2"/>
  <c r="U147" i="2"/>
  <c r="W147" i="2"/>
  <c r="U417" i="2"/>
  <c r="W417" i="2"/>
  <c r="U174" i="2"/>
  <c r="W174" i="2"/>
  <c r="U215" i="2"/>
  <c r="W215" i="2"/>
  <c r="U293" i="2"/>
  <c r="W293" i="2"/>
  <c r="U31" i="2"/>
  <c r="W31" i="2"/>
  <c r="U24" i="2"/>
  <c r="W24" i="2"/>
  <c r="U290" i="2"/>
  <c r="W290" i="2"/>
  <c r="T550" i="2"/>
  <c r="V550" i="2"/>
  <c r="U69" i="2"/>
  <c r="W69" i="2"/>
  <c r="U347" i="2"/>
  <c r="W347" i="2"/>
  <c r="U607" i="2"/>
  <c r="W607" i="2"/>
  <c r="U168" i="2"/>
  <c r="W168" i="2"/>
  <c r="U438" i="2"/>
  <c r="W438" i="2"/>
  <c r="U386" i="2"/>
  <c r="W386" i="2"/>
  <c r="U219" i="2"/>
  <c r="W219" i="2"/>
  <c r="U480" i="2"/>
  <c r="W480" i="2"/>
  <c r="U645" i="2"/>
  <c r="W645" i="2"/>
  <c r="U294" i="2"/>
  <c r="W294" i="2"/>
  <c r="U554" i="2"/>
  <c r="W554" i="2"/>
  <c r="U21" i="2"/>
  <c r="W21" i="2"/>
  <c r="U295" i="2"/>
  <c r="W295" i="2"/>
  <c r="T555" i="2"/>
  <c r="V555" i="2"/>
  <c r="T90" i="2"/>
  <c r="V90" i="2"/>
  <c r="U360" i="2"/>
  <c r="W360" i="2"/>
  <c r="U620" i="2"/>
  <c r="W620" i="2"/>
  <c r="T100" i="2"/>
  <c r="V100" i="2"/>
  <c r="U255" i="2"/>
  <c r="W255" i="2"/>
  <c r="U432" i="2"/>
  <c r="W432" i="2"/>
  <c r="U628" i="2"/>
  <c r="W628" i="2"/>
  <c r="U175" i="2"/>
  <c r="W175" i="2"/>
  <c r="U324" i="2"/>
  <c r="W324" i="2"/>
  <c r="U377" i="2"/>
  <c r="W377" i="2"/>
  <c r="U166" i="2"/>
  <c r="W166" i="2"/>
  <c r="U25" i="2"/>
  <c r="W25" i="2"/>
  <c r="T170" i="2"/>
  <c r="V170" i="2"/>
  <c r="U49" i="2"/>
  <c r="W49" i="2"/>
  <c r="U648" i="2"/>
  <c r="W648" i="2"/>
  <c r="U192" i="2"/>
  <c r="W192" i="2"/>
  <c r="U340" i="2"/>
  <c r="W340" i="2"/>
  <c r="U557" i="2"/>
  <c r="W557" i="2"/>
  <c r="U588" i="2"/>
  <c r="W588" i="2"/>
  <c r="U266" i="2"/>
  <c r="W266" i="2"/>
  <c r="U144" i="2"/>
  <c r="W144" i="2"/>
  <c r="U270" i="2"/>
  <c r="W270" i="2"/>
  <c r="T335" i="2"/>
  <c r="V335" i="2"/>
  <c r="T140" i="2"/>
  <c r="V140" i="2"/>
  <c r="T404" i="2"/>
  <c r="V404" i="2"/>
  <c r="U461" i="2"/>
  <c r="W461" i="2"/>
  <c r="U333" i="2"/>
  <c r="W333" i="2"/>
  <c r="U629" i="2"/>
  <c r="W629" i="2"/>
  <c r="U191" i="2"/>
  <c r="W191" i="2"/>
  <c r="U477" i="2"/>
  <c r="W477" i="2"/>
  <c r="U535" i="2"/>
  <c r="W535" i="2"/>
  <c r="U67" i="2"/>
  <c r="W67" i="2"/>
  <c r="U562" i="2"/>
  <c r="W562" i="2"/>
  <c r="U165" i="2"/>
  <c r="W165" i="2"/>
  <c r="U79" i="2"/>
  <c r="W79" i="2"/>
  <c r="U424" i="2"/>
  <c r="W424" i="2"/>
  <c r="U425" i="2"/>
  <c r="W425" i="2"/>
  <c r="U230" i="2"/>
  <c r="W230" i="2"/>
  <c r="U433" i="2"/>
  <c r="W433" i="2"/>
  <c r="U44" i="2"/>
  <c r="W44" i="2"/>
  <c r="T306" i="2"/>
  <c r="V306" i="2"/>
  <c r="U566" i="2"/>
  <c r="W566" i="2"/>
  <c r="T85" i="2"/>
  <c r="V85" i="2"/>
  <c r="T363" i="2"/>
  <c r="V363" i="2"/>
  <c r="T623" i="2"/>
  <c r="V623" i="2"/>
  <c r="U186" i="2"/>
  <c r="W186" i="2"/>
  <c r="T454" i="2"/>
  <c r="V454" i="2"/>
  <c r="T533" i="2"/>
  <c r="V533" i="2"/>
  <c r="T235" i="2"/>
  <c r="V235" i="2"/>
  <c r="T496" i="2"/>
  <c r="V496" i="2"/>
  <c r="T40" i="2"/>
  <c r="V40" i="2"/>
  <c r="T310" i="2"/>
  <c r="V310" i="2"/>
  <c r="T570" i="2"/>
  <c r="V570" i="2"/>
  <c r="T105" i="2"/>
  <c r="V105" i="2"/>
  <c r="T375" i="2"/>
  <c r="V375" i="2"/>
  <c r="U635" i="2"/>
  <c r="W635" i="2"/>
  <c r="T173" i="2"/>
  <c r="V173" i="2"/>
  <c r="T442" i="2"/>
  <c r="V442" i="2"/>
  <c r="U515" i="2"/>
  <c r="W515" i="2"/>
  <c r="T551" i="2"/>
  <c r="V551" i="2"/>
  <c r="T302" i="2"/>
  <c r="V302" i="2"/>
  <c r="U202" i="2"/>
  <c r="W202" i="2"/>
  <c r="T117" i="2"/>
  <c r="V117" i="2"/>
  <c r="T378" i="2"/>
  <c r="V378" i="2"/>
  <c r="U638" i="2"/>
  <c r="W638" i="2"/>
  <c r="T159" i="2"/>
  <c r="V159" i="2"/>
  <c r="T437" i="2"/>
  <c r="V437" i="2"/>
  <c r="T361" i="2"/>
  <c r="V361" i="2"/>
  <c r="T268" i="2"/>
  <c r="V268" i="2"/>
  <c r="T527" i="2"/>
  <c r="V527" i="2"/>
  <c r="T39" i="2"/>
  <c r="V39" i="2"/>
  <c r="T309" i="2"/>
  <c r="V309" i="2"/>
  <c r="T569" i="2"/>
  <c r="V569" i="2"/>
  <c r="T121" i="2"/>
  <c r="V121" i="2"/>
  <c r="T382" i="2"/>
  <c r="V382" i="2"/>
  <c r="T650" i="2"/>
  <c r="V650" i="2"/>
  <c r="U180" i="2"/>
  <c r="W180" i="2"/>
  <c r="T449" i="2"/>
  <c r="V449" i="2"/>
  <c r="T451" i="2"/>
  <c r="V451" i="2"/>
  <c r="T254" i="2"/>
  <c r="V254" i="2"/>
  <c r="T580" i="2"/>
  <c r="V580" i="2"/>
  <c r="T421" i="2"/>
  <c r="V421" i="2"/>
  <c r="T171" i="2"/>
  <c r="V171" i="2"/>
  <c r="T304" i="2"/>
  <c r="V304" i="2"/>
  <c r="U60" i="2"/>
  <c r="W60" i="2"/>
  <c r="T322" i="2"/>
  <c r="V322" i="2"/>
  <c r="U582" i="2"/>
  <c r="W582" i="2"/>
  <c r="T101" i="2"/>
  <c r="V101" i="2"/>
  <c r="T379" i="2"/>
  <c r="V379" i="2"/>
  <c r="T647" i="2"/>
  <c r="V647" i="2"/>
  <c r="U210" i="2"/>
  <c r="W210" i="2"/>
  <c r="T471" i="2"/>
  <c r="V471" i="2"/>
  <c r="T653" i="2"/>
  <c r="V653" i="2"/>
  <c r="T251" i="2"/>
  <c r="V251" i="2"/>
  <c r="T512" i="2"/>
  <c r="V512" i="2"/>
  <c r="T64" i="2"/>
  <c r="V64" i="2"/>
  <c r="T326" i="2"/>
  <c r="V326" i="2"/>
  <c r="T586" i="2"/>
  <c r="V586" i="2"/>
  <c r="U122" i="2"/>
  <c r="W122" i="2"/>
  <c r="T393" i="2"/>
  <c r="V393" i="2"/>
  <c r="U651" i="2"/>
  <c r="W651" i="2"/>
  <c r="T190" i="2"/>
  <c r="V190" i="2"/>
  <c r="T458" i="2"/>
  <c r="V458" i="2"/>
  <c r="T604" i="2"/>
  <c r="V604" i="2"/>
  <c r="T355" i="2"/>
  <c r="V355" i="2"/>
  <c r="T366" i="2"/>
  <c r="V366" i="2"/>
  <c r="U291" i="2"/>
  <c r="W291" i="2"/>
  <c r="T133" i="2"/>
  <c r="V133" i="2"/>
  <c r="U396" i="2"/>
  <c r="W396" i="2"/>
  <c r="U654" i="2"/>
  <c r="W654" i="2"/>
  <c r="T176" i="2"/>
  <c r="V176" i="2"/>
  <c r="T453" i="2"/>
  <c r="V453" i="2"/>
  <c r="T411" i="2"/>
  <c r="V411" i="2"/>
  <c r="T284" i="2"/>
  <c r="V284" i="2"/>
  <c r="T544" i="2"/>
  <c r="V544" i="2"/>
  <c r="T55" i="2"/>
  <c r="V55" i="2"/>
  <c r="T325" i="2"/>
  <c r="V325" i="2"/>
  <c r="T585" i="2"/>
  <c r="V585" i="2"/>
  <c r="T137" i="2"/>
  <c r="V137" i="2"/>
  <c r="T400" i="2"/>
  <c r="V400" i="2"/>
  <c r="T157" i="2"/>
  <c r="V157" i="2"/>
  <c r="T197" i="2"/>
  <c r="V197" i="2"/>
  <c r="T465" i="2"/>
  <c r="V465" i="2"/>
  <c r="T581" i="2"/>
  <c r="V581" i="2"/>
  <c r="T272" i="2"/>
  <c r="V272" i="2"/>
  <c r="T532" i="2"/>
  <c r="V532" i="2"/>
  <c r="T475" i="2"/>
  <c r="V475" i="2"/>
  <c r="T209" i="2"/>
  <c r="V209" i="2"/>
  <c r="T357" i="2"/>
  <c r="V357" i="2"/>
  <c r="U627" i="2"/>
  <c r="W627" i="2"/>
  <c r="T613" i="2"/>
  <c r="V613" i="2"/>
  <c r="T274" i="2"/>
  <c r="V274" i="2"/>
  <c r="U534" i="2"/>
  <c r="W534" i="2"/>
  <c r="T53" i="2"/>
  <c r="V53" i="2"/>
  <c r="T331" i="2"/>
  <c r="V331" i="2"/>
  <c r="T591" i="2"/>
  <c r="V591" i="2"/>
  <c r="T152" i="2"/>
  <c r="V152" i="2"/>
  <c r="T422" i="2"/>
  <c r="V422" i="2"/>
  <c r="U265" i="2"/>
  <c r="W265" i="2"/>
  <c r="T203" i="2"/>
  <c r="V203" i="2"/>
  <c r="T463" i="2"/>
  <c r="V463" i="2"/>
  <c r="T516" i="2"/>
  <c r="V516" i="2"/>
  <c r="T278" i="2"/>
  <c r="V278" i="2"/>
  <c r="T538" i="2"/>
  <c r="V538" i="2"/>
  <c r="T73" i="2"/>
  <c r="V73" i="2"/>
  <c r="T343" i="2"/>
  <c r="V343" i="2"/>
  <c r="U603" i="2"/>
  <c r="W603" i="2"/>
  <c r="T206" i="2"/>
  <c r="V206" i="2"/>
  <c r="T222" i="2"/>
  <c r="V222" i="2"/>
  <c r="T615" i="2"/>
  <c r="V615" i="2"/>
  <c r="U236" i="2"/>
  <c r="W236" i="2"/>
  <c r="T499" i="2"/>
  <c r="V499" i="2"/>
  <c r="U84" i="2"/>
  <c r="W84" i="2"/>
  <c r="U346" i="2"/>
  <c r="W346" i="2"/>
  <c r="U606" i="2"/>
  <c r="W606" i="2"/>
  <c r="T126" i="2"/>
  <c r="V126" i="2"/>
  <c r="T405" i="2"/>
  <c r="V405" i="2"/>
  <c r="T141" i="2"/>
  <c r="V141" i="2"/>
  <c r="U234" i="2"/>
  <c r="W234" i="2"/>
  <c r="T495" i="2"/>
  <c r="V495" i="2"/>
  <c r="T62" i="2"/>
  <c r="V62" i="2"/>
  <c r="T277" i="2"/>
  <c r="V277" i="2"/>
  <c r="T537" i="2"/>
  <c r="V537" i="2"/>
  <c r="T88" i="2"/>
  <c r="V88" i="2"/>
  <c r="T350" i="2"/>
  <c r="V350" i="2"/>
  <c r="T610" i="2"/>
  <c r="V610" i="2"/>
  <c r="T147" i="2"/>
  <c r="V147" i="2"/>
  <c r="T417" i="2"/>
  <c r="V417" i="2"/>
  <c r="T174" i="2"/>
  <c r="V174" i="2"/>
  <c r="T215" i="2"/>
  <c r="V215" i="2"/>
  <c r="T293" i="2"/>
  <c r="V293" i="2"/>
  <c r="T31" i="2"/>
  <c r="V31" i="2"/>
  <c r="T24" i="2"/>
  <c r="V24" i="2"/>
  <c r="T290" i="2"/>
  <c r="V290" i="2"/>
  <c r="U550" i="2"/>
  <c r="W550" i="2"/>
  <c r="T69" i="2"/>
  <c r="V69" i="2"/>
  <c r="T347" i="2"/>
  <c r="V347" i="2"/>
  <c r="T607" i="2"/>
  <c r="V607" i="2"/>
  <c r="T168" i="2"/>
  <c r="V168" i="2"/>
  <c r="T438" i="2"/>
  <c r="V438" i="2"/>
  <c r="T386" i="2"/>
  <c r="V386" i="2"/>
  <c r="T219" i="2"/>
  <c r="V219" i="2"/>
  <c r="T480" i="2"/>
  <c r="V480" i="2"/>
  <c r="T645" i="2"/>
  <c r="V645" i="2"/>
  <c r="T294" i="2"/>
  <c r="V294" i="2"/>
  <c r="T554" i="2"/>
  <c r="V554" i="2"/>
  <c r="T21" i="2"/>
  <c r="V21" i="2"/>
  <c r="T295" i="2"/>
  <c r="V295" i="2"/>
  <c r="U555" i="2"/>
  <c r="W555" i="2"/>
  <c r="U90" i="2"/>
  <c r="W90" i="2"/>
  <c r="T360" i="2"/>
  <c r="V360" i="2"/>
  <c r="T620" i="2"/>
  <c r="V620" i="2"/>
  <c r="U100" i="2"/>
  <c r="W100" i="2"/>
  <c r="T255" i="2"/>
  <c r="V255" i="2"/>
  <c r="T432" i="2"/>
  <c r="V432" i="2"/>
  <c r="T628" i="2"/>
  <c r="V628" i="2"/>
  <c r="U631" i="2"/>
  <c r="W631" i="2"/>
  <c r="U109" i="2"/>
  <c r="W109" i="2"/>
  <c r="U370" i="2"/>
  <c r="W370" i="2"/>
  <c r="T630" i="2"/>
  <c r="V630" i="2"/>
  <c r="U151" i="2"/>
  <c r="W151" i="2"/>
  <c r="U429" i="2"/>
  <c r="W429" i="2"/>
  <c r="T305" i="2"/>
  <c r="V305" i="2"/>
  <c r="U260" i="2"/>
  <c r="W260" i="2"/>
  <c r="U519" i="2"/>
  <c r="W519" i="2"/>
  <c r="U27" i="2"/>
  <c r="W27" i="2"/>
  <c r="U301" i="2"/>
  <c r="W301" i="2"/>
  <c r="U561" i="2"/>
  <c r="W561" i="2"/>
  <c r="U113" i="2"/>
  <c r="W113" i="2"/>
  <c r="U374" i="2"/>
  <c r="W374" i="2"/>
  <c r="U642" i="2"/>
  <c r="W642" i="2"/>
  <c r="T172" i="2"/>
  <c r="V172" i="2"/>
  <c r="U441" i="2"/>
  <c r="W441" i="2"/>
  <c r="U427" i="2"/>
  <c r="W427" i="2"/>
  <c r="U246" i="2"/>
  <c r="W246" i="2"/>
  <c r="U507" i="2"/>
  <c r="W507" i="2"/>
  <c r="U652" i="2"/>
  <c r="W652" i="2"/>
  <c r="U446" i="2"/>
  <c r="W446" i="2"/>
  <c r="U29" i="2"/>
  <c r="W29" i="2"/>
  <c r="U636" i="2"/>
  <c r="W636" i="2"/>
  <c r="U184" i="2"/>
  <c r="W184" i="2"/>
  <c r="T444" i="2"/>
  <c r="V444" i="2"/>
  <c r="T329" i="2"/>
  <c r="V329" i="2"/>
  <c r="U225" i="2"/>
  <c r="W225" i="2"/>
  <c r="U502" i="2"/>
  <c r="W502" i="2"/>
  <c r="T26" i="2"/>
  <c r="V26" i="2"/>
  <c r="U332" i="2"/>
  <c r="W332" i="2"/>
  <c r="U592" i="2"/>
  <c r="W592" i="2"/>
  <c r="U103" i="2"/>
  <c r="W103" i="2"/>
  <c r="U373" i="2"/>
  <c r="W373" i="2"/>
  <c r="U633" i="2"/>
  <c r="W633" i="2"/>
  <c r="T188" i="2"/>
  <c r="V188" i="2"/>
  <c r="U448" i="2"/>
  <c r="W448" i="2"/>
  <c r="T500" i="2"/>
  <c r="V500" i="2"/>
  <c r="U245" i="2"/>
  <c r="W245" i="2"/>
  <c r="U514" i="2"/>
  <c r="W514" i="2"/>
  <c r="T50" i="2"/>
  <c r="V50" i="2"/>
  <c r="U320" i="2"/>
  <c r="W320" i="2"/>
  <c r="U418" i="2"/>
  <c r="W418" i="2"/>
  <c r="U316" i="2"/>
  <c r="W316" i="2"/>
  <c r="U497" i="2"/>
  <c r="W497" i="2"/>
  <c r="U632" i="2"/>
  <c r="W632" i="2"/>
  <c r="U125" i="2"/>
  <c r="W125" i="2"/>
  <c r="T388" i="2"/>
  <c r="V388" i="2"/>
  <c r="T646" i="2"/>
  <c r="V646" i="2"/>
  <c r="U167" i="2"/>
  <c r="W167" i="2"/>
  <c r="U445" i="2"/>
  <c r="W445" i="2"/>
  <c r="U369" i="2"/>
  <c r="W369" i="2"/>
  <c r="U276" i="2"/>
  <c r="W276" i="2"/>
  <c r="U536" i="2"/>
  <c r="W536" i="2"/>
  <c r="U47" i="2"/>
  <c r="W47" i="2"/>
  <c r="U317" i="2"/>
  <c r="W317" i="2"/>
  <c r="U577" i="2"/>
  <c r="W577" i="2"/>
  <c r="U129" i="2"/>
  <c r="W129" i="2"/>
  <c r="U392" i="2"/>
  <c r="W392" i="2"/>
  <c r="U83" i="2"/>
  <c r="W83" i="2"/>
  <c r="U189" i="2"/>
  <c r="W189" i="2"/>
  <c r="U457" i="2"/>
  <c r="W457" i="2"/>
  <c r="T508" i="2"/>
  <c r="V508" i="2"/>
  <c r="U264" i="2"/>
  <c r="W264" i="2"/>
  <c r="T523" i="2"/>
  <c r="V523" i="2"/>
  <c r="U352" i="2"/>
  <c r="W352" i="2"/>
  <c r="T250" i="2"/>
  <c r="V250" i="2"/>
  <c r="U13" i="2"/>
  <c r="W13" i="2"/>
  <c r="U91" i="2"/>
  <c r="W91" i="2"/>
  <c r="U200" i="2"/>
  <c r="W200" i="2"/>
  <c r="T460" i="2"/>
  <c r="V460" i="2"/>
  <c r="U395" i="2"/>
  <c r="W395" i="2"/>
  <c r="U241" i="2"/>
  <c r="W241" i="2"/>
  <c r="T518" i="2"/>
  <c r="V518" i="2"/>
  <c r="U70" i="2"/>
  <c r="W70" i="2"/>
  <c r="U348" i="2"/>
  <c r="W348" i="2"/>
  <c r="U608" i="2"/>
  <c r="W608" i="2"/>
  <c r="U120" i="2"/>
  <c r="W120" i="2"/>
  <c r="U391" i="2"/>
  <c r="W391" i="2"/>
  <c r="U649" i="2"/>
  <c r="W649" i="2"/>
  <c r="T204" i="2"/>
  <c r="V204" i="2"/>
  <c r="U464" i="2"/>
  <c r="W464" i="2"/>
  <c r="U565" i="2"/>
  <c r="W565" i="2"/>
  <c r="U263" i="2"/>
  <c r="W263" i="2"/>
  <c r="T531" i="2"/>
  <c r="V531" i="2"/>
  <c r="T66" i="2"/>
  <c r="V66" i="2"/>
  <c r="U336" i="2"/>
  <c r="W336" i="2"/>
  <c r="U596" i="2"/>
  <c r="W596" i="2"/>
  <c r="T82" i="2"/>
  <c r="V82" i="2"/>
  <c r="U605" i="2"/>
  <c r="W605" i="2"/>
  <c r="U104" i="2"/>
  <c r="W104" i="2"/>
  <c r="U368" i="2"/>
  <c r="W368" i="2"/>
  <c r="T76" i="2"/>
  <c r="V76" i="2"/>
  <c r="U338" i="2"/>
  <c r="W338" i="2"/>
  <c r="T598" i="2"/>
  <c r="V598" i="2"/>
  <c r="U118" i="2"/>
  <c r="W118" i="2"/>
  <c r="U397" i="2"/>
  <c r="W397" i="2"/>
  <c r="U75" i="2"/>
  <c r="W75" i="2"/>
  <c r="T226" i="2"/>
  <c r="V226" i="2"/>
  <c r="U487" i="2"/>
  <c r="W487" i="2"/>
  <c r="U46" i="2"/>
  <c r="W46" i="2"/>
  <c r="U269" i="2"/>
  <c r="W269" i="2"/>
  <c r="U528" i="2"/>
  <c r="W528" i="2"/>
  <c r="U80" i="2"/>
  <c r="W80" i="2"/>
  <c r="T342" i="2"/>
  <c r="V342" i="2"/>
  <c r="U602" i="2"/>
  <c r="W602" i="2"/>
  <c r="T138" i="2"/>
  <c r="V138" i="2"/>
  <c r="U409" i="2"/>
  <c r="W409" i="2"/>
  <c r="T124" i="2"/>
  <c r="V124" i="2"/>
  <c r="U344" i="2"/>
  <c r="W344" i="2"/>
  <c r="U548" i="2"/>
  <c r="W548" i="2"/>
  <c r="T380" i="2"/>
  <c r="V380" i="2"/>
  <c r="U634" i="2"/>
  <c r="W634" i="2"/>
  <c r="U618" i="2"/>
  <c r="W618" i="2"/>
  <c r="U150" i="2"/>
  <c r="W150" i="2"/>
  <c r="T412" i="2"/>
  <c r="V412" i="2"/>
  <c r="T116" i="2"/>
  <c r="V116" i="2"/>
  <c r="U193" i="2"/>
  <c r="W193" i="2"/>
  <c r="U470" i="2"/>
  <c r="W470" i="2"/>
  <c r="U459" i="2"/>
  <c r="W459" i="2"/>
  <c r="U300" i="2"/>
  <c r="W300" i="2"/>
  <c r="U560" i="2"/>
  <c r="W560" i="2"/>
  <c r="U71" i="2"/>
  <c r="W71" i="2"/>
  <c r="U341" i="2"/>
  <c r="W341" i="2"/>
  <c r="U601" i="2"/>
  <c r="W601" i="2"/>
  <c r="T154" i="2"/>
  <c r="V154" i="2"/>
  <c r="U416" i="2"/>
  <c r="W416" i="2"/>
  <c r="T281" i="2"/>
  <c r="V281" i="2"/>
  <c r="U213" i="2"/>
  <c r="W213" i="2"/>
  <c r="U482" i="2"/>
  <c r="W482" i="2"/>
  <c r="U14" i="2"/>
  <c r="W14" i="2"/>
  <c r="U486" i="2"/>
  <c r="W486" i="2"/>
  <c r="T20" i="2"/>
  <c r="V20" i="2"/>
  <c r="U564" i="2"/>
  <c r="W564" i="2"/>
  <c r="T92" i="2"/>
  <c r="V92" i="2"/>
  <c r="U354" i="2"/>
  <c r="W354" i="2"/>
  <c r="T614" i="2"/>
  <c r="V614" i="2"/>
  <c r="U134" i="2"/>
  <c r="W134" i="2"/>
  <c r="U413" i="2"/>
  <c r="W413" i="2"/>
  <c r="U199" i="2"/>
  <c r="W199" i="2"/>
  <c r="T242" i="2"/>
  <c r="V242" i="2"/>
  <c r="U503" i="2"/>
  <c r="W503" i="2"/>
  <c r="U86" i="2"/>
  <c r="W86" i="2"/>
  <c r="U285" i="2"/>
  <c r="W285" i="2"/>
  <c r="U545" i="2"/>
  <c r="W545" i="2"/>
  <c r="U96" i="2"/>
  <c r="W96" i="2"/>
  <c r="U358" i="2"/>
  <c r="W358" i="2"/>
  <c r="U626" i="2"/>
  <c r="W626" i="2"/>
  <c r="U89" i="2"/>
  <c r="W89" i="2"/>
  <c r="U359" i="2"/>
  <c r="W359" i="2"/>
  <c r="T619" i="2"/>
  <c r="V619" i="2"/>
  <c r="T156" i="2"/>
  <c r="V156" i="2"/>
  <c r="U426" i="2"/>
  <c r="W426" i="2"/>
  <c r="T283" i="2"/>
  <c r="V283" i="2"/>
  <c r="U493" i="2"/>
  <c r="W493" i="2"/>
  <c r="U511" i="2"/>
  <c r="W511" i="2"/>
  <c r="U97" i="2"/>
  <c r="W97" i="2"/>
  <c r="T631" i="2"/>
  <c r="V631" i="2"/>
  <c r="T109" i="2"/>
  <c r="V109" i="2"/>
  <c r="T370" i="2"/>
  <c r="V370" i="2"/>
  <c r="U630" i="2"/>
  <c r="W630" i="2"/>
  <c r="T151" i="2"/>
  <c r="V151" i="2"/>
  <c r="T429" i="2"/>
  <c r="V429" i="2"/>
  <c r="U305" i="2"/>
  <c r="W305" i="2"/>
  <c r="T260" i="2"/>
  <c r="V260" i="2"/>
  <c r="T519" i="2"/>
  <c r="V519" i="2"/>
  <c r="T27" i="2"/>
  <c r="V27" i="2"/>
  <c r="T301" i="2"/>
  <c r="V301" i="2"/>
  <c r="T561" i="2"/>
  <c r="V561" i="2"/>
  <c r="T113" i="2"/>
  <c r="V113" i="2"/>
  <c r="T374" i="2"/>
  <c r="V374" i="2"/>
  <c r="T642" i="2"/>
  <c r="V642" i="2"/>
  <c r="U172" i="2"/>
  <c r="W172" i="2"/>
  <c r="T441" i="2"/>
  <c r="V441" i="2"/>
  <c r="T427" i="2"/>
  <c r="V427" i="2"/>
  <c r="T246" i="2"/>
  <c r="V246" i="2"/>
  <c r="T507" i="2"/>
  <c r="V507" i="2"/>
  <c r="T652" i="2"/>
  <c r="V652" i="2"/>
  <c r="T446" i="2"/>
  <c r="V446" i="2"/>
  <c r="T29" i="2"/>
  <c r="V29" i="2"/>
  <c r="T636" i="2"/>
  <c r="V636" i="2"/>
  <c r="T184" i="2"/>
  <c r="V184" i="2"/>
  <c r="U444" i="2"/>
  <c r="W444" i="2"/>
  <c r="U329" i="2"/>
  <c r="W329" i="2"/>
  <c r="T225" i="2"/>
  <c r="V225" i="2"/>
  <c r="T502" i="2"/>
  <c r="V502" i="2"/>
  <c r="U26" i="2"/>
  <c r="W26" i="2"/>
  <c r="T332" i="2"/>
  <c r="V332" i="2"/>
  <c r="T592" i="2"/>
  <c r="V592" i="2"/>
  <c r="T103" i="2"/>
  <c r="V103" i="2"/>
  <c r="T373" i="2"/>
  <c r="V373" i="2"/>
  <c r="T633" i="2"/>
  <c r="V633" i="2"/>
  <c r="U188" i="2"/>
  <c r="W188" i="2"/>
  <c r="T448" i="2"/>
  <c r="V448" i="2"/>
  <c r="U500" i="2"/>
  <c r="W500" i="2"/>
  <c r="T245" i="2"/>
  <c r="V245" i="2"/>
  <c r="T514" i="2"/>
  <c r="V514" i="2"/>
  <c r="U50" i="2"/>
  <c r="W50" i="2"/>
  <c r="T320" i="2"/>
  <c r="V320" i="2"/>
  <c r="T418" i="2"/>
  <c r="V418" i="2"/>
  <c r="T316" i="2"/>
  <c r="V316" i="2"/>
  <c r="T497" i="2"/>
  <c r="V497" i="2"/>
  <c r="T632" i="2"/>
  <c r="V632" i="2"/>
  <c r="T125" i="2"/>
  <c r="V125" i="2"/>
  <c r="U388" i="2"/>
  <c r="W388" i="2"/>
  <c r="U646" i="2"/>
  <c r="W646" i="2"/>
  <c r="T167" i="2"/>
  <c r="V167" i="2"/>
  <c r="T445" i="2"/>
  <c r="V445" i="2"/>
  <c r="T369" i="2"/>
  <c r="V369" i="2"/>
  <c r="T276" i="2"/>
  <c r="V276" i="2"/>
  <c r="T536" i="2"/>
  <c r="V536" i="2"/>
  <c r="T47" i="2"/>
  <c r="V47" i="2"/>
  <c r="T317" i="2"/>
  <c r="V317" i="2"/>
  <c r="T577" i="2"/>
  <c r="V577" i="2"/>
  <c r="T129" i="2"/>
  <c r="V129" i="2"/>
  <c r="T392" i="2"/>
  <c r="V392" i="2"/>
  <c r="T83" i="2"/>
  <c r="V83" i="2"/>
  <c r="T189" i="2"/>
  <c r="V189" i="2"/>
  <c r="T457" i="2"/>
  <c r="V457" i="2"/>
  <c r="U508" i="2"/>
  <c r="W508" i="2"/>
  <c r="T264" i="2"/>
  <c r="V264" i="2"/>
  <c r="U523" i="2"/>
  <c r="W523" i="2"/>
  <c r="T352" i="2"/>
  <c r="V352" i="2"/>
  <c r="U250" i="2"/>
  <c r="W250" i="2"/>
  <c r="T13" i="2"/>
  <c r="V13" i="2"/>
  <c r="T91" i="2"/>
  <c r="V91" i="2"/>
  <c r="T200" i="2"/>
  <c r="V200" i="2"/>
  <c r="U460" i="2"/>
  <c r="W460" i="2"/>
  <c r="T395" i="2"/>
  <c r="V395" i="2"/>
  <c r="T241" i="2"/>
  <c r="V241" i="2"/>
  <c r="U518" i="2"/>
  <c r="W518" i="2"/>
  <c r="T70" i="2"/>
  <c r="V70" i="2"/>
  <c r="T348" i="2"/>
  <c r="V348" i="2"/>
  <c r="T608" i="2"/>
  <c r="V608" i="2"/>
  <c r="T120" i="2"/>
  <c r="V120" i="2"/>
  <c r="T391" i="2"/>
  <c r="V391" i="2"/>
  <c r="T649" i="2"/>
  <c r="V649" i="2"/>
  <c r="U204" i="2"/>
  <c r="W204" i="2"/>
  <c r="T464" i="2"/>
  <c r="V464" i="2"/>
  <c r="T565" i="2"/>
  <c r="V565" i="2"/>
  <c r="T263" i="2"/>
  <c r="V263" i="2"/>
  <c r="U531" i="2"/>
  <c r="W531" i="2"/>
  <c r="U66" i="2"/>
  <c r="W66" i="2"/>
  <c r="T336" i="2"/>
  <c r="V336" i="2"/>
  <c r="T596" i="2"/>
  <c r="V596" i="2"/>
  <c r="U82" i="2"/>
  <c r="W82" i="2"/>
  <c r="T605" i="2"/>
  <c r="V605" i="2"/>
  <c r="T104" i="2"/>
  <c r="V104" i="2"/>
  <c r="T368" i="2"/>
  <c r="V368" i="2"/>
  <c r="U76" i="2"/>
  <c r="W76" i="2"/>
  <c r="T338" i="2"/>
  <c r="V338" i="2"/>
  <c r="U598" i="2"/>
  <c r="W598" i="2"/>
  <c r="T118" i="2"/>
  <c r="V118" i="2"/>
  <c r="T397" i="2"/>
  <c r="V397" i="2"/>
  <c r="T75" i="2"/>
  <c r="V75" i="2"/>
  <c r="U226" i="2"/>
  <c r="W226" i="2"/>
  <c r="T487" i="2"/>
  <c r="V487" i="2"/>
  <c r="T46" i="2"/>
  <c r="V46" i="2"/>
  <c r="T269" i="2"/>
  <c r="V269" i="2"/>
  <c r="T528" i="2"/>
  <c r="V528" i="2"/>
  <c r="T80" i="2"/>
  <c r="V80" i="2"/>
  <c r="U342" i="2"/>
  <c r="W342" i="2"/>
  <c r="T602" i="2"/>
  <c r="V602" i="2"/>
  <c r="U138" i="2"/>
  <c r="W138" i="2"/>
  <c r="T409" i="2"/>
  <c r="V409" i="2"/>
  <c r="U124" i="2"/>
  <c r="W124" i="2"/>
  <c r="T344" i="2"/>
  <c r="V344" i="2"/>
  <c r="T548" i="2"/>
  <c r="V548" i="2"/>
  <c r="U380" i="2"/>
  <c r="W380" i="2"/>
  <c r="T634" i="2"/>
  <c r="V634" i="2"/>
  <c r="T618" i="2"/>
  <c r="V618" i="2"/>
  <c r="T150" i="2"/>
  <c r="V150" i="2"/>
  <c r="U412" i="2"/>
  <c r="W412" i="2"/>
  <c r="U116" i="2"/>
  <c r="W116" i="2"/>
  <c r="T193" i="2"/>
  <c r="V193" i="2"/>
  <c r="T470" i="2"/>
  <c r="V470" i="2"/>
  <c r="T459" i="2"/>
  <c r="V459" i="2"/>
  <c r="T300" i="2"/>
  <c r="V300" i="2"/>
  <c r="T560" i="2"/>
  <c r="V560" i="2"/>
  <c r="T71" i="2"/>
  <c r="V71" i="2"/>
  <c r="T341" i="2"/>
  <c r="V341" i="2"/>
  <c r="T601" i="2"/>
  <c r="V601" i="2"/>
  <c r="U154" i="2"/>
  <c r="W154" i="2"/>
  <c r="T416" i="2"/>
  <c r="V416" i="2"/>
  <c r="U281" i="2"/>
  <c r="W281" i="2"/>
  <c r="T213" i="2"/>
  <c r="V213" i="2"/>
  <c r="T482" i="2"/>
  <c r="V482" i="2"/>
  <c r="T14" i="2"/>
  <c r="V14" i="2"/>
  <c r="T486" i="2"/>
  <c r="V486" i="2"/>
  <c r="U20" i="2"/>
  <c r="W20" i="2"/>
  <c r="T564" i="2"/>
  <c r="V564" i="2"/>
  <c r="U92" i="2"/>
  <c r="W92" i="2"/>
  <c r="T354" i="2"/>
  <c r="V354" i="2"/>
  <c r="U614" i="2"/>
  <c r="W614" i="2"/>
  <c r="T134" i="2"/>
  <c r="V134" i="2"/>
  <c r="T413" i="2"/>
  <c r="V413" i="2"/>
  <c r="T199" i="2"/>
  <c r="V199" i="2"/>
  <c r="U242" i="2"/>
  <c r="W242" i="2"/>
  <c r="T503" i="2"/>
  <c r="V503" i="2"/>
  <c r="T86" i="2"/>
  <c r="V86" i="2"/>
  <c r="T285" i="2"/>
  <c r="V285" i="2"/>
  <c r="T545" i="2"/>
  <c r="V545" i="2"/>
  <c r="T96" i="2"/>
  <c r="V96" i="2"/>
  <c r="T358" i="2"/>
  <c r="V358" i="2"/>
  <c r="T626" i="2"/>
  <c r="V626" i="2"/>
  <c r="T89" i="2"/>
  <c r="V89" i="2"/>
  <c r="T359" i="2"/>
  <c r="V359" i="2"/>
  <c r="U619" i="2"/>
  <c r="W619" i="2"/>
  <c r="U156" i="2"/>
  <c r="W156" i="2"/>
  <c r="T426" i="2"/>
  <c r="V426" i="2"/>
  <c r="U283" i="2"/>
  <c r="W283" i="2"/>
  <c r="T493" i="2"/>
  <c r="V493" i="2"/>
  <c r="T511" i="2"/>
  <c r="V511" i="2"/>
  <c r="T97" i="2"/>
  <c r="V97" i="2"/>
  <c r="D4" i="2"/>
  <c r="G15" i="45" l="1"/>
  <c r="G18" i="45" l="1"/>
  <c r="G17" i="45"/>
  <c r="G16" i="45"/>
  <c r="G19" i="45" l="1"/>
  <c r="H28" i="38" s="1"/>
  <c r="C3" i="39" l="1"/>
  <c r="C4" i="39"/>
  <c r="C5" i="39"/>
  <c r="C8" i="39"/>
  <c r="C9" i="39"/>
  <c r="B6" i="48"/>
  <c r="B6" i="45"/>
  <c r="D6" i="2"/>
  <c r="C7" i="44"/>
  <c r="C4" i="44" l="1"/>
  <c r="D9" i="2" l="1"/>
  <c r="D8" i="2"/>
  <c r="D7" i="2"/>
  <c r="D3" i="2"/>
  <c r="D5" i="2"/>
  <c r="C6" i="44" l="1"/>
  <c r="C5" i="44"/>
  <c r="C9" i="44"/>
  <c r="C8" i="44"/>
  <c r="C3" i="44"/>
  <c r="A26" i="38" l="1"/>
  <c r="B9" i="45" l="1"/>
  <c r="B8" i="45"/>
  <c r="B7" i="45"/>
  <c r="B5" i="45"/>
  <c r="B3" i="45"/>
  <c r="B9" i="48"/>
  <c r="B8" i="48"/>
  <c r="B7" i="48"/>
  <c r="B3" i="48" l="1"/>
  <c r="B4" i="48"/>
  <c r="B4" i="45" l="1"/>
  <c r="B4" i="38"/>
  <c r="H23" i="39" l="1"/>
  <c r="H20" i="39"/>
  <c r="I20" i="39"/>
  <c r="I23" i="39"/>
  <c r="E72" i="39"/>
  <c r="E71" i="39"/>
  <c r="E52" i="39"/>
  <c r="E70" i="39"/>
  <c r="E51" i="39"/>
  <c r="E69" i="39"/>
  <c r="E68" i="39"/>
  <c r="E67" i="39"/>
  <c r="E66" i="39"/>
  <c r="E15" i="39"/>
  <c r="E53" i="39"/>
  <c r="E43" i="39"/>
  <c r="E48" i="39"/>
  <c r="I36" i="39"/>
  <c r="H53" i="39"/>
  <c r="H32" i="39"/>
  <c r="I71" i="39"/>
  <c r="H42" i="39"/>
  <c r="I28" i="39"/>
  <c r="I16" i="39"/>
  <c r="I59" i="39"/>
  <c r="I74" i="39"/>
  <c r="H40" i="39"/>
  <c r="H19" i="39"/>
  <c r="H30" i="39"/>
  <c r="I53" i="39"/>
  <c r="H71" i="39"/>
  <c r="I43" i="39"/>
  <c r="I54" i="39"/>
  <c r="H36" i="39"/>
  <c r="L36" i="39" s="1"/>
  <c r="H51" i="39"/>
  <c r="I50" i="39"/>
  <c r="H47" i="39"/>
  <c r="H25" i="39"/>
  <c r="H29" i="39"/>
  <c r="I68" i="39"/>
  <c r="H64" i="39"/>
  <c r="H27" i="39"/>
  <c r="I34" i="39"/>
  <c r="I19" i="39"/>
  <c r="I17" i="39"/>
  <c r="I30" i="39"/>
  <c r="H61" i="39"/>
  <c r="I64" i="39"/>
  <c r="I63" i="39"/>
  <c r="I70" i="39"/>
  <c r="I24" i="39"/>
  <c r="H62" i="39"/>
  <c r="I65" i="39"/>
  <c r="I57" i="39"/>
  <c r="I38" i="39"/>
  <c r="H22" i="39"/>
  <c r="H41" i="39"/>
  <c r="I47" i="39"/>
  <c r="I51" i="39"/>
  <c r="I52" i="39"/>
  <c r="H52" i="39"/>
  <c r="I60" i="39"/>
  <c r="H74" i="39"/>
  <c r="I56" i="39"/>
  <c r="H46" i="39"/>
  <c r="I69" i="39"/>
  <c r="H28" i="39"/>
  <c r="H26" i="39"/>
  <c r="H38" i="39"/>
  <c r="I48" i="39"/>
  <c r="H50" i="39"/>
  <c r="I49" i="39"/>
  <c r="H66" i="39"/>
  <c r="H70" i="39"/>
  <c r="L70" i="39" s="1"/>
  <c r="H34" i="39"/>
  <c r="L34" i="39" s="1"/>
  <c r="I21" i="39"/>
  <c r="I41" i="39"/>
  <c r="I45" i="39"/>
  <c r="I18" i="39"/>
  <c r="H31" i="39"/>
  <c r="H65" i="39"/>
  <c r="I67" i="39"/>
  <c r="I25" i="39"/>
  <c r="E61" i="39"/>
  <c r="H55" i="39"/>
  <c r="H39" i="39"/>
  <c r="H72" i="39"/>
  <c r="I37" i="39"/>
  <c r="H21" i="39"/>
  <c r="H16" i="39"/>
  <c r="H37" i="39"/>
  <c r="I42" i="39"/>
  <c r="H43" i="39"/>
  <c r="H57" i="39"/>
  <c r="L57" i="39" s="1"/>
  <c r="H18" i="39"/>
  <c r="H67" i="39"/>
  <c r="I73" i="39"/>
  <c r="I31" i="39"/>
  <c r="H33" i="39"/>
  <c r="H15" i="39"/>
  <c r="I26" i="39"/>
  <c r="I72" i="39"/>
  <c r="I35" i="39"/>
  <c r="H68" i="39"/>
  <c r="E36" i="39"/>
  <c r="H58" i="39"/>
  <c r="H59" i="39"/>
  <c r="I15" i="39"/>
  <c r="H49" i="39"/>
  <c r="I61" i="39"/>
  <c r="I22" i="39"/>
  <c r="H48" i="39"/>
  <c r="H54" i="39"/>
  <c r="L54" i="39" s="1"/>
  <c r="I62" i="39"/>
  <c r="I27" i="39"/>
  <c r="I66" i="39"/>
  <c r="I32" i="39"/>
  <c r="H35" i="39"/>
  <c r="I55" i="39"/>
  <c r="H63" i="39"/>
  <c r="H56" i="39"/>
  <c r="I40" i="39"/>
  <c r="I29" i="39"/>
  <c r="H73" i="39"/>
  <c r="H24" i="39"/>
  <c r="H44" i="39"/>
  <c r="I44" i="39"/>
  <c r="I46" i="39"/>
  <c r="H17" i="39"/>
  <c r="H69" i="39"/>
  <c r="L69" i="39" s="1"/>
  <c r="I33" i="39"/>
  <c r="H45" i="39"/>
  <c r="I39" i="39"/>
  <c r="H60" i="39"/>
  <c r="L60" i="39" s="1"/>
  <c r="I58" i="39"/>
  <c r="G36" i="39"/>
  <c r="E35" i="83" s="1"/>
  <c r="F43" i="39"/>
  <c r="F48" i="39"/>
  <c r="F36" i="39"/>
  <c r="G43" i="39"/>
  <c r="E42" i="83" s="1"/>
  <c r="G48" i="39"/>
  <c r="E47" i="83" s="1"/>
  <c r="G71" i="39"/>
  <c r="E70" i="83" s="1"/>
  <c r="F71" i="39"/>
  <c r="E23" i="39"/>
  <c r="E28" i="39"/>
  <c r="E20" i="39"/>
  <c r="F72" i="39"/>
  <c r="E21" i="39"/>
  <c r="F61" i="39"/>
  <c r="E73" i="39"/>
  <c r="G61" i="39"/>
  <c r="E60" i="83" s="1"/>
  <c r="G72" i="39"/>
  <c r="E71" i="83" s="1"/>
  <c r="E65" i="39"/>
  <c r="E63" i="39"/>
  <c r="E62" i="39"/>
  <c r="E45" i="39"/>
  <c r="E30" i="39"/>
  <c r="E64" i="39"/>
  <c r="E46" i="39"/>
  <c r="E60" i="39"/>
  <c r="E44" i="39"/>
  <c r="E27" i="39"/>
  <c r="E40" i="39"/>
  <c r="E47" i="39"/>
  <c r="E31" i="39"/>
  <c r="E57" i="39"/>
  <c r="E42" i="39"/>
  <c r="E49" i="39"/>
  <c r="E37" i="39"/>
  <c r="E56" i="39"/>
  <c r="E41" i="39"/>
  <c r="E50" i="39"/>
  <c r="E39" i="39"/>
  <c r="E22" i="39"/>
  <c r="E24" i="39"/>
  <c r="E26" i="39"/>
  <c r="F63" i="39"/>
  <c r="F51" i="39"/>
  <c r="E35" i="39"/>
  <c r="E59" i="39"/>
  <c r="G40" i="39"/>
  <c r="E39" i="83" s="1"/>
  <c r="G63" i="39"/>
  <c r="E62" i="83" s="1"/>
  <c r="G51" i="39"/>
  <c r="E50" i="83" s="1"/>
  <c r="F57" i="39"/>
  <c r="E58" i="39"/>
  <c r="E29" i="39"/>
  <c r="E38" i="39"/>
  <c r="E33" i="39"/>
  <c r="F40" i="39"/>
  <c r="F65" i="39"/>
  <c r="F60" i="39"/>
  <c r="E16" i="39"/>
  <c r="G65" i="39"/>
  <c r="E64" i="83" s="1"/>
  <c r="G39" i="39"/>
  <c r="E38" i="83" s="1"/>
  <c r="E74" i="39"/>
  <c r="F37" i="39"/>
  <c r="E54" i="39"/>
  <c r="G57" i="39"/>
  <c r="E56" i="83" s="1"/>
  <c r="G60" i="39"/>
  <c r="E59" i="83" s="1"/>
  <c r="G37" i="39"/>
  <c r="E36" i="83" s="1"/>
  <c r="F39" i="39"/>
  <c r="E18" i="39"/>
  <c r="E32" i="39"/>
  <c r="E34" i="39"/>
  <c r="G49" i="39"/>
  <c r="E48" i="83" s="1"/>
  <c r="F47" i="39"/>
  <c r="E19" i="39"/>
  <c r="E17" i="39"/>
  <c r="E55" i="39"/>
  <c r="F49" i="39"/>
  <c r="G47" i="39"/>
  <c r="E46" i="83" s="1"/>
  <c r="E25" i="39"/>
  <c r="F70" i="39"/>
  <c r="F52" i="39"/>
  <c r="G59" i="39"/>
  <c r="E58" i="83" s="1"/>
  <c r="F62" i="39"/>
  <c r="G68" i="39"/>
  <c r="E67" i="83" s="1"/>
  <c r="G66" i="39"/>
  <c r="E65" i="83" s="1"/>
  <c r="F53" i="39"/>
  <c r="F55" i="39"/>
  <c r="F46" i="39"/>
  <c r="G62" i="39"/>
  <c r="E61" i="83" s="1"/>
  <c r="G44" i="39"/>
  <c r="E43" i="83" s="1"/>
  <c r="G46" i="39"/>
  <c r="E45" i="83" s="1"/>
  <c r="G69" i="39"/>
  <c r="E68" i="83" s="1"/>
  <c r="F42" i="39"/>
  <c r="G56" i="39"/>
  <c r="E55" i="83" s="1"/>
  <c r="G38" i="39"/>
  <c r="E37" i="83" s="1"/>
  <c r="G45" i="39"/>
  <c r="E44" i="83" s="1"/>
  <c r="F54" i="39"/>
  <c r="F38" i="39"/>
  <c r="F16" i="39"/>
  <c r="G42" i="39"/>
  <c r="E41" i="83" s="1"/>
  <c r="F68" i="39"/>
  <c r="G50" i="39"/>
  <c r="E49" i="83" s="1"/>
  <c r="F41" i="39"/>
  <c r="F58" i="39"/>
  <c r="F59" i="39"/>
  <c r="F44" i="39"/>
  <c r="G16" i="39"/>
  <c r="E15" i="83" s="1"/>
  <c r="F56" i="39"/>
  <c r="F64" i="39"/>
  <c r="G67" i="39"/>
  <c r="E66" i="83" s="1"/>
  <c r="G53" i="39"/>
  <c r="E52" i="83" s="1"/>
  <c r="G15" i="39"/>
  <c r="E14" i="83" s="1"/>
  <c r="F69" i="39"/>
  <c r="G52" i="39"/>
  <c r="E51" i="83" s="1"/>
  <c r="F67" i="39"/>
  <c r="G70" i="39"/>
  <c r="E69" i="83" s="1"/>
  <c r="G54" i="39"/>
  <c r="E53" i="83" s="1"/>
  <c r="G55" i="39"/>
  <c r="E54" i="83" s="1"/>
  <c r="G58" i="39"/>
  <c r="E57" i="83" s="1"/>
  <c r="F29" i="39"/>
  <c r="D28" i="83" s="1"/>
  <c r="F50" i="39"/>
  <c r="F45" i="39"/>
  <c r="G41" i="39"/>
  <c r="E40" i="83" s="1"/>
  <c r="G64" i="39"/>
  <c r="E63" i="83" s="1"/>
  <c r="F18" i="39"/>
  <c r="D17" i="83" s="1"/>
  <c r="F66" i="39"/>
  <c r="A28" i="38"/>
  <c r="L59" i="39" l="1"/>
  <c r="L68" i="39"/>
  <c r="L50" i="39"/>
  <c r="L74" i="39"/>
  <c r="L63" i="39"/>
  <c r="L73" i="39"/>
  <c r="L48" i="39"/>
  <c r="L24" i="39"/>
  <c r="L45" i="39"/>
  <c r="L17" i="39"/>
  <c r="L22" i="39"/>
  <c r="L71" i="39"/>
  <c r="L31" i="39"/>
  <c r="L67" i="39"/>
  <c r="L28" i="39"/>
  <c r="L65" i="39"/>
  <c r="L18" i="39"/>
  <c r="L35" i="39"/>
  <c r="L38" i="39"/>
  <c r="L53" i="39"/>
  <c r="L21" i="39"/>
  <c r="L23" i="39"/>
  <c r="D58" i="83"/>
  <c r="K59" i="39"/>
  <c r="I58" i="83" s="1"/>
  <c r="J59" i="39"/>
  <c r="J52" i="39"/>
  <c r="D51" i="83"/>
  <c r="K52" i="39"/>
  <c r="I51" i="83" s="1"/>
  <c r="J60" i="39"/>
  <c r="D59" i="83"/>
  <c r="K60" i="39"/>
  <c r="I59" i="83" s="1"/>
  <c r="K71" i="39"/>
  <c r="I70" i="83" s="1"/>
  <c r="J71" i="39"/>
  <c r="D70" i="83"/>
  <c r="L72" i="39"/>
  <c r="L61" i="39"/>
  <c r="L29" i="39"/>
  <c r="K44" i="39"/>
  <c r="I43" i="83" s="1"/>
  <c r="J44" i="39"/>
  <c r="D43" i="83"/>
  <c r="K57" i="39"/>
  <c r="I56" i="83" s="1"/>
  <c r="D56" i="83"/>
  <c r="J57" i="39"/>
  <c r="K50" i="39"/>
  <c r="I49" i="83" s="1"/>
  <c r="D49" i="83"/>
  <c r="J50" i="39"/>
  <c r="D53" i="83"/>
  <c r="K54" i="39"/>
  <c r="I53" i="83" s="1"/>
  <c r="J54" i="39"/>
  <c r="K58" i="39"/>
  <c r="I57" i="83" s="1"/>
  <c r="D57" i="83"/>
  <c r="J58" i="39"/>
  <c r="J46" i="39"/>
  <c r="D45" i="83"/>
  <c r="K46" i="39"/>
  <c r="I45" i="83" s="1"/>
  <c r="K70" i="39"/>
  <c r="I69" i="83" s="1"/>
  <c r="J70" i="39"/>
  <c r="D69" i="83"/>
  <c r="D46" i="83"/>
  <c r="K47" i="39"/>
  <c r="I46" i="83" s="1"/>
  <c r="J47" i="39"/>
  <c r="J65" i="39"/>
  <c r="D64" i="83"/>
  <c r="K65" i="39"/>
  <c r="I64" i="83" s="1"/>
  <c r="L44" i="39"/>
  <c r="L39" i="39"/>
  <c r="L25" i="39"/>
  <c r="L42" i="39"/>
  <c r="E76" i="39"/>
  <c r="K69" i="39"/>
  <c r="I68" i="83" s="1"/>
  <c r="D68" i="83"/>
  <c r="J69" i="39"/>
  <c r="J41" i="39"/>
  <c r="D40" i="83"/>
  <c r="K41" i="39"/>
  <c r="I40" i="83" s="1"/>
  <c r="D54" i="83"/>
  <c r="K55" i="39"/>
  <c r="I54" i="83" s="1"/>
  <c r="J55" i="39"/>
  <c r="K15" i="39"/>
  <c r="I14" i="83" s="1"/>
  <c r="J15" i="39"/>
  <c r="D14" i="83"/>
  <c r="K40" i="39"/>
  <c r="I39" i="83" s="1"/>
  <c r="D39" i="83"/>
  <c r="J40" i="39"/>
  <c r="K61" i="39"/>
  <c r="I60" i="83" s="1"/>
  <c r="D60" i="83"/>
  <c r="J61" i="39"/>
  <c r="L49" i="39"/>
  <c r="L43" i="39"/>
  <c r="L55" i="39"/>
  <c r="L52" i="39"/>
  <c r="L47" i="39"/>
  <c r="L30" i="39"/>
  <c r="D44" i="83"/>
  <c r="K45" i="39"/>
  <c r="I44" i="83" s="1"/>
  <c r="J45" i="39"/>
  <c r="J66" i="39"/>
  <c r="K66" i="39"/>
  <c r="I65" i="83" s="1"/>
  <c r="D65" i="83"/>
  <c r="J53" i="39"/>
  <c r="D52" i="83"/>
  <c r="K53" i="39"/>
  <c r="I52" i="83" s="1"/>
  <c r="K37" i="39"/>
  <c r="I36" i="83" s="1"/>
  <c r="D36" i="83"/>
  <c r="J37" i="39"/>
  <c r="L15" i="39"/>
  <c r="L26" i="39"/>
  <c r="L62" i="39"/>
  <c r="L19" i="39"/>
  <c r="L32" i="39"/>
  <c r="K38" i="39"/>
  <c r="I37" i="83" s="1"/>
  <c r="D37" i="83"/>
  <c r="J38" i="39"/>
  <c r="J68" i="39"/>
  <c r="D67" i="83"/>
  <c r="K68" i="39"/>
  <c r="I67" i="83" s="1"/>
  <c r="K72" i="39"/>
  <c r="I71" i="83" s="1"/>
  <c r="D71" i="83"/>
  <c r="J72" i="39"/>
  <c r="J36" i="39"/>
  <c r="D35" i="83"/>
  <c r="K36" i="39"/>
  <c r="I35" i="83" s="1"/>
  <c r="L33" i="39"/>
  <c r="L37" i="39"/>
  <c r="L51" i="39"/>
  <c r="L40" i="39"/>
  <c r="D63" i="83"/>
  <c r="J64" i="39"/>
  <c r="K64" i="39"/>
  <c r="I63" i="83" s="1"/>
  <c r="K56" i="39"/>
  <c r="I55" i="83" s="1"/>
  <c r="J56" i="39"/>
  <c r="D55" i="83"/>
  <c r="D48" i="83"/>
  <c r="K49" i="39"/>
  <c r="I48" i="83" s="1"/>
  <c r="J49" i="39"/>
  <c r="D50" i="83"/>
  <c r="J51" i="39"/>
  <c r="K51" i="39"/>
  <c r="I50" i="83" s="1"/>
  <c r="K48" i="39"/>
  <c r="I47" i="83" s="1"/>
  <c r="D47" i="83"/>
  <c r="J48" i="39"/>
  <c r="L58" i="39"/>
  <c r="L16" i="39"/>
  <c r="L27" i="39"/>
  <c r="L20" i="39"/>
  <c r="J42" i="39"/>
  <c r="K42" i="39"/>
  <c r="I41" i="83" s="1"/>
  <c r="D41" i="83"/>
  <c r="J67" i="39"/>
  <c r="D66" i="83"/>
  <c r="K67" i="39"/>
  <c r="I66" i="83" s="1"/>
  <c r="K16" i="39"/>
  <c r="I15" i="83" s="1"/>
  <c r="D15" i="83"/>
  <c r="J16" i="39"/>
  <c r="D61" i="83"/>
  <c r="K62" i="39"/>
  <c r="I61" i="83" s="1"/>
  <c r="J62" i="39"/>
  <c r="K39" i="39"/>
  <c r="I38" i="83" s="1"/>
  <c r="D38" i="83"/>
  <c r="J39" i="39"/>
  <c r="D62" i="83"/>
  <c r="J63" i="39"/>
  <c r="K63" i="39"/>
  <c r="I62" i="83" s="1"/>
  <c r="D42" i="83"/>
  <c r="K43" i="39"/>
  <c r="I42" i="83" s="1"/>
  <c r="J43" i="39"/>
  <c r="L56" i="39"/>
  <c r="L66" i="39"/>
  <c r="L46" i="39"/>
  <c r="L41" i="39"/>
  <c r="L64" i="39"/>
  <c r="F6" i="81"/>
  <c r="F17" i="39"/>
  <c r="F22" i="39"/>
  <c r="F30" i="39"/>
  <c r="F35" i="39"/>
  <c r="F73" i="39"/>
  <c r="F23" i="39"/>
  <c r="G35" i="39"/>
  <c r="E34" i="83" s="1"/>
  <c r="G30" i="39"/>
  <c r="E29" i="83" s="1"/>
  <c r="G28" i="39"/>
  <c r="E27" i="83" s="1"/>
  <c r="G33" i="39"/>
  <c r="E32" i="83" s="1"/>
  <c r="G22" i="39"/>
  <c r="E21" i="83" s="1"/>
  <c r="G17" i="39"/>
  <c r="E16" i="83" s="1"/>
  <c r="G19" i="39"/>
  <c r="E18" i="83" s="1"/>
  <c r="G31" i="39"/>
  <c r="E30" i="83" s="1"/>
  <c r="G74" i="39"/>
  <c r="E73" i="83" s="1"/>
  <c r="G20" i="39"/>
  <c r="E19" i="83" s="1"/>
  <c r="G21" i="39"/>
  <c r="E20" i="83" s="1"/>
  <c r="G32" i="39"/>
  <c r="E31" i="83" s="1"/>
  <c r="G24" i="39"/>
  <c r="E23" i="83" s="1"/>
  <c r="G73" i="39"/>
  <c r="E72" i="83" s="1"/>
  <c r="F21" i="39"/>
  <c r="F34" i="39"/>
  <c r="G34" i="39"/>
  <c r="E33" i="83" s="1"/>
  <c r="F20" i="39"/>
  <c r="G26" i="39"/>
  <c r="E25" i="83" s="1"/>
  <c r="G27" i="39"/>
  <c r="E26" i="83" s="1"/>
  <c r="G23" i="39"/>
  <c r="E22" i="83" s="1"/>
  <c r="G25" i="39"/>
  <c r="E24" i="83" s="1"/>
  <c r="F19" i="39"/>
  <c r="G29" i="39"/>
  <c r="G18" i="39"/>
  <c r="D21" i="83" l="1"/>
  <c r="K22" i="39"/>
  <c r="I21" i="83" s="1"/>
  <c r="D16" i="83"/>
  <c r="K17" i="39"/>
  <c r="I16" i="83" s="1"/>
  <c r="D19" i="83"/>
  <c r="K20" i="39"/>
  <c r="I19" i="83" s="1"/>
  <c r="D29" i="83"/>
  <c r="K30" i="39"/>
  <c r="I29" i="83" s="1"/>
  <c r="E17" i="83"/>
  <c r="K18" i="39"/>
  <c r="I17" i="83" s="1"/>
  <c r="E28" i="83"/>
  <c r="K29" i="39"/>
  <c r="I28" i="83" s="1"/>
  <c r="K34" i="39"/>
  <c r="I33" i="83" s="1"/>
  <c r="D33" i="83"/>
  <c r="D22" i="83"/>
  <c r="K23" i="39"/>
  <c r="I22" i="83" s="1"/>
  <c r="D18" i="83"/>
  <c r="K19" i="39"/>
  <c r="I18" i="83" s="1"/>
  <c r="K21" i="39"/>
  <c r="I20" i="83" s="1"/>
  <c r="D20" i="83"/>
  <c r="D72" i="83"/>
  <c r="K73" i="39"/>
  <c r="I72" i="83" s="1"/>
  <c r="D34" i="83"/>
  <c r="K35" i="39"/>
  <c r="I34" i="83" s="1"/>
  <c r="G76" i="39"/>
  <c r="I76" i="39"/>
  <c r="F28" i="39"/>
  <c r="F25" i="39"/>
  <c r="F33" i="39"/>
  <c r="F32" i="39"/>
  <c r="F26" i="39"/>
  <c r="F27" i="39"/>
  <c r="F24" i="39"/>
  <c r="F74" i="39"/>
  <c r="F31" i="39"/>
  <c r="H76" i="39"/>
  <c r="J35" i="39"/>
  <c r="J30" i="39"/>
  <c r="J34" i="39"/>
  <c r="J29" i="39"/>
  <c r="J21" i="39"/>
  <c r="J17" i="39"/>
  <c r="J23" i="39"/>
  <c r="J22" i="39"/>
  <c r="J20" i="39"/>
  <c r="J19" i="39"/>
  <c r="E75" i="83" l="1"/>
  <c r="K32" i="39"/>
  <c r="I31" i="83" s="1"/>
  <c r="D31" i="83"/>
  <c r="D32" i="83"/>
  <c r="K33" i="39"/>
  <c r="I32" i="83" s="1"/>
  <c r="D24" i="83"/>
  <c r="K25" i="39"/>
  <c r="I24" i="83" s="1"/>
  <c r="K26" i="39"/>
  <c r="I25" i="83" s="1"/>
  <c r="D25" i="83"/>
  <c r="D27" i="83"/>
  <c r="K28" i="39"/>
  <c r="I27" i="83" s="1"/>
  <c r="K74" i="39"/>
  <c r="I73" i="83" s="1"/>
  <c r="D73" i="83"/>
  <c r="K24" i="39"/>
  <c r="I23" i="83" s="1"/>
  <c r="D23" i="83"/>
  <c r="D30" i="83"/>
  <c r="K31" i="39"/>
  <c r="I30" i="83" s="1"/>
  <c r="D26" i="83"/>
  <c r="K27" i="39"/>
  <c r="I26" i="83" s="1"/>
  <c r="F76" i="39"/>
  <c r="J27" i="39"/>
  <c r="J25" i="39"/>
  <c r="J33" i="39"/>
  <c r="J24" i="39"/>
  <c r="J74" i="39"/>
  <c r="J18" i="39"/>
  <c r="J28" i="39"/>
  <c r="J26" i="39"/>
  <c r="J32" i="39"/>
  <c r="J31" i="39"/>
  <c r="J73" i="39"/>
  <c r="D75" i="83" l="1"/>
  <c r="I75" i="83"/>
  <c r="J76" i="39"/>
  <c r="F15" i="38"/>
  <c r="F20" i="38"/>
  <c r="H20" i="38" s="1"/>
  <c r="F19" i="38"/>
  <c r="H19" i="38" s="1"/>
  <c r="G21" i="38" l="1"/>
  <c r="G22" i="83" s="1"/>
  <c r="H15" i="38"/>
  <c r="F17" i="38"/>
  <c r="H17" i="38" s="1"/>
  <c r="F24" i="38"/>
  <c r="H24" i="38" s="1"/>
  <c r="F23" i="38"/>
  <c r="E21" i="38"/>
  <c r="F14" i="83" l="1"/>
  <c r="G31" i="83"/>
  <c r="F49" i="83"/>
  <c r="G21" i="83"/>
  <c r="F72" i="83"/>
  <c r="F63" i="83"/>
  <c r="F54" i="83"/>
  <c r="G57" i="83"/>
  <c r="F31" i="83"/>
  <c r="F22" i="83"/>
  <c r="H22" i="83" s="1"/>
  <c r="F32" i="83"/>
  <c r="F23" i="83"/>
  <c r="G14" i="83"/>
  <c r="F52" i="83"/>
  <c r="F25" i="83"/>
  <c r="F16" i="83"/>
  <c r="G67" i="83"/>
  <c r="G50" i="83"/>
  <c r="G56" i="83"/>
  <c r="F17" i="83"/>
  <c r="G68" i="83"/>
  <c r="G59" i="83"/>
  <c r="F69" i="83"/>
  <c r="G48" i="83"/>
  <c r="F60" i="83"/>
  <c r="G45" i="83"/>
  <c r="G36" i="83"/>
  <c r="G27" i="83"/>
  <c r="F61" i="83"/>
  <c r="G24" i="83"/>
  <c r="F40" i="83"/>
  <c r="F41" i="83"/>
  <c r="G37" i="83"/>
  <c r="G28" i="83"/>
  <c r="G19" i="83"/>
  <c r="F37" i="83"/>
  <c r="F51" i="83"/>
  <c r="F71" i="83"/>
  <c r="F62" i="83"/>
  <c r="G65" i="83"/>
  <c r="F43" i="83"/>
  <c r="G15" i="83"/>
  <c r="F33" i="83"/>
  <c r="G29" i="83"/>
  <c r="F24" i="83"/>
  <c r="G20" i="83"/>
  <c r="F15" i="83"/>
  <c r="F70" i="83"/>
  <c r="G66" i="83"/>
  <c r="F53" i="83"/>
  <c r="G49" i="83"/>
  <c r="F44" i="83"/>
  <c r="G40" i="83"/>
  <c r="F35" i="83"/>
  <c r="G42" i="83"/>
  <c r="G58" i="83"/>
  <c r="F45" i="83"/>
  <c r="G41" i="83"/>
  <c r="F36" i="83"/>
  <c r="H36" i="83" s="1"/>
  <c r="G32" i="83"/>
  <c r="F19" i="83"/>
  <c r="F58" i="83"/>
  <c r="F34" i="83"/>
  <c r="G33" i="83"/>
  <c r="G71" i="83"/>
  <c r="F73" i="83"/>
  <c r="G69" i="83"/>
  <c r="F64" i="83"/>
  <c r="G60" i="83"/>
  <c r="F55" i="83"/>
  <c r="G51" i="83"/>
  <c r="F46" i="83"/>
  <c r="G34" i="83"/>
  <c r="F29" i="83"/>
  <c r="G25" i="83"/>
  <c r="F20" i="83"/>
  <c r="G16" i="83"/>
  <c r="G63" i="83"/>
  <c r="F18" i="83"/>
  <c r="F65" i="83"/>
  <c r="G61" i="83"/>
  <c r="F56" i="83"/>
  <c r="G52" i="83"/>
  <c r="F47" i="83"/>
  <c r="G43" i="83"/>
  <c r="F38" i="83"/>
  <c r="G26" i="83"/>
  <c r="F21" i="83"/>
  <c r="G17" i="83"/>
  <c r="G72" i="83"/>
  <c r="F67" i="83"/>
  <c r="G55" i="83"/>
  <c r="G54" i="83"/>
  <c r="F28" i="83"/>
  <c r="F57" i="83"/>
  <c r="G53" i="83"/>
  <c r="F48" i="83"/>
  <c r="G44" i="83"/>
  <c r="F39" i="83"/>
  <c r="G35" i="83"/>
  <c r="F30" i="83"/>
  <c r="G18" i="83"/>
  <c r="G73" i="83"/>
  <c r="F68" i="83"/>
  <c r="G64" i="83"/>
  <c r="F59" i="83"/>
  <c r="G39" i="83"/>
  <c r="G30" i="83"/>
  <c r="G70" i="83"/>
  <c r="F66" i="83"/>
  <c r="G62" i="83"/>
  <c r="G47" i="83"/>
  <c r="F50" i="83"/>
  <c r="G46" i="83"/>
  <c r="F42" i="83"/>
  <c r="G38" i="83"/>
  <c r="F27" i="83"/>
  <c r="G23" i="83"/>
  <c r="F26" i="83"/>
  <c r="H23" i="38"/>
  <c r="G25" i="38" s="1"/>
  <c r="H21" i="83" l="1"/>
  <c r="H65" i="83"/>
  <c r="H62" i="83"/>
  <c r="H19" i="83"/>
  <c r="H44" i="83"/>
  <c r="H40" i="83"/>
  <c r="H72" i="83"/>
  <c r="H27" i="83"/>
  <c r="H64" i="83"/>
  <c r="H17" i="83"/>
  <c r="H61" i="83"/>
  <c r="H49" i="83"/>
  <c r="H31" i="83"/>
  <c r="H30" i="83"/>
  <c r="H29" i="83"/>
  <c r="H37" i="83"/>
  <c r="H24" i="83"/>
  <c r="H32" i="83"/>
  <c r="H14" i="83"/>
  <c r="H33" i="83"/>
  <c r="H70" i="83"/>
  <c r="H16" i="83"/>
  <c r="H54" i="83"/>
  <c r="H25" i="83"/>
  <c r="H69" i="83"/>
  <c r="H39" i="83"/>
  <c r="H52" i="83"/>
  <c r="H59" i="83"/>
  <c r="H56" i="83"/>
  <c r="H43" i="83"/>
  <c r="H60" i="83"/>
  <c r="H67" i="83"/>
  <c r="H20" i="83"/>
  <c r="J19" i="83"/>
  <c r="K19" i="83" s="1"/>
  <c r="J22" i="83"/>
  <c r="K22" i="83" s="1"/>
  <c r="J50" i="83"/>
  <c r="K50" i="83" s="1"/>
  <c r="J43" i="83"/>
  <c r="K43" i="83" s="1"/>
  <c r="J49" i="83"/>
  <c r="K49" i="83" s="1"/>
  <c r="J46" i="83"/>
  <c r="K46" i="83" s="1"/>
  <c r="J42" i="83"/>
  <c r="K42" i="83" s="1"/>
  <c r="J36" i="83"/>
  <c r="K36" i="83" s="1"/>
  <c r="M36" i="83" s="1"/>
  <c r="J52" i="83"/>
  <c r="K52" i="83" s="1"/>
  <c r="J31" i="83"/>
  <c r="K31" i="83" s="1"/>
  <c r="J48" i="83"/>
  <c r="K48" i="83" s="1"/>
  <c r="J57" i="83"/>
  <c r="K57" i="83" s="1"/>
  <c r="J61" i="83"/>
  <c r="K61" i="83" s="1"/>
  <c r="J30" i="83"/>
  <c r="K30" i="83" s="1"/>
  <c r="J70" i="83"/>
  <c r="K70" i="83" s="1"/>
  <c r="J51" i="83"/>
  <c r="K51" i="83" s="1"/>
  <c r="J53" i="83"/>
  <c r="K53" i="83" s="1"/>
  <c r="J71" i="83"/>
  <c r="K71" i="83" s="1"/>
  <c r="J47" i="83"/>
  <c r="K47" i="83" s="1"/>
  <c r="J18" i="83"/>
  <c r="K18" i="83" s="1"/>
  <c r="J32" i="83"/>
  <c r="K32" i="83" s="1"/>
  <c r="J55" i="83"/>
  <c r="K55" i="83" s="1"/>
  <c r="J62" i="83"/>
  <c r="K62" i="83" s="1"/>
  <c r="J23" i="83"/>
  <c r="K23" i="83" s="1"/>
  <c r="J56" i="83"/>
  <c r="K56" i="83" s="1"/>
  <c r="J24" i="83"/>
  <c r="K24" i="83" s="1"/>
  <c r="J40" i="83"/>
  <c r="K40" i="83" s="1"/>
  <c r="J16" i="83"/>
  <c r="K16" i="83" s="1"/>
  <c r="J64" i="83"/>
  <c r="K64" i="83" s="1"/>
  <c r="J37" i="83"/>
  <c r="K37" i="83" s="1"/>
  <c r="J60" i="83"/>
  <c r="K60" i="83" s="1"/>
  <c r="J20" i="83"/>
  <c r="K20" i="83" s="1"/>
  <c r="J41" i="83"/>
  <c r="K41" i="83" s="1"/>
  <c r="J66" i="83"/>
  <c r="K66" i="83" s="1"/>
  <c r="J29" i="83"/>
  <c r="K29" i="83" s="1"/>
  <c r="J72" i="83"/>
  <c r="K72" i="83" s="1"/>
  <c r="J35" i="83"/>
  <c r="K35" i="83" s="1"/>
  <c r="J65" i="83"/>
  <c r="K65" i="83" s="1"/>
  <c r="J45" i="83"/>
  <c r="K45" i="83" s="1"/>
  <c r="J67" i="83"/>
  <c r="K67" i="83" s="1"/>
  <c r="J27" i="83"/>
  <c r="K27" i="83" s="1"/>
  <c r="J26" i="83"/>
  <c r="K26" i="83" s="1"/>
  <c r="J25" i="83"/>
  <c r="K25" i="83" s="1"/>
  <c r="J63" i="83"/>
  <c r="K63" i="83" s="1"/>
  <c r="J34" i="83"/>
  <c r="K34" i="83" s="1"/>
  <c r="J38" i="83"/>
  <c r="K38" i="83" s="1"/>
  <c r="J17" i="83"/>
  <c r="K17" i="83" s="1"/>
  <c r="J68" i="83"/>
  <c r="K68" i="83" s="1"/>
  <c r="J73" i="83"/>
  <c r="K73" i="83" s="1"/>
  <c r="J44" i="83"/>
  <c r="K44" i="83" s="1"/>
  <c r="J54" i="83"/>
  <c r="K54" i="83" s="1"/>
  <c r="J39" i="83"/>
  <c r="K39" i="83" s="1"/>
  <c r="J69" i="83"/>
  <c r="K69" i="83" s="1"/>
  <c r="J33" i="83"/>
  <c r="K33" i="83" s="1"/>
  <c r="J59" i="83"/>
  <c r="K59" i="83" s="1"/>
  <c r="J15" i="83"/>
  <c r="K15" i="83" s="1"/>
  <c r="J58" i="83"/>
  <c r="K58" i="83" s="1"/>
  <c r="J21" i="83"/>
  <c r="K21" i="83" s="1"/>
  <c r="J14" i="83"/>
  <c r="K14" i="83" s="1"/>
  <c r="J28" i="83"/>
  <c r="K28" i="83" s="1"/>
  <c r="H58" i="83"/>
  <c r="H41" i="83"/>
  <c r="H66" i="83"/>
  <c r="H26" i="83"/>
  <c r="H28" i="83"/>
  <c r="H47" i="83"/>
  <c r="H53" i="83"/>
  <c r="H68" i="83"/>
  <c r="H55" i="83"/>
  <c r="H50" i="83"/>
  <c r="H48" i="83"/>
  <c r="H18" i="83"/>
  <c r="H45" i="83"/>
  <c r="H71" i="83"/>
  <c r="H23" i="83"/>
  <c r="H15" i="83"/>
  <c r="H57" i="83"/>
  <c r="H34" i="83"/>
  <c r="H51" i="83"/>
  <c r="H35" i="83"/>
  <c r="H73" i="83"/>
  <c r="H63" i="83"/>
  <c r="H42" i="83"/>
  <c r="H46" i="83"/>
  <c r="G75" i="83"/>
  <c r="H38" i="83"/>
  <c r="F75" i="83"/>
  <c r="L76" i="39"/>
  <c r="M20" i="83" l="1"/>
  <c r="M21" i="83"/>
  <c r="M65" i="83"/>
  <c r="M62" i="83"/>
  <c r="M27" i="83"/>
  <c r="M72" i="83"/>
  <c r="M40" i="83"/>
  <c r="M24" i="83"/>
  <c r="M44" i="83"/>
  <c r="M64" i="83"/>
  <c r="M31" i="83"/>
  <c r="M59" i="83"/>
  <c r="M33" i="83"/>
  <c r="M49" i="83"/>
  <c r="M61" i="83"/>
  <c r="M54" i="83"/>
  <c r="M29" i="83"/>
  <c r="M17" i="83"/>
  <c r="M60" i="83"/>
  <c r="M32" i="83"/>
  <c r="M69" i="83"/>
  <c r="M16" i="83"/>
  <c r="M56" i="83"/>
  <c r="M70" i="83"/>
  <c r="M37" i="83"/>
  <c r="M30" i="83"/>
  <c r="M41" i="83"/>
  <c r="M52" i="83"/>
  <c r="M43" i="83"/>
  <c r="M25" i="83"/>
  <c r="M67" i="83"/>
  <c r="M39" i="83"/>
  <c r="M63" i="83"/>
  <c r="M18" i="83"/>
  <c r="M26" i="83"/>
  <c r="M53" i="83"/>
  <c r="M42" i="83"/>
  <c r="M34" i="83"/>
  <c r="M35" i="83"/>
  <c r="M58" i="83"/>
  <c r="M45" i="83"/>
  <c r="M38" i="83"/>
  <c r="M55" i="83"/>
  <c r="M46" i="83"/>
  <c r="M57" i="83"/>
  <c r="M14" i="83"/>
  <c r="K75" i="83"/>
  <c r="M47" i="83"/>
  <c r="M48" i="83"/>
  <c r="M50" i="83"/>
  <c r="M28" i="83"/>
  <c r="M66" i="83"/>
  <c r="M71" i="83"/>
  <c r="M73" i="83"/>
  <c r="M15" i="83"/>
  <c r="M68" i="83"/>
  <c r="M23" i="83"/>
  <c r="M51" i="83"/>
  <c r="J75" i="83"/>
  <c r="H75" i="83"/>
  <c r="K76" i="39"/>
  <c r="K19" i="44" l="1"/>
  <c r="K16" i="44"/>
  <c r="K18" i="44"/>
  <c r="K17" i="44"/>
  <c r="L17" i="44" l="1"/>
  <c r="M17" i="44" s="1"/>
  <c r="L22" i="83" s="1"/>
  <c r="M22" i="83" s="1"/>
  <c r="L16" i="44"/>
  <c r="M16" i="44" s="1"/>
  <c r="L19" i="83" s="1"/>
  <c r="L18" i="44"/>
  <c r="M18" i="44" s="1"/>
  <c r="L19" i="44"/>
  <c r="M19" i="44" s="1"/>
  <c r="L75" i="83" l="1"/>
  <c r="M19" i="83"/>
  <c r="M75" i="83" s="1"/>
  <c r="M46" i="44"/>
  <c r="H26" i="38" s="1"/>
  <c r="G12" i="84" l="1"/>
  <c r="G22" i="84" l="1"/>
  <c r="H31" i="38" s="1"/>
  <c r="H33" i="38" s="1"/>
  <c r="H34" i="38" s="1"/>
  <c r="H35" i="38" s="1"/>
</calcChain>
</file>

<file path=xl/sharedStrings.xml><?xml version="1.0" encoding="utf-8"?>
<sst xmlns="http://schemas.openxmlformats.org/spreadsheetml/2006/main" count="5263" uniqueCount="1096">
  <si>
    <t>Invoervelden</t>
  </si>
  <si>
    <t>Naam opdrachtgever</t>
  </si>
  <si>
    <t>GVB operatie Metro</t>
  </si>
  <si>
    <t>Calculatie onderdeel</t>
  </si>
  <si>
    <t>Gebouw/plaats</t>
  </si>
  <si>
    <t>Amsterdam</t>
  </si>
  <si>
    <t>Referentienummer</t>
  </si>
  <si>
    <t>2024-62</t>
  </si>
  <si>
    <t>Naam dienstverlener</t>
  </si>
  <si>
    <t>Prijspeil</t>
  </si>
  <si>
    <t>1 juli 2025</t>
  </si>
  <si>
    <t>Perceel deel</t>
  </si>
  <si>
    <t>Comfort schoonmaak</t>
  </si>
  <si>
    <t>Versie</t>
  </si>
  <si>
    <t>JAARPRIJS COMFORT SCHOONMAAK</t>
  </si>
  <si>
    <t>Categorie/medewerker</t>
  </si>
  <si>
    <t>Percentage</t>
  </si>
  <si>
    <t>Aantal uren per jaar</t>
  </si>
  <si>
    <t>Tarief</t>
  </si>
  <si>
    <t>Prijs per jaar</t>
  </si>
  <si>
    <t>Medewerker schoonmaak</t>
  </si>
  <si>
    <t>maandag t/m vrijdag</t>
  </si>
  <si>
    <t>06:00 - 21:30 uur</t>
  </si>
  <si>
    <t>Medewerker leidinggevend</t>
  </si>
  <si>
    <t>zaterdag en Zondag</t>
  </si>
  <si>
    <t>feestdag</t>
  </si>
  <si>
    <t>Totaal</t>
  </si>
  <si>
    <t>Gemiddeld</t>
  </si>
  <si>
    <t>Medewerker leiding</t>
  </si>
  <si>
    <t>Totaalkosten per jaar</t>
  </si>
  <si>
    <t>B.T.W.</t>
  </si>
  <si>
    <t>Totale kosten per jaar inclusief B.T.W.</t>
  </si>
  <si>
    <t xml:space="preserve"> </t>
  </si>
  <si>
    <t>SUPPLETIEKOSTEN OVERNAME PERSONEEL COMFORT SCHOONMAAK**</t>
  </si>
  <si>
    <t>** Dit is het maximale bedrag dat door de dienstverlener aan suppletiekosten in rekening wordt gebracht. Indien hier niets wordt ingevuld betekent dit voor GVB dat er geen suppletiekosten door de dienstverlener in rekening worden gebracht.</t>
  </si>
  <si>
    <t>Uren per locatie</t>
  </si>
  <si>
    <t>(exclusief sanitaire voorzieningen en gladheidsbestrijding)</t>
  </si>
  <si>
    <t>Station nummer</t>
  </si>
  <si>
    <t>Station</t>
  </si>
  <si>
    <t>Lijn</t>
  </si>
  <si>
    <t>Locatie factor</t>
  </si>
  <si>
    <t>m2 vloer</t>
  </si>
  <si>
    <t>Uren per jaar ma-vr reguliere beurt</t>
  </si>
  <si>
    <t>Uren per jaar ma-vr naloop beurt</t>
  </si>
  <si>
    <t>Uren per jaar za-zo-fe reguliere beurt</t>
  </si>
  <si>
    <t>Uren per jaar za-zo-fe naloop beurt</t>
  </si>
  <si>
    <t>Totaal uren per jaar per station</t>
  </si>
  <si>
    <t>Toezicht uren ma-vr</t>
  </si>
  <si>
    <t>Toezicht uren za-zo-fe</t>
  </si>
  <si>
    <t>Centraal Oostlijn</t>
  </si>
  <si>
    <t>Oostlijn ondergronds</t>
  </si>
  <si>
    <t>Nieuwmarkt</t>
  </si>
  <si>
    <t>Waterlooplein</t>
  </si>
  <si>
    <t>Weesperplein</t>
  </si>
  <si>
    <t>Wibautstraat</t>
  </si>
  <si>
    <t>Amstel</t>
  </si>
  <si>
    <t>Oostlijn bovengronds</t>
  </si>
  <si>
    <t>Spaklerweg</t>
  </si>
  <si>
    <t>Van der Madeweg</t>
  </si>
  <si>
    <t>Duivendrecht</t>
  </si>
  <si>
    <t>Strandvliet</t>
  </si>
  <si>
    <t>Bijlmer</t>
  </si>
  <si>
    <t>Bullewijk</t>
  </si>
  <si>
    <t>Holendrecht</t>
  </si>
  <si>
    <t>Reigersbos</t>
  </si>
  <si>
    <t>Gein</t>
  </si>
  <si>
    <t>Oostlijn Bovengronds</t>
  </si>
  <si>
    <t>Venserpolder</t>
  </si>
  <si>
    <t>Diemen Zuid</t>
  </si>
  <si>
    <t>Verrijn Stuartweg</t>
  </si>
  <si>
    <t>Ganzenhoef</t>
  </si>
  <si>
    <t>Kraaiennest</t>
  </si>
  <si>
    <t>Gaasperplas</t>
  </si>
  <si>
    <t>A.J. Ernsstraat</t>
  </si>
  <si>
    <t>Amstellijn</t>
  </si>
  <si>
    <t>Van Boshuizenstraat</t>
  </si>
  <si>
    <t>Uilenstede</t>
  </si>
  <si>
    <t>Kronenburg</t>
  </si>
  <si>
    <t>Zonnestein</t>
  </si>
  <si>
    <t>Onderuit</t>
  </si>
  <si>
    <t>Oranjebaan</t>
  </si>
  <si>
    <t>Stadshart</t>
  </si>
  <si>
    <t>Ouderkerkerlaan</t>
  </si>
  <si>
    <t>Sportlaan</t>
  </si>
  <si>
    <t>Meent</t>
  </si>
  <si>
    <t>Brink</t>
  </si>
  <si>
    <t>Poortwachter</t>
  </si>
  <si>
    <t>Sacharovlaan</t>
  </si>
  <si>
    <t>Westwijk</t>
  </si>
  <si>
    <t>215a</t>
  </si>
  <si>
    <t>Aan de Zoom</t>
  </si>
  <si>
    <t>215b</t>
  </si>
  <si>
    <t>Uithoorn Station</t>
  </si>
  <si>
    <t>215c</t>
  </si>
  <si>
    <t>Uithoorn Centrum</t>
  </si>
  <si>
    <t>Overamstel</t>
  </si>
  <si>
    <t>Ringlijn</t>
  </si>
  <si>
    <t>Rai</t>
  </si>
  <si>
    <t>Zuid</t>
  </si>
  <si>
    <t>Amstelveenseweg</t>
  </si>
  <si>
    <t>Henk Sneevlietweg</t>
  </si>
  <si>
    <t>Heemstedestraat</t>
  </si>
  <si>
    <t>Lelylaan</t>
  </si>
  <si>
    <t>Postjesweg</t>
  </si>
  <si>
    <t>Jan van Galenstraat</t>
  </si>
  <si>
    <t>De Vluchtlaan</t>
  </si>
  <si>
    <t>Sloterdijk</t>
  </si>
  <si>
    <t>Isolatorweg</t>
  </si>
  <si>
    <t>Europaplein</t>
  </si>
  <si>
    <t>Noord-zuid lijn</t>
  </si>
  <si>
    <t>De Pijp</t>
  </si>
  <si>
    <t>Vijzelgracht</t>
  </si>
  <si>
    <t>Rokin</t>
  </si>
  <si>
    <t>Centraal NZL</t>
  </si>
  <si>
    <t>Noorderpark</t>
  </si>
  <si>
    <t>Noord</t>
  </si>
  <si>
    <t>Bim Huis</t>
  </si>
  <si>
    <t>Ijtram</t>
  </si>
  <si>
    <t>Rietlandpark</t>
  </si>
  <si>
    <t>Eind totaal</t>
  </si>
  <si>
    <t>Kosten per locatie</t>
  </si>
  <si>
    <t>Kosten per jaar ma-vr reguliere beurt</t>
  </si>
  <si>
    <t>Kosten per jaar ma-vr naloop beurt</t>
  </si>
  <si>
    <t>Kosten per jaar za-zo-fe reguliere beurt</t>
  </si>
  <si>
    <t>Kosten per jaar za-zo-fe naloop beurt</t>
  </si>
  <si>
    <t>Totaal kosten productie per jaar</t>
  </si>
  <si>
    <t>Toezicht Kosten ma-vr</t>
  </si>
  <si>
    <t>Toezicht Kosten za-zo-fe</t>
  </si>
  <si>
    <t>Totaal kosten toezicht per jaar</t>
  </si>
  <si>
    <t>Kosten aanvullende werkzaamheden</t>
  </si>
  <si>
    <t>Totaal kosten per jaar</t>
  </si>
  <si>
    <t>Gewogen prestatie</t>
  </si>
  <si>
    <t>m2/uur</t>
  </si>
  <si>
    <t>Frequentie van uitvoering (per jaar):</t>
  </si>
  <si>
    <t>Ruimtecategorie</t>
  </si>
  <si>
    <t>Prestatienorm in aantal m2 per uur</t>
  </si>
  <si>
    <t>Opslag naloop ma-vr</t>
  </si>
  <si>
    <t>Opslag weekend feestdag</t>
  </si>
  <si>
    <t>Opslag naloop weekend feestdag</t>
  </si>
  <si>
    <t>M2 Totaal</t>
  </si>
  <si>
    <t>VSR Code</t>
  </si>
  <si>
    <t>Berging/opslag/magazijn</t>
  </si>
  <si>
    <t>V</t>
  </si>
  <si>
    <t>Bestrating</t>
  </si>
  <si>
    <t>Gangen</t>
  </si>
  <si>
    <t>Hallen</t>
  </si>
  <si>
    <t>Kantoren/spreekkamers</t>
  </si>
  <si>
    <t>B</t>
  </si>
  <si>
    <t>Kleedruimte</t>
  </si>
  <si>
    <t>Liften</t>
  </si>
  <si>
    <t>Pantry</t>
  </si>
  <si>
    <t>Perrons</t>
  </si>
  <si>
    <t>Roltrappen(inclusief aangrenzende bouwdelen)</t>
  </si>
  <si>
    <t>Sanitair</t>
  </si>
  <si>
    <t>S</t>
  </si>
  <si>
    <t>Trappen</t>
  </si>
  <si>
    <t>Op afroep</t>
  </si>
  <si>
    <t>Kolom voor matrix</t>
  </si>
  <si>
    <t>Frequentie verklaring</t>
  </si>
  <si>
    <t>Freq</t>
  </si>
  <si>
    <t>Kolom</t>
  </si>
  <si>
    <t>1 x per maand</t>
  </si>
  <si>
    <t>2 x per week (52 weken)</t>
  </si>
  <si>
    <t>3x per week (52 weken)</t>
  </si>
  <si>
    <t>5 x per week (52 weken)</t>
  </si>
  <si>
    <t>Stations deel</t>
  </si>
  <si>
    <t>Ruimteomschrijving GVB</t>
  </si>
  <si>
    <t>Ruimte nummer</t>
  </si>
  <si>
    <t>Ruimte categorie</t>
  </si>
  <si>
    <t>Vloer soort</t>
  </si>
  <si>
    <t>Totaal frequentie</t>
  </si>
  <si>
    <t>Freq. ma-vr</t>
  </si>
  <si>
    <t>Freq. ma-vr naloop</t>
  </si>
  <si>
    <t xml:space="preserve">Freq zat - zon </t>
  </si>
  <si>
    <t>Freq. zat-zon naloop</t>
  </si>
  <si>
    <t xml:space="preserve">Freq  feestdag </t>
  </si>
  <si>
    <t>Freq feestdag naloop</t>
  </si>
  <si>
    <t>M2 VLOER</t>
  </si>
  <si>
    <t>UREN P/JR MA-VR REGULIERE BEURT</t>
  </si>
  <si>
    <t>UREN P/JR MA-VR NALOOP BEURT</t>
  </si>
  <si>
    <t>UREN P/JR ZA ZO  REGULIERE BEURT</t>
  </si>
  <si>
    <t>UREN P/JR ZA ZO  NALOOP BEURT</t>
  </si>
  <si>
    <t>UREN P/JR FSTDG REGULIERE BEURT</t>
  </si>
  <si>
    <t>UREN P/JR FSTDG NALOOP BEURT</t>
  </si>
  <si>
    <t>NORM MA-VR REGULIER</t>
  </si>
  <si>
    <t>NORM MA-VR NALOOP</t>
  </si>
  <si>
    <t>NORM ZA ZO FSTDG REGULIER</t>
  </si>
  <si>
    <t>NORM ZA ZO FSTDG NALOOP</t>
  </si>
  <si>
    <t>VSR CODE</t>
  </si>
  <si>
    <t>M² per jaar</t>
  </si>
  <si>
    <t>M2 wand betegeld</t>
  </si>
  <si>
    <t>M2 wand gecoat</t>
  </si>
  <si>
    <t>M2 wand onbehandeld</t>
  </si>
  <si>
    <t>M2 wand RVS</t>
  </si>
  <si>
    <t>M2 wand
schilder werk</t>
  </si>
  <si>
    <t>M2 perron kap</t>
  </si>
  <si>
    <t>M2 plafond
kaal</t>
  </si>
  <si>
    <t>M2 plafond
geschilderd</t>
  </si>
  <si>
    <t>M2 plafond
panelen</t>
  </si>
  <si>
    <t>OPMERKING/ AANDACHTSPUNT</t>
  </si>
  <si>
    <t>Tussen niveau</t>
  </si>
  <si>
    <t>Publieksgang Tussenniveau</t>
  </si>
  <si>
    <t>1-0103</t>
  </si>
  <si>
    <t>Tegels</t>
  </si>
  <si>
    <t>Publiekstrap Tussenniveau - Hal</t>
  </si>
  <si>
    <t>1-0104</t>
  </si>
  <si>
    <t xml:space="preserve">Tegels / beton </t>
  </si>
  <si>
    <t>Halniveau</t>
  </si>
  <si>
    <t>2-0104</t>
  </si>
  <si>
    <t>geen</t>
  </si>
  <si>
    <t>Verdeelhal</t>
  </si>
  <si>
    <t>2-0105</t>
  </si>
  <si>
    <t>Publiekstrap Hal - Perron</t>
  </si>
  <si>
    <t>2-0106</t>
  </si>
  <si>
    <t>Publieksroltrap Hal - Perron</t>
  </si>
  <si>
    <t>2-0107</t>
  </si>
  <si>
    <t>Staal</t>
  </si>
  <si>
    <t>2-0108</t>
  </si>
  <si>
    <t>2-0109</t>
  </si>
  <si>
    <t>2-0110</t>
  </si>
  <si>
    <t>2-0112</t>
  </si>
  <si>
    <t>2-0113</t>
  </si>
  <si>
    <t>Publiekstrap Uitgang Open-Havenfront West</t>
  </si>
  <si>
    <t>2-0114</t>
  </si>
  <si>
    <t>Publiekstrap Uitgang Prins Hendrikkade</t>
  </si>
  <si>
    <t>2-0115</t>
  </si>
  <si>
    <t>Publiekstrap Uitgang Open-Havenfront Oost</t>
  </si>
  <si>
    <t>2-0116</t>
  </si>
  <si>
    <t>2-0117</t>
  </si>
  <si>
    <t>Publiekstrap Uitgang Oostenlijke Handelskade</t>
  </si>
  <si>
    <t>2-0119</t>
  </si>
  <si>
    <t>Toiletruimte</t>
  </si>
  <si>
    <t>2-0901</t>
  </si>
  <si>
    <t>geen opname</t>
  </si>
  <si>
    <t>2-0910</t>
  </si>
  <si>
    <t>2-0911</t>
  </si>
  <si>
    <t>Voorruimte toilet</t>
  </si>
  <si>
    <t>2-0912</t>
  </si>
  <si>
    <t>Verblijfsruimte schoonmaak</t>
  </si>
  <si>
    <t>2-1913</t>
  </si>
  <si>
    <t>Linoleum</t>
  </si>
  <si>
    <t>3-0112</t>
  </si>
  <si>
    <t>Maaiveld</t>
  </si>
  <si>
    <t>Lift 31</t>
  </si>
  <si>
    <t>0  250562</t>
  </si>
  <si>
    <t>Traanplaat</t>
  </si>
  <si>
    <t>Wand gevel</t>
  </si>
  <si>
    <t>Lift 34</t>
  </si>
  <si>
    <t>0  250561</t>
  </si>
  <si>
    <t>Perron</t>
  </si>
  <si>
    <t>Lift 21 Uitgang Koffiehuis - Perron</t>
  </si>
  <si>
    <t>21</t>
  </si>
  <si>
    <t>4-0106</t>
  </si>
  <si>
    <t>4-0107</t>
  </si>
  <si>
    <t>4-0108</t>
  </si>
  <si>
    <t>4-0109</t>
  </si>
  <si>
    <t>4-0110</t>
  </si>
  <si>
    <t>4-0111</t>
  </si>
  <si>
    <t>4-0112</t>
  </si>
  <si>
    <t>4-0906</t>
  </si>
  <si>
    <t>Coating</t>
  </si>
  <si>
    <t>4-0907</t>
  </si>
  <si>
    <t>4-0909</t>
  </si>
  <si>
    <t>Publieksroltrap Uitgang Nieuwmarkt - Hal</t>
  </si>
  <si>
    <t>0-0104</t>
  </si>
  <si>
    <t>staal</t>
  </si>
  <si>
    <t>Publiekstrap Uitgang Koffiehuis - Tussenniveau</t>
  </si>
  <si>
    <t>0-0105</t>
  </si>
  <si>
    <t>opgenomen als trap 2-0105</t>
  </si>
  <si>
    <t>Publieksroltrap Uitgang Nieuwe Hoogstraat - Hal</t>
  </si>
  <si>
    <t>0-0112</t>
  </si>
  <si>
    <t>Publiekstrap Uitgang Nieuwe Hoogstraat - Hal</t>
  </si>
  <si>
    <t>0-0113</t>
  </si>
  <si>
    <t>opgenomen als trap 2-0113</t>
  </si>
  <si>
    <t>Lift 01 Uitgang Nieuwmarkt - Hal</t>
  </si>
  <si>
    <t>01</t>
  </si>
  <si>
    <t>Lift 03 Uitgang Nieuwe Hoogstraat - Hal</t>
  </si>
  <si>
    <t>03</t>
  </si>
  <si>
    <t>Publieksroltrap Uitgang Koningsstraat - Hal</t>
  </si>
  <si>
    <t>2-0101</t>
  </si>
  <si>
    <t>Publiekstrap Uitgang Koningsstraat - Hal</t>
  </si>
  <si>
    <t>2-0102</t>
  </si>
  <si>
    <t>Hout, beton, HWC en mdf-plafonds</t>
  </si>
  <si>
    <t>2-0103</t>
  </si>
  <si>
    <t>HWC- en houten plafond. glazen plafond vide lift 24 m²</t>
  </si>
  <si>
    <t>Geen</t>
  </si>
  <si>
    <t>opgenomen als roltrap 0-0104</t>
  </si>
  <si>
    <t>Publiekstrap Uitgang Nieuwmarkt - Hal</t>
  </si>
  <si>
    <t>HWC-plafond Wandgevel 27 m2</t>
  </si>
  <si>
    <t>HWC-plafond</t>
  </si>
  <si>
    <t>2-0111</t>
  </si>
  <si>
    <t>HWC-plafond, gecoat houten plafond</t>
  </si>
  <si>
    <t>opgenomen in andere ruimte</t>
  </si>
  <si>
    <t>HWC-plafond, betonnen plafond</t>
  </si>
  <si>
    <t>opgenomen als lift verdeelhal</t>
  </si>
  <si>
    <t>Lift 31 Hal - Perron</t>
  </si>
  <si>
    <t>31</t>
  </si>
  <si>
    <t>Lift 34 Hal - Perron</t>
  </si>
  <si>
    <t>34</t>
  </si>
  <si>
    <t>epoxy</t>
  </si>
  <si>
    <t>Volkern plafond</t>
  </si>
  <si>
    <t>2-0902</t>
  </si>
  <si>
    <t>2-0903</t>
  </si>
  <si>
    <t>2-0904</t>
  </si>
  <si>
    <t>2-0905</t>
  </si>
  <si>
    <t>2-0906</t>
  </si>
  <si>
    <t>opgenomen als trap 2-0107</t>
  </si>
  <si>
    <t>opgenomen als trap 2-0109</t>
  </si>
  <si>
    <t>Kelder</t>
  </si>
  <si>
    <t>Kantoorruimte</t>
  </si>
  <si>
    <t>19-271</t>
  </si>
  <si>
    <t>opgenomen in ruimte 4-10.605</t>
  </si>
  <si>
    <t>Verblijfsruimte</t>
  </si>
  <si>
    <t>19-251</t>
  </si>
  <si>
    <t>Publieksroltrap Uitgang Stadhuis - Hal</t>
  </si>
  <si>
    <t>0-0101</t>
  </si>
  <si>
    <t>Publiekstrap Uitgang Stadhuis - Hal</t>
  </si>
  <si>
    <t>0-0102</t>
  </si>
  <si>
    <t>Lift 02 Uitgang Stadhuis - Hal</t>
  </si>
  <si>
    <t>02</t>
  </si>
  <si>
    <t>Hal niveau</t>
  </si>
  <si>
    <t>opgenomen als roltrap 0-0101</t>
  </si>
  <si>
    <t>opgenomen als trap 0-0102</t>
  </si>
  <si>
    <t>Publieksroltrap Uitgang Waterlooplein - Hal</t>
  </si>
  <si>
    <t>Publiekstrap Uitgang Waterlooplein - Hal</t>
  </si>
  <si>
    <t>Beton</t>
  </si>
  <si>
    <t>Publiekstrap Uitgang Hortus Plantsoen - Hal</t>
  </si>
  <si>
    <t>valt buiten station</t>
  </si>
  <si>
    <t>Publiekstrap Uitgang Nieuwe Herengracht - Hal</t>
  </si>
  <si>
    <t>valt buiten station, wand gevel</t>
  </si>
  <si>
    <t>2-0921</t>
  </si>
  <si>
    <t>2-0922</t>
  </si>
  <si>
    <t>2-0923</t>
  </si>
  <si>
    <t>opgenomen als roltrap 2-0106</t>
  </si>
  <si>
    <t>opgenomen als roltrap 2-0109</t>
  </si>
  <si>
    <t>opgenomen als roltrap 2-0110</t>
  </si>
  <si>
    <t>opgenomen als roltrap 2-0111</t>
  </si>
  <si>
    <t>Overig (zaagloods S&amp;B) toiletruimte 1-1902</t>
  </si>
  <si>
    <t>1-1801</t>
  </si>
  <si>
    <t>Publieksroltrap Uitgang Sarphatistraat - Hal</t>
  </si>
  <si>
    <t>Publiekstrap Uitgang Sarphatistraat - Hal</t>
  </si>
  <si>
    <t>inlc. 80 m2 wand gevel</t>
  </si>
  <si>
    <t>Publiekltrap Uitgang Stadstimmertuin - Hal</t>
  </si>
  <si>
    <t>inlc. 108 m2 wand gevel</t>
  </si>
  <si>
    <t>inlc. 31 m2 wand gevel</t>
  </si>
  <si>
    <t>Publiekstrap Sarphatistraat</t>
  </si>
  <si>
    <t>inlc. 78 m2 wand gevel</t>
  </si>
  <si>
    <t>Publiekstroltrap Hal - Perron</t>
  </si>
  <si>
    <t>Lift 02 Uitgang Sarphatistraat - Hal</t>
  </si>
  <si>
    <t>Lift 13 Hal - Perron</t>
  </si>
  <si>
    <t>13</t>
  </si>
  <si>
    <t>Lift 23 Hal - Perron</t>
  </si>
  <si>
    <t>23</t>
  </si>
  <si>
    <t>geen ruimte van GVB</t>
  </si>
  <si>
    <t>2-0909</t>
  </si>
  <si>
    <t>linoleum</t>
  </si>
  <si>
    <t>3-0111</t>
  </si>
  <si>
    <t>opgenomen als trap 2-0112</t>
  </si>
  <si>
    <t>3-0114</t>
  </si>
  <si>
    <t>3-0115</t>
  </si>
  <si>
    <t>opgenomen als roltrap 2-0115</t>
  </si>
  <si>
    <t>3-0116</t>
  </si>
  <si>
    <t>opgenomen als trap 2-0116</t>
  </si>
  <si>
    <t>3-0118</t>
  </si>
  <si>
    <t>Publieksroltrap Uitgang Vrolikstraat - Hal</t>
  </si>
  <si>
    <t>Publiekstrap Uitgang Vrolikstraat - Hal</t>
  </si>
  <si>
    <t>Wand:gevel</t>
  </si>
  <si>
    <t>Plafond: HWC</t>
  </si>
  <si>
    <t>Publieksroltrap Uitgang Grensstraat - Hal</t>
  </si>
  <si>
    <t>Publiekstrap Uitgang Grensstraat - Hal</t>
  </si>
  <si>
    <t>Publiekstrap Uitgang Platanenweg - Hal</t>
  </si>
  <si>
    <t>Publieksroltrap Uitgang Platanenweg - Hal</t>
  </si>
  <si>
    <t>Publiekstrap Uitgang Gijsbrecht van Aemstelstraat - Hal</t>
  </si>
  <si>
    <t>Publieksroltrap Uitgang Gijsbrecht van Aemstelstraat - Hal</t>
  </si>
  <si>
    <t>Lift 31 Uitgang Vrolikstraat - Hal</t>
  </si>
  <si>
    <t>Lift 02 Hal - Perron</t>
  </si>
  <si>
    <t>Lift</t>
  </si>
  <si>
    <t>Plafond: volkern</t>
  </si>
  <si>
    <t>opgenomen als trap 2-0106</t>
  </si>
  <si>
    <t>Dezelfde trap als 2-0107</t>
  </si>
  <si>
    <t>Dezelfde trap als 2-0109</t>
  </si>
  <si>
    <t>opgenomen als trap 2-0110</t>
  </si>
  <si>
    <t>Perron oost</t>
  </si>
  <si>
    <t>1.0102</t>
  </si>
  <si>
    <t>coating</t>
  </si>
  <si>
    <t>Perron west</t>
  </si>
  <si>
    <t>1.0103</t>
  </si>
  <si>
    <t>Roltrap Oost</t>
  </si>
  <si>
    <t>onbekend</t>
  </si>
  <si>
    <t>Roltrap West</t>
  </si>
  <si>
    <t>Trap</t>
  </si>
  <si>
    <t>1.0104</t>
  </si>
  <si>
    <t>steen</t>
  </si>
  <si>
    <t>Wanden zijn meegenomen bij de hallen</t>
  </si>
  <si>
    <t>1.0105</t>
  </si>
  <si>
    <t>Hal</t>
  </si>
  <si>
    <t>0.0101</t>
  </si>
  <si>
    <t>m2 wand uit MJOB, compleet?</t>
  </si>
  <si>
    <t>Vuilopslag/schoonmakersruimte</t>
  </si>
  <si>
    <t>0.0801</t>
  </si>
  <si>
    <t>Lift 12</t>
  </si>
  <si>
    <t>traanplaat</t>
  </si>
  <si>
    <t>RVS</t>
  </si>
  <si>
    <t>Lift 22</t>
  </si>
  <si>
    <t>0</t>
  </si>
  <si>
    <t>Oude toiletten niet meegerekend enkel voorportaal + ticket. Toilet: V=1,2 m2 lino *2 W=11,5 m2 tegel *2</t>
  </si>
  <si>
    <t>Perron Oost</t>
  </si>
  <si>
    <t>2.0102</t>
  </si>
  <si>
    <t>Perron West</t>
  </si>
  <si>
    <t>2.0103</t>
  </si>
  <si>
    <t>Trap Oost</t>
  </si>
  <si>
    <t>2.0104</t>
  </si>
  <si>
    <t>Trap West</t>
  </si>
  <si>
    <t>2.0105</t>
  </si>
  <si>
    <t>2.1009</t>
  </si>
  <si>
    <t>2.1010</t>
  </si>
  <si>
    <t>1.0101</t>
  </si>
  <si>
    <t>m2 wand niet nagemeten, uit MJOB.</t>
  </si>
  <si>
    <t>Kantine</t>
  </si>
  <si>
    <t>1.0901</t>
  </si>
  <si>
    <t>Marmoleum</t>
  </si>
  <si>
    <t>Toilet heren</t>
  </si>
  <si>
    <t>1.0902</t>
  </si>
  <si>
    <t>Toilet dames</t>
  </si>
  <si>
    <t>1.0903</t>
  </si>
  <si>
    <t>Lift 1</t>
  </si>
  <si>
    <t>Lift 13</t>
  </si>
  <si>
    <t>Lift 2</t>
  </si>
  <si>
    <t>Lift 14</t>
  </si>
  <si>
    <t>Lift 3</t>
  </si>
  <si>
    <t>Lift 23</t>
  </si>
  <si>
    <t>Toegangstrap</t>
  </si>
  <si>
    <t>Buitenruimte tourniquets</t>
  </si>
  <si>
    <t>bestrating</t>
  </si>
  <si>
    <t>Beton (coating)</t>
  </si>
  <si>
    <t>Trap noordzijde</t>
  </si>
  <si>
    <t>Trap zuidzijde</t>
  </si>
  <si>
    <t>Roltrap noordzijde</t>
  </si>
  <si>
    <t>Roltrap zuidzijde</t>
  </si>
  <si>
    <t>Hal zuid</t>
  </si>
  <si>
    <t>Hal noord</t>
  </si>
  <si>
    <t>0.0102</t>
  </si>
  <si>
    <t>0.0901</t>
  </si>
  <si>
    <t>0.0902</t>
  </si>
  <si>
    <t xml:space="preserve">Lift </t>
  </si>
  <si>
    <t>Zuid RVS</t>
  </si>
  <si>
    <t>0.1006</t>
  </si>
  <si>
    <t>nvt</t>
  </si>
  <si>
    <t xml:space="preserve">Ruimte niet betreedbaar. </t>
  </si>
  <si>
    <t xml:space="preserve">Noord, geen lift aanwezig. </t>
  </si>
  <si>
    <t>Personeelsverblijfruimte</t>
  </si>
  <si>
    <t>0.1902</t>
  </si>
  <si>
    <t>Sanitaire ruimte</t>
  </si>
  <si>
    <t>perron</t>
  </si>
  <si>
    <t>hal</t>
  </si>
  <si>
    <t>Roltrap 1</t>
  </si>
  <si>
    <t>Roltrap 2</t>
  </si>
  <si>
    <t>Roltrap 3</t>
  </si>
  <si>
    <t>Lift (geen lift aanwezig)</t>
  </si>
  <si>
    <t>beton</t>
  </si>
  <si>
    <t xml:space="preserve">Ruimte is dichtgezet. </t>
  </si>
  <si>
    <t>Personeelsverblijf</t>
  </si>
  <si>
    <t>leeg (ruimte bij entree)</t>
  </si>
  <si>
    <t>0.1903</t>
  </si>
  <si>
    <t>Trap noord</t>
  </si>
  <si>
    <t>Trap zuid</t>
  </si>
  <si>
    <t xml:space="preserve">Roltrap </t>
  </si>
  <si>
    <t>Roltrap</t>
  </si>
  <si>
    <t>2.1011</t>
  </si>
  <si>
    <t>Gang</t>
  </si>
  <si>
    <t>0.0201</t>
  </si>
  <si>
    <t xml:space="preserve">Zuid Er staat ook nog 48m2 metselwerk in de MJOB, al het metselwerk is geschilderd. </t>
  </si>
  <si>
    <t>hal oost</t>
  </si>
  <si>
    <t>oost</t>
  </si>
  <si>
    <t>hal west</t>
  </si>
  <si>
    <t>west</t>
  </si>
  <si>
    <t>voorruimte toilet</t>
  </si>
  <si>
    <t>gang</t>
  </si>
  <si>
    <t>0.0202</t>
  </si>
  <si>
    <t>Coating / Tegels</t>
  </si>
  <si>
    <t>Toilet (MIVA)</t>
  </si>
  <si>
    <t>34 (0.1003)</t>
  </si>
  <si>
    <t>oost RVS</t>
  </si>
  <si>
    <t>31 (0.1008)</t>
  </si>
  <si>
    <t>west RVS</t>
  </si>
  <si>
    <t>Keuken/kantine</t>
  </si>
  <si>
    <t>Trap oost</t>
  </si>
  <si>
    <t>?</t>
  </si>
  <si>
    <t>niet op plattegrond, m2 uit MJOB</t>
  </si>
  <si>
    <t>Trap west</t>
  </si>
  <si>
    <t>Roltrap oost</t>
  </si>
  <si>
    <t>niet op plattegrond, m2 uit oud calculatiebestand</t>
  </si>
  <si>
    <t>Roltrap west</t>
  </si>
  <si>
    <t xml:space="preserve">west </t>
  </si>
  <si>
    <t>0.0103</t>
  </si>
  <si>
    <t>garderobe</t>
  </si>
  <si>
    <t>toilet heren</t>
  </si>
  <si>
    <t>toilet dames</t>
  </si>
  <si>
    <t>0.1911</t>
  </si>
  <si>
    <t>trap naar perron</t>
  </si>
  <si>
    <t>roltrap naar perron</t>
  </si>
  <si>
    <t>1.1008</t>
  </si>
  <si>
    <t>lift 31</t>
  </si>
  <si>
    <t>31 (0.1005)</t>
  </si>
  <si>
    <t>lift 34</t>
  </si>
  <si>
    <t>0 0101</t>
  </si>
  <si>
    <t>0 0102</t>
  </si>
  <si>
    <t>wand afwerking zit in gang/hal</t>
  </si>
  <si>
    <t>Heren toilet</t>
  </si>
  <si>
    <t>0 0901</t>
  </si>
  <si>
    <t>Dames toilet</t>
  </si>
  <si>
    <t>0 0902</t>
  </si>
  <si>
    <t>0 1004</t>
  </si>
  <si>
    <t>0 1908</t>
  </si>
  <si>
    <t>Trappenhuis</t>
  </si>
  <si>
    <t>1 0103</t>
  </si>
  <si>
    <t>2 0104</t>
  </si>
  <si>
    <t>RT 31</t>
  </si>
  <si>
    <t>0 1905</t>
  </si>
  <si>
    <t>2 0103</t>
  </si>
  <si>
    <t>RT 33</t>
  </si>
  <si>
    <t>onbekend N</t>
  </si>
  <si>
    <t>onbekend Z</t>
  </si>
  <si>
    <t>Damestoilet</t>
  </si>
  <si>
    <t>Herentoilet</t>
  </si>
  <si>
    <t>0 1907</t>
  </si>
  <si>
    <t>1 0102</t>
  </si>
  <si>
    <t>Trap hal/perron</t>
  </si>
  <si>
    <t>0 0202</t>
  </si>
  <si>
    <t>Toilet</t>
  </si>
  <si>
    <t>lift</t>
  </si>
  <si>
    <t>0 1002</t>
  </si>
  <si>
    <t>Roltrap 14</t>
  </si>
  <si>
    <t>0 1003</t>
  </si>
  <si>
    <t>Roltrap 34</t>
  </si>
  <si>
    <t>Roltrap 24</t>
  </si>
  <si>
    <t>0 1005</t>
  </si>
  <si>
    <t>1 0202</t>
  </si>
  <si>
    <t>Vluchtweg</t>
  </si>
  <si>
    <t>1 0203</t>
  </si>
  <si>
    <t>Personeelsruimte</t>
  </si>
  <si>
    <t>1 1903</t>
  </si>
  <si>
    <t>2 0202</t>
  </si>
  <si>
    <t>3 0102</t>
  </si>
  <si>
    <t>Glas in glasstaat</t>
  </si>
  <si>
    <t>betontegel</t>
  </si>
  <si>
    <t>Noodtrappenhuis</t>
  </si>
  <si>
    <t>2 0901</t>
  </si>
  <si>
    <t>2 0902</t>
  </si>
  <si>
    <t>asfalt</t>
  </si>
  <si>
    <t>RT 13</t>
  </si>
  <si>
    <t>RT 23</t>
  </si>
  <si>
    <t>Personeelsverblijf ruimte</t>
  </si>
  <si>
    <t>0 1901</t>
  </si>
  <si>
    <t>0 0101 / 0 0102</t>
  </si>
  <si>
    <t>klinker/straattegel</t>
  </si>
  <si>
    <t xml:space="preserve">0 0101 </t>
  </si>
  <si>
    <t>Gele klinker</t>
  </si>
  <si>
    <t>RVS vloerplaat</t>
  </si>
  <si>
    <t>klinker</t>
  </si>
  <si>
    <t>trappen</t>
  </si>
  <si>
    <t>0.0101/0.0102</t>
  </si>
  <si>
    <t>Trappen incl bordes</t>
  </si>
  <si>
    <t>0 0103</t>
  </si>
  <si>
    <t>Klinker</t>
  </si>
  <si>
    <t>trap</t>
  </si>
  <si>
    <t xml:space="preserve">perron </t>
  </si>
  <si>
    <t>1 0101</t>
  </si>
  <si>
    <t>buitenruimte gates</t>
  </si>
  <si>
    <t>lift  mv (Talud zijde)</t>
  </si>
  <si>
    <t>ri itw</t>
  </si>
  <si>
    <t>lift mv (midden)</t>
  </si>
  <si>
    <t>ri centr</t>
  </si>
  <si>
    <t>0 0201</t>
  </si>
  <si>
    <t>tegelvloer toilet 5m2 ….wordt gerenoveerd 2017</t>
  </si>
  <si>
    <t>roltrap</t>
  </si>
  <si>
    <t>1 1002</t>
  </si>
  <si>
    <t>gang/hal</t>
  </si>
  <si>
    <t>vloer oppbinn poortjes is 52 m2</t>
  </si>
  <si>
    <t xml:space="preserve">lift </t>
  </si>
  <si>
    <t>trap (2x)</t>
  </si>
  <si>
    <t>tegels/coating alles in gang hal opgenomen</t>
  </si>
  <si>
    <t>richting lift</t>
  </si>
  <si>
    <t>aluminium met coating</t>
  </si>
  <si>
    <t>1 0105</t>
  </si>
  <si>
    <t>??</t>
  </si>
  <si>
    <t>roltrap 2x</t>
  </si>
  <si>
    <t>gang/hal mv gvb terrein  (trap)</t>
  </si>
  <si>
    <t>wand 17 m2 golplaat</t>
  </si>
  <si>
    <t>lift richt itw</t>
  </si>
  <si>
    <t>golfplaten wand hal en perron</t>
  </si>
  <si>
    <t>2 trappen 76  in tot</t>
  </si>
  <si>
    <t>composiet / gietasfalt</t>
  </si>
  <si>
    <t>perron (onder luifel)</t>
  </si>
  <si>
    <t>hardsteen / betontegel</t>
  </si>
  <si>
    <t>perron (randen)</t>
  </si>
  <si>
    <t>2 roltrap 31  in tota</t>
  </si>
  <si>
    <t>hal achter gateline</t>
  </si>
  <si>
    <t>2 x 45  in totaal</t>
  </si>
  <si>
    <t>straattegels</t>
  </si>
  <si>
    <t>1. 0101</t>
  </si>
  <si>
    <t>hal (mv-straat)</t>
  </si>
  <si>
    <t>wandafwerking staat onder perron</t>
  </si>
  <si>
    <t>1. 0102</t>
  </si>
  <si>
    <t>1. 0103</t>
  </si>
  <si>
    <t>perron cabine</t>
  </si>
  <si>
    <t>1. 1901</t>
  </si>
  <si>
    <t>0. 0201</t>
  </si>
  <si>
    <t xml:space="preserve">roltrap </t>
  </si>
  <si>
    <t>0. 0202</t>
  </si>
  <si>
    <t xml:space="preserve">bestrating </t>
  </si>
  <si>
    <t>1  0102</t>
  </si>
  <si>
    <t>beton (coating)</t>
  </si>
  <si>
    <t>toilet</t>
  </si>
  <si>
    <t>vluchtgang</t>
  </si>
  <si>
    <t xml:space="preserve">0 0201 </t>
  </si>
  <si>
    <t>roltrappen</t>
  </si>
  <si>
    <t>3 st</t>
  </si>
  <si>
    <t>4 st</t>
  </si>
  <si>
    <t>Kaartverkoop rvs huisje</t>
  </si>
  <si>
    <t>1 1901</t>
  </si>
  <si>
    <t>(perron (randen)</t>
  </si>
  <si>
    <t>gang / hal</t>
  </si>
  <si>
    <t>1 1003</t>
  </si>
  <si>
    <t>perron ( onder luifel)</t>
  </si>
  <si>
    <t>1 0102 + 1 0101</t>
  </si>
  <si>
    <t>staal met antislipcoating</t>
  </si>
  <si>
    <t>perron excl gla\en bouwsteen</t>
  </si>
  <si>
    <t>perron incl glazen bwsteen</t>
  </si>
  <si>
    <t>1 0101 en 1 0102</t>
  </si>
  <si>
    <t>1 0201</t>
  </si>
  <si>
    <t>1 0901</t>
  </si>
  <si>
    <t>perron verlenging tegelwerk straat</t>
  </si>
  <si>
    <t xml:space="preserve">zie tunnelwand </t>
  </si>
  <si>
    <t>Noord-zuidlijn</t>
  </si>
  <si>
    <t>Trap maaiveld &gt; verdeelhal 2x (zuidzijde)</t>
  </si>
  <si>
    <t>SP-30/31</t>
  </si>
  <si>
    <t>Steen</t>
  </si>
  <si>
    <t>Roltrap maaiveld &gt; verdeelhal 2x (zuidzijde)</t>
  </si>
  <si>
    <t>SP-10 (1,2)</t>
  </si>
  <si>
    <t>Trap maaiveld &gt; verdeelhal (noordzijde)</t>
  </si>
  <si>
    <t>SP-32</t>
  </si>
  <si>
    <t>Roltrap maaiveld  &gt; verdeelhal 2x (noordzijde)</t>
  </si>
  <si>
    <t>SP-11-12</t>
  </si>
  <si>
    <t>Lift naar verdeelhal (zuidzijde)</t>
  </si>
  <si>
    <t>SP-01</t>
  </si>
  <si>
    <t>Lift naar verdeelhal (noordzijde)</t>
  </si>
  <si>
    <t>SP-02</t>
  </si>
  <si>
    <t>-1</t>
  </si>
  <si>
    <t>Verdeelhal (zuidzijde)</t>
  </si>
  <si>
    <t>S.P.Z.-K1-15</t>
  </si>
  <si>
    <t>Pantry (zuidzijde)</t>
  </si>
  <si>
    <t>S.E.Z.-K1-02</t>
  </si>
  <si>
    <t>S.E.Z.-K1-03</t>
  </si>
  <si>
    <t>Brandweerruimte</t>
  </si>
  <si>
    <t>S.E.Z.-K1-05</t>
  </si>
  <si>
    <t>nio</t>
  </si>
  <si>
    <t>Roltrap verdeelhal &gt; perron (zuidzijde)</t>
  </si>
  <si>
    <t>SP-13</t>
  </si>
  <si>
    <t>Trap verdeelhal &gt; perron (zuidzijde)</t>
  </si>
  <si>
    <t>SP-33</t>
  </si>
  <si>
    <t>Lift 1 naar perron (zuidzijde)</t>
  </si>
  <si>
    <t>SP-03</t>
  </si>
  <si>
    <t>Lift 2 naar perron (zuidzijde)</t>
  </si>
  <si>
    <t>SP-04</t>
  </si>
  <si>
    <t>SP-34</t>
  </si>
  <si>
    <t>SP-14</t>
  </si>
  <si>
    <t>Verdeelhal (noordzijde)</t>
  </si>
  <si>
    <t>Niet op plg</t>
  </si>
  <si>
    <t>Roltrap verdeelhal &gt; perron (noordzijde)</t>
  </si>
  <si>
    <t>SP-16</t>
  </si>
  <si>
    <t>Trap verdeelhal &gt; perron (noordzijde)</t>
  </si>
  <si>
    <t>SP-36</t>
  </si>
  <si>
    <t>Lift 1 naar perron (noordzijde)</t>
  </si>
  <si>
    <t>SP-06</t>
  </si>
  <si>
    <t>Lift 2 naar perron (noordzijde)</t>
  </si>
  <si>
    <t>SP-05</t>
  </si>
  <si>
    <t>SP-35</t>
  </si>
  <si>
    <t>SP-15</t>
  </si>
  <si>
    <t>-2</t>
  </si>
  <si>
    <t>S.P.-K2-05/10</t>
  </si>
  <si>
    <t>Roltrap maaiveld &gt; verdeelhal 3x (zuidzijde)</t>
  </si>
  <si>
    <t>SP-10</t>
  </si>
  <si>
    <t>Entree / Gang naar lift maaiveld (zuidzijde)</t>
  </si>
  <si>
    <t>S.O.Z-00-03</t>
  </si>
  <si>
    <t>Roltrap maaiveld &gt; verdeelhal 3x (noordzijde)</t>
  </si>
  <si>
    <t>SP-21</t>
  </si>
  <si>
    <t>Entree / Gang naar lift maaiveld (noordzijde)</t>
  </si>
  <si>
    <t>S.P.N-00-07</t>
  </si>
  <si>
    <t>S.P.-K1-15</t>
  </si>
  <si>
    <t>Toiletruimte (zuidzijde)</t>
  </si>
  <si>
    <t>S.E.Z-K1-03</t>
  </si>
  <si>
    <t>S.E.Z.-K1-08</t>
  </si>
  <si>
    <t>Personeelsruimten (zuidzijde)</t>
  </si>
  <si>
    <t>S.E.Z.-K1-090</t>
  </si>
  <si>
    <t>Roltrap naar perrons 10x</t>
  </si>
  <si>
    <t>SP-11 t/m 20</t>
  </si>
  <si>
    <t>Personeelsruimten (noordzijde)</t>
  </si>
  <si>
    <t>S.E.N.-K1-22</t>
  </si>
  <si>
    <t>Toiletruimte (noordzijde)</t>
  </si>
  <si>
    <t>S.N.-K1-23</t>
  </si>
  <si>
    <t>-3</t>
  </si>
  <si>
    <t>S.P.-K3-06</t>
  </si>
  <si>
    <t>-5</t>
  </si>
  <si>
    <t>S.Z.-K5-04</t>
  </si>
  <si>
    <t>-6</t>
  </si>
  <si>
    <t>S.P.k6-10</t>
  </si>
  <si>
    <t>Roltrappen maaiveld &gt;&gt; Verdeelhal 3x (Zuidzijde)</t>
  </si>
  <si>
    <t>SP-12 (1,2,3)</t>
  </si>
  <si>
    <t>Roltrappen maaiveld &gt;&gt; Verdeelhal 3x (Noordzijde)</t>
  </si>
  <si>
    <t>SP-10 (1,2,3)</t>
  </si>
  <si>
    <t>Roltrappen maaiveld &gt;&gt; Verdeelhal 3x (Zuidwestzijde)</t>
  </si>
  <si>
    <t>SP-11 (1,2,3)</t>
  </si>
  <si>
    <t>Lift (Zuidwestzijde)</t>
  </si>
  <si>
    <t>Verdeelhal (Noordzijde)</t>
  </si>
  <si>
    <t>S.T.N-K1-02</t>
  </si>
  <si>
    <t>Roltrappen verdeelhal &gt;&gt; Perron 3x (noordzijde)</t>
  </si>
  <si>
    <t>S.P.N.-K1-23</t>
  </si>
  <si>
    <t>Toiletten (Noordzijde)</t>
  </si>
  <si>
    <t>S.T.N-K1-06</t>
  </si>
  <si>
    <t>Verdeelhal (Zuidzijde)</t>
  </si>
  <si>
    <t>S.P.Z-K1-12/28</t>
  </si>
  <si>
    <t>Roltrappen verdeelhal &gt;&gt; Perron 3x (zuidzijde)</t>
  </si>
  <si>
    <t>S.P.Z-K6-01/07</t>
  </si>
  <si>
    <t>ZK6-20</t>
  </si>
  <si>
    <t>Roltrap maaiveld --&gt;&gt; verdeelhal 3x (Zuidzijde)</t>
  </si>
  <si>
    <t>Roltrap maaiveld --&gt;&gt; verdeelhal 3x (Noordzijde)</t>
  </si>
  <si>
    <t>Trap maaiveld --&gt;&gt; verdeelhal (Zuidzijde)</t>
  </si>
  <si>
    <t>SP-39</t>
  </si>
  <si>
    <t>Lift naar verdeelhal (Zuidzijde)</t>
  </si>
  <si>
    <t>Lift naar verdeelhal(Noordzijde)</t>
  </si>
  <si>
    <t>S.P.N-K1-38</t>
  </si>
  <si>
    <t>Roltrap verdeelhal --&gt;&gt; perron 4x (Noordzijde)</t>
  </si>
  <si>
    <t>SP 14 (1,2)+  SP 16 (1,2)</t>
  </si>
  <si>
    <t>Lift naar perron (Noordzijde)</t>
  </si>
  <si>
    <t>S.E.N-K1-18/36</t>
  </si>
  <si>
    <t>Gang achter toiletten (Noordzijde)</t>
  </si>
  <si>
    <t>S__N-K1-34</t>
  </si>
  <si>
    <t>S.P.Z-K1-40</t>
  </si>
  <si>
    <t>Toiletten (Zuidzijde)</t>
  </si>
  <si>
    <t>S.E.Z-K1-11</t>
  </si>
  <si>
    <t>Gang bij toiletten</t>
  </si>
  <si>
    <t>S__Z-K1-23</t>
  </si>
  <si>
    <t>Lift naar perron (Zuidzijde)</t>
  </si>
  <si>
    <t>Roltrap verdeelhal --&gt;&gt; perron 4x (Zuidzijde)</t>
  </si>
  <si>
    <t>SP-12 (1,2) + SP-13 (1,2)</t>
  </si>
  <si>
    <t>S.P.Z-K6-32/33/28</t>
  </si>
  <si>
    <t>S.E.N-K6-21</t>
  </si>
  <si>
    <t>Maaiveld (Noord)</t>
  </si>
  <si>
    <t>Roltrap naar bordes (2x)</t>
  </si>
  <si>
    <t>SP-11 (3,4)</t>
  </si>
  <si>
    <t>Roltrap naar verdeelhal (4x)</t>
  </si>
  <si>
    <t>SP-10 (1,2,3,4)</t>
  </si>
  <si>
    <t>Bordes</t>
  </si>
  <si>
    <t>P-NK1-01</t>
  </si>
  <si>
    <t>Maaiveld (Zuid)</t>
  </si>
  <si>
    <t>Roltrap maaiveld &gt; verdeelhal (2x)</t>
  </si>
  <si>
    <t>SP-13 (1,2)</t>
  </si>
  <si>
    <t>Trap maaiveld &gt; verdeelhal</t>
  </si>
  <si>
    <t>Roltrap maaiveld &gt; verdeelhal (3x)</t>
  </si>
  <si>
    <t>Lift (2x)</t>
  </si>
  <si>
    <t>SP-14 (1,2)</t>
  </si>
  <si>
    <t>-1 (Noord)</t>
  </si>
  <si>
    <t>Roltrap bordes naar verdeelhal (2x)</t>
  </si>
  <si>
    <t>SP-11 (1,2)</t>
  </si>
  <si>
    <t>Lift naar verdeelhal</t>
  </si>
  <si>
    <t>-1 (Zuid)</t>
  </si>
  <si>
    <t>Lift naar -2 en -3</t>
  </si>
  <si>
    <t>Verdeelhal -1</t>
  </si>
  <si>
    <t>E0ZK1-03</t>
  </si>
  <si>
    <t>Pantry/hal</t>
  </si>
  <si>
    <t>E0ZK1-04</t>
  </si>
  <si>
    <t>E-ZK1-12</t>
  </si>
  <si>
    <t>E-ZK1-09</t>
  </si>
  <si>
    <t>V-ZK1-17</t>
  </si>
  <si>
    <t>Roltrap verdeelhal -1 &gt; bordes  (3x)</t>
  </si>
  <si>
    <t>SP-15 (1,2,3)</t>
  </si>
  <si>
    <t>Roltrap bordes &gt; verdeelhal -2 (3x)</t>
  </si>
  <si>
    <t>SP-19 (1,2,3)</t>
  </si>
  <si>
    <t>P-ZK2-09</t>
  </si>
  <si>
    <t>SP-16 (1,2,3)</t>
  </si>
  <si>
    <t>SP-20 (1,2,3)</t>
  </si>
  <si>
    <t>P-ZK2-10</t>
  </si>
  <si>
    <t>-2 (Noord)</t>
  </si>
  <si>
    <t>E-NK2-01</t>
  </si>
  <si>
    <t>E-NK2-02</t>
  </si>
  <si>
    <t>NK2-03</t>
  </si>
  <si>
    <t>NK2-04</t>
  </si>
  <si>
    <t>Liftmach. IJSEI</t>
  </si>
  <si>
    <t>T-NK2-11</t>
  </si>
  <si>
    <t>P-NK2-14</t>
  </si>
  <si>
    <t>Roltrap naar perron (3x)</t>
  </si>
  <si>
    <t>SP-17 (1,2,3)</t>
  </si>
  <si>
    <t>SP-18 (1,2,3)</t>
  </si>
  <si>
    <t>-2 (Zuid)</t>
  </si>
  <si>
    <t>Verdeelhal -2</t>
  </si>
  <si>
    <t>Roltrap verdeelhal -2 &gt; perron (3x)</t>
  </si>
  <si>
    <t>SP-21 (1,2,3)</t>
  </si>
  <si>
    <t>SP-22 (1,2,3)</t>
  </si>
  <si>
    <t>Verdeelhal vanaf Oostlijn</t>
  </si>
  <si>
    <t>P-ZK2-01</t>
  </si>
  <si>
    <t>-3 (Zuid)</t>
  </si>
  <si>
    <t>Verdeelniveau (west)</t>
  </si>
  <si>
    <t>P-ZK3-01</t>
  </si>
  <si>
    <t>Verdeelniveau (oost)</t>
  </si>
  <si>
    <t>P-ZK3-21</t>
  </si>
  <si>
    <t>Handshake</t>
  </si>
  <si>
    <t>ZK2-04</t>
  </si>
  <si>
    <t>lino</t>
  </si>
  <si>
    <t>ZK2-04b</t>
  </si>
  <si>
    <t>ZK2-04f</t>
  </si>
  <si>
    <t>Kleedruimte dames</t>
  </si>
  <si>
    <t>ZK2-04h</t>
  </si>
  <si>
    <t>Kleedruimte heren</t>
  </si>
  <si>
    <t>ZK2-04g</t>
  </si>
  <si>
    <t>Kantoor</t>
  </si>
  <si>
    <t>ZK2-04c</t>
  </si>
  <si>
    <t>Cuypershal</t>
  </si>
  <si>
    <t>S.T.N-00-15</t>
  </si>
  <si>
    <t>S.T.N-00-16</t>
  </si>
  <si>
    <t>1</t>
  </si>
  <si>
    <t>Trap naar perron</t>
  </si>
  <si>
    <t>SP-30</t>
  </si>
  <si>
    <t>Roltrap naar perron</t>
  </si>
  <si>
    <t>Reizigersgebied / Verdeelhal</t>
  </si>
  <si>
    <t>0 (Noord)</t>
  </si>
  <si>
    <t>V-05/06/10 Verdeelhal</t>
  </si>
  <si>
    <t>V-05/06/10</t>
  </si>
  <si>
    <t>Lift verdeelhal naar 1e etage</t>
  </si>
  <si>
    <t>Reservering voor trap</t>
  </si>
  <si>
    <t>V-08</t>
  </si>
  <si>
    <t>Kleedkamer heren</t>
  </si>
  <si>
    <t>K-01e</t>
  </si>
  <si>
    <t>Toiletten</t>
  </si>
  <si>
    <t>P-01d</t>
  </si>
  <si>
    <t>Kleedkamer dames</t>
  </si>
  <si>
    <t>P-01f</t>
  </si>
  <si>
    <t>Kantoor RIB</t>
  </si>
  <si>
    <t>P-01c</t>
  </si>
  <si>
    <t>P-01a</t>
  </si>
  <si>
    <t>P-02f</t>
  </si>
  <si>
    <t>P-02d</t>
  </si>
  <si>
    <t>P-02e</t>
  </si>
  <si>
    <t>Kantine/kantoor</t>
  </si>
  <si>
    <t>P-02a/b/c</t>
  </si>
  <si>
    <t>Lift bij T-04</t>
  </si>
  <si>
    <t>Roltrap naar verdeelhal verdieping 1</t>
  </si>
  <si>
    <t>Trap naar verdeelhal verdieping 1 (2x)</t>
  </si>
  <si>
    <t>0 (Zuid)</t>
  </si>
  <si>
    <t>Trap maaiveld &gt; perron</t>
  </si>
  <si>
    <t>Roltrap maaiveld &gt; perron</t>
  </si>
  <si>
    <t xml:space="preserve">V18 </t>
  </si>
  <si>
    <t>Roltrap verdeelhal &gt;&gt; Perron (2x)</t>
  </si>
  <si>
    <t>SP-11/12</t>
  </si>
  <si>
    <t>Trap verdeelhal &gt;&gt; Perron (2x)</t>
  </si>
  <si>
    <t>SP-31-/32</t>
  </si>
  <si>
    <t>R-03 en P-03a</t>
  </si>
  <si>
    <t>Vergaderruimte 2x</t>
  </si>
  <si>
    <t>Opkomstruimte</t>
  </si>
  <si>
    <t>R-02b</t>
  </si>
  <si>
    <t>R02-e</t>
  </si>
  <si>
    <t>R-01</t>
  </si>
  <si>
    <t>T-16</t>
  </si>
  <si>
    <t>2</t>
  </si>
  <si>
    <t>Perron A</t>
  </si>
  <si>
    <t>metaal</t>
  </si>
  <si>
    <t>nb</t>
  </si>
  <si>
    <t>Perron B</t>
  </si>
  <si>
    <t xml:space="preserve">trap </t>
  </si>
  <si>
    <t>rooster</t>
  </si>
  <si>
    <t>Uurtarieven</t>
  </si>
  <si>
    <t>Tijdstip</t>
  </si>
  <si>
    <t>Prijs per uur</t>
  </si>
  <si>
    <t>Medewerker uitvoering</t>
  </si>
  <si>
    <t>Dag, ma-vr</t>
  </si>
  <si>
    <t>Dag, weekend,feest</t>
  </si>
  <si>
    <t>Stationnummer</t>
  </si>
  <si>
    <t>Activiteit</t>
  </si>
  <si>
    <t>Aantal stuks / stations</t>
  </si>
  <si>
    <t>Frequentie
omschrijving
ma-vr</t>
  </si>
  <si>
    <t>Frequentie
omschrijving
za zo fe</t>
  </si>
  <si>
    <t>Uren per beurt</t>
  </si>
  <si>
    <t>Reistijd 
per beurt 
ma-vr 
in uren</t>
  </si>
  <si>
    <t>Reistijd
per beurt
za zo fe
in uren</t>
  </si>
  <si>
    <t>Uurtarief
ma-vr</t>
  </si>
  <si>
    <t>Uurtarief
za zo fe</t>
  </si>
  <si>
    <t>Kosten totaal</t>
  </si>
  <si>
    <t>reinigen cico</t>
  </si>
  <si>
    <t xml:space="preserve">reinigen gates </t>
  </si>
  <si>
    <t>ledigen afvalbakken en verwijderen losse vervuiling*</t>
  </si>
  <si>
    <t>n.v.t.</t>
  </si>
  <si>
    <t>ledigen afvalbakken extra beurt</t>
  </si>
  <si>
    <t xml:space="preserve">Grof vuil rondom ingangen; 1x per 2 weken 1 uur (na sluiting poort) </t>
  </si>
  <si>
    <t>Onderhoud toilet technische ruimten</t>
  </si>
  <si>
    <t xml:space="preserve">* Deze werkzaamheden worden op werkdagen (maandag t/m vrijdag) door de SROI organisatie uitgevoerd. In het weekend en op feestdagen vallen deze werkzaamheden onder de verantwoordelijkheid van de dienstverlener. </t>
  </si>
  <si>
    <t>Inschrijver is vrij een alternatief aan te bieden mist deze vergelijkbaar is en voldoet aan de specificaties.</t>
  </si>
  <si>
    <t>Oostlijn, Ringlijn en Amstellijn</t>
  </si>
  <si>
    <t>Levering verbruiksartikelen</t>
  </si>
  <si>
    <t>Merk en productlijn</t>
  </si>
  <si>
    <t>Specificatie</t>
  </si>
  <si>
    <t>Verpakkings eenheid</t>
  </si>
  <si>
    <t>Aantal verpakkings eenheden per jaar</t>
  </si>
  <si>
    <t>Kosten per verpakkings eenheid</t>
  </si>
  <si>
    <t>Kosten per jaar</t>
  </si>
  <si>
    <t>Papieren handdoekjes</t>
  </si>
  <si>
    <t>2-laags, flushable Z vouw</t>
  </si>
  <si>
    <t>doos 15 pakken (100 stuks)</t>
  </si>
  <si>
    <t>Toiletrollen</t>
  </si>
  <si>
    <t>2-laags, flushable</t>
  </si>
  <si>
    <t>250 vel 8x8 rol</t>
  </si>
  <si>
    <t>Handzeep</t>
  </si>
  <si>
    <t>vloeibaar, Huidvriendelijk en PH neutraal</t>
  </si>
  <si>
    <t>5 liter</t>
  </si>
  <si>
    <t>Toiletverfrisser</t>
  </si>
  <si>
    <t xml:space="preserve">luchtverfrisser navulling pearl white 3000 sprays </t>
  </si>
  <si>
    <t>doos 12 x 100 ml</t>
  </si>
  <si>
    <t>Noord-Zuidlijn</t>
  </si>
  <si>
    <t>doos 12 rollen</t>
  </si>
  <si>
    <t>huidvriendelijk en PH neutraal</t>
  </si>
  <si>
    <t>doos 6 x 1 liter</t>
  </si>
  <si>
    <t>luchtverfrisser navulling</t>
  </si>
  <si>
    <t>doos 6 stuks</t>
  </si>
  <si>
    <t>Aan de opgegeven indicatie eenheden kunnen geen rechten worden ontleent.</t>
  </si>
  <si>
    <t xml:space="preserve">Alle prijzen zijn all-in, inclusief loonkosten, materiaal, reis- en verblijfskosten, sociale lasten, voorrijkosten, parkeerkosten, reserveringskosten, transportkosten, aflever- en (de)montagekosten, verpakkingen, milieubelastingen, administratie, andere belastingen dan btw, verzekeringpremies e.d. </t>
  </si>
  <si>
    <t>BEURT</t>
  </si>
  <si>
    <t>Aantal m2</t>
  </si>
  <si>
    <t>AANTAL BEURTEN PER JAAR*</t>
  </si>
  <si>
    <t>UREN OPSTART PER BEURT VOOR DE GEHELE LIJN</t>
  </si>
  <si>
    <t>UREN STROOIMIDD. VERDELEN PER BEURT VOOR DE GEHELE LIJN</t>
  </si>
  <si>
    <t>AANTAL ZAKKEN ZOUT VOOR DE GEHELE LIJN</t>
  </si>
  <si>
    <t>TOTALE KOSTEN VOOR DE GEHELE LIJN</t>
  </si>
  <si>
    <t>A-beurt ma-vr</t>
  </si>
  <si>
    <t>A-beurt nacht ma-vr</t>
  </si>
  <si>
    <t>A-beurt za-zo</t>
  </si>
  <si>
    <t>A-beurt feestdagen</t>
  </si>
  <si>
    <t>B-beurt ma-vr</t>
  </si>
  <si>
    <t>6</t>
  </si>
  <si>
    <t>B-beurt nacht ma-vr</t>
  </si>
  <si>
    <t>B-beurt za-zo</t>
  </si>
  <si>
    <t>B-beurt feestdagen</t>
  </si>
  <si>
    <t>*het opgegeven aantal beurten is indicatief. Hier kunnen geen rechten aan worden ontleent.</t>
  </si>
  <si>
    <t>VASTE KOSTEN PER JAAR</t>
  </si>
  <si>
    <t>Afschrijving karretjes (over 3 jaar)</t>
  </si>
  <si>
    <t>Consignatietoeslag</t>
  </si>
  <si>
    <t>Totale kosten gladheidsbestrijding per jaar op basis van opgegeven aantal beurten.</t>
  </si>
  <si>
    <t>Tarief (Incl. toezicht)</t>
  </si>
  <si>
    <r>
      <t xml:space="preserve">tarief ma-vr </t>
    </r>
    <r>
      <rPr>
        <sz val="8"/>
        <rFont val="Georgia"/>
        <family val="1"/>
      </rPr>
      <t>(06.00-21.30 uur)</t>
    </r>
  </si>
  <si>
    <t>per uur</t>
  </si>
  <si>
    <r>
      <t>tarief ma-vr nacht</t>
    </r>
    <r>
      <rPr>
        <sz val="8"/>
        <rFont val="Georgia"/>
        <family val="1"/>
      </rPr>
      <t xml:space="preserve"> (21.30-06.00 uur)</t>
    </r>
  </si>
  <si>
    <t>tarief za-zo</t>
  </si>
  <si>
    <t>tarief feestdagen</t>
  </si>
  <si>
    <t>Verpakkingseenheid in kg.</t>
  </si>
  <si>
    <t>Zout</t>
  </si>
  <si>
    <t>prijs per verpakking</t>
  </si>
  <si>
    <t>M2 PERRON EN TRAPPEN</t>
  </si>
  <si>
    <t>Stationsnummer</t>
  </si>
  <si>
    <t>A-Beurt</t>
  </si>
  <si>
    <t>B-Beurt</t>
  </si>
  <si>
    <t>Bestrijdingsmiddel</t>
  </si>
  <si>
    <t>Aanvullende informatie</t>
  </si>
  <si>
    <t>Inclusief trottoir voor roltrappen</t>
  </si>
  <si>
    <t>Trottoir voor roltrappen</t>
  </si>
  <si>
    <t>Trottoir en entree voor roltrappen</t>
  </si>
  <si>
    <t>Totale m² per beurt</t>
  </si>
  <si>
    <t>Diverse</t>
  </si>
  <si>
    <t>Prijsvorming Regie werkzaamheden  ( Vloeronderhoud is inclusief uit-/inruimen van het meubilair)</t>
  </si>
  <si>
    <t>Prijs p/m2  excl. btw</t>
  </si>
  <si>
    <t>Toelichting</t>
  </si>
  <si>
    <t>0-100m2</t>
  </si>
  <si>
    <t>101-500m2</t>
  </si>
  <si>
    <t>Lino-/marmoleum conserveren</t>
  </si>
  <si>
    <t>2 lagen</t>
  </si>
  <si>
    <t>Lino-/marmoleum sprayen</t>
  </si>
  <si>
    <t>geheel</t>
  </si>
  <si>
    <t>Steen/PVC schrobben</t>
  </si>
  <si>
    <t>Tapijt sproeiextraheren</t>
  </si>
  <si>
    <t>Lijnen</t>
  </si>
  <si>
    <t>Dag van de week</t>
  </si>
  <si>
    <t>Prijs per beurt</t>
  </si>
  <si>
    <t>Ledigen afvalbakken en verwijderen losse vervuiling t.v.v. medewerkers SROI organisatie</t>
  </si>
  <si>
    <t>Medewerker</t>
  </si>
  <si>
    <t>Tijdstip tussen</t>
  </si>
  <si>
    <t>Prijs p/uur  excl. btw</t>
  </si>
  <si>
    <t>Medewerker regulier onderhoud</t>
  </si>
  <si>
    <t>Maandag</t>
  </si>
  <si>
    <t>00:00 - 06:00 uur</t>
  </si>
  <si>
    <t>dinsdag t/m vrijdag</t>
  </si>
  <si>
    <t>00:06 - 21:30 uur</t>
  </si>
  <si>
    <t>maandag t/m donderdag</t>
  </si>
  <si>
    <t>21:30 - 24:00 uur</t>
  </si>
  <si>
    <t>Vrijdag</t>
  </si>
  <si>
    <t>Zaterdag</t>
  </si>
  <si>
    <t>00:00 - 24:00 uur</t>
  </si>
  <si>
    <t>Zondag</t>
  </si>
  <si>
    <t>Feestdag</t>
  </si>
  <si>
    <t>Medewerker specialistisch onderhoud</t>
  </si>
  <si>
    <t>Veiligheidspersoon / leider lokale veiligheid</t>
  </si>
  <si>
    <t>Afroepprijzen graffitiverwijderen buiten PVR uitvoering tussen 06.00 uur en 21.30 uur</t>
  </si>
  <si>
    <t>Indicatief aantal *</t>
  </si>
  <si>
    <t>Ondergrond</t>
  </si>
  <si>
    <t>0-0,3 m2</t>
  </si>
  <si>
    <t>0,3-1 m2</t>
  </si>
  <si>
    <t>1-3 m2</t>
  </si>
  <si>
    <t>&gt; 3m2</t>
  </si>
  <si>
    <t>Beton &amp; steen glad</t>
  </si>
  <si>
    <t>Beton &amp; Steen ruw gecoat</t>
  </si>
  <si>
    <t>Beton &amp; Steen ruw ongecoat</t>
  </si>
  <si>
    <t>Geschilderde oppervlakken</t>
  </si>
  <si>
    <t>Glas oppervlakken</t>
  </si>
  <si>
    <t>Houten oppervlakken</t>
  </si>
  <si>
    <t>Kunststof oppervlakken</t>
  </si>
  <si>
    <t>Metalen oppervlakken</t>
  </si>
  <si>
    <t>* Indien er meerdere kleine graffitis binnen 1 m2 zijn aangebracht, wordt dit bij elkaar opgeteld om de omvang vast te stellen en gezien als één graffiti.</t>
  </si>
  <si>
    <t>Opmerking:</t>
  </si>
  <si>
    <t>Alle prijzen inclusief materialen en middelen, voorrijkosten en overige bijkomende kosten.</t>
  </si>
  <si>
    <t>Alle prijzen exclusief btw</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</si>
  <si>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</si>
  <si>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</si>
  <si>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</si>
  <si>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</si>
  <si>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</si>
  <si>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</si>
  <si>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</si>
  <si>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</si>
  <si>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</si>
  <si>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</si>
  <si>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</si>
  <si>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</si>
  <si>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</si>
  <si>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</si>
  <si>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</si>
  <si>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</si>
  <si>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</si>
  <si>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</si>
  <si>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</si>
  <si>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</si>
  <si>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</si>
  <si>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</si>
  <si>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</si>
  <si>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</si>
  <si>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</si>
  <si>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</si>
  <si>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</si>
  <si>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</si>
  <si>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</si>
  <si>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</si>
  <si>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</si>
  <si>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</si>
  <si>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</si>
  <si>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</si>
  <si>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Tarief medewerker uitvoering 06.00 uur - 21.30 uur</t>
  </si>
  <si>
    <t>Tarief medewerker toezicht 06.00 uur - 21.30 uur</t>
  </si>
  <si>
    <t>Basisuurloon</t>
  </si>
  <si>
    <t>CAO gebonden kosten</t>
  </si>
  <si>
    <t>Specialistentoeslag</t>
  </si>
  <si>
    <t>Bruto uurloon</t>
  </si>
  <si>
    <t xml:space="preserve">Vakantietoeslag </t>
  </si>
  <si>
    <t xml:space="preserve">Structurele eindejaarsuitkering </t>
  </si>
  <si>
    <t>Bruto uurloon inclusief toeslagen</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</si>
  <si>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</si>
  <si>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</si>
  <si>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</si>
  <si>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</si>
  <si>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</si>
  <si>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</si>
  <si>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</si>
  <si>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</si>
  <si>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</si>
  <si>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directe kosten</t>
  </si>
  <si>
    <t>Indirect toezicht</t>
  </si>
  <si>
    <t>Managementkosten</t>
  </si>
  <si>
    <t>P.Z. kosten</t>
  </si>
  <si>
    <t>Opleiding</t>
  </si>
  <si>
    <t>Administratiekosten</t>
  </si>
  <si>
    <t>Huisvestingskosten</t>
  </si>
  <si>
    <t>Reiskosten/autokosten</t>
  </si>
  <si>
    <t>Kosten verzuimbegeleiding</t>
  </si>
  <si>
    <t>Totaal indirecte kosten</t>
  </si>
  <si>
    <t>Risico en winst</t>
  </si>
  <si>
    <t xml:space="preserve">Totaal eindtarief </t>
  </si>
  <si>
    <t>Totaal eindtarief  [incl. 30% toeslag]</t>
  </si>
  <si>
    <t>Totaal eindtarief weekenden [incl. 50% toeslag]</t>
  </si>
  <si>
    <t>Totaal eindtarief feestdagen [incl. 150% toeslag]</t>
  </si>
  <si>
    <t>Uurlonen 1 juli 2025</t>
  </si>
  <si>
    <t>17 jaar en jonger</t>
  </si>
  <si>
    <t>18 jaar</t>
  </si>
  <si>
    <t>19 jaar</t>
  </si>
  <si>
    <t>Vakvolwassen 1 dienstjaar</t>
  </si>
  <si>
    <t>Vakvolwassen 2 dienstjaren</t>
  </si>
  <si>
    <t>Vakvolwassen 3 dienstjaren</t>
  </si>
  <si>
    <t>Vakvolwassen 4 dienstjaren</t>
  </si>
  <si>
    <t>Percentage per loongroep voor gemiddeld tarief</t>
  </si>
  <si>
    <t>Totaal per loongroepen</t>
  </si>
  <si>
    <t>Opbouw gemiddeld tarief</t>
  </si>
  <si>
    <t>Gemiddeld uurtarief</t>
  </si>
  <si>
    <t>NVI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</si>
</sst>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 &quot;€&quot;\ * #,##0.00_ ;_ &quot;€&quot;\ * \-#,##0.00_ ;_ &quot;€&quot;\ * &quot;-&quot;??_ ;_ @_ "/>
    <numFmt numFmtId="43" formatCode="_ * #,##0.00_ ;_ * \-#,##0.00_ ;_ * &quot;-&quot;??_ ;_ @_ "/>
    <numFmt numFmtId="164" formatCode="_-* #,##0.00_-;\-* #,##0.00_-;_-* &quot;-&quot;??_-;_-@_-"/>
    <numFmt numFmtId="165" formatCode="_-* #,##0_-;_-* #,##0\-;_-* &quot;-&quot;_-;_-@_-"/>
    <numFmt numFmtId="166" formatCode="_-&quot;€&quot;\ * #,##0.00_-;_-&quot;€&quot;\ * #,##0.00\-;_-&quot;€&quot;\ * &quot;-&quot;??_-;_-@_-"/>
    <numFmt numFmtId="167" formatCode="_-* #,##0.00_-;_-* #,##0.00\-;_-* &quot;-&quot;??_-;_-@_-"/>
    <numFmt numFmtId="168" formatCode="_(* #,##0.00_);_(* \(#,##0.00\);_(* &quot;-&quot;??_);_(@_)"/>
    <numFmt numFmtId="169" formatCode="_-* #,##0_-;_-* #,##0\-;_-* &quot;-&quot;??_-;_-@_-"/>
    <numFmt numFmtId="170" formatCode="000"/>
    <numFmt numFmtId="171" formatCode="_-&quot;ƒ&quot;\ * #,##0.00_-;_-&quot;ƒ&quot;\ * #,##0.00\-;_-&quot;ƒ&quot;\ * &quot;-&quot;??_-;_-@_-"/>
    <numFmt numFmtId="172" formatCode="_-&quot;€&quot;* #,##0.00_-;\-&quot;€&quot;* #,##0.00_-;_-&quot;€&quot;* &quot;-&quot;??_-;_-@_-"/>
    <numFmt numFmtId="173" formatCode="_-* #,##0.0_-;_-* #,##0.0\-;_-* &quot;-&quot;??_-;_-@_-"/>
    <numFmt numFmtId="174" formatCode="_-[$€-2]\ * #,##0.00_ ;_-[$€-2]\ * \-#,##0.00\ ;_-[$€-2]\ * &quot;-&quot;??_ ;_-@_ "/>
    <numFmt numFmtId="175" formatCode="_(&quot;ƒ&quot;* #,##0.00_);_(&quot;ƒ&quot;* \(#,##0.00\);_(&quot;ƒ&quot;* &quot;-&quot;??_);_(@_)"/>
    <numFmt numFmtId="176" formatCode="0.0%"/>
    <numFmt numFmtId="177" formatCode="_([$€-2]\ * #,##0.00_);_([$€-2]\ * \(#,##0.00\);_([$€-2]\ * &quot;-&quot;??_);_(@_)"/>
    <numFmt numFmtId="178" formatCode="0.000"/>
    <numFmt numFmtId="179" formatCode="_ [$€-413]\ * #,##0.00_ ;_ [$€-413]\ * \-#,##0.00_ ;_ [$€-413]\ * &quot;-&quot;??_ ;_ @_ "/>
    <numFmt numFmtId="180" formatCode="#,##0_ ;\-#,##0\ "/>
    <numFmt numFmtId="181" formatCode="_-[$€]\ * #,##0.00_-;_-[$€]\ * #,##0.00\-;_-[$€]\ * &quot;-&quot;??_-;_-@_-"/>
    <numFmt numFmtId="182" formatCode="_-[$€-2]\ * #,##0.00_-;_-[$€-2]\ * #,##0.00\-;_-[$€-2]\ * &quot;-&quot;??_-;_-@_-"/>
    <numFmt numFmtId="183" formatCode="_-* #,##0.0000_-;_-* #,##0.0000\-;_-* &quot;-&quot;??_-;_-@_-"/>
    <numFmt numFmtId="184" formatCode="&quot;fl&quot;\ #,##0_-;[Red]&quot;fl&quot;\ #,##0\-"/>
    <numFmt numFmtId="185" formatCode="0\ &quot;m2&quot;"/>
    <numFmt numFmtId="186" formatCode="[$-409]d/mmm/yy;@"/>
    <numFmt numFmtId="187" formatCode="_ [$€-2]\ * #,##0.00_ ;_ [$€-2]\ * \-#,##0.00_ ;_ [$€-2]\ * &quot;-&quot;??_ ;_ @_ "/>
    <numFmt numFmtId="188" formatCode="0.000%"/>
    <numFmt numFmtId="189" formatCode="0.0000000"/>
    <numFmt numFmtId="190" formatCode="_ * #,##0.0000000_ ;_ * \-#,##0.0000000_ ;_ * &quot;-&quot;??_ ;_ @_ "/>
  </numFmts>
  <fonts count="116">
    <font>
      <sz val="10"/>
      <name val="MS Sans Serif"/>
    </font>
    <font>
      <sz val="10"/>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1"/>
      <color indexed="8"/>
      <name val="Calibri"/>
      <family val="2"/>
    </font>
    <font>
      <sz val="11"/>
      <color indexed="8"/>
      <name val="Calibri"/>
      <family val="2"/>
    </font>
    <font>
      <sz val="10"/>
      <name val="MS Sans Serif"/>
      <family val="2"/>
    </font>
    <font>
      <sz val="10"/>
      <name val="Helvetica"/>
    </font>
    <font>
      <sz val="10"/>
      <name val="Geneva"/>
    </font>
    <font>
      <sz val="10"/>
      <name val="Arial"/>
      <family val="2"/>
    </font>
    <font>
      <sz val="10"/>
      <name val="Courier"/>
      <family val="3"/>
    </font>
    <font>
      <sz val="8"/>
      <name val="MS Sans Serif"/>
      <family val="2"/>
    </font>
    <font>
      <sz val="9"/>
      <name val="Geneva"/>
    </font>
    <font>
      <sz val="10"/>
      <name val="Verdana"/>
      <family val="2"/>
    </font>
    <font>
      <u/>
      <sz val="10"/>
      <color indexed="36"/>
      <name val="Arial"/>
      <family val="2"/>
      <charset val="204"/>
    </font>
    <font>
      <sz val="10"/>
      <color indexed="12"/>
      <name val="Times New Roman"/>
      <family val="1"/>
    </font>
    <font>
      <sz val="10"/>
      <name val="MS Sans Serif"/>
      <family val="2"/>
    </font>
    <font>
      <sz val="10"/>
      <color theme="1"/>
      <name val="Arial"/>
      <family val="2"/>
    </font>
    <font>
      <sz val="10"/>
      <name val="MS Sans Serif"/>
      <family val="2"/>
    </font>
    <font>
      <sz val="10"/>
      <name val="Helv"/>
    </font>
    <font>
      <sz val="12"/>
      <name val="Arial Narrow"/>
      <family val="2"/>
    </font>
    <font>
      <b/>
      <sz val="8"/>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0"/>
      <name val="Arial"/>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Times New Roman"/>
      <family val="1"/>
    </font>
    <font>
      <sz val="10"/>
      <color indexed="10"/>
      <name val="Century Gothic"/>
      <family val="2"/>
    </font>
    <font>
      <sz val="10"/>
      <name val="Century Gothic"/>
      <family val="2"/>
    </font>
    <font>
      <b/>
      <sz val="10"/>
      <color indexed="18"/>
      <name val="Century Gothic"/>
      <family val="2"/>
    </font>
    <font>
      <sz val="10"/>
      <color indexed="8"/>
      <name val="Century Gothic"/>
      <family val="2"/>
    </font>
    <font>
      <b/>
      <sz val="10"/>
      <color rgb="FFFF0000"/>
      <name val="Century Gothic"/>
      <family val="2"/>
    </font>
    <font>
      <b/>
      <sz val="12"/>
      <color rgb="FFFF0000"/>
      <name val="Century Gothic"/>
      <family val="2"/>
    </font>
    <font>
      <sz val="10"/>
      <name val="Arial Black"/>
      <family val="2"/>
    </font>
    <font>
      <sz val="10"/>
      <color indexed="10"/>
      <name val="Georgia"/>
      <family val="1"/>
    </font>
    <font>
      <sz val="10"/>
      <name val="Georgia"/>
      <family val="1"/>
    </font>
    <font>
      <b/>
      <sz val="12"/>
      <name val="Arial Black"/>
      <family val="2"/>
    </font>
    <font>
      <sz val="12"/>
      <name val="Georgia"/>
      <family val="1"/>
    </font>
    <font>
      <b/>
      <sz val="10"/>
      <name val="Georgia"/>
      <family val="1"/>
    </font>
    <font>
      <b/>
      <sz val="12"/>
      <name val="Georgia"/>
      <family val="1"/>
    </font>
    <font>
      <b/>
      <sz val="12"/>
      <color indexed="18"/>
      <name val="Arial Black"/>
      <family val="2"/>
    </font>
    <font>
      <b/>
      <sz val="14"/>
      <color theme="0"/>
      <name val="Arial Black"/>
      <family val="2"/>
    </font>
    <font>
      <sz val="10"/>
      <name val="Times"/>
    </font>
    <font>
      <sz val="10"/>
      <color theme="0"/>
      <name val="Georgia"/>
      <family val="1"/>
    </font>
    <font>
      <b/>
      <sz val="10"/>
      <name val="Times New Roman"/>
      <family val="1"/>
    </font>
    <font>
      <b/>
      <sz val="10"/>
      <color indexed="18"/>
      <name val="Georgia"/>
      <family val="1"/>
    </font>
    <font>
      <sz val="10"/>
      <color indexed="8"/>
      <name val="Times New Roman"/>
      <family val="1"/>
    </font>
    <font>
      <sz val="10"/>
      <color rgb="FFFF0000"/>
      <name val="Georgia"/>
      <family val="1"/>
    </font>
    <font>
      <b/>
      <sz val="12"/>
      <color theme="0"/>
      <name val="Arial Black"/>
      <family val="2"/>
    </font>
    <font>
      <sz val="10"/>
      <color theme="0"/>
      <name val="Arial Black"/>
      <family val="2"/>
    </font>
    <font>
      <b/>
      <sz val="10"/>
      <color theme="0"/>
      <name val="Arial Black"/>
      <family val="2"/>
    </font>
    <font>
      <sz val="10"/>
      <color indexed="8"/>
      <name val="Georgia"/>
      <family val="1"/>
    </font>
    <font>
      <b/>
      <sz val="10"/>
      <color indexed="8"/>
      <name val="Georgia"/>
      <family val="1"/>
    </font>
    <font>
      <b/>
      <sz val="10"/>
      <color indexed="10"/>
      <name val="Georgia"/>
      <family val="1"/>
    </font>
    <font>
      <b/>
      <sz val="9"/>
      <color indexed="20"/>
      <name val="Arial Black"/>
      <family val="2"/>
    </font>
    <font>
      <b/>
      <sz val="9"/>
      <color indexed="20"/>
      <name val="Georgia"/>
      <family val="1"/>
    </font>
    <font>
      <b/>
      <sz val="9"/>
      <name val="Georgia"/>
      <family val="1"/>
    </font>
    <font>
      <sz val="14"/>
      <name val="Georgia"/>
      <family val="1"/>
    </font>
    <font>
      <b/>
      <sz val="9"/>
      <color indexed="18"/>
      <name val="Georgia"/>
      <family val="1"/>
    </font>
    <font>
      <b/>
      <sz val="12"/>
      <color indexed="18"/>
      <name val="Georgia"/>
      <family val="1"/>
    </font>
    <font>
      <sz val="12"/>
      <color indexed="18"/>
      <name val="Georgia"/>
      <family val="1"/>
    </font>
    <font>
      <sz val="10"/>
      <color indexed="18"/>
      <name val="Georgia"/>
      <family val="1"/>
    </font>
    <font>
      <b/>
      <sz val="9"/>
      <color theme="0"/>
      <name val="Arial Black"/>
      <family val="2"/>
    </font>
    <font>
      <b/>
      <sz val="9"/>
      <color indexed="18"/>
      <name val="Arial Black"/>
      <family val="2"/>
    </font>
    <font>
      <b/>
      <sz val="8"/>
      <color indexed="18"/>
      <name val="Georgia"/>
      <family val="1"/>
    </font>
    <font>
      <sz val="10"/>
      <color indexed="18"/>
      <name val="Times New Roman"/>
      <family val="1"/>
    </font>
    <font>
      <sz val="9"/>
      <color rgb="FFFF0000"/>
      <name val="Georgia"/>
      <family val="1"/>
    </font>
    <font>
      <sz val="9"/>
      <color indexed="10"/>
      <name val="Georgia"/>
      <family val="1"/>
    </font>
    <font>
      <sz val="9"/>
      <name val="Georgia"/>
      <family val="1"/>
    </font>
    <font>
      <sz val="9"/>
      <color indexed="8"/>
      <name val="Times New Roman"/>
      <family val="1"/>
    </font>
    <font>
      <sz val="9"/>
      <color indexed="8"/>
      <name val="Georgia"/>
      <family val="1"/>
    </font>
    <font>
      <sz val="9"/>
      <color indexed="23"/>
      <name val="Times New Roman"/>
      <family val="1"/>
    </font>
    <font>
      <b/>
      <sz val="9"/>
      <color indexed="10"/>
      <name val="Georgia"/>
      <family val="1"/>
    </font>
    <font>
      <i/>
      <sz val="10"/>
      <color indexed="10"/>
      <name val="Times New Roman"/>
      <family val="1"/>
    </font>
    <font>
      <sz val="10"/>
      <color indexed="10"/>
      <name val="Times New Roman"/>
      <family val="1"/>
    </font>
    <font>
      <sz val="9"/>
      <color rgb="FF0AAAFF"/>
      <name val="Georgia"/>
      <family val="1"/>
    </font>
    <font>
      <sz val="10"/>
      <color theme="0" tint="-0.499984740745262"/>
      <name val="Times New Roman"/>
      <family val="1"/>
    </font>
    <font>
      <sz val="10"/>
      <name val="MS Sans Serif"/>
    </font>
    <font>
      <b/>
      <sz val="10"/>
      <color rgb="FFFF0000"/>
      <name val="Georgia"/>
      <family val="1"/>
    </font>
    <font>
      <b/>
      <sz val="12"/>
      <color rgb="FFFF0000"/>
      <name val="Georgia"/>
      <family val="1"/>
    </font>
    <font>
      <sz val="10"/>
      <color indexed="62"/>
      <name val="Georgia"/>
      <family val="1"/>
    </font>
    <font>
      <b/>
      <sz val="12"/>
      <color indexed="10"/>
      <name val="Georgia"/>
      <family val="1"/>
    </font>
    <font>
      <b/>
      <sz val="12"/>
      <color theme="0"/>
      <name val="Georgia"/>
      <family val="1"/>
    </font>
    <font>
      <b/>
      <sz val="10"/>
      <color theme="0"/>
      <name val="Georgia"/>
      <family val="1"/>
    </font>
    <font>
      <sz val="9"/>
      <name val="Times New Roman"/>
      <family val="1"/>
    </font>
    <font>
      <sz val="10"/>
      <color rgb="FFFF0000"/>
      <name val="Times New Roman"/>
      <family val="1"/>
    </font>
    <font>
      <sz val="10"/>
      <color theme="1"/>
      <name val="Georgia"/>
      <family val="1"/>
    </font>
    <font>
      <b/>
      <sz val="10"/>
      <color indexed="8"/>
      <name val="Times New Roman"/>
      <family val="1"/>
    </font>
    <font>
      <b/>
      <sz val="9"/>
      <color rgb="FFFF0000"/>
      <name val="Georgia"/>
      <family val="1"/>
    </font>
    <font>
      <b/>
      <sz val="9"/>
      <name val="Times New Roman"/>
      <family val="1"/>
    </font>
    <font>
      <sz val="8"/>
      <name val="Georgia"/>
      <family val="1"/>
    </font>
    <font>
      <b/>
      <sz val="10"/>
      <color rgb="FFFF0000"/>
      <name val="MS Sans Serif"/>
    </font>
    <font>
      <b/>
      <sz val="10"/>
      <color rgb="FFFF0000"/>
      <name val="Arial Black"/>
      <family val="2"/>
    </font>
    <font>
      <b/>
      <sz val="10"/>
      <color theme="1"/>
      <name val="Arial Black"/>
      <family val="2"/>
    </font>
    <font>
      <sz val="12"/>
      <color theme="1"/>
      <name val="Georgia"/>
      <family val="1"/>
    </font>
    <font>
      <b/>
      <sz val="10"/>
      <color theme="1" tint="0.34998626667073579"/>
      <name val="Georgia"/>
      <family val="1"/>
    </font>
    <font>
      <b/>
      <sz val="10"/>
      <color theme="1" tint="0.34998626667073579"/>
      <name val="Times New Roman"/>
      <family val="1"/>
    </font>
    <font>
      <sz val="10"/>
      <color indexed="8"/>
      <name val="Arial Black"/>
      <family val="2"/>
    </font>
    <font>
      <b/>
      <sz val="10"/>
      <color rgb="FF0AAAFF"/>
      <name val="Times New Roman"/>
      <family val="1"/>
    </font>
    <font>
      <b/>
      <sz val="10"/>
      <color indexed="10"/>
      <name val="Times New Roman"/>
      <family val="1"/>
    </font>
    <font>
      <sz val="10"/>
      <color theme="1"/>
      <name val="Times New Roman"/>
      <family val="1"/>
    </font>
  </fonts>
  <fills count="2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7"/>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15"/>
        <bgColor indexed="64"/>
      </patternFill>
    </fill>
    <fill>
      <patternFill patternType="solid">
        <fgColor theme="0" tint="-0.249977111117893"/>
        <bgColor indexed="64"/>
      </patternFill>
    </fill>
    <fill>
      <patternFill patternType="solid">
        <fgColor rgb="FFE8E2D3"/>
        <bgColor indexed="64"/>
      </patternFill>
    </fill>
    <fill>
      <patternFill patternType="solid">
        <fgColor rgb="FF0A4983"/>
        <bgColor indexed="64"/>
      </patternFill>
    </fill>
    <fill>
      <patternFill patternType="solid">
        <fgColor theme="1" tint="0.34998626667073579"/>
        <bgColor indexed="64"/>
      </patternFill>
    </fill>
    <fill>
      <patternFill patternType="solid">
        <fgColor theme="0"/>
        <bgColor indexed="24"/>
      </patternFill>
    </fill>
    <fill>
      <patternFill patternType="solid">
        <fgColor rgb="FFE8E2D3"/>
        <bgColor indexed="24"/>
      </patternFill>
    </fill>
    <fill>
      <patternFill patternType="solid">
        <fgColor theme="2" tint="-9.9978637043366805E-2"/>
        <bgColor indexed="64"/>
      </patternFill>
    </fill>
    <fill>
      <patternFill patternType="solid">
        <fgColor theme="1"/>
        <bgColor indexed="24"/>
      </patternFill>
    </fill>
    <fill>
      <patternFill patternType="solid">
        <fgColor rgb="FFDDD9C4"/>
        <bgColor indexed="64"/>
      </patternFill>
    </fill>
  </fills>
  <borders count="46">
    <border>
      <left/>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double">
        <color indexed="64"/>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style="thin">
        <color auto="1"/>
      </bottom>
      <diagonal/>
    </border>
    <border>
      <left style="thin">
        <color indexed="64"/>
      </left>
      <right style="thin">
        <color indexed="64"/>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9"/>
      </left>
      <right/>
      <top/>
      <bottom/>
      <diagonal/>
    </border>
    <border>
      <left/>
      <right style="thin">
        <color indexed="64"/>
      </right>
      <top/>
      <bottom/>
      <diagonal/>
    </border>
    <border>
      <left style="thin">
        <color indexed="64"/>
      </left>
      <right/>
      <top/>
      <bottom/>
      <diagonal/>
    </border>
  </borders>
  <cellStyleXfs count="218">
    <xf numFmtId="0" fontId="0" fillId="0" borderId="0"/>
    <xf numFmtId="165" fontId="8" fillId="0" borderId="0" applyFont="0" applyFill="0" applyBorder="0" applyAlignment="0" applyProtection="0"/>
    <xf numFmtId="168" fontId="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2" fontId="11" fillId="0" borderId="0" applyFont="0" applyFill="0" applyBorder="0" applyAlignment="0" applyProtection="0"/>
    <xf numFmtId="0" fontId="16" fillId="0" borderId="0" applyNumberFormat="0" applyFill="0" applyBorder="0" applyAlignment="0" applyProtection="0">
      <alignment vertical="top"/>
      <protection locked="0"/>
    </xf>
    <xf numFmtId="167" fontId="8" fillId="0" borderId="0" applyFont="0" applyFill="0" applyBorder="0" applyAlignment="0" applyProtection="0"/>
    <xf numFmtId="167" fontId="8" fillId="0" borderId="0" applyFont="0" applyFill="0" applyBorder="0" applyAlignment="0" applyProtection="0"/>
    <xf numFmtId="0" fontId="17" fillId="2" borderId="0"/>
    <xf numFmtId="0" fontId="14" fillId="0" borderId="0"/>
    <xf numFmtId="0" fontId="9" fillId="0" borderId="0"/>
    <xf numFmtId="0" fontId="9" fillId="0" borderId="0"/>
    <xf numFmtId="0" fontId="12" fillId="0" borderId="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0" fontId="8" fillId="0" borderId="0"/>
    <xf numFmtId="0" fontId="8" fillId="0" borderId="0"/>
    <xf numFmtId="0" fontId="7" fillId="0" borderId="0"/>
    <xf numFmtId="0" fontId="6" fillId="0" borderId="0"/>
    <xf numFmtId="0" fontId="8" fillId="0" borderId="0"/>
    <xf numFmtId="0" fontId="8" fillId="0" borderId="0"/>
    <xf numFmtId="0" fontId="8" fillId="0" borderId="0"/>
    <xf numFmtId="0" fontId="7" fillId="0" borderId="0"/>
    <xf numFmtId="0" fontId="11" fillId="0" borderId="0"/>
    <xf numFmtId="0" fontId="8" fillId="0" borderId="0"/>
    <xf numFmtId="0" fontId="15" fillId="0" borderId="0"/>
    <xf numFmtId="0" fontId="10" fillId="0" borderId="0"/>
    <xf numFmtId="166" fontId="8" fillId="0" borderId="0" applyFont="0" applyFill="0" applyBorder="0" applyAlignment="0" applyProtection="0"/>
    <xf numFmtId="171" fontId="8" fillId="0" borderId="0" applyFont="0" applyFill="0" applyBorder="0" applyAlignment="0" applyProtection="0"/>
    <xf numFmtId="0" fontId="18" fillId="0" borderId="0"/>
    <xf numFmtId="167" fontId="18" fillId="0" borderId="0" applyFont="0" applyFill="0" applyBorder="0" applyAlignment="0" applyProtection="0"/>
    <xf numFmtId="0" fontId="19" fillId="0" borderId="0"/>
    <xf numFmtId="44" fontId="20" fillId="0" borderId="0" applyFont="0" applyFill="0" applyBorder="0" applyAlignment="0" applyProtection="0"/>
    <xf numFmtId="168" fontId="21" fillId="0" borderId="0" applyFont="0" applyFill="0" applyBorder="0" applyAlignment="0" applyProtection="0"/>
    <xf numFmtId="175" fontId="21" fillId="0" borderId="0" applyFont="0" applyFill="0" applyBorder="0" applyAlignment="0" applyProtection="0"/>
    <xf numFmtId="0" fontId="14" fillId="0" borderId="0"/>
    <xf numFmtId="0" fontId="9" fillId="0" borderId="0"/>
    <xf numFmtId="0" fontId="9" fillId="0" borderId="0"/>
    <xf numFmtId="0" fontId="6" fillId="0" borderId="0"/>
    <xf numFmtId="0" fontId="8" fillId="0" borderId="0"/>
    <xf numFmtId="167" fontId="8" fillId="0" borderId="0" applyFont="0" applyFill="0" applyBorder="0" applyAlignment="0" applyProtection="0"/>
    <xf numFmtId="181" fontId="22" fillId="0" borderId="0" applyFont="0" applyFill="0" applyBorder="0" applyAlignment="0" applyProtection="0"/>
    <xf numFmtId="182" fontId="8" fillId="0" borderId="0"/>
    <xf numFmtId="0" fontId="11" fillId="0" borderId="0"/>
    <xf numFmtId="181" fontId="22" fillId="0" borderId="0" applyFont="0" applyFill="0" applyBorder="0" applyAlignment="0" applyProtection="0"/>
    <xf numFmtId="0" fontId="21" fillId="0" borderId="0"/>
    <xf numFmtId="0" fontId="5" fillId="0" borderId="0"/>
    <xf numFmtId="43" fontId="5" fillId="0" borderId="0" applyFont="0" applyFill="0" applyBorder="0" applyAlignment="0" applyProtection="0"/>
    <xf numFmtId="165" fontId="8" fillId="0" borderId="0" applyFont="0" applyFill="0" applyBorder="0" applyAlignment="0" applyProtection="0"/>
    <xf numFmtId="0" fontId="12" fillId="0" borderId="0"/>
    <xf numFmtId="0" fontId="11" fillId="0" borderId="0"/>
    <xf numFmtId="181"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166" fontId="11" fillId="0" borderId="0" applyFont="0" applyFill="0" applyBorder="0" applyAlignment="0" applyProtection="0"/>
    <xf numFmtId="43" fontId="11" fillId="0" borderId="0" applyFont="0" applyFill="0" applyBorder="0" applyAlignment="0" applyProtection="0"/>
    <xf numFmtId="0" fontId="24" fillId="5" borderId="0" applyNumberFormat="0" applyBorder="0" applyAlignment="0" applyProtection="0"/>
    <xf numFmtId="0" fontId="25" fillId="6" borderId="6" applyNumberFormat="0" applyAlignment="0" applyProtection="0"/>
    <xf numFmtId="0" fontId="26" fillId="7" borderId="7" applyNumberFormat="0" applyAlignment="0" applyProtection="0"/>
    <xf numFmtId="184" fontId="10" fillId="0" borderId="0" applyFont="0" applyFill="0" applyBorder="0" applyAlignment="0" applyProtection="0"/>
    <xf numFmtId="0" fontId="27" fillId="0" borderId="0" applyNumberFormat="0" applyFill="0" applyBorder="0" applyAlignment="0" applyProtection="0"/>
    <xf numFmtId="0" fontId="28" fillId="8" borderId="0" applyNumberFormat="0" applyBorder="0" applyAlignment="0" applyProtection="0"/>
    <xf numFmtId="0" fontId="29" fillId="0" borderId="8" applyNumberFormat="0" applyFill="0" applyAlignment="0" applyProtection="0"/>
    <xf numFmtId="0" fontId="30" fillId="0" borderId="9" applyNumberFormat="0" applyFill="0" applyAlignment="0" applyProtection="0"/>
    <xf numFmtId="0" fontId="31" fillId="0" borderId="10" applyNumberFormat="0" applyFill="0" applyAlignment="0" applyProtection="0"/>
    <xf numFmtId="0" fontId="31" fillId="0" borderId="0" applyNumberFormat="0" applyFill="0" applyBorder="0" applyAlignment="0" applyProtection="0"/>
    <xf numFmtId="0" fontId="32" fillId="9" borderId="6" applyNumberFormat="0" applyAlignment="0" applyProtection="0"/>
    <xf numFmtId="167" fontId="23" fillId="0" borderId="0">
      <alignment horizontal="center" vertical="center" textRotation="90" wrapText="1"/>
    </xf>
    <xf numFmtId="0" fontId="33" fillId="10" borderId="11"/>
    <xf numFmtId="0" fontId="34" fillId="0" borderId="12" applyNumberFormat="0" applyFill="0" applyAlignment="0" applyProtection="0"/>
    <xf numFmtId="185" fontId="33" fillId="0" borderId="0"/>
    <xf numFmtId="0" fontId="35" fillId="11" borderId="0" applyNumberFormat="0" applyBorder="0" applyAlignment="0" applyProtection="0"/>
    <xf numFmtId="0" fontId="36" fillId="12" borderId="13" applyNumberFormat="0" applyFont="0" applyAlignment="0" applyProtection="0"/>
    <xf numFmtId="0" fontId="37" fillId="6" borderId="14" applyNumberFormat="0" applyAlignment="0" applyProtection="0"/>
    <xf numFmtId="0" fontId="33" fillId="13" borderId="15" applyNumberFormat="0" applyFont="0" applyBorder="0">
      <alignment horizontal="center"/>
    </xf>
    <xf numFmtId="0" fontId="8" fillId="0" borderId="0"/>
    <xf numFmtId="0" fontId="38" fillId="0" borderId="0" applyNumberFormat="0" applyFill="0" applyBorder="0" applyAlignment="0" applyProtection="0"/>
    <xf numFmtId="0" fontId="39" fillId="0" borderId="16" applyNumberFormat="0" applyFill="0" applyAlignment="0" applyProtection="0"/>
    <xf numFmtId="0" fontId="40" fillId="0" borderId="0" applyNumberForma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181" fontId="1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6" fontId="11" fillId="0" borderId="0" applyFont="0" applyFill="0" applyBorder="0" applyAlignment="0" applyProtection="0"/>
    <xf numFmtId="165" fontId="8" fillId="0" borderId="0" applyFont="0" applyFill="0" applyBorder="0" applyAlignment="0" applyProtection="0"/>
    <xf numFmtId="9" fontId="11" fillId="0" borderId="0" applyFont="0" applyFill="0" applyBorder="0" applyAlignment="0" applyProtection="0"/>
    <xf numFmtId="182" fontId="8" fillId="0" borderId="0"/>
    <xf numFmtId="182" fontId="8" fillId="0" borderId="0"/>
    <xf numFmtId="0" fontId="41" fillId="0" borderId="0" applyFill="0" applyBorder="0"/>
    <xf numFmtId="182" fontId="8" fillId="0" borderId="0"/>
    <xf numFmtId="182" fontId="5" fillId="0" borderId="0"/>
    <xf numFmtId="44" fontId="8" fillId="0" borderId="0" applyFont="0" applyFill="0" applyBorder="0" applyAlignment="0" applyProtection="0"/>
    <xf numFmtId="166" fontId="6" fillId="0" borderId="0" applyFont="0" applyFill="0" applyBorder="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25" fillId="6"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2" fillId="9" borderId="17" applyNumberForma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6" fillId="12" borderId="18" applyNumberFormat="0" applyFon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37" fillId="6" borderId="19" applyNumberFormat="0" applyAlignment="0" applyProtection="0"/>
    <xf numFmtId="0" fontId="19" fillId="0" borderId="0"/>
    <xf numFmtId="0" fontId="19" fillId="0" borderId="0"/>
    <xf numFmtId="0" fontId="19" fillId="0" borderId="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9" fillId="0" borderId="20" applyNumberFormat="0" applyFill="0" applyAlignment="0" applyProtection="0"/>
    <xf numFmtId="0" fontId="37" fillId="6" borderId="27" applyNumberFormat="0" applyAlignment="0" applyProtection="0"/>
    <xf numFmtId="0" fontId="37" fillId="6" borderId="31" applyNumberFormat="0" applyAlignment="0" applyProtection="0"/>
    <xf numFmtId="0" fontId="39" fillId="0" borderId="32" applyNumberFormat="0" applyFill="0" applyAlignment="0" applyProtection="0"/>
    <xf numFmtId="0" fontId="1" fillId="0" borderId="0"/>
    <xf numFmtId="0" fontId="32" fillId="9" borderId="29" applyNumberFormat="0" applyAlignment="0" applyProtection="0"/>
    <xf numFmtId="0" fontId="39" fillId="0" borderId="28" applyNumberFormat="0" applyFill="0" applyAlignment="0" applyProtection="0"/>
    <xf numFmtId="0" fontId="25" fillId="6" borderId="25" applyNumberFormat="0" applyAlignment="0" applyProtection="0"/>
    <xf numFmtId="0" fontId="25" fillId="6" borderId="21" applyNumberFormat="0" applyAlignment="0" applyProtection="0"/>
    <xf numFmtId="0" fontId="36" fillId="12" borderId="26" applyNumberFormat="0" applyFont="0" applyAlignment="0" applyProtection="0"/>
    <xf numFmtId="0" fontId="25" fillId="6" borderId="29" applyNumberFormat="0" applyAlignment="0" applyProtection="0"/>
    <xf numFmtId="0" fontId="32" fillId="9" borderId="25" applyNumberFormat="0" applyAlignment="0" applyProtection="0"/>
    <xf numFmtId="0" fontId="32" fillId="9" borderId="21" applyNumberFormat="0" applyAlignment="0" applyProtection="0"/>
    <xf numFmtId="0" fontId="36" fillId="12" borderId="22" applyNumberFormat="0" applyFont="0" applyAlignment="0" applyProtection="0"/>
    <xf numFmtId="0" fontId="37" fillId="6" borderId="23" applyNumberFormat="0" applyAlignment="0" applyProtection="0"/>
    <xf numFmtId="0" fontId="39" fillId="0" borderId="24" applyNumberFormat="0" applyFill="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6" fillId="12" borderId="30" applyNumberFormat="0" applyFont="0" applyAlignment="0" applyProtection="0"/>
    <xf numFmtId="0" fontId="21" fillId="0" borderId="0"/>
    <xf numFmtId="0" fontId="57" fillId="0" borderId="0"/>
    <xf numFmtId="164" fontId="21" fillId="0" borderId="0" applyFont="0" applyFill="0" applyBorder="0" applyAlignment="0" applyProtection="0"/>
    <xf numFmtId="175" fontId="57" fillId="0" borderId="0" applyFont="0" applyFill="0" applyBorder="0" applyAlignment="0" applyProtection="0"/>
    <xf numFmtId="9" fontId="92" fillId="0" borderId="0" applyFont="0" applyFill="0" applyBorder="0" applyAlignment="0" applyProtection="0"/>
    <xf numFmtId="0" fontId="21" fillId="0" borderId="0"/>
    <xf numFmtId="0" fontId="9" fillId="0" borderId="0"/>
    <xf numFmtId="0" fontId="21" fillId="0" borderId="0"/>
    <xf numFmtId="0" fontId="21" fillId="0" borderId="0"/>
    <xf numFmtId="0" fontId="11" fillId="0" borderId="0"/>
    <xf numFmtId="0" fontId="14" fillId="0" borderId="0"/>
  </cellStyleXfs>
  <cellXfs count="569">
    <xf numFmtId="0" fontId="0" fillId="0" borderId="0" xfId="0"/>
    <xf numFmtId="0" fontId="43" fillId="0" borderId="0" xfId="0" applyFont="1"/>
    <xf numFmtId="186" fontId="47" fillId="0" borderId="0" xfId="12" quotePrefix="1" applyNumberFormat="1" applyFont="1" applyAlignment="1">
      <alignment horizontal="left"/>
    </xf>
    <xf numFmtId="2" fontId="51" fillId="0" borderId="0" xfId="47" applyNumberFormat="1" applyFont="1"/>
    <xf numFmtId="2" fontId="52" fillId="0" borderId="0" xfId="47" applyNumberFormat="1" applyFont="1"/>
    <xf numFmtId="0" fontId="53" fillId="0" borderId="0" xfId="0" applyFont="1" applyAlignment="1">
      <alignment horizontal="center"/>
    </xf>
    <xf numFmtId="2" fontId="54" fillId="0" borderId="0" xfId="47" applyNumberFormat="1" applyFont="1"/>
    <xf numFmtId="2" fontId="43" fillId="0" borderId="0" xfId="0" applyNumberFormat="1" applyFont="1" applyAlignment="1">
      <alignment vertical="center"/>
    </xf>
    <xf numFmtId="2" fontId="53" fillId="0" borderId="0" xfId="0" applyNumberFormat="1" applyFont="1" applyAlignment="1">
      <alignment horizontal="center"/>
    </xf>
    <xf numFmtId="2" fontId="58" fillId="16" borderId="38" xfId="208" applyNumberFormat="1" applyFont="1" applyFill="1" applyBorder="1" applyProtection="1">
      <protection hidden="1"/>
    </xf>
    <xf numFmtId="2" fontId="58" fillId="16" borderId="39" xfId="208" applyNumberFormat="1" applyFont="1" applyFill="1" applyBorder="1" applyProtection="1">
      <protection hidden="1"/>
    </xf>
    <xf numFmtId="2" fontId="50" fillId="0" borderId="43" xfId="208" applyNumberFormat="1" applyFont="1" applyBorder="1" applyProtection="1">
      <protection hidden="1"/>
    </xf>
    <xf numFmtId="2" fontId="50" fillId="0" borderId="0" xfId="208" applyNumberFormat="1" applyFont="1" applyProtection="1">
      <protection hidden="1"/>
    </xf>
    <xf numFmtId="2" fontId="50" fillId="0" borderId="37" xfId="208" applyNumberFormat="1" applyFont="1" applyBorder="1" applyProtection="1">
      <protection hidden="1"/>
    </xf>
    <xf numFmtId="0" fontId="50" fillId="0" borderId="39" xfId="0" applyFont="1" applyBorder="1"/>
    <xf numFmtId="2" fontId="50" fillId="0" borderId="39" xfId="208" applyNumberFormat="1" applyFont="1" applyBorder="1" applyProtection="1">
      <protection hidden="1"/>
    </xf>
    <xf numFmtId="0" fontId="50" fillId="0" borderId="37" xfId="0" applyFont="1" applyBorder="1"/>
    <xf numFmtId="188" fontId="41" fillId="15" borderId="35" xfId="208" applyNumberFormat="1" applyFont="1" applyFill="1" applyBorder="1" applyAlignment="1" applyProtection="1">
      <alignment vertical="center"/>
      <protection hidden="1"/>
    </xf>
    <xf numFmtId="0" fontId="53" fillId="0" borderId="37" xfId="0" applyFont="1" applyBorder="1"/>
    <xf numFmtId="0" fontId="53" fillId="0" borderId="39" xfId="0" applyFont="1" applyBorder="1"/>
    <xf numFmtId="188" fontId="59" fillId="0" borderId="35" xfId="208" applyNumberFormat="1" applyFont="1" applyBorder="1" applyAlignment="1" applyProtection="1">
      <alignment vertical="center"/>
      <protection hidden="1"/>
    </xf>
    <xf numFmtId="0" fontId="50" fillId="0" borderId="39" xfId="0" applyFont="1" applyBorder="1" applyAlignment="1">
      <alignment horizontal="left"/>
    </xf>
    <xf numFmtId="188" fontId="41" fillId="0" borderId="35" xfId="208" applyNumberFormat="1" applyFont="1" applyBorder="1" applyAlignment="1" applyProtection="1">
      <alignment vertical="center"/>
      <protection hidden="1"/>
    </xf>
    <xf numFmtId="10" fontId="59" fillId="0" borderId="39" xfId="0" applyNumberFormat="1" applyFont="1" applyBorder="1"/>
    <xf numFmtId="0" fontId="50" fillId="0" borderId="0" xfId="0" applyFont="1" applyAlignment="1">
      <alignment vertical="center"/>
    </xf>
    <xf numFmtId="2" fontId="53" fillId="0" borderId="35" xfId="208" applyNumberFormat="1" applyFont="1" applyBorder="1" applyAlignment="1" applyProtection="1">
      <alignment horizontal="center"/>
      <protection hidden="1"/>
    </xf>
    <xf numFmtId="0" fontId="62" fillId="0" borderId="39" xfId="0" applyFont="1" applyBorder="1"/>
    <xf numFmtId="166" fontId="61" fillId="15" borderId="35" xfId="29" applyFont="1" applyFill="1" applyBorder="1" applyAlignment="1" applyProtection="1">
      <alignment horizontal="right" vertical="center"/>
      <protection hidden="1"/>
    </xf>
    <xf numFmtId="0" fontId="50" fillId="0" borderId="37" xfId="208" applyFont="1" applyBorder="1" applyAlignment="1" applyProtection="1">
      <alignment vertical="center"/>
      <protection hidden="1"/>
    </xf>
    <xf numFmtId="0" fontId="50" fillId="0" borderId="2" xfId="0" applyFont="1" applyBorder="1"/>
    <xf numFmtId="10" fontId="41" fillId="15" borderId="35" xfId="208" applyNumberFormat="1" applyFont="1" applyFill="1" applyBorder="1" applyAlignment="1" applyProtection="1">
      <alignment vertical="center"/>
      <protection hidden="1"/>
    </xf>
    <xf numFmtId="10" fontId="45" fillId="0" borderId="0" xfId="14" applyNumberFormat="1" applyFont="1" applyFill="1" applyBorder="1" applyAlignment="1" applyProtection="1">
      <alignment horizontal="right" vertical="center"/>
      <protection hidden="1"/>
    </xf>
    <xf numFmtId="0" fontId="50" fillId="0" borderId="38" xfId="0" applyFont="1" applyBorder="1"/>
    <xf numFmtId="189" fontId="41" fillId="0" borderId="0" xfId="208" applyNumberFormat="1" applyFont="1" applyProtection="1">
      <protection hidden="1"/>
    </xf>
    <xf numFmtId="2" fontId="43" fillId="0" borderId="0" xfId="208" applyNumberFormat="1" applyFont="1" applyProtection="1">
      <protection hidden="1"/>
    </xf>
    <xf numFmtId="0" fontId="53" fillId="0" borderId="38" xfId="0" applyFont="1" applyBorder="1"/>
    <xf numFmtId="10" fontId="59" fillId="0" borderId="35" xfId="14" applyNumberFormat="1" applyFont="1" applyFill="1" applyBorder="1" applyAlignment="1"/>
    <xf numFmtId="10" fontId="44" fillId="0" borderId="0" xfId="14" applyNumberFormat="1" applyFont="1" applyFill="1" applyBorder="1" applyAlignment="1"/>
    <xf numFmtId="0" fontId="41" fillId="0" borderId="35" xfId="0" applyFont="1" applyBorder="1" applyAlignment="1">
      <alignment vertical="center"/>
    </xf>
    <xf numFmtId="10" fontId="61" fillId="0" borderId="35" xfId="14" applyNumberFormat="1" applyFont="1" applyFill="1" applyBorder="1" applyAlignment="1" applyProtection="1">
      <alignment vertical="center"/>
      <protection hidden="1"/>
    </xf>
    <xf numFmtId="10" fontId="59" fillId="0" borderId="35" xfId="14" applyNumberFormat="1" applyFont="1" applyFill="1" applyBorder="1" applyAlignment="1" applyProtection="1">
      <alignment vertical="center"/>
      <protection hidden="1"/>
    </xf>
    <xf numFmtId="0" fontId="50" fillId="0" borderId="0" xfId="0" applyFont="1"/>
    <xf numFmtId="164" fontId="70" fillId="0" borderId="0" xfId="209" applyFont="1" applyFill="1" applyBorder="1" applyAlignment="1" applyProtection="1">
      <alignment horizontal="center"/>
      <protection hidden="1"/>
    </xf>
    <xf numFmtId="176" fontId="70" fillId="0" borderId="0" xfId="209" applyNumberFormat="1" applyFont="1" applyFill="1" applyBorder="1" applyAlignment="1" applyProtection="1">
      <alignment horizontal="center"/>
      <protection hidden="1"/>
    </xf>
    <xf numFmtId="2" fontId="52" fillId="0" borderId="0" xfId="0" applyNumberFormat="1" applyFont="1"/>
    <xf numFmtId="0" fontId="72" fillId="0" borderId="0" xfId="0" applyFont="1" applyAlignment="1">
      <alignment horizontal="center" vertical="center"/>
    </xf>
    <xf numFmtId="176" fontId="72" fillId="0" borderId="0" xfId="0" applyNumberFormat="1" applyFont="1" applyAlignment="1">
      <alignment horizontal="center" vertical="center"/>
    </xf>
    <xf numFmtId="0" fontId="50" fillId="0" borderId="0" xfId="0" applyFont="1" applyAlignment="1">
      <alignment vertical="top" wrapText="1"/>
    </xf>
    <xf numFmtId="0" fontId="50" fillId="0" borderId="0" xfId="0" applyFont="1" applyAlignment="1">
      <alignment horizontal="center" wrapText="1"/>
    </xf>
    <xf numFmtId="2" fontId="74" fillId="0" borderId="0" xfId="0" applyNumberFormat="1" applyFont="1"/>
    <xf numFmtId="1" fontId="75" fillId="0" borderId="0" xfId="0" applyNumberFormat="1" applyFont="1" applyAlignment="1">
      <alignment horizontal="left"/>
    </xf>
    <xf numFmtId="2" fontId="76" fillId="0" borderId="0" xfId="0" applyNumberFormat="1" applyFont="1" applyAlignment="1">
      <alignment horizontal="center" vertical="center"/>
    </xf>
    <xf numFmtId="176" fontId="76" fillId="0" borderId="0" xfId="0" applyNumberFormat="1" applyFont="1" applyAlignment="1">
      <alignment horizontal="center" vertical="center"/>
    </xf>
    <xf numFmtId="0" fontId="48" fillId="0" borderId="0" xfId="0" applyFont="1" applyAlignment="1">
      <alignment horizontal="center" wrapText="1"/>
    </xf>
    <xf numFmtId="0" fontId="43" fillId="0" borderId="0" xfId="0" applyFont="1" applyAlignment="1">
      <alignment horizontal="center" wrapText="1"/>
    </xf>
    <xf numFmtId="2" fontId="79" fillId="0" borderId="38" xfId="209" applyNumberFormat="1" applyFont="1" applyFill="1" applyBorder="1" applyAlignment="1" applyProtection="1">
      <alignment horizontal="center" vertical="center"/>
      <protection hidden="1"/>
    </xf>
    <xf numFmtId="2" fontId="79" fillId="0" borderId="39" xfId="209" applyNumberFormat="1" applyFont="1" applyFill="1" applyBorder="1" applyAlignment="1" applyProtection="1">
      <alignment horizontal="right" vertical="center"/>
      <protection hidden="1"/>
    </xf>
    <xf numFmtId="2" fontId="61" fillId="0" borderId="35" xfId="209" applyNumberFormat="1" applyFont="1" applyFill="1" applyBorder="1" applyAlignment="1" applyProtection="1">
      <protection hidden="1"/>
    </xf>
    <xf numFmtId="176" fontId="80" fillId="0" borderId="42" xfId="0" applyNumberFormat="1" applyFont="1" applyBorder="1" applyAlignment="1">
      <alignment horizontal="center" vertical="center"/>
    </xf>
    <xf numFmtId="2" fontId="81" fillId="0" borderId="38" xfId="209" applyNumberFormat="1" applyFont="1" applyFill="1" applyBorder="1" applyAlignment="1" applyProtection="1">
      <alignment horizontal="left" vertical="center"/>
      <protection hidden="1"/>
    </xf>
    <xf numFmtId="2" fontId="70" fillId="0" borderId="39" xfId="209" applyNumberFormat="1" applyFont="1" applyFill="1" applyBorder="1" applyAlignment="1" applyProtection="1">
      <alignment horizontal="right" vertical="center"/>
      <protection hidden="1"/>
    </xf>
    <xf numFmtId="166" fontId="61" fillId="18" borderId="35" xfId="29" applyFont="1" applyFill="1" applyBorder="1" applyAlignment="1" applyProtection="1">
      <protection locked="0"/>
    </xf>
    <xf numFmtId="176" fontId="80" fillId="0" borderId="44" xfId="0" applyNumberFormat="1" applyFont="1" applyBorder="1" applyAlignment="1">
      <alignment horizontal="center" vertical="center"/>
    </xf>
    <xf numFmtId="166" fontId="41" fillId="15" borderId="35" xfId="29" applyFont="1" applyFill="1" applyBorder="1"/>
    <xf numFmtId="10" fontId="82" fillId="0" borderId="39" xfId="14" applyNumberFormat="1" applyFont="1" applyFill="1" applyBorder="1" applyAlignment="1" applyProtection="1">
      <alignment horizontal="right"/>
      <protection hidden="1"/>
    </xf>
    <xf numFmtId="166" fontId="61" fillId="19" borderId="35" xfId="29" applyFont="1" applyFill="1" applyBorder="1" applyAlignment="1" applyProtection="1">
      <protection locked="0"/>
    </xf>
    <xf numFmtId="177" fontId="59" fillId="0" borderId="35" xfId="209" applyNumberFormat="1" applyFont="1" applyFill="1" applyBorder="1" applyAlignment="1" applyProtection="1">
      <protection hidden="1"/>
    </xf>
    <xf numFmtId="164" fontId="61" fillId="0" borderId="35" xfId="209" applyFont="1" applyFill="1" applyBorder="1" applyAlignment="1" applyProtection="1">
      <protection hidden="1"/>
    </xf>
    <xf numFmtId="10" fontId="84" fillId="15" borderId="35" xfId="14" applyNumberFormat="1" applyFont="1" applyFill="1" applyBorder="1" applyAlignment="1" applyProtection="1">
      <alignment horizontal="right"/>
      <protection hidden="1"/>
    </xf>
    <xf numFmtId="166" fontId="61" fillId="0" borderId="35" xfId="29" applyFont="1" applyFill="1" applyBorder="1" applyAlignment="1" applyProtection="1">
      <protection locked="0"/>
    </xf>
    <xf numFmtId="164" fontId="61" fillId="0" borderId="35" xfId="209" applyFont="1" applyFill="1" applyBorder="1" applyAlignment="1" applyProtection="1">
      <protection locked="0"/>
    </xf>
    <xf numFmtId="176" fontId="86" fillId="0" borderId="35" xfId="14" applyNumberFormat="1" applyFont="1" applyFill="1" applyBorder="1" applyAlignment="1" applyProtection="1">
      <alignment horizontal="center"/>
      <protection hidden="1"/>
    </xf>
    <xf numFmtId="166" fontId="88" fillId="4" borderId="35" xfId="29" applyFont="1" applyFill="1" applyBorder="1" applyAlignment="1" applyProtection="1">
      <alignment horizontal="right"/>
      <protection locked="0"/>
    </xf>
    <xf numFmtId="176" fontId="89" fillId="0" borderId="44" xfId="0" applyNumberFormat="1" applyFont="1" applyBorder="1" applyAlignment="1">
      <alignment horizontal="center" vertical="center"/>
    </xf>
    <xf numFmtId="0" fontId="49" fillId="0" borderId="0" xfId="0" applyFont="1"/>
    <xf numFmtId="176" fontId="85" fillId="0" borderId="39" xfId="14" applyNumberFormat="1" applyFont="1" applyFill="1" applyBorder="1" applyAlignment="1" applyProtection="1">
      <alignment horizontal="right"/>
      <protection hidden="1"/>
    </xf>
    <xf numFmtId="0" fontId="42" fillId="0" borderId="0" xfId="0" applyFont="1"/>
    <xf numFmtId="9" fontId="61" fillId="15" borderId="35" xfId="14" applyFont="1" applyFill="1" applyBorder="1" applyAlignment="1" applyProtection="1">
      <alignment horizontal="center"/>
      <protection hidden="1"/>
    </xf>
    <xf numFmtId="0" fontId="41" fillId="0" borderId="0" xfId="0" applyFont="1"/>
    <xf numFmtId="0" fontId="53" fillId="0" borderId="35" xfId="0" applyFont="1" applyBorder="1"/>
    <xf numFmtId="9" fontId="59" fillId="0" borderId="35" xfId="0" applyNumberFormat="1" applyFont="1" applyBorder="1" applyAlignment="1">
      <alignment horizontal="center"/>
    </xf>
    <xf numFmtId="167" fontId="85" fillId="0" borderId="39" xfId="7" applyFont="1" applyFill="1" applyBorder="1" applyAlignment="1" applyProtection="1">
      <alignment horizontal="right"/>
      <protection hidden="1"/>
    </xf>
    <xf numFmtId="176" fontId="91" fillId="0" borderId="44" xfId="0" applyNumberFormat="1" applyFont="1" applyBorder="1" applyAlignment="1">
      <alignment horizontal="center" vertical="center"/>
    </xf>
    <xf numFmtId="166" fontId="41" fillId="0" borderId="37" xfId="29" applyFont="1" applyFill="1" applyBorder="1" applyAlignment="1" applyProtection="1">
      <protection hidden="1"/>
    </xf>
    <xf numFmtId="166" fontId="41" fillId="0" borderId="35" xfId="29" applyFont="1" applyFill="1" applyBorder="1" applyAlignment="1" applyProtection="1">
      <protection hidden="1"/>
    </xf>
    <xf numFmtId="10" fontId="85" fillId="0" borderId="39" xfId="14" applyNumberFormat="1" applyFont="1" applyFill="1" applyBorder="1" applyAlignment="1" applyProtection="1">
      <alignment horizontal="right"/>
      <protection hidden="1"/>
    </xf>
    <xf numFmtId="166" fontId="59" fillId="0" borderId="35" xfId="29" applyFont="1" applyBorder="1"/>
    <xf numFmtId="10" fontId="85" fillId="15" borderId="39" xfId="14" applyNumberFormat="1" applyFont="1" applyFill="1" applyBorder="1" applyAlignment="1" applyProtection="1">
      <alignment horizontal="right"/>
      <protection hidden="1"/>
    </xf>
    <xf numFmtId="176" fontId="41" fillId="0" borderId="44" xfId="0" applyNumberFormat="1" applyFont="1" applyBorder="1"/>
    <xf numFmtId="177" fontId="59" fillId="0" borderId="1" xfId="210" applyNumberFormat="1" applyFont="1" applyFill="1" applyBorder="1" applyAlignment="1" applyProtection="1">
      <protection hidden="1"/>
    </xf>
    <xf numFmtId="176" fontId="41" fillId="0" borderId="34" xfId="0" applyNumberFormat="1" applyFont="1" applyBorder="1" applyAlignment="1">
      <alignment horizontal="center" vertical="center"/>
    </xf>
    <xf numFmtId="0" fontId="83" fillId="0" borderId="0" xfId="0" applyFont="1"/>
    <xf numFmtId="0" fontId="83" fillId="0" borderId="42" xfId="0" applyFont="1" applyBorder="1" applyAlignment="1">
      <alignment horizontal="right"/>
    </xf>
    <xf numFmtId="176" fontId="41" fillId="0" borderId="0" xfId="0" applyNumberFormat="1" applyFont="1"/>
    <xf numFmtId="0" fontId="82" fillId="0" borderId="0" xfId="0" applyFont="1"/>
    <xf numFmtId="176" fontId="49" fillId="0" borderId="0" xfId="0" applyNumberFormat="1" applyFont="1"/>
    <xf numFmtId="0" fontId="49" fillId="0" borderId="0" xfId="0" applyFont="1" applyAlignment="1">
      <alignment horizontal="right"/>
    </xf>
    <xf numFmtId="0" fontId="93" fillId="20" borderId="35" xfId="37" applyFont="1" applyFill="1" applyBorder="1"/>
    <xf numFmtId="0" fontId="49" fillId="0" borderId="0" xfId="212" applyFont="1" applyProtection="1">
      <protection hidden="1"/>
    </xf>
    <xf numFmtId="0" fontId="50" fillId="0" borderId="0" xfId="212" applyFont="1" applyProtection="1">
      <protection hidden="1"/>
    </xf>
    <xf numFmtId="0" fontId="43" fillId="0" borderId="0" xfId="212" applyFont="1" applyProtection="1">
      <protection hidden="1"/>
    </xf>
    <xf numFmtId="0" fontId="46" fillId="0" borderId="0" xfId="212" applyFont="1" applyProtection="1">
      <protection hidden="1"/>
    </xf>
    <xf numFmtId="2" fontId="43" fillId="0" borderId="0" xfId="212" applyNumberFormat="1" applyFont="1" applyAlignment="1" applyProtection="1">
      <alignment vertical="center"/>
      <protection hidden="1"/>
    </xf>
    <xf numFmtId="2" fontId="46" fillId="0" borderId="0" xfId="212" applyNumberFormat="1" applyFont="1" applyAlignment="1" applyProtection="1">
      <alignment vertical="center"/>
      <protection hidden="1"/>
    </xf>
    <xf numFmtId="2" fontId="94" fillId="0" borderId="0" xfId="47" applyNumberFormat="1" applyFont="1"/>
    <xf numFmtId="2" fontId="50" fillId="0" borderId="0" xfId="212" applyNumberFormat="1" applyFont="1" applyAlignment="1" applyProtection="1">
      <alignment vertical="center"/>
      <protection hidden="1"/>
    </xf>
    <xf numFmtId="2" fontId="55" fillId="0" borderId="0" xfId="212" applyNumberFormat="1" applyFont="1" applyAlignment="1" applyProtection="1">
      <alignment vertical="center"/>
      <protection locked="0"/>
    </xf>
    <xf numFmtId="2" fontId="56" fillId="16" borderId="37" xfId="212" applyNumberFormat="1" applyFont="1" applyFill="1" applyBorder="1" applyAlignment="1" applyProtection="1">
      <alignment horizontal="left" vertical="center"/>
      <protection hidden="1"/>
    </xf>
    <xf numFmtId="0" fontId="60" fillId="0" borderId="43" xfId="212" applyFont="1" applyBorder="1" applyAlignment="1" applyProtection="1">
      <alignment horizontal="left" vertical="center"/>
      <protection hidden="1"/>
    </xf>
    <xf numFmtId="0" fontId="60" fillId="0" borderId="0" xfId="212" applyFont="1" applyAlignment="1" applyProtection="1">
      <alignment horizontal="left" vertical="center"/>
      <protection hidden="1"/>
    </xf>
    <xf numFmtId="177" fontId="61" fillId="0" borderId="35" xfId="212" applyNumberFormat="1" applyFont="1" applyBorder="1" applyAlignment="1" applyProtection="1">
      <alignment horizontal="left" vertical="center"/>
      <protection hidden="1"/>
    </xf>
    <xf numFmtId="177" fontId="61" fillId="0" borderId="34" xfId="212" applyNumberFormat="1" applyFont="1" applyBorder="1" applyAlignment="1" applyProtection="1">
      <alignment horizontal="left" vertical="center"/>
      <protection hidden="1"/>
    </xf>
    <xf numFmtId="0" fontId="53" fillId="0" borderId="37" xfId="212" applyFont="1" applyBorder="1" applyAlignment="1" applyProtection="1">
      <alignment vertical="center"/>
      <protection hidden="1"/>
    </xf>
    <xf numFmtId="0" fontId="56" fillId="16" borderId="37" xfId="212" applyFont="1" applyFill="1" applyBorder="1" applyAlignment="1" applyProtection="1">
      <alignment horizontal="left" vertical="center"/>
      <protection hidden="1"/>
    </xf>
    <xf numFmtId="0" fontId="63" fillId="16" borderId="38" xfId="212" applyFont="1" applyFill="1" applyBorder="1" applyAlignment="1" applyProtection="1">
      <alignment horizontal="left" vertical="center"/>
      <protection hidden="1"/>
    </xf>
    <xf numFmtId="9" fontId="64" fillId="16" borderId="39" xfId="212" applyNumberFormat="1" applyFont="1" applyFill="1" applyBorder="1" applyAlignment="1" applyProtection="1">
      <alignment vertical="center"/>
      <protection hidden="1"/>
    </xf>
    <xf numFmtId="0" fontId="65" fillId="16" borderId="35" xfId="212" applyFont="1" applyFill="1" applyBorder="1" applyAlignment="1" applyProtection="1">
      <alignment horizontal="left" vertical="center"/>
      <protection hidden="1"/>
    </xf>
    <xf numFmtId="0" fontId="66" fillId="0" borderId="35" xfId="212" applyFont="1" applyBorder="1" applyAlignment="1" applyProtection="1">
      <alignment horizontal="left" vertical="center"/>
      <protection hidden="1"/>
    </xf>
    <xf numFmtId="2" fontId="61" fillId="4" borderId="35" xfId="212" applyNumberFormat="1" applyFont="1" applyFill="1" applyBorder="1" applyAlignment="1" applyProtection="1">
      <alignment horizontal="right" vertical="center"/>
      <protection hidden="1"/>
    </xf>
    <xf numFmtId="0" fontId="53" fillId="0" borderId="35" xfId="212" applyFont="1" applyBorder="1" applyAlignment="1" applyProtection="1">
      <alignment vertical="center"/>
      <protection hidden="1"/>
    </xf>
    <xf numFmtId="2" fontId="59" fillId="0" borderId="35" xfId="212" applyNumberFormat="1" applyFont="1" applyBorder="1" applyAlignment="1" applyProtection="1">
      <alignment vertical="center"/>
      <protection hidden="1"/>
    </xf>
    <xf numFmtId="0" fontId="60" fillId="0" borderId="35" xfId="212" applyFont="1" applyBorder="1" applyAlignment="1" applyProtection="1">
      <alignment vertical="center"/>
      <protection hidden="1"/>
    </xf>
    <xf numFmtId="2" fontId="61" fillId="15" borderId="35" xfId="212" applyNumberFormat="1" applyFont="1" applyFill="1" applyBorder="1" applyAlignment="1" applyProtection="1">
      <alignment horizontal="right" vertical="center"/>
      <protection hidden="1"/>
    </xf>
    <xf numFmtId="0" fontId="67" fillId="0" borderId="35" xfId="212" applyFont="1" applyBorder="1" applyAlignment="1" applyProtection="1">
      <alignment vertical="center"/>
      <protection hidden="1"/>
    </xf>
    <xf numFmtId="0" fontId="50" fillId="0" borderId="35" xfId="212" applyFont="1" applyBorder="1" applyAlignment="1" applyProtection="1">
      <alignment vertical="center"/>
      <protection hidden="1"/>
    </xf>
    <xf numFmtId="0" fontId="68" fillId="0" borderId="0" xfId="212" applyFont="1" applyProtection="1">
      <protection hidden="1"/>
    </xf>
    <xf numFmtId="0" fontId="69" fillId="0" borderId="0" xfId="212" applyFont="1" applyProtection="1">
      <protection hidden="1"/>
    </xf>
    <xf numFmtId="0" fontId="70" fillId="0" borderId="0" xfId="212" applyFont="1" applyAlignment="1" applyProtection="1">
      <alignment horizontal="center"/>
      <protection hidden="1"/>
    </xf>
    <xf numFmtId="0" fontId="70" fillId="0" borderId="0" xfId="212" applyFont="1" applyAlignment="1" applyProtection="1">
      <alignment horizontal="right"/>
      <protection hidden="1"/>
    </xf>
    <xf numFmtId="0" fontId="71" fillId="0" borderId="0" xfId="212" applyFont="1" applyAlignment="1" applyProtection="1">
      <alignment horizontal="right"/>
      <protection hidden="1"/>
    </xf>
    <xf numFmtId="2" fontId="71" fillId="0" borderId="0" xfId="212" applyNumberFormat="1" applyFont="1" applyAlignment="1" applyProtection="1">
      <alignment horizontal="right"/>
      <protection hidden="1"/>
    </xf>
    <xf numFmtId="2" fontId="73" fillId="0" borderId="0" xfId="212" applyNumberFormat="1" applyFont="1" applyAlignment="1" applyProtection="1">
      <alignment horizontal="center"/>
      <protection hidden="1"/>
    </xf>
    <xf numFmtId="2" fontId="73" fillId="0" borderId="0" xfId="212" applyNumberFormat="1" applyFont="1" applyAlignment="1" applyProtection="1">
      <alignment horizontal="right"/>
      <protection hidden="1"/>
    </xf>
    <xf numFmtId="2" fontId="77" fillId="16" borderId="37" xfId="212" applyNumberFormat="1" applyFont="1" applyFill="1" applyBorder="1" applyAlignment="1" applyProtection="1">
      <alignment horizontal="left" vertical="center" wrapText="1"/>
      <protection hidden="1"/>
    </xf>
    <xf numFmtId="2" fontId="77" fillId="16" borderId="38" xfId="212" applyNumberFormat="1" applyFont="1" applyFill="1" applyBorder="1" applyAlignment="1" applyProtection="1">
      <alignment horizontal="center" wrapText="1"/>
      <protection hidden="1"/>
    </xf>
    <xf numFmtId="2" fontId="77" fillId="16" borderId="39" xfId="212" applyNumberFormat="1" applyFont="1" applyFill="1" applyBorder="1" applyAlignment="1" applyProtection="1">
      <alignment horizontal="right" wrapText="1"/>
      <protection hidden="1"/>
    </xf>
    <xf numFmtId="2" fontId="78" fillId="0" borderId="0" xfId="212" applyNumberFormat="1" applyFont="1" applyAlignment="1" applyProtection="1">
      <alignment horizontal="center" wrapText="1"/>
      <protection hidden="1"/>
    </xf>
    <xf numFmtId="2" fontId="50" fillId="0" borderId="37" xfId="212" applyNumberFormat="1" applyFont="1" applyBorder="1" applyProtection="1">
      <protection hidden="1"/>
    </xf>
    <xf numFmtId="176" fontId="80" fillId="0" borderId="41" xfId="0" applyNumberFormat="1" applyFont="1" applyBorder="1" applyAlignment="1">
      <alignment horizontal="center" vertical="center"/>
    </xf>
    <xf numFmtId="176" fontId="80" fillId="0" borderId="0" xfId="0" applyNumberFormat="1" applyFont="1" applyAlignment="1">
      <alignment horizontal="center" vertical="center"/>
    </xf>
    <xf numFmtId="0" fontId="50" fillId="4" borderId="37" xfId="212" applyFont="1" applyFill="1" applyBorder="1" applyProtection="1">
      <protection hidden="1"/>
    </xf>
    <xf numFmtId="2" fontId="81" fillId="4" borderId="38" xfId="209" applyNumberFormat="1" applyFont="1" applyFill="1" applyBorder="1" applyAlignment="1" applyProtection="1">
      <alignment horizontal="left" vertical="center"/>
      <protection hidden="1"/>
    </xf>
    <xf numFmtId="0" fontId="85" fillId="4" borderId="39" xfId="212" applyFont="1" applyFill="1" applyBorder="1" applyAlignment="1" applyProtection="1">
      <alignment horizontal="right"/>
      <protection hidden="1"/>
    </xf>
    <xf numFmtId="2" fontId="73" fillId="4" borderId="0" xfId="212" applyNumberFormat="1" applyFont="1" applyFill="1" applyAlignment="1" applyProtection="1">
      <alignment horizontal="center"/>
      <protection hidden="1"/>
    </xf>
    <xf numFmtId="176" fontId="80" fillId="4" borderId="44" xfId="0" applyNumberFormat="1" applyFont="1" applyFill="1" applyBorder="1" applyAlignment="1">
      <alignment horizontal="center" vertical="center"/>
    </xf>
    <xf numFmtId="0" fontId="53" fillId="0" borderId="37" xfId="212" applyFont="1" applyBorder="1" applyProtection="1">
      <protection hidden="1"/>
    </xf>
    <xf numFmtId="0" fontId="83" fillId="0" borderId="38" xfId="212" applyFont="1" applyBorder="1" applyProtection="1">
      <protection hidden="1"/>
    </xf>
    <xf numFmtId="0" fontId="83" fillId="0" borderId="39" xfId="212" applyFont="1" applyBorder="1" applyAlignment="1" applyProtection="1">
      <alignment horizontal="right"/>
      <protection hidden="1"/>
    </xf>
    <xf numFmtId="2" fontId="71" fillId="0" borderId="0" xfId="212" applyNumberFormat="1" applyFont="1" applyAlignment="1" applyProtection="1">
      <alignment horizontal="center"/>
      <protection hidden="1"/>
    </xf>
    <xf numFmtId="0" fontId="50" fillId="0" borderId="37" xfId="212" applyFont="1" applyBorder="1" applyProtection="1">
      <protection hidden="1"/>
    </xf>
    <xf numFmtId="0" fontId="82" fillId="0" borderId="38" xfId="212" applyFont="1" applyBorder="1" applyAlignment="1" applyProtection="1">
      <alignment horizontal="right"/>
      <protection hidden="1"/>
    </xf>
    <xf numFmtId="0" fontId="82" fillId="0" borderId="39" xfId="212" applyFont="1" applyBorder="1" applyAlignment="1" applyProtection="1">
      <alignment horizontal="right"/>
      <protection hidden="1"/>
    </xf>
    <xf numFmtId="0" fontId="66" fillId="0" borderId="37" xfId="212" applyFont="1" applyBorder="1" applyProtection="1">
      <protection hidden="1"/>
    </xf>
    <xf numFmtId="0" fontId="85" fillId="0" borderId="38" xfId="212" applyFont="1" applyBorder="1" applyAlignment="1" applyProtection="1">
      <alignment horizontal="center"/>
      <protection hidden="1"/>
    </xf>
    <xf numFmtId="0" fontId="85" fillId="0" borderId="39" xfId="212" applyFont="1" applyBorder="1" applyAlignment="1" applyProtection="1">
      <alignment horizontal="right"/>
      <protection hidden="1"/>
    </xf>
    <xf numFmtId="176" fontId="86" fillId="0" borderId="0" xfId="14" applyNumberFormat="1" applyFont="1" applyFill="1" applyBorder="1" applyAlignment="1" applyProtection="1">
      <alignment horizontal="center"/>
      <protection hidden="1"/>
    </xf>
    <xf numFmtId="0" fontId="49" fillId="0" borderId="37" xfId="212" applyFont="1" applyBorder="1" applyProtection="1">
      <protection hidden="1"/>
    </xf>
    <xf numFmtId="10" fontId="82" fillId="0" borderId="38" xfId="212" applyNumberFormat="1" applyFont="1" applyBorder="1" applyAlignment="1" applyProtection="1">
      <alignment horizontal="right"/>
      <protection hidden="1"/>
    </xf>
    <xf numFmtId="2" fontId="87" fillId="0" borderId="0" xfId="212" applyNumberFormat="1" applyFont="1" applyAlignment="1" applyProtection="1">
      <alignment horizontal="center"/>
      <protection hidden="1"/>
    </xf>
    <xf numFmtId="176" fontId="89" fillId="0" borderId="0" xfId="0" applyNumberFormat="1" applyFont="1" applyAlignment="1">
      <alignment horizontal="center" vertical="center"/>
    </xf>
    <xf numFmtId="0" fontId="90" fillId="0" borderId="38" xfId="212" applyFont="1" applyBorder="1" applyAlignment="1" applyProtection="1">
      <alignment horizontal="center"/>
      <protection hidden="1"/>
    </xf>
    <xf numFmtId="164" fontId="85" fillId="0" borderId="38" xfId="212" applyNumberFormat="1" applyFont="1" applyBorder="1" applyAlignment="1" applyProtection="1">
      <alignment horizontal="center"/>
      <protection hidden="1"/>
    </xf>
    <xf numFmtId="166" fontId="61" fillId="21" borderId="35" xfId="29" applyFont="1" applyFill="1" applyBorder="1" applyAlignment="1" applyProtection="1">
      <protection locked="0"/>
    </xf>
    <xf numFmtId="168" fontId="85" fillId="0" borderId="38" xfId="212" applyNumberFormat="1" applyFont="1" applyBorder="1" applyAlignment="1" applyProtection="1">
      <alignment horizontal="center"/>
      <protection hidden="1"/>
    </xf>
    <xf numFmtId="0" fontId="50" fillId="15" borderId="37" xfId="212" applyFont="1" applyFill="1" applyBorder="1" applyProtection="1">
      <protection hidden="1"/>
    </xf>
    <xf numFmtId="0" fontId="85" fillId="15" borderId="38" xfId="212" applyFont="1" applyFill="1" applyBorder="1" applyAlignment="1" applyProtection="1">
      <alignment horizontal="center"/>
      <protection hidden="1"/>
    </xf>
    <xf numFmtId="0" fontId="85" fillId="15" borderId="39" xfId="212" applyFont="1" applyFill="1" applyBorder="1" applyAlignment="1" applyProtection="1">
      <alignment horizontal="right"/>
      <protection hidden="1"/>
    </xf>
    <xf numFmtId="176" fontId="91" fillId="0" borderId="0" xfId="0" applyNumberFormat="1" applyFont="1" applyAlignment="1">
      <alignment horizontal="center" vertical="center"/>
    </xf>
    <xf numFmtId="0" fontId="85" fillId="0" borderId="38" xfId="212" applyFont="1" applyBorder="1" applyProtection="1">
      <protection hidden="1"/>
    </xf>
    <xf numFmtId="164" fontId="83" fillId="0" borderId="38" xfId="212" applyNumberFormat="1" applyFont="1" applyBorder="1" applyProtection="1">
      <protection hidden="1"/>
    </xf>
    <xf numFmtId="164" fontId="85" fillId="0" borderId="39" xfId="212" applyNumberFormat="1" applyFont="1" applyBorder="1" applyAlignment="1" applyProtection="1">
      <alignment horizontal="right"/>
      <protection hidden="1"/>
    </xf>
    <xf numFmtId="176" fontId="41" fillId="0" borderId="0" xfId="0" applyNumberFormat="1" applyFont="1" applyAlignment="1">
      <alignment horizontal="center" vertical="center"/>
    </xf>
    <xf numFmtId="1" fontId="59" fillId="0" borderId="35" xfId="212" applyNumberFormat="1" applyFont="1" applyBorder="1" applyAlignment="1" applyProtection="1">
      <alignment horizontal="center"/>
      <protection hidden="1"/>
    </xf>
    <xf numFmtId="166" fontId="59" fillId="0" borderId="35" xfId="0" applyNumberFormat="1" applyFont="1" applyBorder="1"/>
    <xf numFmtId="2" fontId="52" fillId="0" borderId="0" xfId="39" applyNumberFormat="1" applyFont="1"/>
    <xf numFmtId="49" fontId="54" fillId="0" borderId="0" xfId="39" applyNumberFormat="1" applyFont="1"/>
    <xf numFmtId="49" fontId="54" fillId="0" borderId="0" xfId="213" applyNumberFormat="1" applyFont="1"/>
    <xf numFmtId="0" fontId="68" fillId="0" borderId="0" xfId="12" applyFont="1"/>
    <xf numFmtId="0" fontId="50" fillId="0" borderId="0" xfId="12" applyFont="1"/>
    <xf numFmtId="49" fontId="95" fillId="0" borderId="0" xfId="11" applyNumberFormat="1" applyFont="1" applyAlignment="1" applyProtection="1">
      <alignment horizontal="left" vertical="top"/>
      <protection hidden="1"/>
    </xf>
    <xf numFmtId="49" fontId="54" fillId="0" borderId="0" xfId="12" applyNumberFormat="1" applyFont="1"/>
    <xf numFmtId="2" fontId="75" fillId="0" borderId="0" xfId="12" applyNumberFormat="1" applyFont="1"/>
    <xf numFmtId="2" fontId="75" fillId="0" borderId="0" xfId="12" applyNumberFormat="1" applyFont="1" applyAlignment="1">
      <alignment horizontal="left"/>
    </xf>
    <xf numFmtId="0" fontId="75" fillId="0" borderId="0" xfId="12" applyFont="1"/>
    <xf numFmtId="2" fontId="52" fillId="0" borderId="0" xfId="12" applyNumberFormat="1" applyFont="1"/>
    <xf numFmtId="2" fontId="75" fillId="0" borderId="0" xfId="12" quotePrefix="1" applyNumberFormat="1" applyFont="1"/>
    <xf numFmtId="0" fontId="75" fillId="0" borderId="0" xfId="12" applyFont="1" applyAlignment="1">
      <alignment horizontal="left"/>
    </xf>
    <xf numFmtId="186" fontId="94" fillId="0" borderId="0" xfId="12" quotePrefix="1" applyNumberFormat="1" applyFont="1" applyAlignment="1">
      <alignment horizontal="left"/>
    </xf>
    <xf numFmtId="1" fontId="96" fillId="0" borderId="0" xfId="12" applyNumberFormat="1" applyFont="1" applyAlignment="1">
      <alignment horizontal="left"/>
    </xf>
    <xf numFmtId="14" fontId="94" fillId="0" borderId="0" xfId="12" applyNumberFormat="1" applyFont="1" applyAlignment="1">
      <alignment horizontal="left"/>
    </xf>
    <xf numFmtId="49" fontId="75" fillId="0" borderId="0" xfId="12" applyNumberFormat="1" applyFont="1"/>
    <xf numFmtId="0" fontId="60" fillId="0" borderId="0" xfId="11" applyFont="1" applyAlignment="1" applyProtection="1">
      <alignment horizontal="left"/>
      <protection hidden="1"/>
    </xf>
    <xf numFmtId="49" fontId="50" fillId="0" borderId="0" xfId="11" applyNumberFormat="1" applyFont="1" applyAlignment="1" applyProtection="1">
      <alignment horizontal="left" vertical="top"/>
      <protection hidden="1"/>
    </xf>
    <xf numFmtId="0" fontId="50" fillId="0" borderId="0" xfId="11" applyFont="1" applyAlignment="1" applyProtection="1">
      <alignment horizontal="center" vertical="justify"/>
      <protection hidden="1"/>
    </xf>
    <xf numFmtId="0" fontId="50" fillId="0" borderId="0" xfId="12" applyFont="1" applyAlignment="1">
      <alignment horizontal="left"/>
    </xf>
    <xf numFmtId="49" fontId="50" fillId="0" borderId="0" xfId="11" applyNumberFormat="1" applyFont="1" applyAlignment="1" applyProtection="1">
      <alignment horizontal="left"/>
      <protection hidden="1"/>
    </xf>
    <xf numFmtId="0" fontId="53" fillId="0" borderId="0" xfId="11" applyFont="1" applyAlignment="1" applyProtection="1">
      <alignment horizontal="left" vertical="top"/>
      <protection hidden="1"/>
    </xf>
    <xf numFmtId="49" fontId="53" fillId="0" borderId="37" xfId="11" applyNumberFormat="1" applyFont="1" applyBorder="1" applyAlignment="1" applyProtection="1">
      <alignment horizontal="left"/>
      <protection hidden="1"/>
    </xf>
    <xf numFmtId="0" fontId="53" fillId="0" borderId="38" xfId="11" applyFont="1" applyBorder="1" applyAlignment="1" applyProtection="1">
      <alignment horizontal="left" vertical="top"/>
      <protection hidden="1"/>
    </xf>
    <xf numFmtId="176" fontId="53" fillId="0" borderId="0" xfId="14" applyNumberFormat="1" applyFont="1" applyFill="1" applyBorder="1" applyAlignment="1" applyProtection="1">
      <alignment horizontal="center"/>
      <protection hidden="1"/>
    </xf>
    <xf numFmtId="176" fontId="60" fillId="0" borderId="0" xfId="14" applyNumberFormat="1" applyFont="1" applyFill="1" applyBorder="1" applyAlignment="1" applyProtection="1">
      <alignment horizontal="center"/>
      <protection hidden="1"/>
    </xf>
    <xf numFmtId="43" fontId="50" fillId="0" borderId="0" xfId="12" applyNumberFormat="1" applyFont="1"/>
    <xf numFmtId="49" fontId="53" fillId="0" borderId="0" xfId="11" applyNumberFormat="1" applyFont="1" applyAlignment="1" applyProtection="1">
      <alignment horizontal="left"/>
      <protection hidden="1"/>
    </xf>
    <xf numFmtId="49" fontId="53" fillId="0" borderId="0" xfId="12" applyNumberFormat="1" applyFont="1"/>
    <xf numFmtId="49" fontId="50" fillId="0" borderId="0" xfId="12" applyNumberFormat="1" applyFont="1"/>
    <xf numFmtId="2" fontId="50" fillId="0" borderId="0" xfId="12" applyNumberFormat="1" applyFont="1"/>
    <xf numFmtId="49" fontId="53" fillId="0" borderId="37" xfId="12" applyNumberFormat="1" applyFont="1" applyBorder="1"/>
    <xf numFmtId="0" fontId="53" fillId="0" borderId="38" xfId="12" applyFont="1" applyBorder="1"/>
    <xf numFmtId="49" fontId="53" fillId="0" borderId="38" xfId="12" applyNumberFormat="1" applyFont="1" applyBorder="1"/>
    <xf numFmtId="0" fontId="82" fillId="20" borderId="35" xfId="37" applyFont="1" applyFill="1" applyBorder="1"/>
    <xf numFmtId="44" fontId="99" fillId="20" borderId="35" xfId="96" applyFont="1" applyFill="1" applyBorder="1" applyAlignment="1">
      <alignment horizontal="right"/>
    </xf>
    <xf numFmtId="9" fontId="99" fillId="20" borderId="35" xfId="211" applyFont="1" applyFill="1" applyBorder="1" applyAlignment="1">
      <alignment horizontal="center"/>
    </xf>
    <xf numFmtId="168" fontId="41" fillId="0" borderId="0" xfId="35" applyFont="1" applyFill="1" applyAlignment="1"/>
    <xf numFmtId="174" fontId="41" fillId="0" borderId="0" xfId="36" applyNumberFormat="1" applyFont="1" applyFill="1" applyAlignment="1">
      <alignment horizontal="left"/>
    </xf>
    <xf numFmtId="176" fontId="59" fillId="0" borderId="0" xfId="14" applyNumberFormat="1" applyFont="1" applyFill="1" applyBorder="1" applyAlignment="1" applyProtection="1">
      <alignment horizontal="center"/>
      <protection hidden="1"/>
    </xf>
    <xf numFmtId="174" fontId="59" fillId="0" borderId="0" xfId="11" applyNumberFormat="1" applyFont="1" applyAlignment="1" applyProtection="1">
      <alignment horizontal="left"/>
      <protection hidden="1"/>
    </xf>
    <xf numFmtId="49" fontId="41" fillId="0" borderId="0" xfId="11" applyNumberFormat="1" applyFont="1" applyAlignment="1" applyProtection="1">
      <alignment horizontal="left"/>
      <protection hidden="1"/>
    </xf>
    <xf numFmtId="174" fontId="41" fillId="0" borderId="2" xfId="36" applyNumberFormat="1" applyFont="1" applyFill="1" applyBorder="1" applyAlignment="1">
      <alignment horizontal="left"/>
    </xf>
    <xf numFmtId="10" fontId="41" fillId="0" borderId="0" xfId="12" applyNumberFormat="1" applyFont="1" applyAlignment="1">
      <alignment horizontal="left"/>
    </xf>
    <xf numFmtId="44" fontId="59" fillId="0" borderId="39" xfId="12" applyNumberFormat="1" applyFont="1" applyBorder="1"/>
    <xf numFmtId="0" fontId="97" fillId="16" borderId="38" xfId="39" applyFont="1" applyFill="1" applyBorder="1" applyAlignment="1">
      <alignment horizontal="center"/>
    </xf>
    <xf numFmtId="0" fontId="97" fillId="16" borderId="39" xfId="39" applyFont="1" applyFill="1" applyBorder="1" applyAlignment="1">
      <alignment horizontal="center"/>
    </xf>
    <xf numFmtId="167" fontId="50" fillId="0" borderId="0" xfId="7" applyFont="1" applyFill="1" applyAlignment="1"/>
    <xf numFmtId="44" fontId="50" fillId="0" borderId="0" xfId="34" applyFont="1" applyFill="1" applyAlignment="1"/>
    <xf numFmtId="0" fontId="52" fillId="0" borderId="0" xfId="12" applyFont="1"/>
    <xf numFmtId="167" fontId="52" fillId="0" borderId="0" xfId="7" applyFont="1" applyFill="1" applyAlignment="1"/>
    <xf numFmtId="167" fontId="75" fillId="0" borderId="0" xfId="7" applyFont="1" applyFill="1" applyAlignment="1"/>
    <xf numFmtId="167" fontId="74" fillId="0" borderId="0" xfId="7" applyFont="1" applyFill="1" applyAlignment="1"/>
    <xf numFmtId="186" fontId="96" fillId="0" borderId="0" xfId="12" applyNumberFormat="1" applyFont="1" applyAlignment="1">
      <alignment horizontal="left"/>
    </xf>
    <xf numFmtId="2" fontId="54" fillId="0" borderId="0" xfId="12" applyNumberFormat="1" applyFont="1"/>
    <xf numFmtId="0" fontId="96" fillId="0" borderId="0" xfId="12" applyFont="1" applyAlignment="1">
      <alignment horizontal="left"/>
    </xf>
    <xf numFmtId="49" fontId="74" fillId="0" borderId="0" xfId="12" applyNumberFormat="1" applyFont="1"/>
    <xf numFmtId="44" fontId="75" fillId="0" borderId="0" xfId="34" applyFont="1" applyFill="1" applyAlignment="1"/>
    <xf numFmtId="44" fontId="74" fillId="0" borderId="0" xfId="34" applyFont="1" applyFill="1" applyAlignment="1"/>
    <xf numFmtId="0" fontId="74" fillId="0" borderId="0" xfId="12" applyFont="1"/>
    <xf numFmtId="0" fontId="97" fillId="16" borderId="37" xfId="39" applyFont="1" applyFill="1" applyBorder="1" applyAlignment="1">
      <alignment horizontal="left"/>
    </xf>
    <xf numFmtId="0" fontId="97" fillId="16" borderId="38" xfId="39" applyFont="1" applyFill="1" applyBorder="1" applyAlignment="1">
      <alignment horizontal="left"/>
    </xf>
    <xf numFmtId="2" fontId="98" fillId="16" borderId="35" xfId="18" applyNumberFormat="1" applyFont="1" applyFill="1" applyBorder="1" applyAlignment="1">
      <alignment vertical="top" wrapText="1"/>
    </xf>
    <xf numFmtId="0" fontId="53" fillId="0" borderId="0" xfId="12" applyFont="1"/>
    <xf numFmtId="0" fontId="50" fillId="0" borderId="35" xfId="0" applyFont="1" applyBorder="1"/>
    <xf numFmtId="0" fontId="50" fillId="4" borderId="35" xfId="0" applyFont="1" applyFill="1" applyBorder="1" applyAlignment="1">
      <alignment horizontal="left"/>
    </xf>
    <xf numFmtId="167" fontId="50" fillId="0" borderId="0" xfId="7" applyFont="1"/>
    <xf numFmtId="44" fontId="50" fillId="0" borderId="0" xfId="34" applyFont="1"/>
    <xf numFmtId="0" fontId="50" fillId="4" borderId="4" xfId="0" applyFont="1" applyFill="1" applyBorder="1"/>
    <xf numFmtId="0" fontId="53" fillId="4" borderId="3" xfId="0" applyFont="1" applyFill="1" applyBorder="1"/>
    <xf numFmtId="0" fontId="50" fillId="4" borderId="3" xfId="0" applyFont="1" applyFill="1" applyBorder="1"/>
    <xf numFmtId="0" fontId="50" fillId="4" borderId="0" xfId="0" applyFont="1" applyFill="1"/>
    <xf numFmtId="0" fontId="53" fillId="4" borderId="0" xfId="0" applyFont="1" applyFill="1"/>
    <xf numFmtId="167" fontId="41" fillId="0" borderId="35" xfId="7" applyFont="1" applyBorder="1"/>
    <xf numFmtId="44" fontId="41" fillId="0" borderId="35" xfId="34" applyFont="1" applyBorder="1"/>
    <xf numFmtId="167" fontId="41" fillId="0" borderId="0" xfId="7" applyFont="1"/>
    <xf numFmtId="44" fontId="41" fillId="0" borderId="0" xfId="34" applyFont="1"/>
    <xf numFmtId="167" fontId="59" fillId="4" borderId="5" xfId="7" applyFont="1" applyFill="1" applyBorder="1"/>
    <xf numFmtId="0" fontId="41" fillId="0" borderId="35" xfId="0" applyFont="1" applyBorder="1" applyAlignment="1">
      <alignment horizontal="center"/>
    </xf>
    <xf numFmtId="0" fontId="49" fillId="0" borderId="0" xfId="0" applyFont="1" applyAlignment="1">
      <alignment horizontal="center"/>
    </xf>
    <xf numFmtId="0" fontId="50" fillId="0" borderId="0" xfId="0" applyFont="1" applyAlignment="1">
      <alignment horizontal="left"/>
    </xf>
    <xf numFmtId="49" fontId="50" fillId="0" borderId="0" xfId="0" applyNumberFormat="1" applyFont="1" applyAlignment="1">
      <alignment horizontal="left" vertical="top"/>
    </xf>
    <xf numFmtId="0" fontId="62" fillId="0" borderId="0" xfId="0" applyFont="1"/>
    <xf numFmtId="173" fontId="50" fillId="0" borderId="0" xfId="7" applyNumberFormat="1" applyFont="1" applyAlignment="1">
      <alignment horizontal="center"/>
    </xf>
    <xf numFmtId="167" fontId="62" fillId="0" borderId="0" xfId="7" applyFont="1"/>
    <xf numFmtId="183" fontId="62" fillId="0" borderId="0" xfId="7" applyNumberFormat="1" applyFont="1"/>
    <xf numFmtId="169" fontId="62" fillId="0" borderId="0" xfId="7" applyNumberFormat="1" applyFont="1"/>
    <xf numFmtId="2" fontId="53" fillId="0" borderId="0" xfId="0" applyNumberFormat="1" applyFont="1"/>
    <xf numFmtId="2" fontId="53" fillId="0" borderId="0" xfId="0" applyNumberFormat="1" applyFont="1" applyAlignment="1">
      <alignment horizontal="left"/>
    </xf>
    <xf numFmtId="49" fontId="53" fillId="0" borderId="0" xfId="0" applyNumberFormat="1" applyFont="1" applyAlignment="1">
      <alignment horizontal="left" vertical="top"/>
    </xf>
    <xf numFmtId="0" fontId="93" fillId="0" borderId="0" xfId="0" applyFont="1"/>
    <xf numFmtId="0" fontId="53" fillId="0" borderId="0" xfId="0" applyFont="1"/>
    <xf numFmtId="173" fontId="53" fillId="0" borderId="0" xfId="0" applyNumberFormat="1" applyFont="1"/>
    <xf numFmtId="167" fontId="93" fillId="0" borderId="0" xfId="7" applyFont="1"/>
    <xf numFmtId="183" fontId="93" fillId="0" borderId="0" xfId="7" applyNumberFormat="1" applyFont="1"/>
    <xf numFmtId="169" fontId="93" fillId="0" borderId="0" xfId="7" applyNumberFormat="1" applyFont="1"/>
    <xf numFmtId="173" fontId="53" fillId="0" borderId="0" xfId="7" applyNumberFormat="1" applyFont="1" applyFill="1" applyAlignment="1">
      <alignment horizontal="center"/>
    </xf>
    <xf numFmtId="173" fontId="50" fillId="0" borderId="0" xfId="7" applyNumberFormat="1" applyFont="1"/>
    <xf numFmtId="49" fontId="54" fillId="0" borderId="0" xfId="0" applyNumberFormat="1" applyFont="1" applyAlignment="1">
      <alignment horizontal="left" vertical="top"/>
    </xf>
    <xf numFmtId="2" fontId="53" fillId="0" borderId="0" xfId="0" applyNumberFormat="1" applyFont="1" applyAlignment="1">
      <alignment horizontal="center" vertical="top" wrapText="1"/>
    </xf>
    <xf numFmtId="2" fontId="53" fillId="0" borderId="0" xfId="0" applyNumberFormat="1" applyFont="1" applyAlignment="1">
      <alignment vertical="top" wrapText="1"/>
    </xf>
    <xf numFmtId="2" fontId="53" fillId="0" borderId="0" xfId="0" applyNumberFormat="1" applyFont="1" applyAlignment="1">
      <alignment horizontal="left" vertical="top" wrapText="1"/>
    </xf>
    <xf numFmtId="0" fontId="93" fillId="0" borderId="0" xfId="0" applyFont="1" applyAlignment="1">
      <alignment vertical="top" wrapText="1"/>
    </xf>
    <xf numFmtId="0" fontId="53" fillId="0" borderId="0" xfId="0" applyFont="1" applyAlignment="1">
      <alignment vertical="top" wrapText="1"/>
    </xf>
    <xf numFmtId="167" fontId="93" fillId="0" borderId="0" xfId="7" applyFont="1" applyAlignment="1">
      <alignment vertical="top" wrapText="1"/>
    </xf>
    <xf numFmtId="183" fontId="93" fillId="0" borderId="0" xfId="7" applyNumberFormat="1" applyFont="1" applyAlignment="1">
      <alignment vertical="top" wrapText="1"/>
    </xf>
    <xf numFmtId="169" fontId="93" fillId="0" borderId="0" xfId="7" applyNumberFormat="1" applyFont="1" applyAlignment="1">
      <alignment vertical="top" wrapText="1"/>
    </xf>
    <xf numFmtId="2" fontId="98" fillId="16" borderId="36" xfId="0" applyNumberFormat="1" applyFont="1" applyFill="1" applyBorder="1" applyAlignment="1">
      <alignment horizontal="left" vertical="top" wrapText="1"/>
    </xf>
    <xf numFmtId="2" fontId="93" fillId="16" borderId="36" xfId="0" applyNumberFormat="1" applyFont="1" applyFill="1" applyBorder="1" applyAlignment="1">
      <alignment horizontal="left" vertical="top" wrapText="1"/>
    </xf>
    <xf numFmtId="2" fontId="93" fillId="16" borderId="36" xfId="0" applyNumberFormat="1" applyFont="1" applyFill="1" applyBorder="1" applyAlignment="1">
      <alignment horizontal="center" vertical="top" wrapText="1"/>
    </xf>
    <xf numFmtId="169" fontId="58" fillId="16" borderId="36" xfId="7" applyNumberFormat="1" applyFont="1" applyFill="1" applyBorder="1" applyAlignment="1">
      <alignment horizontal="left" vertical="top" wrapText="1"/>
    </xf>
    <xf numFmtId="167" fontId="58" fillId="16" borderId="36" xfId="7" applyFont="1" applyFill="1" applyBorder="1" applyAlignment="1">
      <alignment horizontal="center" vertical="top" wrapText="1"/>
    </xf>
    <xf numFmtId="167" fontId="58" fillId="16" borderId="36" xfId="7" applyFont="1" applyFill="1" applyBorder="1" applyAlignment="1">
      <alignment vertical="top" wrapText="1"/>
    </xf>
    <xf numFmtId="170" fontId="50" fillId="0" borderId="35" xfId="0" applyNumberFormat="1" applyFont="1" applyBorder="1" applyAlignment="1">
      <alignment horizontal="left"/>
    </xf>
    <xf numFmtId="49" fontId="50" fillId="0" borderId="35" xfId="0" applyNumberFormat="1" applyFont="1" applyBorder="1" applyAlignment="1">
      <alignment horizontal="left" vertical="top"/>
    </xf>
    <xf numFmtId="49" fontId="50" fillId="0" borderId="35" xfId="0" applyNumberFormat="1" applyFont="1" applyBorder="1" applyAlignment="1">
      <alignment horizontal="left"/>
    </xf>
    <xf numFmtId="0" fontId="62" fillId="0" borderId="35" xfId="7" applyNumberFormat="1" applyFont="1" applyFill="1" applyBorder="1" applyAlignment="1"/>
    <xf numFmtId="0" fontId="62" fillId="0" borderId="35" xfId="0" applyFont="1" applyBorder="1" applyAlignment="1">
      <alignment horizontal="center"/>
    </xf>
    <xf numFmtId="0" fontId="50" fillId="0" borderId="0" xfId="0" applyFont="1" applyAlignment="1">
      <alignment horizontal="center"/>
    </xf>
    <xf numFmtId="169" fontId="41" fillId="0" borderId="35" xfId="7" applyNumberFormat="1" applyFont="1" applyFill="1" applyBorder="1" applyAlignment="1">
      <alignment horizontal="right"/>
    </xf>
    <xf numFmtId="167" fontId="100" fillId="0" borderId="35" xfId="7" applyFont="1" applyBorder="1"/>
    <xf numFmtId="169" fontId="100" fillId="0" borderId="35" xfId="7" applyNumberFormat="1" applyFont="1" applyBorder="1"/>
    <xf numFmtId="1" fontId="41" fillId="0" borderId="35" xfId="7" applyNumberFormat="1" applyFont="1" applyFill="1" applyBorder="1" applyAlignment="1">
      <alignment horizontal="center"/>
    </xf>
    <xf numFmtId="1" fontId="41" fillId="0" borderId="35" xfId="0" applyNumberFormat="1" applyFont="1" applyBorder="1" applyAlignment="1">
      <alignment horizontal="center"/>
    </xf>
    <xf numFmtId="2" fontId="41" fillId="0" borderId="35" xfId="0" applyNumberFormat="1" applyFont="1" applyBorder="1" applyAlignment="1">
      <alignment horizontal="center"/>
    </xf>
    <xf numFmtId="1" fontId="41" fillId="0" borderId="35" xfId="7" applyNumberFormat="1" applyFont="1" applyFill="1" applyBorder="1" applyAlignment="1">
      <alignment horizontal="left"/>
    </xf>
    <xf numFmtId="0" fontId="41" fillId="4" borderId="35" xfId="0" applyFont="1" applyFill="1" applyBorder="1" applyAlignment="1">
      <alignment horizontal="center"/>
    </xf>
    <xf numFmtId="0" fontId="50" fillId="0" borderId="0" xfId="38" applyFont="1"/>
    <xf numFmtId="2" fontId="50" fillId="0" borderId="0" xfId="7" applyNumberFormat="1" applyFont="1" applyAlignment="1">
      <alignment horizontal="left"/>
    </xf>
    <xf numFmtId="2" fontId="98" fillId="16" borderId="36" xfId="0" applyNumberFormat="1" applyFont="1" applyFill="1" applyBorder="1" applyAlignment="1">
      <alignment horizontal="center" vertical="top" wrapText="1"/>
    </xf>
    <xf numFmtId="0" fontId="83" fillId="0" borderId="0" xfId="37" applyFont="1" applyAlignment="1">
      <alignment horizontal="center"/>
    </xf>
    <xf numFmtId="0" fontId="83" fillId="0" borderId="0" xfId="37" applyFont="1"/>
    <xf numFmtId="0" fontId="50" fillId="0" borderId="0" xfId="23" applyFont="1"/>
    <xf numFmtId="0" fontId="75" fillId="0" borderId="0" xfId="39" applyFont="1" applyAlignment="1">
      <alignment horizontal="center"/>
    </xf>
    <xf numFmtId="2" fontId="54" fillId="0" borderId="0" xfId="39" applyNumberFormat="1" applyFont="1"/>
    <xf numFmtId="2" fontId="52" fillId="0" borderId="0" xfId="39" applyNumberFormat="1" applyFont="1" applyAlignment="1">
      <alignment horizontal="left"/>
    </xf>
    <xf numFmtId="2" fontId="75" fillId="0" borderId="0" xfId="39" applyNumberFormat="1" applyFont="1" applyAlignment="1">
      <alignment horizontal="left"/>
    </xf>
    <xf numFmtId="2" fontId="83" fillId="0" borderId="0" xfId="37" applyNumberFormat="1" applyFont="1"/>
    <xf numFmtId="2" fontId="75" fillId="0" borderId="0" xfId="39" applyNumberFormat="1" applyFont="1"/>
    <xf numFmtId="2" fontId="74" fillId="0" borderId="0" xfId="37" applyNumberFormat="1" applyFont="1" applyAlignment="1">
      <alignment vertical="center"/>
    </xf>
    <xf numFmtId="0" fontId="75" fillId="0" borderId="0" xfId="39" applyFont="1" applyAlignment="1">
      <alignment horizontal="left"/>
    </xf>
    <xf numFmtId="49" fontId="96" fillId="0" borderId="0" xfId="39" applyNumberFormat="1" applyFont="1" applyAlignment="1">
      <alignment horizontal="left"/>
    </xf>
    <xf numFmtId="2" fontId="74" fillId="0" borderId="0" xfId="39" applyNumberFormat="1" applyFont="1"/>
    <xf numFmtId="2" fontId="75" fillId="0" borderId="0" xfId="37" applyNumberFormat="1" applyFont="1" applyAlignment="1">
      <alignment vertical="center"/>
    </xf>
    <xf numFmtId="0" fontId="75" fillId="0" borderId="0" xfId="37" applyFont="1" applyAlignment="1">
      <alignment horizontal="center" vertical="center"/>
    </xf>
    <xf numFmtId="0" fontId="101" fillId="0" borderId="35" xfId="191" applyFont="1" applyBorder="1"/>
    <xf numFmtId="0" fontId="50" fillId="0" borderId="37" xfId="12" applyFont="1" applyBorder="1" applyAlignment="1">
      <alignment horizontal="left"/>
    </xf>
    <xf numFmtId="0" fontId="50" fillId="0" borderId="37" xfId="12" applyFont="1" applyBorder="1" applyAlignment="1">
      <alignment horizontal="center"/>
    </xf>
    <xf numFmtId="0" fontId="50" fillId="0" borderId="37" xfId="12" applyFont="1" applyBorder="1"/>
    <xf numFmtId="0" fontId="50" fillId="0" borderId="35" xfId="12" applyFont="1" applyBorder="1"/>
    <xf numFmtId="49" fontId="67" fillId="0" borderId="37" xfId="12" applyNumberFormat="1" applyFont="1" applyBorder="1"/>
    <xf numFmtId="49" fontId="67" fillId="0" borderId="38" xfId="12" applyNumberFormat="1" applyFont="1" applyBorder="1"/>
    <xf numFmtId="0" fontId="93" fillId="22" borderId="35" xfId="37" applyFont="1" applyFill="1" applyBorder="1"/>
    <xf numFmtId="179" fontId="41" fillId="22" borderId="35" xfId="14" applyNumberFormat="1" applyFont="1" applyFill="1" applyBorder="1" applyAlignment="1">
      <alignment horizontal="center"/>
    </xf>
    <xf numFmtId="0" fontId="41" fillId="0" borderId="35" xfId="23" applyFont="1" applyBorder="1" applyAlignment="1">
      <alignment horizontal="center"/>
    </xf>
    <xf numFmtId="0" fontId="41" fillId="0" borderId="37" xfId="23" applyFont="1" applyBorder="1" applyAlignment="1">
      <alignment horizontal="center"/>
    </xf>
    <xf numFmtId="180" fontId="41" fillId="0" borderId="35" xfId="12" applyNumberFormat="1" applyFont="1" applyBorder="1" applyAlignment="1">
      <alignment horizontal="center"/>
    </xf>
    <xf numFmtId="166" fontId="41" fillId="0" borderId="35" xfId="29" applyFont="1" applyFill="1" applyBorder="1" applyAlignment="1"/>
    <xf numFmtId="167" fontId="41" fillId="14" borderId="35" xfId="12" applyNumberFormat="1" applyFont="1" applyFill="1" applyBorder="1"/>
    <xf numFmtId="49" fontId="102" fillId="0" borderId="38" xfId="12" applyNumberFormat="1" applyFont="1" applyBorder="1"/>
    <xf numFmtId="165" fontId="102" fillId="0" borderId="39" xfId="12" applyNumberFormat="1" applyFont="1" applyBorder="1"/>
    <xf numFmtId="167" fontId="102" fillId="0" borderId="35" xfId="12" applyNumberFormat="1" applyFont="1" applyBorder="1"/>
    <xf numFmtId="166" fontId="102" fillId="0" borderId="35" xfId="29" applyFont="1" applyFill="1" applyBorder="1" applyAlignment="1">
      <alignment horizontal="right"/>
    </xf>
    <xf numFmtId="167" fontId="41" fillId="22" borderId="35" xfId="12" applyNumberFormat="1" applyFont="1" applyFill="1" applyBorder="1"/>
    <xf numFmtId="167" fontId="41" fillId="22" borderId="39" xfId="12" applyNumberFormat="1" applyFont="1" applyFill="1" applyBorder="1"/>
    <xf numFmtId="0" fontId="50" fillId="0" borderId="0" xfId="17" applyFont="1"/>
    <xf numFmtId="0" fontId="96" fillId="0" borderId="0" xfId="39" applyFont="1" applyAlignment="1">
      <alignment horizontal="left"/>
    </xf>
    <xf numFmtId="2" fontId="52" fillId="0" borderId="0" xfId="37" applyNumberFormat="1" applyFont="1" applyAlignment="1">
      <alignment vertical="center"/>
    </xf>
    <xf numFmtId="2" fontId="74" fillId="0" borderId="0" xfId="37" applyNumberFormat="1" applyFont="1" applyAlignment="1">
      <alignment vertical="center" wrapText="1"/>
    </xf>
    <xf numFmtId="0" fontId="50" fillId="3" borderId="35" xfId="17" applyFont="1" applyFill="1" applyBorder="1" applyAlignment="1">
      <alignment vertical="center"/>
    </xf>
    <xf numFmtId="169" fontId="50" fillId="3" borderId="35" xfId="7" applyNumberFormat="1" applyFont="1" applyFill="1" applyBorder="1" applyAlignment="1" applyProtection="1">
      <alignment horizontal="center" vertical="center" wrapText="1"/>
      <protection hidden="1"/>
    </xf>
    <xf numFmtId="0" fontId="50" fillId="0" borderId="35" xfId="17" applyFont="1" applyBorder="1" applyAlignment="1" applyProtection="1">
      <alignment horizontal="center" vertical="center"/>
      <protection hidden="1"/>
    </xf>
    <xf numFmtId="0" fontId="50" fillId="3" borderId="35" xfId="17" applyFont="1" applyFill="1" applyBorder="1" applyAlignment="1" applyProtection="1">
      <alignment vertical="center"/>
      <protection hidden="1"/>
    </xf>
    <xf numFmtId="169" fontId="50" fillId="3" borderId="35" xfId="7" applyNumberFormat="1" applyFont="1" applyFill="1" applyBorder="1" applyAlignment="1" applyProtection="1">
      <alignment horizontal="center" vertical="center"/>
      <protection hidden="1"/>
    </xf>
    <xf numFmtId="0" fontId="50" fillId="0" borderId="35" xfId="17" applyFont="1" applyBorder="1" applyAlignment="1" applyProtection="1">
      <alignment vertical="center"/>
      <protection hidden="1"/>
    </xf>
    <xf numFmtId="0" fontId="71" fillId="0" borderId="0" xfId="37" applyFont="1"/>
    <xf numFmtId="177" fontId="71" fillId="0" borderId="0" xfId="37" applyNumberFormat="1" applyFont="1"/>
    <xf numFmtId="0" fontId="103" fillId="0" borderId="0" xfId="37" applyFont="1"/>
    <xf numFmtId="0" fontId="50" fillId="22" borderId="35" xfId="17" applyFont="1" applyFill="1" applyBorder="1" applyAlignment="1" applyProtection="1">
      <alignment horizontal="center" vertical="center" wrapText="1"/>
      <protection hidden="1"/>
    </xf>
    <xf numFmtId="0" fontId="41" fillId="0" borderId="35" xfId="17" applyFont="1" applyBorder="1" applyAlignment="1" applyProtection="1">
      <alignment horizontal="center" vertical="center"/>
      <protection hidden="1"/>
    </xf>
    <xf numFmtId="177" fontId="41" fillId="22" borderId="35" xfId="17" applyNumberFormat="1" applyFont="1" applyFill="1" applyBorder="1" applyAlignment="1" applyProtection="1">
      <alignment vertical="center"/>
      <protection hidden="1"/>
    </xf>
    <xf numFmtId="177" fontId="41" fillId="0" borderId="35" xfId="17" applyNumberFormat="1" applyFont="1" applyBorder="1" applyAlignment="1" applyProtection="1">
      <alignment vertical="center"/>
      <protection hidden="1"/>
    </xf>
    <xf numFmtId="0" fontId="99" fillId="0" borderId="38" xfId="37" applyFont="1" applyBorder="1" applyAlignment="1">
      <alignment horizontal="center"/>
    </xf>
    <xf numFmtId="177" fontId="104" fillId="0" borderId="35" xfId="37" applyNumberFormat="1" applyFont="1" applyBorder="1"/>
    <xf numFmtId="2" fontId="98" fillId="16" borderId="42" xfId="0" applyNumberFormat="1" applyFont="1" applyFill="1" applyBorder="1" applyAlignment="1">
      <alignment horizontal="center" vertical="top" wrapText="1"/>
    </xf>
    <xf numFmtId="0" fontId="50" fillId="0" borderId="0" xfId="0" applyFont="1" applyAlignment="1">
      <alignment wrapText="1"/>
    </xf>
    <xf numFmtId="4" fontId="53" fillId="0" borderId="0" xfId="28" applyNumberFormat="1" applyFont="1"/>
    <xf numFmtId="4" fontId="50" fillId="0" borderId="0" xfId="28" applyNumberFormat="1" applyFont="1"/>
    <xf numFmtId="166" fontId="50" fillId="0" borderId="0" xfId="28" applyNumberFormat="1" applyFont="1"/>
    <xf numFmtId="0" fontId="50" fillId="0" borderId="35" xfId="26" applyFont="1" applyBorder="1"/>
    <xf numFmtId="0" fontId="50" fillId="0" borderId="40" xfId="26" applyFont="1" applyBorder="1"/>
    <xf numFmtId="0" fontId="50" fillId="0" borderId="41" xfId="26" applyFont="1" applyBorder="1"/>
    <xf numFmtId="0" fontId="50" fillId="0" borderId="42" xfId="26" applyFont="1" applyBorder="1"/>
    <xf numFmtId="4" fontId="53" fillId="0" borderId="45" xfId="28" applyNumberFormat="1" applyFont="1" applyBorder="1"/>
    <xf numFmtId="4" fontId="50" fillId="0" borderId="44" xfId="28" applyNumberFormat="1" applyFont="1" applyBorder="1"/>
    <xf numFmtId="4" fontId="83" fillId="0" borderId="45" xfId="28" applyNumberFormat="1" applyFont="1" applyBorder="1"/>
    <xf numFmtId="4" fontId="83" fillId="0" borderId="0" xfId="28" applyNumberFormat="1" applyFont="1"/>
    <xf numFmtId="4" fontId="71" fillId="0" borderId="45" xfId="28" applyNumberFormat="1" applyFont="1" applyBorder="1"/>
    <xf numFmtId="4" fontId="71" fillId="0" borderId="0" xfId="28" applyNumberFormat="1" applyFont="1"/>
    <xf numFmtId="166" fontId="53" fillId="0" borderId="0" xfId="28" applyNumberFormat="1" applyFont="1"/>
    <xf numFmtId="4" fontId="83" fillId="0" borderId="33" xfId="28" applyNumberFormat="1" applyFont="1" applyBorder="1"/>
    <xf numFmtId="4" fontId="50" fillId="0" borderId="2" xfId="28" applyNumberFormat="1" applyFont="1" applyBorder="1"/>
    <xf numFmtId="4" fontId="83" fillId="0" borderId="2" xfId="28" applyNumberFormat="1" applyFont="1" applyBorder="1"/>
    <xf numFmtId="166" fontId="50" fillId="0" borderId="2" xfId="28" applyNumberFormat="1" applyFont="1" applyBorder="1"/>
    <xf numFmtId="166" fontId="50" fillId="0" borderId="34" xfId="28" applyNumberFormat="1" applyFont="1" applyBorder="1"/>
    <xf numFmtId="166" fontId="50" fillId="0" borderId="0" xfId="29" applyFont="1" applyBorder="1" applyAlignment="1"/>
    <xf numFmtId="166" fontId="83" fillId="0" borderId="0" xfId="28" applyNumberFormat="1" applyFont="1"/>
    <xf numFmtId="2" fontId="98" fillId="16" borderId="35" xfId="26" applyNumberFormat="1" applyFont="1" applyFill="1" applyBorder="1" applyAlignment="1">
      <alignment vertical="top" wrapText="1"/>
    </xf>
    <xf numFmtId="4" fontId="98" fillId="16" borderId="35" xfId="26" applyNumberFormat="1" applyFont="1" applyFill="1" applyBorder="1" applyAlignment="1">
      <alignment horizontal="center" vertical="top" wrapText="1"/>
    </xf>
    <xf numFmtId="3" fontId="98" fillId="16" borderId="35" xfId="26" applyNumberFormat="1" applyFont="1" applyFill="1" applyBorder="1" applyAlignment="1">
      <alignment horizontal="center" vertical="top" wrapText="1"/>
    </xf>
    <xf numFmtId="3" fontId="41" fillId="0" borderId="35" xfId="26" applyNumberFormat="1" applyFont="1" applyBorder="1"/>
    <xf numFmtId="0" fontId="87" fillId="22" borderId="35" xfId="37" applyFont="1" applyFill="1" applyBorder="1"/>
    <xf numFmtId="4" fontId="98" fillId="16" borderId="35" xfId="26" applyNumberFormat="1" applyFont="1" applyFill="1" applyBorder="1" applyAlignment="1">
      <alignment horizontal="left" vertical="top" wrapText="1"/>
    </xf>
    <xf numFmtId="4" fontId="98" fillId="16" borderId="35" xfId="26" applyNumberFormat="1" applyFont="1" applyFill="1" applyBorder="1" applyAlignment="1">
      <alignment vertical="top" wrapText="1"/>
    </xf>
    <xf numFmtId="169" fontId="59" fillId="0" borderId="39" xfId="7" applyNumberFormat="1" applyFont="1" applyFill="1" applyBorder="1"/>
    <xf numFmtId="177" fontId="41" fillId="22" borderId="35" xfId="37" applyNumberFormat="1" applyFont="1" applyFill="1" applyBorder="1"/>
    <xf numFmtId="166" fontId="41" fillId="0" borderId="44" xfId="28" applyNumberFormat="1" applyFont="1" applyBorder="1"/>
    <xf numFmtId="166" fontId="59" fillId="0" borderId="35" xfId="28" applyNumberFormat="1" applyFont="1" applyBorder="1"/>
    <xf numFmtId="0" fontId="41" fillId="4" borderId="35" xfId="7" applyNumberFormat="1" applyFont="1" applyFill="1" applyBorder="1" applyAlignment="1">
      <alignment horizontal="center"/>
    </xf>
    <xf numFmtId="167" fontId="41" fillId="22" borderId="35" xfId="7" applyFont="1" applyFill="1" applyBorder="1"/>
    <xf numFmtId="49" fontId="41" fillId="4" borderId="35" xfId="7" applyNumberFormat="1" applyFont="1" applyFill="1" applyBorder="1" applyAlignment="1">
      <alignment horizontal="center"/>
    </xf>
    <xf numFmtId="2" fontId="52" fillId="0" borderId="0" xfId="12" applyNumberFormat="1" applyFont="1" applyAlignment="1">
      <alignment horizontal="left"/>
    </xf>
    <xf numFmtId="2" fontId="74" fillId="0" borderId="0" xfId="37" applyNumberFormat="1" applyFont="1" applyAlignment="1">
      <alignment horizontal="right" vertical="center"/>
    </xf>
    <xf numFmtId="0" fontId="94" fillId="0" borderId="0" xfId="12" applyFont="1" applyAlignment="1">
      <alignment horizontal="left"/>
    </xf>
    <xf numFmtId="0" fontId="76" fillId="0" borderId="37" xfId="11" applyFont="1" applyBorder="1" applyAlignment="1" applyProtection="1">
      <alignment horizontal="left"/>
      <protection hidden="1"/>
    </xf>
    <xf numFmtId="0" fontId="76" fillId="0" borderId="39" xfId="11" applyFont="1" applyBorder="1" applyAlignment="1" applyProtection="1">
      <alignment horizontal="left"/>
      <protection hidden="1"/>
    </xf>
    <xf numFmtId="0" fontId="50" fillId="0" borderId="35" xfId="37" applyFont="1" applyBorder="1"/>
    <xf numFmtId="0" fontId="66" fillId="0" borderId="35" xfId="11" applyFont="1" applyBorder="1" applyAlignment="1" applyProtection="1">
      <alignment horizontal="left"/>
      <protection hidden="1"/>
    </xf>
    <xf numFmtId="0" fontId="66" fillId="0" borderId="0" xfId="11" applyFont="1" applyAlignment="1" applyProtection="1">
      <alignment horizontal="left"/>
      <protection hidden="1"/>
    </xf>
    <xf numFmtId="0" fontId="50" fillId="0" borderId="0" xfId="37" applyFont="1"/>
    <xf numFmtId="0" fontId="50" fillId="0" borderId="35" xfId="12" applyFont="1" applyBorder="1" applyAlignment="1">
      <alignment wrapText="1"/>
    </xf>
    <xf numFmtId="49" fontId="50" fillId="0" borderId="35" xfId="11" applyNumberFormat="1" applyFont="1" applyBorder="1" applyAlignment="1" applyProtection="1">
      <alignment horizontal="left" vertical="center"/>
      <protection hidden="1"/>
    </xf>
    <xf numFmtId="0" fontId="66" fillId="0" borderId="0" xfId="11" applyFont="1" applyAlignment="1" applyProtection="1">
      <alignment horizontal="center"/>
      <protection hidden="1"/>
    </xf>
    <xf numFmtId="49" fontId="50" fillId="0" borderId="35" xfId="11" applyNumberFormat="1" applyFont="1" applyBorder="1" applyAlignment="1" applyProtection="1">
      <alignment horizontal="left"/>
      <protection hidden="1"/>
    </xf>
    <xf numFmtId="187" fontId="50" fillId="0" borderId="0" xfId="0" applyNumberFormat="1" applyFont="1"/>
    <xf numFmtId="0" fontId="54" fillId="0" borderId="0" xfId="11" applyFont="1" applyAlignment="1" applyProtection="1">
      <alignment horizontal="left" vertical="center"/>
      <protection hidden="1"/>
    </xf>
    <xf numFmtId="177" fontId="83" fillId="0" borderId="0" xfId="37" applyNumberFormat="1" applyFont="1"/>
    <xf numFmtId="0" fontId="68" fillId="22" borderId="35" xfId="37" applyFont="1" applyFill="1" applyBorder="1"/>
    <xf numFmtId="179" fontId="41" fillId="22" borderId="35" xfId="14" applyNumberFormat="1" applyFont="1" applyFill="1" applyBorder="1" applyAlignment="1">
      <alignment horizontal="center" vertical="center"/>
    </xf>
    <xf numFmtId="0" fontId="98" fillId="16" borderId="35" xfId="11" applyFont="1" applyFill="1" applyBorder="1" applyAlignment="1" applyProtection="1">
      <alignment horizontal="left"/>
      <protection hidden="1"/>
    </xf>
    <xf numFmtId="0" fontId="98" fillId="16" borderId="35" xfId="11" applyFont="1" applyFill="1" applyBorder="1" applyAlignment="1" applyProtection="1">
      <alignment horizontal="left" vertical="top"/>
      <protection hidden="1"/>
    </xf>
    <xf numFmtId="0" fontId="98" fillId="16" borderId="35" xfId="11" applyFont="1" applyFill="1" applyBorder="1" applyAlignment="1" applyProtection="1">
      <alignment vertical="top" wrapText="1"/>
      <protection hidden="1"/>
    </xf>
    <xf numFmtId="9" fontId="59" fillId="4" borderId="35" xfId="14" applyFont="1" applyFill="1" applyBorder="1" applyAlignment="1">
      <alignment horizontal="center"/>
    </xf>
    <xf numFmtId="169" fontId="41" fillId="0" borderId="0" xfId="11" applyNumberFormat="1" applyFont="1" applyAlignment="1" applyProtection="1">
      <alignment horizontal="left" vertical="top"/>
      <protection hidden="1"/>
    </xf>
    <xf numFmtId="43" fontId="41" fillId="0" borderId="0" xfId="12" applyNumberFormat="1" applyFont="1"/>
    <xf numFmtId="2" fontId="52" fillId="4" borderId="0" xfId="47" applyNumberFormat="1" applyFont="1" applyFill="1"/>
    <xf numFmtId="0" fontId="106" fillId="0" borderId="0" xfId="0" applyFont="1"/>
    <xf numFmtId="167" fontId="107" fillId="16" borderId="36" xfId="7" applyFont="1" applyFill="1" applyBorder="1" applyAlignment="1">
      <alignment horizontal="center" vertical="top" wrapText="1"/>
    </xf>
    <xf numFmtId="167" fontId="65" fillId="16" borderId="36" xfId="7" applyFont="1" applyFill="1" applyBorder="1" applyAlignment="1">
      <alignment horizontal="center" vertical="top" wrapText="1"/>
    </xf>
    <xf numFmtId="1" fontId="100" fillId="0" borderId="35" xfId="0" applyNumberFormat="1" applyFont="1" applyBorder="1" applyAlignment="1">
      <alignment horizontal="center"/>
    </xf>
    <xf numFmtId="0" fontId="41" fillId="0" borderId="35" xfId="0" applyFont="1" applyBorder="1" applyAlignment="1">
      <alignment horizontal="center" vertical="center"/>
    </xf>
    <xf numFmtId="0" fontId="62" fillId="4" borderId="35" xfId="7" applyNumberFormat="1" applyFont="1" applyFill="1" applyBorder="1" applyAlignment="1"/>
    <xf numFmtId="169" fontId="41" fillId="4" borderId="35" xfId="7" applyNumberFormat="1" applyFont="1" applyFill="1" applyBorder="1" applyAlignment="1">
      <alignment horizontal="right"/>
    </xf>
    <xf numFmtId="49" fontId="50" fillId="4" borderId="35" xfId="0" applyNumberFormat="1" applyFont="1" applyFill="1" applyBorder="1" applyAlignment="1">
      <alignment horizontal="left" vertical="top"/>
    </xf>
    <xf numFmtId="0" fontId="50" fillId="4" borderId="35" xfId="0" applyFont="1" applyFill="1" applyBorder="1"/>
    <xf numFmtId="49" fontId="50" fillId="4" borderId="35" xfId="0" quotePrefix="1" applyNumberFormat="1" applyFont="1" applyFill="1" applyBorder="1" applyAlignment="1">
      <alignment horizontal="left"/>
    </xf>
    <xf numFmtId="49" fontId="50" fillId="4" borderId="35" xfId="0" applyNumberFormat="1" applyFont="1" applyFill="1" applyBorder="1" applyAlignment="1">
      <alignment horizontal="left"/>
    </xf>
    <xf numFmtId="4" fontId="43" fillId="0" borderId="0" xfId="28" applyNumberFormat="1" applyFont="1"/>
    <xf numFmtId="4" fontId="50" fillId="0" borderId="35" xfId="28" applyNumberFormat="1" applyFont="1" applyBorder="1"/>
    <xf numFmtId="2" fontId="99" fillId="22" borderId="35" xfId="7" applyNumberFormat="1" applyFont="1" applyFill="1" applyBorder="1" applyAlignment="1">
      <alignment horizontal="center"/>
    </xf>
    <xf numFmtId="3" fontId="41" fillId="0" borderId="35" xfId="28" applyNumberFormat="1" applyFont="1" applyBorder="1" applyAlignment="1">
      <alignment horizontal="center" vertical="center"/>
    </xf>
    <xf numFmtId="0" fontId="50" fillId="0" borderId="37" xfId="12" applyFont="1" applyBorder="1" applyAlignment="1">
      <alignment horizontal="left" vertical="center"/>
    </xf>
    <xf numFmtId="0" fontId="50" fillId="0" borderId="37" xfId="12" applyFont="1" applyBorder="1" applyAlignment="1">
      <alignment horizontal="center" vertical="center"/>
    </xf>
    <xf numFmtId="3" fontId="41" fillId="4" borderId="35" xfId="28" applyNumberFormat="1" applyFont="1" applyFill="1" applyBorder="1" applyAlignment="1">
      <alignment vertical="center"/>
    </xf>
    <xf numFmtId="3" fontId="41" fillId="0" borderId="35" xfId="28" applyNumberFormat="1" applyFont="1" applyBorder="1" applyAlignment="1">
      <alignment vertical="center"/>
    </xf>
    <xf numFmtId="3" fontId="50" fillId="0" borderId="35" xfId="28" applyNumberFormat="1" applyFont="1" applyBorder="1" applyAlignment="1">
      <alignment horizontal="center" vertical="center"/>
    </xf>
    <xf numFmtId="0" fontId="50" fillId="0" borderId="35" xfId="12" applyFont="1" applyBorder="1" applyAlignment="1">
      <alignment vertical="center" wrapText="1"/>
    </xf>
    <xf numFmtId="1" fontId="100" fillId="4" borderId="35" xfId="0" applyNumberFormat="1" applyFont="1" applyFill="1" applyBorder="1" applyAlignment="1">
      <alignment horizontal="center"/>
    </xf>
    <xf numFmtId="0" fontId="41" fillId="4" borderId="35" xfId="0" applyFont="1" applyFill="1" applyBorder="1" applyAlignment="1">
      <alignment horizontal="center" vertical="center"/>
    </xf>
    <xf numFmtId="49" fontId="108" fillId="19" borderId="35" xfId="214" applyNumberFormat="1" applyFont="1" applyFill="1" applyBorder="1" applyAlignment="1" applyProtection="1">
      <alignment horizontal="left" vertical="top"/>
      <protection hidden="1"/>
    </xf>
    <xf numFmtId="0" fontId="50" fillId="0" borderId="0" xfId="0" applyFont="1" applyAlignment="1">
      <alignment horizontal="center" vertical="center"/>
    </xf>
    <xf numFmtId="0" fontId="48" fillId="0" borderId="0" xfId="0" applyFont="1"/>
    <xf numFmtId="2" fontId="109" fillId="0" borderId="0" xfId="47" applyNumberFormat="1" applyFont="1"/>
    <xf numFmtId="1" fontId="110" fillId="0" borderId="37" xfId="0" applyNumberFormat="1" applyFont="1" applyBorder="1" applyAlignment="1">
      <alignment horizontal="left" vertical="center"/>
    </xf>
    <xf numFmtId="1" fontId="111" fillId="0" borderId="38" xfId="0" applyNumberFormat="1" applyFont="1" applyBorder="1" applyAlignment="1">
      <alignment horizontal="center" vertical="center" wrapText="1"/>
    </xf>
    <xf numFmtId="1" fontId="110" fillId="0" borderId="39" xfId="0" applyNumberFormat="1" applyFont="1" applyBorder="1" applyAlignment="1">
      <alignment horizontal="center" vertical="center" wrapText="1"/>
    </xf>
    <xf numFmtId="0" fontId="50" fillId="0" borderId="0" xfId="215" applyFont="1" applyAlignment="1">
      <alignment horizontal="center"/>
    </xf>
    <xf numFmtId="178" fontId="76" fillId="0" borderId="0" xfId="47" applyNumberFormat="1" applyFont="1"/>
    <xf numFmtId="3" fontId="76" fillId="0" borderId="0" xfId="47" applyNumberFormat="1" applyFont="1" applyAlignment="1">
      <alignment horizontal="right"/>
    </xf>
    <xf numFmtId="3" fontId="50" fillId="0" borderId="0" xfId="7" applyNumberFormat="1" applyFont="1" applyAlignment="1">
      <alignment horizontal="right"/>
    </xf>
    <xf numFmtId="0" fontId="50" fillId="0" borderId="0" xfId="215" applyFont="1"/>
    <xf numFmtId="167" fontId="50" fillId="0" borderId="0" xfId="7" applyFont="1" applyAlignment="1">
      <alignment horizontal="right"/>
    </xf>
    <xf numFmtId="2" fontId="65" fillId="16" borderId="35" xfId="0" applyNumberFormat="1" applyFont="1" applyFill="1" applyBorder="1" applyAlignment="1">
      <alignment horizontal="left" vertical="center" wrapText="1"/>
    </xf>
    <xf numFmtId="1" fontId="65" fillId="16" borderId="35" xfId="0" applyNumberFormat="1" applyFont="1" applyFill="1" applyBorder="1" applyAlignment="1">
      <alignment horizontal="center" vertical="center" wrapText="1"/>
    </xf>
    <xf numFmtId="0" fontId="48" fillId="0" borderId="0" xfId="0" applyFont="1" applyAlignment="1">
      <alignment horizontal="center" vertical="center"/>
    </xf>
    <xf numFmtId="0" fontId="112" fillId="0" borderId="0" xfId="215" applyFont="1"/>
    <xf numFmtId="0" fontId="65" fillId="16" borderId="35" xfId="0" applyFont="1" applyFill="1" applyBorder="1" applyAlignment="1">
      <alignment horizontal="left" vertical="center" wrapText="1"/>
    </xf>
    <xf numFmtId="2" fontId="65" fillId="16" borderId="35" xfId="0" applyNumberFormat="1" applyFont="1" applyFill="1" applyBorder="1" applyAlignment="1">
      <alignment horizontal="center" vertical="center" wrapText="1"/>
    </xf>
    <xf numFmtId="0" fontId="50" fillId="4" borderId="35" xfId="0" applyFont="1" applyFill="1" applyBorder="1" applyAlignment="1">
      <alignment vertical="center"/>
    </xf>
    <xf numFmtId="0" fontId="41" fillId="0" borderId="0" xfId="215" applyFont="1"/>
    <xf numFmtId="169" fontId="41" fillId="0" borderId="35" xfId="7" applyNumberFormat="1" applyFont="1" applyFill="1" applyBorder="1" applyAlignment="1">
      <alignment horizontal="center" vertical="center"/>
    </xf>
    <xf numFmtId="0" fontId="50" fillId="0" borderId="35" xfId="0" applyFont="1" applyBorder="1" applyAlignment="1">
      <alignment horizontal="center" vertical="center"/>
    </xf>
    <xf numFmtId="0" fontId="50" fillId="0" borderId="35" xfId="0" applyFont="1" applyBorder="1" applyAlignment="1">
      <alignment vertical="center"/>
    </xf>
    <xf numFmtId="49" fontId="41" fillId="0" borderId="35" xfId="0" applyNumberFormat="1" applyFont="1" applyBorder="1" applyAlignment="1">
      <alignment horizontal="center"/>
    </xf>
    <xf numFmtId="49" fontId="113" fillId="0" borderId="35" xfId="215" applyNumberFormat="1" applyFont="1" applyBorder="1" applyAlignment="1">
      <alignment horizontal="center"/>
    </xf>
    <xf numFmtId="0" fontId="66" fillId="0" borderId="0" xfId="215" applyFont="1"/>
    <xf numFmtId="0" fontId="53" fillId="0" borderId="35" xfId="0" applyFont="1" applyBorder="1" applyAlignment="1">
      <alignment vertical="center"/>
    </xf>
    <xf numFmtId="0" fontId="59" fillId="0" borderId="35" xfId="0" applyFont="1" applyBorder="1"/>
    <xf numFmtId="0" fontId="113" fillId="0" borderId="35" xfId="215" applyFont="1" applyBorder="1" applyAlignment="1">
      <alignment horizontal="left"/>
    </xf>
    <xf numFmtId="169" fontId="59" fillId="0" borderId="35" xfId="7" applyNumberFormat="1" applyFont="1" applyFill="1" applyBorder="1" applyAlignment="1">
      <alignment horizontal="center" vertical="center"/>
    </xf>
    <xf numFmtId="0" fontId="53" fillId="0" borderId="35" xfId="0" applyFont="1" applyBorder="1" applyAlignment="1">
      <alignment horizontal="center" vertical="center"/>
    </xf>
    <xf numFmtId="1" fontId="65" fillId="16" borderId="35" xfId="0" applyNumberFormat="1" applyFont="1" applyFill="1" applyBorder="1" applyAlignment="1">
      <alignment horizontal="left"/>
    </xf>
    <xf numFmtId="1" fontId="65" fillId="16" borderId="35" xfId="0" applyNumberFormat="1" applyFont="1" applyFill="1" applyBorder="1" applyAlignment="1">
      <alignment horizontal="center"/>
    </xf>
    <xf numFmtId="0" fontId="98" fillId="16" borderId="35" xfId="0" applyFont="1" applyFill="1" applyBorder="1" applyAlignment="1">
      <alignment wrapText="1"/>
    </xf>
    <xf numFmtId="0" fontId="98" fillId="16" borderId="35" xfId="0" applyFont="1" applyFill="1" applyBorder="1"/>
    <xf numFmtId="169" fontId="59" fillId="4" borderId="35" xfId="7" applyNumberFormat="1" applyFont="1" applyFill="1" applyBorder="1" applyAlignment="1">
      <alignment horizontal="center"/>
    </xf>
    <xf numFmtId="9" fontId="59" fillId="15" borderId="35" xfId="211" applyFont="1" applyFill="1" applyBorder="1" applyAlignment="1">
      <alignment horizontal="center"/>
    </xf>
    <xf numFmtId="49" fontId="53" fillId="0" borderId="0" xfId="11" applyNumberFormat="1" applyFont="1" applyAlignment="1" applyProtection="1">
      <alignment horizontal="left" vertical="top"/>
      <protection hidden="1"/>
    </xf>
    <xf numFmtId="0" fontId="53" fillId="0" borderId="0" xfId="11" applyFont="1" applyAlignment="1" applyProtection="1">
      <alignment horizontal="center" vertical="justify"/>
      <protection hidden="1"/>
    </xf>
    <xf numFmtId="0" fontId="53" fillId="0" borderId="0" xfId="11" applyFont="1" applyAlignment="1" applyProtection="1">
      <alignment horizontal="right" vertical="justify"/>
      <protection hidden="1"/>
    </xf>
    <xf numFmtId="169" fontId="100" fillId="4" borderId="35" xfId="7" applyNumberFormat="1" applyFont="1" applyFill="1" applyBorder="1"/>
    <xf numFmtId="174" fontId="59" fillId="0" borderId="35" xfId="36" applyNumberFormat="1" applyFont="1" applyFill="1" applyBorder="1" applyAlignment="1">
      <alignment horizontal="left"/>
    </xf>
    <xf numFmtId="44" fontId="59" fillId="4" borderId="5" xfId="34" applyFont="1" applyFill="1" applyBorder="1"/>
    <xf numFmtId="0" fontId="68" fillId="0" borderId="37" xfId="207" applyFont="1" applyBorder="1" applyProtection="1">
      <protection hidden="1"/>
    </xf>
    <xf numFmtId="164" fontId="82" fillId="0" borderId="38" xfId="207" applyNumberFormat="1" applyFont="1" applyBorder="1" applyProtection="1">
      <protection hidden="1"/>
    </xf>
    <xf numFmtId="164" fontId="82" fillId="0" borderId="39" xfId="207" applyNumberFormat="1" applyFont="1" applyBorder="1" applyAlignment="1" applyProtection="1">
      <alignment horizontal="right"/>
      <protection hidden="1"/>
    </xf>
    <xf numFmtId="177" fontId="114" fillId="0" borderId="35" xfId="210" applyNumberFormat="1" applyFont="1" applyFill="1" applyBorder="1" applyAlignment="1" applyProtection="1">
      <protection hidden="1"/>
    </xf>
    <xf numFmtId="0" fontId="82" fillId="0" borderId="44" xfId="0" applyFont="1" applyBorder="1" applyAlignment="1">
      <alignment horizontal="right"/>
    </xf>
    <xf numFmtId="0" fontId="89" fillId="0" borderId="0" xfId="0" applyFont="1"/>
    <xf numFmtId="44" fontId="99" fillId="4" borderId="35" xfId="96" applyFont="1" applyFill="1" applyBorder="1" applyAlignment="1">
      <alignment horizontal="right"/>
    </xf>
    <xf numFmtId="44" fontId="59" fillId="4" borderId="0" xfId="34" applyFont="1" applyFill="1" applyBorder="1" applyAlignment="1" applyProtection="1">
      <alignment horizontal="center"/>
      <protection hidden="1"/>
    </xf>
    <xf numFmtId="43" fontId="41" fillId="4" borderId="0" xfId="12" applyNumberFormat="1" applyFont="1" applyFill="1"/>
    <xf numFmtId="1" fontId="41" fillId="0" borderId="35" xfId="216" applyNumberFormat="1" applyFont="1" applyBorder="1" applyAlignment="1">
      <alignment horizontal="center"/>
    </xf>
    <xf numFmtId="1" fontId="59" fillId="0" borderId="35" xfId="216" applyNumberFormat="1" applyFont="1" applyBorder="1" applyAlignment="1">
      <alignment horizontal="center"/>
    </xf>
    <xf numFmtId="1" fontId="61" fillId="0" borderId="35" xfId="216" applyNumberFormat="1" applyFont="1" applyBorder="1" applyAlignment="1">
      <alignment horizontal="center"/>
    </xf>
    <xf numFmtId="2" fontId="52" fillId="4" borderId="0" xfId="12" applyNumberFormat="1" applyFont="1" applyFill="1"/>
    <xf numFmtId="0" fontId="41" fillId="4" borderId="37" xfId="23" applyFont="1" applyFill="1" applyBorder="1" applyAlignment="1">
      <alignment horizontal="center"/>
    </xf>
    <xf numFmtId="0" fontId="50" fillId="4" borderId="37" xfId="12" applyFont="1" applyFill="1" applyBorder="1" applyAlignment="1">
      <alignment horizontal="left"/>
    </xf>
    <xf numFmtId="0" fontId="50" fillId="4" borderId="37" xfId="12" applyFont="1" applyFill="1" applyBorder="1" applyAlignment="1">
      <alignment horizontal="center"/>
    </xf>
    <xf numFmtId="0" fontId="83" fillId="0" borderId="38" xfId="37" applyFont="1" applyBorder="1"/>
    <xf numFmtId="0" fontId="50" fillId="0" borderId="38" xfId="17" applyFont="1" applyBorder="1"/>
    <xf numFmtId="0" fontId="99" fillId="0" borderId="39" xfId="37" applyFont="1" applyBorder="1"/>
    <xf numFmtId="0" fontId="53" fillId="0" borderId="37" xfId="17" applyFont="1" applyBorder="1"/>
    <xf numFmtId="0" fontId="53" fillId="0" borderId="0" xfId="17" applyFont="1"/>
    <xf numFmtId="0" fontId="99" fillId="0" borderId="0" xfId="37" applyFont="1" applyAlignment="1">
      <alignment horizontal="center"/>
    </xf>
    <xf numFmtId="0" fontId="99" fillId="0" borderId="0" xfId="37" applyFont="1"/>
    <xf numFmtId="177" fontId="104" fillId="0" borderId="0" xfId="37" applyNumberFormat="1" applyFont="1"/>
    <xf numFmtId="49" fontId="94" fillId="0" borderId="0" xfId="39" applyNumberFormat="1" applyFont="1"/>
    <xf numFmtId="0" fontId="50" fillId="4" borderId="35" xfId="17" applyFont="1" applyFill="1" applyBorder="1" applyAlignment="1">
      <alignment vertical="center"/>
    </xf>
    <xf numFmtId="0" fontId="50" fillId="4" borderId="35" xfId="17" applyFont="1" applyFill="1" applyBorder="1" applyAlignment="1" applyProtection="1">
      <alignment vertical="center"/>
      <protection hidden="1"/>
    </xf>
    <xf numFmtId="0" fontId="50" fillId="0" borderId="0" xfId="203" applyFont="1"/>
    <xf numFmtId="0" fontId="97" fillId="16" borderId="37" xfId="214" applyFont="1" applyFill="1" applyBorder="1" applyAlignment="1" applyProtection="1">
      <alignment vertical="top" wrapText="1"/>
      <protection hidden="1"/>
    </xf>
    <xf numFmtId="0" fontId="97" fillId="16" borderId="38" xfId="214" applyFont="1" applyFill="1" applyBorder="1" applyAlignment="1" applyProtection="1">
      <alignment vertical="top" wrapText="1"/>
      <protection hidden="1"/>
    </xf>
    <xf numFmtId="0" fontId="97" fillId="16" borderId="39" xfId="214" applyFont="1" applyFill="1" applyBorder="1" applyAlignment="1" applyProtection="1">
      <alignment vertical="top" wrapText="1"/>
      <protection hidden="1"/>
    </xf>
    <xf numFmtId="0" fontId="98" fillId="16" borderId="0" xfId="11" applyFont="1" applyFill="1" applyAlignment="1" applyProtection="1">
      <alignment horizontal="right"/>
      <protection hidden="1"/>
    </xf>
    <xf numFmtId="0" fontId="98" fillId="16" borderId="35" xfId="11" applyFont="1" applyFill="1" applyBorder="1" applyAlignment="1" applyProtection="1">
      <alignment horizontal="center"/>
      <protection hidden="1"/>
    </xf>
    <xf numFmtId="0" fontId="50" fillId="0" borderId="37" xfId="217" applyFont="1" applyBorder="1" applyAlignment="1">
      <alignment horizontal="left"/>
    </xf>
    <xf numFmtId="44" fontId="41" fillId="20" borderId="35" xfId="96" applyFont="1" applyFill="1" applyBorder="1" applyAlignment="1">
      <alignment horizontal="center"/>
    </xf>
    <xf numFmtId="0" fontId="115" fillId="4" borderId="1" xfId="7" applyNumberFormat="1" applyFont="1" applyFill="1" applyBorder="1" applyAlignment="1" applyProtection="1">
      <alignment horizontal="center"/>
      <protection hidden="1"/>
    </xf>
    <xf numFmtId="190" fontId="50" fillId="0" borderId="0" xfId="0" applyNumberFormat="1" applyFont="1"/>
    <xf numFmtId="9" fontId="99" fillId="4" borderId="35" xfId="211" applyFont="1" applyFill="1" applyBorder="1" applyAlignment="1">
      <alignment horizontal="center"/>
    </xf>
    <xf numFmtId="0" fontId="109" fillId="0" borderId="0" xfId="12" applyFont="1" applyAlignment="1">
      <alignment horizontal="left"/>
    </xf>
    <xf numFmtId="49" fontId="50" fillId="0" borderId="35" xfId="11" applyNumberFormat="1" applyFont="1" applyBorder="1" applyAlignment="1" applyProtection="1">
      <alignment horizontal="left" vertical="center" wrapText="1"/>
      <protection hidden="1"/>
    </xf>
    <xf numFmtId="169" fontId="59" fillId="15" borderId="35" xfId="7" applyNumberFormat="1" applyFont="1" applyFill="1" applyBorder="1" applyAlignment="1">
      <alignment horizontal="center"/>
    </xf>
    <xf numFmtId="169" fontId="98" fillId="16" borderId="35" xfId="7" applyNumberFormat="1" applyFont="1" applyFill="1" applyBorder="1" applyAlignment="1">
      <alignment vertical="top" wrapText="1"/>
    </xf>
    <xf numFmtId="2" fontId="41" fillId="15" borderId="35" xfId="7" applyNumberFormat="1" applyFont="1" applyFill="1" applyBorder="1" applyAlignment="1">
      <alignment horizontal="center"/>
    </xf>
    <xf numFmtId="0" fontId="114" fillId="0" borderId="35" xfId="210" applyNumberFormat="1" applyFont="1" applyFill="1" applyBorder="1" applyAlignment="1" applyProtection="1">
      <protection hidden="1"/>
    </xf>
    <xf numFmtId="0" fontId="62" fillId="0" borderId="0" xfId="0" applyFont="1" applyAlignment="1">
      <alignment horizontal="left" vertical="top" wrapText="1"/>
    </xf>
    <xf numFmtId="2" fontId="52" fillId="20" borderId="0" xfId="39" applyNumberFormat="1" applyFont="1" applyFill="1"/>
    <xf numFmtId="0" fontId="50" fillId="20" borderId="0" xfId="22" applyFont="1" applyFill="1"/>
    <xf numFmtId="0" fontId="97" fillId="16" borderId="37" xfId="39" applyFont="1" applyFill="1" applyBorder="1" applyAlignment="1">
      <alignment horizontal="center"/>
    </xf>
    <xf numFmtId="0" fontId="97" fillId="16" borderId="38" xfId="39" applyFont="1" applyFill="1" applyBorder="1" applyAlignment="1">
      <alignment horizontal="center"/>
    </xf>
    <xf numFmtId="0" fontId="97" fillId="16" borderId="39" xfId="39" applyFont="1" applyFill="1" applyBorder="1" applyAlignment="1">
      <alignment horizontal="center"/>
    </xf>
    <xf numFmtId="2" fontId="65" fillId="16" borderId="37" xfId="0" applyNumberFormat="1" applyFont="1" applyFill="1" applyBorder="1" applyAlignment="1">
      <alignment horizontal="center" vertical="center" wrapText="1"/>
    </xf>
    <xf numFmtId="2" fontId="65" fillId="16" borderId="38" xfId="0" applyNumberFormat="1" applyFont="1" applyFill="1" applyBorder="1" applyAlignment="1">
      <alignment horizontal="center" vertical="center" wrapText="1"/>
    </xf>
    <xf numFmtId="2" fontId="65" fillId="16" borderId="39" xfId="0" applyNumberFormat="1" applyFont="1" applyFill="1" applyBorder="1" applyAlignment="1">
      <alignment horizontal="center" vertical="center" wrapText="1"/>
    </xf>
    <xf numFmtId="0" fontId="103" fillId="0" borderId="0" xfId="37" applyFont="1" applyAlignment="1">
      <alignment horizontal="left" vertical="top" wrapText="1"/>
    </xf>
    <xf numFmtId="0" fontId="103" fillId="0" borderId="0" xfId="17" applyFont="1" applyAlignment="1">
      <alignment horizontal="left" vertical="top" wrapText="1"/>
    </xf>
    <xf numFmtId="2" fontId="98" fillId="16" borderId="37" xfId="0" applyNumberFormat="1" applyFont="1" applyFill="1" applyBorder="1" applyAlignment="1">
      <alignment horizontal="center" vertical="top" wrapText="1"/>
    </xf>
    <xf numFmtId="2" fontId="98" fillId="16" borderId="39" xfId="0" applyNumberFormat="1" applyFont="1" applyFill="1" applyBorder="1" applyAlignment="1">
      <alignment horizontal="center" vertical="top" wrapText="1"/>
    </xf>
    <xf numFmtId="0" fontId="97" fillId="16" borderId="37" xfId="39" applyFont="1" applyFill="1" applyBorder="1" applyAlignment="1">
      <alignment horizontal="left" vertical="top" wrapText="1"/>
    </xf>
    <xf numFmtId="0" fontId="97" fillId="16" borderId="38" xfId="39" applyFont="1" applyFill="1" applyBorder="1" applyAlignment="1">
      <alignment horizontal="left" vertical="top" wrapText="1"/>
    </xf>
    <xf numFmtId="0" fontId="97" fillId="16" borderId="39" xfId="39" applyFont="1" applyFill="1" applyBorder="1" applyAlignment="1">
      <alignment horizontal="left" vertical="top" wrapText="1"/>
    </xf>
    <xf numFmtId="0" fontId="97" fillId="16" borderId="37" xfId="214" applyFont="1" applyFill="1" applyBorder="1" applyAlignment="1" applyProtection="1">
      <alignment horizontal="left" vertical="top" wrapText="1"/>
      <protection hidden="1"/>
    </xf>
    <xf numFmtId="0" fontId="97" fillId="16" borderId="38" xfId="214" applyFont="1" applyFill="1" applyBorder="1" applyAlignment="1" applyProtection="1">
      <alignment horizontal="left" vertical="top" wrapText="1"/>
      <protection hidden="1"/>
    </xf>
    <xf numFmtId="0" fontId="97" fillId="16" borderId="39" xfId="214" applyFont="1" applyFill="1" applyBorder="1" applyAlignment="1" applyProtection="1">
      <alignment horizontal="left" vertical="top" wrapText="1"/>
      <protection hidden="1"/>
    </xf>
    <xf numFmtId="0" fontId="62" fillId="0" borderId="0" xfId="37" applyFont="1" applyAlignment="1">
      <alignment horizontal="left" wrapText="1"/>
    </xf>
    <xf numFmtId="49" fontId="65" fillId="16" borderId="37" xfId="39" applyNumberFormat="1" applyFont="1" applyFill="1" applyBorder="1" applyAlignment="1">
      <alignment horizontal="left" vertical="top" wrapText="1"/>
    </xf>
    <xf numFmtId="49" fontId="65" fillId="17" borderId="38" xfId="39" applyNumberFormat="1" applyFont="1" applyFill="1" applyBorder="1" applyAlignment="1">
      <alignment horizontal="left" vertical="top" wrapText="1"/>
    </xf>
    <xf numFmtId="49" fontId="65" fillId="17" borderId="39" xfId="39" applyNumberFormat="1" applyFont="1" applyFill="1" applyBorder="1" applyAlignment="1">
      <alignment horizontal="left" vertical="top" wrapText="1"/>
    </xf>
    <xf numFmtId="0" fontId="50" fillId="0" borderId="37" xfId="0" applyFont="1" applyBorder="1" applyAlignment="1">
      <alignment horizontal="left"/>
    </xf>
    <xf numFmtId="0" fontId="50" fillId="0" borderId="39" xfId="0" applyFont="1" applyBorder="1" applyAlignment="1">
      <alignment horizontal="left"/>
    </xf>
    <xf numFmtId="0" fontId="53" fillId="0" borderId="37" xfId="212" applyFont="1" applyBorder="1" applyAlignment="1" applyProtection="1">
      <alignment horizontal="left" vertical="center"/>
      <protection hidden="1"/>
    </xf>
    <xf numFmtId="0" fontId="53" fillId="0" borderId="39" xfId="212" applyFont="1" applyBorder="1" applyAlignment="1" applyProtection="1">
      <alignment horizontal="left" vertical="center"/>
      <protection hidden="1"/>
    </xf>
    <xf numFmtId="0" fontId="50" fillId="0" borderId="0" xfId="0" applyFont="1" applyAlignment="1">
      <alignment horizontal="left" vertical="top" wrapText="1"/>
    </xf>
    <xf numFmtId="2" fontId="77" fillId="16" borderId="37" xfId="209" applyNumberFormat="1" applyFont="1" applyFill="1" applyBorder="1" applyAlignment="1" applyProtection="1">
      <alignment horizontal="center" vertical="center" wrapText="1"/>
      <protection hidden="1"/>
    </xf>
    <xf numFmtId="0" fontId="65" fillId="17" borderId="39" xfId="0" applyFont="1" applyFill="1" applyBorder="1" applyAlignment="1">
      <alignment horizontal="center" vertical="center" wrapText="1"/>
    </xf>
    <xf numFmtId="2" fontId="77" fillId="16" borderId="37" xfId="212" applyNumberFormat="1" applyFont="1" applyFill="1" applyBorder="1" applyAlignment="1" applyProtection="1">
      <alignment horizontal="center" vertical="center" wrapText="1"/>
      <protection hidden="1"/>
    </xf>
    <xf numFmtId="2" fontId="77" fillId="17" borderId="38" xfId="212" applyNumberFormat="1" applyFont="1" applyFill="1" applyBorder="1" applyAlignment="1" applyProtection="1">
      <alignment horizontal="center" vertical="center" wrapText="1"/>
      <protection hidden="1"/>
    </xf>
    <xf numFmtId="2" fontId="77" fillId="17" borderId="39" xfId="212" applyNumberFormat="1" applyFont="1" applyFill="1" applyBorder="1" applyAlignment="1" applyProtection="1">
      <alignment horizontal="center" vertical="center" wrapText="1"/>
      <protection hidden="1"/>
    </xf>
    <xf numFmtId="2" fontId="77" fillId="16" borderId="35" xfId="212" applyNumberFormat="1" applyFont="1" applyFill="1" applyBorder="1" applyAlignment="1" applyProtection="1">
      <alignment horizontal="center" vertical="center" wrapText="1"/>
      <protection hidden="1"/>
    </xf>
    <xf numFmtId="2" fontId="77" fillId="17" borderId="35" xfId="212" applyNumberFormat="1" applyFont="1" applyFill="1" applyBorder="1" applyAlignment="1" applyProtection="1">
      <alignment horizontal="center" vertical="center" wrapText="1"/>
      <protection hidden="1"/>
    </xf>
    <xf numFmtId="2" fontId="77" fillId="16" borderId="35" xfId="207" applyNumberFormat="1" applyFont="1" applyFill="1" applyBorder="1" applyAlignment="1" applyProtection="1">
      <alignment horizontal="center" vertical="center" wrapText="1"/>
      <protection hidden="1"/>
    </xf>
    <xf numFmtId="2" fontId="77" fillId="17" borderId="35" xfId="207" applyNumberFormat="1" applyFont="1" applyFill="1" applyBorder="1" applyAlignment="1" applyProtection="1">
      <alignment horizontal="center" vertical="center" wrapText="1"/>
      <protection hidden="1"/>
    </xf>
  </cellXfs>
  <cellStyles count="218">
    <cellStyle name="Bad" xfId="58" xr:uid="{00000000-0005-0000-0000-000000000000}"/>
    <cellStyle name="Calculation" xfId="59" xr:uid="{00000000-0005-0000-0000-000001000000}"/>
    <cellStyle name="Calculation 10" xfId="195" xr:uid="{00000000-0005-0000-0000-000002000000}"/>
    <cellStyle name="Calculation 11" xfId="194" xr:uid="{00000000-0005-0000-0000-000003000000}"/>
    <cellStyle name="Calculation 12" xfId="197" xr:uid="{00000000-0005-0000-0000-000004000000}"/>
    <cellStyle name="Calculation 2" xfId="98" xr:uid="{00000000-0005-0000-0000-000005000000}"/>
    <cellStyle name="Calculation 2 2" xfId="99" xr:uid="{00000000-0005-0000-0000-000006000000}"/>
    <cellStyle name="Calculation 3" xfId="100" xr:uid="{00000000-0005-0000-0000-000007000000}"/>
    <cellStyle name="Calculation 3 2" xfId="101" xr:uid="{00000000-0005-0000-0000-000008000000}"/>
    <cellStyle name="Calculation 4" xfId="102" xr:uid="{00000000-0005-0000-0000-000009000000}"/>
    <cellStyle name="Calculation 4 2" xfId="103" xr:uid="{00000000-0005-0000-0000-00000A000000}"/>
    <cellStyle name="Calculation 5" xfId="104" xr:uid="{00000000-0005-0000-0000-00000B000000}"/>
    <cellStyle name="Calculation 5 2" xfId="105" xr:uid="{00000000-0005-0000-0000-00000C000000}"/>
    <cellStyle name="Calculation 6" xfId="106" xr:uid="{00000000-0005-0000-0000-00000D000000}"/>
    <cellStyle name="Calculation 6 2" xfId="107" xr:uid="{00000000-0005-0000-0000-00000E000000}"/>
    <cellStyle name="Calculation 7" xfId="108" xr:uid="{00000000-0005-0000-0000-00000F000000}"/>
    <cellStyle name="Calculation 7 2" xfId="109" xr:uid="{00000000-0005-0000-0000-000010000000}"/>
    <cellStyle name="Calculation 8" xfId="110" xr:uid="{00000000-0005-0000-0000-000011000000}"/>
    <cellStyle name="Calculation 8 2" xfId="111" xr:uid="{00000000-0005-0000-0000-000012000000}"/>
    <cellStyle name="Calculation 9" xfId="112" xr:uid="{00000000-0005-0000-0000-000013000000}"/>
    <cellStyle name="Check Cell" xfId="60" xr:uid="{00000000-0005-0000-0000-000014000000}"/>
    <cellStyle name="Comma [0]" xfId="1" xr:uid="{00000000-0005-0000-0000-000015000000}"/>
    <cellStyle name="Comma_AA BCR/ Basis ruimtestaat 13.0" xfId="2" xr:uid="{00000000-0005-0000-0000-000016000000}"/>
    <cellStyle name="Comma_CALCULATIEBLAD.XLS" xfId="35" xr:uid="{00000000-0005-0000-0000-000017000000}"/>
    <cellStyle name="Comma_Uurtarieven 2000 LEVERANCIER" xfId="209" xr:uid="{26EA4002-13CA-42D8-B397-224CD95031F9}"/>
    <cellStyle name="Currency [0]" xfId="61" xr:uid="{00000000-0005-0000-0000-000018000000}"/>
    <cellStyle name="Currency_2.objekten aanbestedi#B9BC8.xls" xfId="88" xr:uid="{00000000-0005-0000-0000-000019000000}"/>
    <cellStyle name="Currency_ATIR-Calc-Uurtarief 2001" xfId="210" xr:uid="{CB5D66D6-75AE-4156-B5C3-711C8C4F6F1F}"/>
    <cellStyle name="Currency_CALCULATIEBLAD.XLS" xfId="36" xr:uid="{00000000-0005-0000-0000-00001A000000}"/>
    <cellStyle name="Euro" xfId="3" xr:uid="{00000000-0005-0000-0000-00001B000000}"/>
    <cellStyle name="Euro 2" xfId="4" xr:uid="{00000000-0005-0000-0000-00001C000000}"/>
    <cellStyle name="Euro 3" xfId="43" xr:uid="{00000000-0005-0000-0000-00001D000000}"/>
    <cellStyle name="Euro 3 2" xfId="85" xr:uid="{00000000-0005-0000-0000-00001E000000}"/>
    <cellStyle name="Euro 4" xfId="46" xr:uid="{00000000-0005-0000-0000-00001F000000}"/>
    <cellStyle name="Euro 5" xfId="53" xr:uid="{00000000-0005-0000-0000-000020000000}"/>
    <cellStyle name="Euro_Roto Smeets Hilversum v-1" xfId="5" xr:uid="{00000000-0005-0000-0000-000021000000}"/>
    <cellStyle name="Explanatory Text" xfId="62" xr:uid="{00000000-0005-0000-0000-000022000000}"/>
    <cellStyle name="Followed Hyperlink_Aantal groepen per school.xls" xfId="6" xr:uid="{00000000-0005-0000-0000-000023000000}"/>
    <cellStyle name="Good" xfId="63" xr:uid="{00000000-0005-0000-0000-000024000000}"/>
    <cellStyle name="Heading 1" xfId="64" xr:uid="{00000000-0005-0000-0000-000025000000}"/>
    <cellStyle name="Heading 2" xfId="65" xr:uid="{00000000-0005-0000-0000-000026000000}"/>
    <cellStyle name="Heading 3" xfId="66" xr:uid="{00000000-0005-0000-0000-000027000000}"/>
    <cellStyle name="Heading 4" xfId="67" xr:uid="{00000000-0005-0000-0000-000028000000}"/>
    <cellStyle name="Input" xfId="68" xr:uid="{00000000-0005-0000-0000-000029000000}"/>
    <cellStyle name="Input 10" xfId="199" xr:uid="{00000000-0005-0000-0000-00002A000000}"/>
    <cellStyle name="Input 11" xfId="198" xr:uid="{00000000-0005-0000-0000-00002B000000}"/>
    <cellStyle name="Input 12" xfId="192" xr:uid="{00000000-0005-0000-0000-00002C000000}"/>
    <cellStyle name="Input 2" xfId="113" xr:uid="{00000000-0005-0000-0000-00002D000000}"/>
    <cellStyle name="Input 2 2" xfId="114" xr:uid="{00000000-0005-0000-0000-00002E000000}"/>
    <cellStyle name="Input 3" xfId="115" xr:uid="{00000000-0005-0000-0000-00002F000000}"/>
    <cellStyle name="Input 3 2" xfId="116" xr:uid="{00000000-0005-0000-0000-000030000000}"/>
    <cellStyle name="Input 4" xfId="117" xr:uid="{00000000-0005-0000-0000-000031000000}"/>
    <cellStyle name="Input 4 2" xfId="118" xr:uid="{00000000-0005-0000-0000-000032000000}"/>
    <cellStyle name="Input 5" xfId="119" xr:uid="{00000000-0005-0000-0000-000033000000}"/>
    <cellStyle name="Input 5 2" xfId="120" xr:uid="{00000000-0005-0000-0000-000034000000}"/>
    <cellStyle name="Input 6" xfId="121" xr:uid="{00000000-0005-0000-0000-000035000000}"/>
    <cellStyle name="Input 6 2" xfId="122" xr:uid="{00000000-0005-0000-0000-000036000000}"/>
    <cellStyle name="Input 7" xfId="123" xr:uid="{00000000-0005-0000-0000-000037000000}"/>
    <cellStyle name="Input 7 2" xfId="124" xr:uid="{00000000-0005-0000-0000-000038000000}"/>
    <cellStyle name="Input 8" xfId="125" xr:uid="{00000000-0005-0000-0000-000039000000}"/>
    <cellStyle name="Input 8 2" xfId="126" xr:uid="{00000000-0005-0000-0000-00003A000000}"/>
    <cellStyle name="Input 9" xfId="127" xr:uid="{00000000-0005-0000-0000-00003B000000}"/>
    <cellStyle name="Komma" xfId="7" builtinId="3"/>
    <cellStyle name="Komma [0] 2" xfId="50" xr:uid="{00000000-0005-0000-0000-00003D000000}"/>
    <cellStyle name="Komma [0] 3" xfId="89" xr:uid="{00000000-0005-0000-0000-00003E000000}"/>
    <cellStyle name="Komma 2" xfId="8" xr:uid="{00000000-0005-0000-0000-00003F000000}"/>
    <cellStyle name="Komma 3" xfId="32" xr:uid="{00000000-0005-0000-0000-000040000000}"/>
    <cellStyle name="Komma 3 2" xfId="42" xr:uid="{00000000-0005-0000-0000-000041000000}"/>
    <cellStyle name="Komma 4" xfId="49" xr:uid="{00000000-0005-0000-0000-000042000000}"/>
    <cellStyle name="Komma 4 2" xfId="87" xr:uid="{00000000-0005-0000-0000-000043000000}"/>
    <cellStyle name="Komma 5" xfId="57" xr:uid="{00000000-0005-0000-0000-000044000000}"/>
    <cellStyle name="Komma 6" xfId="83" xr:uid="{00000000-0005-0000-0000-000045000000}"/>
    <cellStyle name="Komma 6 2" xfId="205" xr:uid="{00000000-0005-0000-0000-000046000000}"/>
    <cellStyle name="kop" xfId="9" xr:uid="{00000000-0005-0000-0000-000047000000}"/>
    <cellStyle name="Koppen_rekenblad" xfId="69" xr:uid="{00000000-0005-0000-0000-000048000000}"/>
    <cellStyle name="koppenrekenblad2" xfId="70" xr:uid="{00000000-0005-0000-0000-000049000000}"/>
    <cellStyle name="Linked Cell" xfId="71" xr:uid="{00000000-0005-0000-0000-00004A000000}"/>
    <cellStyle name="m2" xfId="72" xr:uid="{00000000-0005-0000-0000-00004B000000}"/>
    <cellStyle name="Neutral" xfId="73" xr:uid="{00000000-0005-0000-0000-00004C000000}"/>
    <cellStyle name="Normaal 2" xfId="44" xr:uid="{00000000-0005-0000-0000-00004D000000}"/>
    <cellStyle name="Normaal_Basis Inventarisatielijst. xls.xls" xfId="10" xr:uid="{00000000-0005-0000-0000-00004E000000}"/>
    <cellStyle name="Normal_ KLM-CTR(STA)-Recap.xls" xfId="11" xr:uid="{00000000-0005-0000-0000-00004F000000}"/>
    <cellStyle name="Normal_ KLM-CTR(STA)-Recap.xls 2" xfId="214" xr:uid="{0099DFC1-5859-4209-B6E6-487C0F999A8F}"/>
    <cellStyle name="Normal_AFRPPRIJS.xls" xfId="37" xr:uid="{00000000-0005-0000-0000-000050000000}"/>
    <cellStyle name="Normal_AFRPPRIJS.xls 3" xfId="217" xr:uid="{52B39E6C-BFED-413B-967D-FA2197AFE90E}"/>
    <cellStyle name="Normal_ATIR-Calc-Uurtarief 2001" xfId="208" xr:uid="{AC970536-5EDC-468C-83FA-843CAA5489B1}"/>
    <cellStyle name="Normal_CALCULATIEBLAD.XLS" xfId="12" xr:uid="{00000000-0005-0000-0000-000051000000}"/>
    <cellStyle name="Normal_CALCULATIEBLAD.XLS 2" xfId="39" xr:uid="{00000000-0005-0000-0000-000052000000}"/>
    <cellStyle name="Normal_CALCULATIEBLAD.XLS 2 2" xfId="213" xr:uid="{271CC83B-7B44-4B8D-9BF5-D447A1DBE60A}"/>
    <cellStyle name="Normal_CALCULATIEBLAD.XLS 3" xfId="47" xr:uid="{00000000-0005-0000-0000-000053000000}"/>
    <cellStyle name="Normal_Uurtarieven 2000 LEVERANCIER" xfId="207" xr:uid="{C38EF747-106D-4067-9F0E-C70EE94393DE}"/>
    <cellStyle name="Normal_Uurtarieven 2000 LEVERANCIER 2" xfId="212" xr:uid="{2972BBF1-84D4-49B2-A95B-513AF741F83E}"/>
    <cellStyle name="Note" xfId="74" xr:uid="{00000000-0005-0000-0000-000057000000}"/>
    <cellStyle name="Note 10" xfId="128" xr:uid="{00000000-0005-0000-0000-000058000000}"/>
    <cellStyle name="Note 10 2" xfId="129" xr:uid="{00000000-0005-0000-0000-000059000000}"/>
    <cellStyle name="Note 11" xfId="130" xr:uid="{00000000-0005-0000-0000-00005A000000}"/>
    <cellStyle name="Note 12" xfId="200" xr:uid="{00000000-0005-0000-0000-00005B000000}"/>
    <cellStyle name="Note 13" xfId="196" xr:uid="{00000000-0005-0000-0000-00005C000000}"/>
    <cellStyle name="Note 14" xfId="206" xr:uid="{00000000-0005-0000-0000-00005D000000}"/>
    <cellStyle name="Note 2" xfId="131" xr:uid="{00000000-0005-0000-0000-00005E000000}"/>
    <cellStyle name="Note 2 2" xfId="132" xr:uid="{00000000-0005-0000-0000-00005F000000}"/>
    <cellStyle name="Note 3" xfId="133" xr:uid="{00000000-0005-0000-0000-000060000000}"/>
    <cellStyle name="Note 3 2" xfId="134" xr:uid="{00000000-0005-0000-0000-000061000000}"/>
    <cellStyle name="Note 4" xfId="135" xr:uid="{00000000-0005-0000-0000-000062000000}"/>
    <cellStyle name="Note 4 2" xfId="136" xr:uid="{00000000-0005-0000-0000-000063000000}"/>
    <cellStyle name="Note 5" xfId="137" xr:uid="{00000000-0005-0000-0000-000064000000}"/>
    <cellStyle name="Note 5 2" xfId="138" xr:uid="{00000000-0005-0000-0000-000065000000}"/>
    <cellStyle name="Note 6" xfId="139" xr:uid="{00000000-0005-0000-0000-000066000000}"/>
    <cellStyle name="Note 6 2" xfId="140" xr:uid="{00000000-0005-0000-0000-000067000000}"/>
    <cellStyle name="Note 7" xfId="141" xr:uid="{00000000-0005-0000-0000-000068000000}"/>
    <cellStyle name="Note 7 2" xfId="142" xr:uid="{00000000-0005-0000-0000-000069000000}"/>
    <cellStyle name="Note 8" xfId="143" xr:uid="{00000000-0005-0000-0000-00006A000000}"/>
    <cellStyle name="Note 8 2" xfId="144" xr:uid="{00000000-0005-0000-0000-00006B000000}"/>
    <cellStyle name="Note 9" xfId="145" xr:uid="{00000000-0005-0000-0000-00006C000000}"/>
    <cellStyle name="Note 9 2" xfId="146" xr:uid="{00000000-0005-0000-0000-00006D000000}"/>
    <cellStyle name="Ongedefinieerd" xfId="13" xr:uid="{00000000-0005-0000-0000-00006E000000}"/>
    <cellStyle name="Ongedefinieerd 2" xfId="51" xr:uid="{00000000-0005-0000-0000-00006F000000}"/>
    <cellStyle name="Output" xfId="75" xr:uid="{00000000-0005-0000-0000-000070000000}"/>
    <cellStyle name="Output 10" xfId="147" xr:uid="{00000000-0005-0000-0000-000071000000}"/>
    <cellStyle name="Output 10 2" xfId="148" xr:uid="{00000000-0005-0000-0000-000072000000}"/>
    <cellStyle name="Output 11" xfId="149" xr:uid="{00000000-0005-0000-0000-000073000000}"/>
    <cellStyle name="Output 12" xfId="201" xr:uid="{00000000-0005-0000-0000-000074000000}"/>
    <cellStyle name="Output 13" xfId="188" xr:uid="{00000000-0005-0000-0000-000075000000}"/>
    <cellStyle name="Output 14" xfId="189" xr:uid="{00000000-0005-0000-0000-000076000000}"/>
    <cellStyle name="Output 2" xfId="150" xr:uid="{00000000-0005-0000-0000-000077000000}"/>
    <cellStyle name="Output 2 2" xfId="151" xr:uid="{00000000-0005-0000-0000-000078000000}"/>
    <cellStyle name="Output 3" xfId="152" xr:uid="{00000000-0005-0000-0000-000079000000}"/>
    <cellStyle name="Output 3 2" xfId="153" xr:uid="{00000000-0005-0000-0000-00007A000000}"/>
    <cellStyle name="Output 4" xfId="154" xr:uid="{00000000-0005-0000-0000-00007B000000}"/>
    <cellStyle name="Output 4 2" xfId="155" xr:uid="{00000000-0005-0000-0000-00007C000000}"/>
    <cellStyle name="Output 5" xfId="156" xr:uid="{00000000-0005-0000-0000-00007D000000}"/>
    <cellStyle name="Output 5 2" xfId="157" xr:uid="{00000000-0005-0000-0000-00007E000000}"/>
    <cellStyle name="Output 6" xfId="158" xr:uid="{00000000-0005-0000-0000-00007F000000}"/>
    <cellStyle name="Output 6 2" xfId="159" xr:uid="{00000000-0005-0000-0000-000080000000}"/>
    <cellStyle name="Output 7" xfId="160" xr:uid="{00000000-0005-0000-0000-000081000000}"/>
    <cellStyle name="Output 7 2" xfId="161" xr:uid="{00000000-0005-0000-0000-000082000000}"/>
    <cellStyle name="Output 8" xfId="162" xr:uid="{00000000-0005-0000-0000-000083000000}"/>
    <cellStyle name="Output 8 2" xfId="163" xr:uid="{00000000-0005-0000-0000-000084000000}"/>
    <cellStyle name="Output 9" xfId="164" xr:uid="{00000000-0005-0000-0000-000085000000}"/>
    <cellStyle name="Output 9 2" xfId="165" xr:uid="{00000000-0005-0000-0000-000086000000}"/>
    <cellStyle name="Procent" xfId="211" builtinId="5"/>
    <cellStyle name="Procent 2" xfId="14" xr:uid="{00000000-0005-0000-0000-000087000000}"/>
    <cellStyle name="Procent 2 2" xfId="15" xr:uid="{00000000-0005-0000-0000-000088000000}"/>
    <cellStyle name="Procent 2 3" xfId="54" xr:uid="{00000000-0005-0000-0000-000089000000}"/>
    <cellStyle name="Procent 3" xfId="16" xr:uid="{00000000-0005-0000-0000-00008A000000}"/>
    <cellStyle name="Procent 3 2" xfId="90" xr:uid="{00000000-0005-0000-0000-00008B000000}"/>
    <cellStyle name="Procent 4" xfId="55" xr:uid="{00000000-0005-0000-0000-00008C000000}"/>
    <cellStyle name="Procent 4 2" xfId="86" xr:uid="{00000000-0005-0000-0000-00008D000000}"/>
    <cellStyle name="Procent 5" xfId="82" xr:uid="{00000000-0005-0000-0000-00008E000000}"/>
    <cellStyle name="Procent 5 2" xfId="204" xr:uid="{00000000-0005-0000-0000-00008F000000}"/>
    <cellStyle name="Ruimtestaat_Koppen" xfId="76" xr:uid="{00000000-0005-0000-0000-000090000000}"/>
    <cellStyle name="Standaard" xfId="0" builtinId="0"/>
    <cellStyle name="Standaard 10" xfId="31" xr:uid="{00000000-0005-0000-0000-000092000000}"/>
    <cellStyle name="Standaard 10 2" xfId="41" xr:uid="{00000000-0005-0000-0000-000093000000}"/>
    <cellStyle name="Standaard 11" xfId="33" xr:uid="{00000000-0005-0000-0000-000094000000}"/>
    <cellStyle name="Standaard 11 2" xfId="84" xr:uid="{00000000-0005-0000-0000-000095000000}"/>
    <cellStyle name="Standaard 11 3" xfId="166" xr:uid="{00000000-0005-0000-0000-000096000000}"/>
    <cellStyle name="Standaard 11 4" xfId="167" xr:uid="{00000000-0005-0000-0000-000097000000}"/>
    <cellStyle name="Standaard 11 5" xfId="168" xr:uid="{00000000-0005-0000-0000-000098000000}"/>
    <cellStyle name="Standaard 11 6" xfId="191" xr:uid="{00000000-0005-0000-0000-000099000000}"/>
    <cellStyle name="Standaard 12" xfId="45" xr:uid="{00000000-0005-0000-0000-00009A000000}"/>
    <cellStyle name="Standaard 13" xfId="48" xr:uid="{00000000-0005-0000-0000-00009B000000}"/>
    <cellStyle name="Standaard 14" xfId="81" xr:uid="{00000000-0005-0000-0000-00009C000000}"/>
    <cellStyle name="Standaard 14 2" xfId="203" xr:uid="{00000000-0005-0000-0000-00009D000000}"/>
    <cellStyle name="Standaard 2" xfId="17" xr:uid="{00000000-0005-0000-0000-00009E000000}"/>
    <cellStyle name="Standaard 2 2" xfId="18" xr:uid="{00000000-0005-0000-0000-00009F000000}"/>
    <cellStyle name="Standaard 2 2 2" xfId="19" xr:uid="{00000000-0005-0000-0000-0000A0000000}"/>
    <cellStyle name="Standaard 2 2 2 2" xfId="20" xr:uid="{00000000-0005-0000-0000-0000A1000000}"/>
    <cellStyle name="Standaard 2 2 3" xfId="91" xr:uid="{00000000-0005-0000-0000-0000A2000000}"/>
    <cellStyle name="Standaard 2 3" xfId="21" xr:uid="{00000000-0005-0000-0000-0000A3000000}"/>
    <cellStyle name="Standaard 2 3 2" xfId="92" xr:uid="{00000000-0005-0000-0000-0000A4000000}"/>
    <cellStyle name="Standaard 2 4" xfId="77" xr:uid="{00000000-0005-0000-0000-0000A5000000}"/>
    <cellStyle name="Standaard 2 5" xfId="93" xr:uid="{00000000-0005-0000-0000-0000A6000000}"/>
    <cellStyle name="Standaard 3" xfId="22" xr:uid="{00000000-0005-0000-0000-0000A7000000}"/>
    <cellStyle name="Standaard 3 2" xfId="94" xr:uid="{00000000-0005-0000-0000-0000A8000000}"/>
    <cellStyle name="Standaard 4" xfId="23" xr:uid="{00000000-0005-0000-0000-0000A9000000}"/>
    <cellStyle name="Standaard 4 2" xfId="95" xr:uid="{00000000-0005-0000-0000-0000AA000000}"/>
    <cellStyle name="Standaard 5" xfId="24" xr:uid="{00000000-0005-0000-0000-0000AB000000}"/>
    <cellStyle name="Standaard 5 2" xfId="40" xr:uid="{00000000-0005-0000-0000-0000AC000000}"/>
    <cellStyle name="Standaard 5 3" xfId="52" xr:uid="{00000000-0005-0000-0000-0000AD000000}"/>
    <cellStyle name="Standaard 6" xfId="25" xr:uid="{00000000-0005-0000-0000-0000AE000000}"/>
    <cellStyle name="Standaard 7" xfId="26" xr:uid="{00000000-0005-0000-0000-0000AF000000}"/>
    <cellStyle name="Standaard 8" xfId="27" xr:uid="{00000000-0005-0000-0000-0000B0000000}"/>
    <cellStyle name="Standaard 9" xfId="28" xr:uid="{00000000-0005-0000-0000-0000B1000000}"/>
    <cellStyle name="Standaard_Bijlage 1+3" xfId="216" xr:uid="{8295E7AD-5564-4087-BE50-422EDA288A03}"/>
    <cellStyle name="Standaard_Blad1" xfId="38" xr:uid="{00000000-0005-0000-0000-0000B2000000}"/>
    <cellStyle name="Standaard_Blad1 2" xfId="215" xr:uid="{4858B15D-D7CA-48A5-B986-C6F3834EF214}"/>
    <cellStyle name="Title" xfId="78" xr:uid="{00000000-0005-0000-0000-0000B3000000}"/>
    <cellStyle name="Total" xfId="79" xr:uid="{00000000-0005-0000-0000-0000B4000000}"/>
    <cellStyle name="Total 10" xfId="169" xr:uid="{00000000-0005-0000-0000-0000B5000000}"/>
    <cellStyle name="Total 10 2" xfId="170" xr:uid="{00000000-0005-0000-0000-0000B6000000}"/>
    <cellStyle name="Total 11" xfId="171" xr:uid="{00000000-0005-0000-0000-0000B7000000}"/>
    <cellStyle name="Total 12" xfId="202" xr:uid="{00000000-0005-0000-0000-0000B8000000}"/>
    <cellStyle name="Total 13" xfId="193" xr:uid="{00000000-0005-0000-0000-0000B9000000}"/>
    <cellStyle name="Total 14" xfId="190" xr:uid="{00000000-0005-0000-0000-0000BA000000}"/>
    <cellStyle name="Total 2" xfId="172" xr:uid="{00000000-0005-0000-0000-0000BB000000}"/>
    <cellStyle name="Total 2 2" xfId="173" xr:uid="{00000000-0005-0000-0000-0000BC000000}"/>
    <cellStyle name="Total 3" xfId="174" xr:uid="{00000000-0005-0000-0000-0000BD000000}"/>
    <cellStyle name="Total 3 2" xfId="175" xr:uid="{00000000-0005-0000-0000-0000BE000000}"/>
    <cellStyle name="Total 4" xfId="176" xr:uid="{00000000-0005-0000-0000-0000BF000000}"/>
    <cellStyle name="Total 4 2" xfId="177" xr:uid="{00000000-0005-0000-0000-0000C0000000}"/>
    <cellStyle name="Total 5" xfId="178" xr:uid="{00000000-0005-0000-0000-0000C1000000}"/>
    <cellStyle name="Total 5 2" xfId="179" xr:uid="{00000000-0005-0000-0000-0000C2000000}"/>
    <cellStyle name="Total 6" xfId="180" xr:uid="{00000000-0005-0000-0000-0000C3000000}"/>
    <cellStyle name="Total 6 2" xfId="181" xr:uid="{00000000-0005-0000-0000-0000C4000000}"/>
    <cellStyle name="Total 7" xfId="182" xr:uid="{00000000-0005-0000-0000-0000C5000000}"/>
    <cellStyle name="Total 7 2" xfId="183" xr:uid="{00000000-0005-0000-0000-0000C6000000}"/>
    <cellStyle name="Total 8" xfId="184" xr:uid="{00000000-0005-0000-0000-0000C7000000}"/>
    <cellStyle name="Total 8 2" xfId="185" xr:uid="{00000000-0005-0000-0000-0000C8000000}"/>
    <cellStyle name="Total 9" xfId="186" xr:uid="{00000000-0005-0000-0000-0000C9000000}"/>
    <cellStyle name="Total 9 2" xfId="187" xr:uid="{00000000-0005-0000-0000-0000CA000000}"/>
    <cellStyle name="Valuta" xfId="34" builtinId="4"/>
    <cellStyle name="Valuta 2" xfId="29" xr:uid="{00000000-0005-0000-0000-0000CC000000}"/>
    <cellStyle name="Valuta 2 2" xfId="56" xr:uid="{00000000-0005-0000-0000-0000CD000000}"/>
    <cellStyle name="Valuta 3" xfId="30" xr:uid="{00000000-0005-0000-0000-0000CE000000}"/>
    <cellStyle name="Valuta 4" xfId="96" xr:uid="{00000000-0005-0000-0000-0000CF000000}"/>
    <cellStyle name="Valuta 4 2" xfId="97" xr:uid="{00000000-0005-0000-0000-0000D0000000}"/>
    <cellStyle name="Warning Text" xfId="80" xr:uid="{00000000-0005-0000-0000-0000D1000000}"/>
  </cellStyles>
  <dxfs count="9">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indexed="22"/>
        </patternFill>
      </fill>
    </dxf>
    <dxf>
      <fill>
        <patternFill>
          <bgColor indexed="22"/>
        </patternFill>
      </fill>
    </dxf>
  </dxfs>
  <tableStyles count="0" defaultTableStyle="TableStyleMedium9"/>
  <colors>
    <mruColors>
      <color rgb="FFDDD9C4"/>
      <color rgb="FFFFFF99"/>
      <color rgb="FF0A4983"/>
      <color rgb="FF0AAAFF"/>
      <color rgb="FFCC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2.xml"/><Relationship Id="rId117" Type="http://schemas.openxmlformats.org/officeDocument/2006/relationships/customXml" Target="../customXml/item1.xml"/><Relationship Id="rId21" Type="http://schemas.openxmlformats.org/officeDocument/2006/relationships/externalLink" Target="externalLinks/externalLink7.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84" Type="http://schemas.openxmlformats.org/officeDocument/2006/relationships/externalLink" Target="externalLinks/externalLink70.xml"/><Relationship Id="rId89" Type="http://schemas.openxmlformats.org/officeDocument/2006/relationships/externalLink" Target="externalLinks/externalLink75.xml"/><Relationship Id="rId112" Type="http://schemas.openxmlformats.org/officeDocument/2006/relationships/externalLink" Target="externalLinks/externalLink98.xml"/><Relationship Id="rId16" Type="http://schemas.openxmlformats.org/officeDocument/2006/relationships/externalLink" Target="externalLinks/externalLink2.xml"/><Relationship Id="rId107" Type="http://schemas.openxmlformats.org/officeDocument/2006/relationships/externalLink" Target="externalLinks/externalLink93.xml"/><Relationship Id="rId11" Type="http://schemas.openxmlformats.org/officeDocument/2006/relationships/worksheet" Target="worksheets/sheet11.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74" Type="http://schemas.openxmlformats.org/officeDocument/2006/relationships/externalLink" Target="externalLinks/externalLink60.xml"/><Relationship Id="rId79" Type="http://schemas.openxmlformats.org/officeDocument/2006/relationships/externalLink" Target="externalLinks/externalLink65.xml"/><Relationship Id="rId102" Type="http://schemas.openxmlformats.org/officeDocument/2006/relationships/externalLink" Target="externalLinks/externalLink88.xml"/><Relationship Id="rId5" Type="http://schemas.openxmlformats.org/officeDocument/2006/relationships/worksheet" Target="worksheets/sheet5.xml"/><Relationship Id="rId90" Type="http://schemas.openxmlformats.org/officeDocument/2006/relationships/externalLink" Target="externalLinks/externalLink76.xml"/><Relationship Id="rId95" Type="http://schemas.openxmlformats.org/officeDocument/2006/relationships/externalLink" Target="externalLinks/externalLink81.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113" Type="http://schemas.openxmlformats.org/officeDocument/2006/relationships/theme" Target="theme/theme1.xml"/><Relationship Id="rId118" Type="http://schemas.openxmlformats.org/officeDocument/2006/relationships/customXml" Target="../customXml/item2.xml"/><Relationship Id="rId80" Type="http://schemas.openxmlformats.org/officeDocument/2006/relationships/externalLink" Target="externalLinks/externalLink66.xml"/><Relationship Id="rId85" Type="http://schemas.openxmlformats.org/officeDocument/2006/relationships/externalLink" Target="externalLinks/externalLink71.xml"/><Relationship Id="rId12" Type="http://schemas.openxmlformats.org/officeDocument/2006/relationships/worksheet" Target="worksheets/sheet12.xml"/><Relationship Id="rId17" Type="http://schemas.openxmlformats.org/officeDocument/2006/relationships/externalLink" Target="externalLinks/externalLink3.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59" Type="http://schemas.openxmlformats.org/officeDocument/2006/relationships/externalLink" Target="externalLinks/externalLink45.xml"/><Relationship Id="rId103" Type="http://schemas.openxmlformats.org/officeDocument/2006/relationships/externalLink" Target="externalLinks/externalLink89.xml"/><Relationship Id="rId108" Type="http://schemas.openxmlformats.org/officeDocument/2006/relationships/externalLink" Target="externalLinks/externalLink94.xml"/><Relationship Id="rId54" Type="http://schemas.openxmlformats.org/officeDocument/2006/relationships/externalLink" Target="externalLinks/externalLink40.xml"/><Relationship Id="rId70" Type="http://schemas.openxmlformats.org/officeDocument/2006/relationships/externalLink" Target="externalLinks/externalLink56.xml"/><Relationship Id="rId75" Type="http://schemas.openxmlformats.org/officeDocument/2006/relationships/externalLink" Target="externalLinks/externalLink61.xml"/><Relationship Id="rId91" Type="http://schemas.openxmlformats.org/officeDocument/2006/relationships/externalLink" Target="externalLinks/externalLink77.xml"/><Relationship Id="rId96" Type="http://schemas.openxmlformats.org/officeDocument/2006/relationships/externalLink" Target="externalLinks/externalLink8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49" Type="http://schemas.openxmlformats.org/officeDocument/2006/relationships/externalLink" Target="externalLinks/externalLink35.xml"/><Relationship Id="rId114" Type="http://schemas.openxmlformats.org/officeDocument/2006/relationships/styles" Target="styles.xml"/><Relationship Id="rId119"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externalLink" Target="externalLinks/externalLink59.xml"/><Relationship Id="rId78" Type="http://schemas.openxmlformats.org/officeDocument/2006/relationships/externalLink" Target="externalLinks/externalLink64.xml"/><Relationship Id="rId81" Type="http://schemas.openxmlformats.org/officeDocument/2006/relationships/externalLink" Target="externalLinks/externalLink67.xml"/><Relationship Id="rId86" Type="http://schemas.openxmlformats.org/officeDocument/2006/relationships/externalLink" Target="externalLinks/externalLink72.xml"/><Relationship Id="rId94" Type="http://schemas.openxmlformats.org/officeDocument/2006/relationships/externalLink" Target="externalLinks/externalLink80.xml"/><Relationship Id="rId99" Type="http://schemas.openxmlformats.org/officeDocument/2006/relationships/externalLink" Target="externalLinks/externalLink85.xml"/><Relationship Id="rId101" Type="http://schemas.openxmlformats.org/officeDocument/2006/relationships/externalLink" Target="externalLinks/externalLink8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4.xml"/><Relationship Id="rId39" Type="http://schemas.openxmlformats.org/officeDocument/2006/relationships/externalLink" Target="externalLinks/externalLink25.xml"/><Relationship Id="rId109" Type="http://schemas.openxmlformats.org/officeDocument/2006/relationships/externalLink" Target="externalLinks/externalLink95.xml"/><Relationship Id="rId34" Type="http://schemas.openxmlformats.org/officeDocument/2006/relationships/externalLink" Target="externalLinks/externalLink20.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76" Type="http://schemas.openxmlformats.org/officeDocument/2006/relationships/externalLink" Target="externalLinks/externalLink62.xml"/><Relationship Id="rId97" Type="http://schemas.openxmlformats.org/officeDocument/2006/relationships/externalLink" Target="externalLinks/externalLink83.xml"/><Relationship Id="rId104" Type="http://schemas.openxmlformats.org/officeDocument/2006/relationships/externalLink" Target="externalLinks/externalLink90.xml"/><Relationship Id="rId7" Type="http://schemas.openxmlformats.org/officeDocument/2006/relationships/worksheet" Target="worksheets/sheet7.xml"/><Relationship Id="rId71" Type="http://schemas.openxmlformats.org/officeDocument/2006/relationships/externalLink" Target="externalLinks/externalLink57.xml"/><Relationship Id="rId92" Type="http://schemas.openxmlformats.org/officeDocument/2006/relationships/externalLink" Target="externalLinks/externalLink78.xml"/><Relationship Id="rId2" Type="http://schemas.openxmlformats.org/officeDocument/2006/relationships/worksheet" Target="worksheets/sheet2.xml"/><Relationship Id="rId29" Type="http://schemas.openxmlformats.org/officeDocument/2006/relationships/externalLink" Target="externalLinks/externalLink15.xml"/><Relationship Id="rId24" Type="http://schemas.openxmlformats.org/officeDocument/2006/relationships/externalLink" Target="externalLinks/externalLink10.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66" Type="http://schemas.openxmlformats.org/officeDocument/2006/relationships/externalLink" Target="externalLinks/externalLink52.xml"/><Relationship Id="rId87" Type="http://schemas.openxmlformats.org/officeDocument/2006/relationships/externalLink" Target="externalLinks/externalLink73.xml"/><Relationship Id="rId110" Type="http://schemas.openxmlformats.org/officeDocument/2006/relationships/externalLink" Target="externalLinks/externalLink96.xml"/><Relationship Id="rId115" Type="http://schemas.openxmlformats.org/officeDocument/2006/relationships/sharedStrings" Target="sharedStrings.xml"/><Relationship Id="rId61" Type="http://schemas.openxmlformats.org/officeDocument/2006/relationships/externalLink" Target="externalLinks/externalLink47.xml"/><Relationship Id="rId82" Type="http://schemas.openxmlformats.org/officeDocument/2006/relationships/externalLink" Target="externalLinks/externalLink68.xml"/><Relationship Id="rId19" Type="http://schemas.openxmlformats.org/officeDocument/2006/relationships/externalLink" Target="externalLinks/externalLink5.xml"/><Relationship Id="rId14" Type="http://schemas.openxmlformats.org/officeDocument/2006/relationships/worksheet" Target="worksheets/sheet14.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56" Type="http://schemas.openxmlformats.org/officeDocument/2006/relationships/externalLink" Target="externalLinks/externalLink42.xml"/><Relationship Id="rId77" Type="http://schemas.openxmlformats.org/officeDocument/2006/relationships/externalLink" Target="externalLinks/externalLink63.xml"/><Relationship Id="rId100" Type="http://schemas.openxmlformats.org/officeDocument/2006/relationships/externalLink" Target="externalLinks/externalLink86.xml"/><Relationship Id="rId105" Type="http://schemas.openxmlformats.org/officeDocument/2006/relationships/externalLink" Target="externalLinks/externalLink91.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93" Type="http://schemas.openxmlformats.org/officeDocument/2006/relationships/externalLink" Target="externalLinks/externalLink79.xml"/><Relationship Id="rId98" Type="http://schemas.openxmlformats.org/officeDocument/2006/relationships/externalLink" Target="externalLinks/externalLink84.xml"/><Relationship Id="rId3" Type="http://schemas.openxmlformats.org/officeDocument/2006/relationships/worksheet" Target="worksheets/sheet3.xml"/><Relationship Id="rId25" Type="http://schemas.openxmlformats.org/officeDocument/2006/relationships/externalLink" Target="externalLinks/externalLink11.xml"/><Relationship Id="rId46" Type="http://schemas.openxmlformats.org/officeDocument/2006/relationships/externalLink" Target="externalLinks/externalLink32.xml"/><Relationship Id="rId67" Type="http://schemas.openxmlformats.org/officeDocument/2006/relationships/externalLink" Target="externalLinks/externalLink53.xml"/><Relationship Id="rId116" Type="http://schemas.openxmlformats.org/officeDocument/2006/relationships/calcChain" Target="calcChain.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62" Type="http://schemas.openxmlformats.org/officeDocument/2006/relationships/externalLink" Target="externalLinks/externalLink48.xml"/><Relationship Id="rId83" Type="http://schemas.openxmlformats.org/officeDocument/2006/relationships/externalLink" Target="externalLinks/externalLink69.xml"/><Relationship Id="rId88" Type="http://schemas.openxmlformats.org/officeDocument/2006/relationships/externalLink" Target="externalLinks/externalLink74.xml"/><Relationship Id="rId111" Type="http://schemas.openxmlformats.org/officeDocument/2006/relationships/externalLink" Target="externalLinks/externalLink97.xml"/><Relationship Id="rId15" Type="http://schemas.openxmlformats.org/officeDocument/2006/relationships/externalLink" Target="externalLinks/externalLink1.xml"/><Relationship Id="rId36" Type="http://schemas.openxmlformats.org/officeDocument/2006/relationships/externalLink" Target="externalLinks/externalLink22.xml"/><Relationship Id="rId57" Type="http://schemas.openxmlformats.org/officeDocument/2006/relationships/externalLink" Target="externalLinks/externalLink43.xml"/><Relationship Id="rId106" Type="http://schemas.openxmlformats.org/officeDocument/2006/relationships/externalLink" Target="externalLinks/externalLink9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15</xdr:col>
      <xdr:colOff>523875</xdr:colOff>
      <xdr:row>33</xdr:row>
      <xdr:rowOff>87630</xdr:rowOff>
    </xdr:to>
    <xdr:sp macro="" textlink="">
      <xdr:nvSpPr>
        <xdr:cNvPr id="2" name="Tekstvak 1">
          <a:extLst>
            <a:ext uri="{FF2B5EF4-FFF2-40B4-BE49-F238E27FC236}">
              <a16:creationId xmlns:a16="http://schemas.microsoft.com/office/drawing/2014/main" id="{23AC0391-1D5C-4119-9707-FDCE2D094BE7}"/>
            </a:ext>
          </a:extLst>
        </xdr:cNvPr>
        <xdr:cNvSpPr txBox="1"/>
      </xdr:nvSpPr>
      <xdr:spPr>
        <a:xfrm>
          <a:off x="1905" y="1137284"/>
          <a:ext cx="10949940" cy="46024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de</a:t>
          </a:r>
          <a:r>
            <a:rPr lang="nl-NL" sz="1200" b="0" baseline="0">
              <a:solidFill>
                <a:schemeClr val="dk1"/>
              </a:solidFill>
              <a:effectLst/>
              <a:latin typeface="Georgia" panose="02040502050405020303" pitchFamily="18" charset="0"/>
              <a:ea typeface="+mn-ea"/>
              <a:cs typeface="+mn-cs"/>
            </a:rPr>
            <a:t> totaalkosten </a:t>
          </a:r>
          <a:r>
            <a:rPr lang="nl-NL" sz="1200" b="0">
              <a:solidFill>
                <a:schemeClr val="dk1"/>
              </a:solidFill>
              <a:effectLst/>
              <a:latin typeface="Georgia" panose="02040502050405020303" pitchFamily="18" charset="0"/>
              <a:ea typeface="+mn-ea"/>
              <a:cs typeface="+mn-cs"/>
            </a:rPr>
            <a:t>overeenkomt met de onderliggende tabbladen. </a:t>
          </a:r>
        </a:p>
        <a:p>
          <a:pPr lvl="0"/>
          <a:endParaRPr lang="nl-NL" sz="1200" b="0">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 </a:t>
          </a:r>
          <a:r>
            <a:rPr lang="nl-NL" sz="1200" b="0">
              <a:solidFill>
                <a:schemeClr val="tx1"/>
              </a:solidFill>
              <a:effectLst/>
              <a:latin typeface="Georgia" panose="02040502050405020303" pitchFamily="18" charset="0"/>
              <a:ea typeface="+mn-ea"/>
              <a:cs typeface="+mn-cs"/>
            </a:rPr>
            <a:t>van 1 juli 2025 is het </a:t>
          </a:r>
          <a:r>
            <a:rPr lang="nl-NL" sz="1200" b="0">
              <a:solidFill>
                <a:schemeClr val="dk1"/>
              </a:solidFill>
              <a:effectLst/>
              <a:latin typeface="Georgia" panose="02040502050405020303" pitchFamily="18" charset="0"/>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inschrijver. Indien noodzakelijk worden eventuele wijzigingen in de ruimtestaat na gunning in de calculatie doorgevoerd en verrekend met de in het calculatiemodel opgenomen normeringen en tarieven van de inschrijver.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totaalprijs is opgebouwd uit alle componenten die zijn opgenomen in het </a:t>
          </a:r>
          <a:r>
            <a:rPr lang="nl-NL" sz="1200" b="0">
              <a:solidFill>
                <a:schemeClr val="tx1"/>
              </a:solidFill>
              <a:effectLst/>
              <a:latin typeface="Georgia" panose="02040502050405020303" pitchFamily="18" charset="0"/>
              <a:ea typeface="+mn-ea"/>
              <a:cs typeface="+mn-cs"/>
            </a:rPr>
            <a:t>calculatiemodel met uitzondering van de afroepprijzen.</a:t>
          </a:r>
          <a:endParaRPr lang="nl-NL" sz="1200" b="1">
            <a:solidFill>
              <a:schemeClr val="tx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overige indirecte kosten maken onderdeel uit van de uurtarieven.</a:t>
          </a:r>
        </a:p>
        <a:p>
          <a:pPr marL="0" indent="0"/>
          <a:r>
            <a:rPr lang="nl-NL" sz="1200" b="0">
              <a:solidFill>
                <a:sysClr val="windowText" lastClr="000000"/>
              </a:solidFill>
              <a:effectLst/>
              <a:latin typeface="Georgia" panose="02040502050405020303" pitchFamily="18" charset="0"/>
              <a:ea typeface="+mn-ea"/>
              <a:cs typeface="+mn-cs"/>
            </a:rPr>
            <a:t> </a:t>
          </a:r>
        </a:p>
        <a:p>
          <a:pPr marL="0" indent="0"/>
          <a:r>
            <a:rPr lang="nl-NL" sz="1200" b="0">
              <a:solidFill>
                <a:sysClr val="windowText" lastClr="000000"/>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200" b="1">
            <a:solidFill>
              <a:schemeClr val="tx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28</xdr:row>
      <xdr:rowOff>9525</xdr:rowOff>
    </xdr:from>
    <xdr:to>
      <xdr:col>6</xdr:col>
      <xdr:colOff>112395</xdr:colOff>
      <xdr:row>35</xdr:row>
      <xdr:rowOff>40006</xdr:rowOff>
    </xdr:to>
    <xdr:sp macro="" textlink="">
      <xdr:nvSpPr>
        <xdr:cNvPr id="2" name="Tekstvak 1">
          <a:extLst>
            <a:ext uri="{FF2B5EF4-FFF2-40B4-BE49-F238E27FC236}">
              <a16:creationId xmlns:a16="http://schemas.microsoft.com/office/drawing/2014/main" id="{8CA30A38-789B-43EB-8F66-EB5B4431EA82}"/>
            </a:ext>
          </a:extLst>
        </xdr:cNvPr>
        <xdr:cNvSpPr txBox="1"/>
      </xdr:nvSpPr>
      <xdr:spPr>
        <a:xfrm>
          <a:off x="3514725" y="7174230"/>
          <a:ext cx="3598545" cy="15716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56726</xdr:colOff>
      <xdr:row>0</xdr:row>
      <xdr:rowOff>2965</xdr:rowOff>
    </xdr:from>
    <xdr:to>
      <xdr:col>9</xdr:col>
      <xdr:colOff>0</xdr:colOff>
      <xdr:row>7</xdr:row>
      <xdr:rowOff>0</xdr:rowOff>
    </xdr:to>
    <xdr:sp macro="" textlink="">
      <xdr:nvSpPr>
        <xdr:cNvPr id="2" name="Tekstvak 1">
          <a:extLst>
            <a:ext uri="{FF2B5EF4-FFF2-40B4-BE49-F238E27FC236}">
              <a16:creationId xmlns:a16="http://schemas.microsoft.com/office/drawing/2014/main" id="{538F26C9-96BB-4FDF-AD6B-467465A5CAB1}"/>
            </a:ext>
          </a:extLst>
        </xdr:cNvPr>
        <xdr:cNvSpPr txBox="1"/>
      </xdr:nvSpPr>
      <xdr:spPr>
        <a:xfrm>
          <a:off x="5475393" y="2965"/>
          <a:ext cx="3753274" cy="14363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de uurlonen</a:t>
          </a:r>
          <a:r>
            <a:rPr lang="nl-NL" sz="1100" baseline="0">
              <a:solidFill>
                <a:srgbClr val="FF0000"/>
              </a:solidFill>
              <a:effectLst/>
              <a:latin typeface="Georgia" panose="02040502050405020303" pitchFamily="18" charset="0"/>
              <a:ea typeface="+mn-ea"/>
              <a:cs typeface="+mn-cs"/>
            </a:rPr>
            <a:t> die als uitgangspunt voor de calculatie zijn genomen. </a:t>
          </a:r>
          <a:r>
            <a:rPr lang="nl-NL" sz="1100">
              <a:solidFill>
                <a:srgbClr val="FF0000"/>
              </a:solidFill>
              <a:effectLst/>
              <a:latin typeface="Georgia" panose="02040502050405020303" pitchFamily="18" charset="0"/>
              <a:ea typeface="+mn-ea"/>
              <a:cs typeface="+mn-cs"/>
            </a:rPr>
            <a:t>Deze tarieven</a:t>
          </a:r>
          <a:r>
            <a:rPr lang="nl-NL" sz="1100" baseline="0">
              <a:solidFill>
                <a:srgbClr val="FF0000"/>
              </a:solidFill>
              <a:effectLst/>
              <a:latin typeface="Georgia" panose="02040502050405020303" pitchFamily="18" charset="0"/>
              <a:ea typeface="+mn-ea"/>
              <a:cs typeface="+mn-cs"/>
            </a:rPr>
            <a:t> vormen de basis  voor toekomstige indexeringen.</a:t>
          </a:r>
        </a:p>
        <a:p>
          <a:r>
            <a:rPr lang="nl-NL" sz="1100" baseline="0">
              <a:solidFill>
                <a:srgbClr val="FF0000"/>
              </a:solidFill>
              <a:effectLst/>
              <a:latin typeface="Georgia" panose="02040502050405020303" pitchFamily="18" charset="0"/>
              <a:ea typeface="+mn-ea"/>
              <a:cs typeface="+mn-cs"/>
            </a:rPr>
            <a:t>De opbouw van het basisuurloon voor de medewerkers is gebaseerd op de loongroepverdeling zoals opgenomen in tabblad 10a, Onderbouwing basis uurloon.</a:t>
          </a:r>
        </a:p>
        <a:p>
          <a:endParaRPr lang="nl-NL" sz="1100">
            <a:solidFill>
              <a:srgbClr val="FF0000"/>
            </a:solidFill>
            <a:effectLst/>
            <a:latin typeface="Georgia" panose="02040502050405020303" pitchFamily="18" charset="0"/>
            <a:ea typeface="+mn-ea"/>
            <a:cs typeface="+mn-cs"/>
          </a:endParaRP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171026</xdr:colOff>
      <xdr:row>3</xdr:row>
      <xdr:rowOff>140125</xdr:rowOff>
    </xdr:from>
    <xdr:to>
      <xdr:col>15</xdr:col>
      <xdr:colOff>203834</xdr:colOff>
      <xdr:row>7</xdr:row>
      <xdr:rowOff>209550</xdr:rowOff>
    </xdr:to>
    <xdr:sp macro="" textlink="">
      <xdr:nvSpPr>
        <xdr:cNvPr id="2" name="Tekstvak 1">
          <a:extLst>
            <a:ext uri="{FF2B5EF4-FFF2-40B4-BE49-F238E27FC236}">
              <a16:creationId xmlns:a16="http://schemas.microsoft.com/office/drawing/2014/main" id="{FAD0B2CA-EE77-46E3-A7F6-38496C29BACE}"/>
            </a:ext>
          </a:extLst>
        </xdr:cNvPr>
        <xdr:cNvSpPr txBox="1"/>
      </xdr:nvSpPr>
      <xdr:spPr>
        <a:xfrm>
          <a:off x="5741246" y="665905"/>
          <a:ext cx="5831628" cy="9762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de uurlonen</a:t>
          </a:r>
          <a:r>
            <a:rPr lang="nl-NL" sz="1100" baseline="0">
              <a:solidFill>
                <a:srgbClr val="FF0000"/>
              </a:solidFill>
              <a:effectLst/>
              <a:latin typeface="Georgia" panose="02040502050405020303" pitchFamily="18" charset="0"/>
              <a:ea typeface="+mn-ea"/>
              <a:cs typeface="+mn-cs"/>
            </a:rPr>
            <a:t> die als uitgangspunt voor de </a:t>
          </a:r>
          <a:r>
            <a:rPr lang="nl-NL" sz="1100">
              <a:solidFill>
                <a:srgbClr val="FF0000"/>
              </a:solidFill>
              <a:effectLst/>
              <a:latin typeface="Georgia" panose="02040502050405020303" pitchFamily="18" charset="0"/>
              <a:ea typeface="+mn-ea"/>
              <a:cs typeface="+mn-cs"/>
            </a:rPr>
            <a:t>calculatie zijn genomen en terug komen in tabblad 10, opbouw uurtarieven. Deze tarieven vormen de basis  voor toekomstige indexeringen.</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rgbClr val="FF0000"/>
              </a:solidFill>
              <a:effectLst/>
              <a:latin typeface="Georgia" panose="02040502050405020303" pitchFamily="18" charset="0"/>
              <a:ea typeface="+mn-ea"/>
              <a:cs typeface="+mn-cs"/>
            </a:rPr>
            <a:t>Gedurende de contractperiode worden de opgegeven percentages per loongroep, waarop het opgegeven gemiddelde uurtarief is gebaseerd, NIET aangepast.</a:t>
          </a:r>
        </a:p>
        <a:p>
          <a:endParaRPr lang="nl-NL" sz="1100">
            <a:solidFill>
              <a:srgbClr val="FF0000"/>
            </a:solidFill>
            <a:effectLst/>
            <a:latin typeface="Georgia" panose="02040502050405020303" pitchFamily="18" charset="0"/>
            <a:ea typeface="+mn-ea"/>
            <a:cs typeface="+mn-cs"/>
          </a:endParaRPr>
        </a:p>
        <a:p>
          <a:endParaRPr lang="nl-NL" sz="1000">
            <a:solidFill>
              <a:srgbClr val="FF0000"/>
            </a:solidFill>
            <a:effectLst/>
            <a:latin typeface="Georgia" panose="02040502050405020303"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UvA/Calculatie/Q3/Ruimtestaat%20en%20factuurbedragen%20Q3%202017%20Science%20Park%20-%20CSU%20obv%20rev%2037_prullebakke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l.iss.biz\ISSNL\DOCUME~1\VAARKA~1\LOCALS~1\Temp\Temporary%20Directory%201%20for%20Offerte%20ISS.zip\Invulform%2000007-2005-SNSZuid%20versie%201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lhhoff\Local%20Settings\Temporary%20Internet%20Files\OLK1C8\Valuation%20model%20-%20ver%202009%2002%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Sovon%20-%20Inkada/Calculatie/Calc%20SOVON%20perceel%202_NvI_1_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DATA\Zakelijk\ISS%20HK\Mantels\RGN\Tempo%20Team\vestigingenoverzicht%20Tempo-Team.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mijn%20documenten\mijn%20documenten\01-%20offertes%20en%20in%20onderhoud\00-IN%20ONDERHOUD\Solvay%20Pharmaceuticals\2005-Solvay%20Pharmaceutials\04.424Aa-off%20DEFINITIEF%20jun%2005%20Solvay%20Pharmaceuticals%20begr.%202005%20opb.%2020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gvb939.sharepoint.com/teams/TeamInkoopGVB/Gedeelde%20documenten/Inkoopprojecten/Infra%20&amp;%20Facilitair/2024-64%20Schoonmaak%20metro/03.%20Productie%20aanbestedingsdocumenten/Inschrijfbiljetten%20leeg%20oude%20methode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vb939-my.sharepoint.com/My%20Documents/Projecten/Holland%20casino/Plattegronden%20gebouwen/X5062.01.01-Amsterdam%20Kruisgebouw-meetstaten-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l.iss.biz\ISSNL\Documents%20and%20Settings\Emilie\Mijn%20documenten\FA%20-%20ISS%20Werkmappen\Documents%20and%20Settings\gcorneli\Desktop\objecten\berichtenformulieren\berichtenformulier%20diensten%20abonnemen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Aukje/Desktop/ADHD/schoonmaak/aanbesteding/file:/D:/Yamaha/Calculatie%20concep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issglobal1-my.sharepoint.com/Marco%20Engbers%20%20-%20Asito/13.%20Voorstellen/Vestiging%20Doetinchem%20&amp;%20Zutpen/1.%20In%20Behandeling/Verosol%20Eibergen/Calculatie%20Verosol%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lmfs02\sjablonen$\Documents%20and%20Settings\svheck\Local%20Settings\Temporary%20Internet%20Files\Content.Outlook\ZZITY942\Nico\Calculatie\Akkoord\1655434a%20VeenCampus%20Vathorst.xls" TargetMode="External"/></Relationships>
</file>

<file path=xl/externalLinks/_rels/externalLink25.xml.rels><?xml version="1.0" encoding="UTF-8" standalone="yes"?>
<Relationships xmlns="http://schemas.openxmlformats.org/package/2006/relationships"><Relationship Id="rId2" Type="http://schemas.microsoft.com/office/2019/04/relationships/externalLinkLongPath" Target="/Users/Aukje/Desktop/ADHD/schoonmaak/aanbesteding/file:/NCIESERVER/nCie/Documents%20and%20Settings/Serge/Local%20Settings/Temporary%20Internet%20Files/OLK1F/Papyrus%20BSC%20Beginmeting%20en%20Voorcalculatie1.xls?F5F8E42D" TargetMode="External"/><Relationship Id="rId1" Type="http://schemas.openxmlformats.org/officeDocument/2006/relationships/externalLinkPath" Target="file:///\\F5F8E42D\Papyrus%20BSC%20Beginmeting%20en%20Voorcalculatie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lgemeen\algemeen$\Afdelingen\Commercie\Offertes\Noordwest\2019\Stg%20Interconfessioneel%20RK%20PC%20VO%20Gregor%20Mendel%20-%20Inkada\Calculatie\Calc_Kennemer%20Lyceum_V1_GN_MVH_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Utrecht\Common\IFS-Sales\Accounts\Prospects%20-%20Leads\UWV%20Multiservices%202012\Calculatie\Pricing%2095%25\20120731%20P&amp;L%20-%20UWV%20pricing%2095%25%20EK%20JP.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milmtosi/AppData/Local/Microsoft/Windows/Temporary%20Internet%20Files/Content.Outlook/73W1LHGI/Fujitsu%20-Post%20Submission%20-%20TUPE%20Compliant%20Extra%20Sites%20Benchmarked.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lient\E$\Users\lhotting\Desktop\alpha\Inschrijfbiljetten_OGN_v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na2.know.hp.com/Documents%20and%20Settings/jhatfield/Local%20Settings/Temporary%20Internet%20Files/OLK5A/Site%20Info%20-%2011-27-06%20(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CSG%20Klanten%20actief\CSG%20Zuid\06007%20Diamant%20Groep%20Tilburg\Schoonmaak\Aanbestedingsstukken\09%200831%20Bijlage%205%20calculatiemode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gvb939-my.sharepoint.com/CBD/Offertes%202004/Haagse%20Hogeschool/HHS-origineel%20offerte%20definitief%20v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BBF00372\users$\Yaw.Mante\Working%20Folders\Yaw\Work\4.%202011\10.%20October\FM_Project%20Unity\Mockup%20of%20Data%20Colletion%20Sheet%20draft7country.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9/Stichting%20Nederlands%20Scheepvaartmuseum%20Amsterdam%20(RFP)%20-%20SMC/Calculatie/RB/NvI%204/HSM%20Rekenmodel%202019%20v4_unprotected.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Aukje/Desktop/ADHD/schoonmaak/aanbesteding/file:/NCIESERVER/nCie/Program%20Files/Common%20Files/ncie-share/XLmacro.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Aukje/Desktop/ADHD/schoonmaak/aanbesteding/file:/H13vfs01/Department_Data$/ISA/Noord-West/Calculatie/CALCULATIE%20BENODIGDHEDEN/AFROEPPRIJZEN%202006.xls" TargetMode="External"/></Relationships>
</file>

<file path=xl/externalLinks/_rels/externalLink39.xml.rels><?xml version="1.0" encoding="UTF-8" standalone="yes"?>
<Relationships xmlns="http://schemas.openxmlformats.org/package/2006/relationships"><Relationship Id="rId3" Type="http://schemas.openxmlformats.org/officeDocument/2006/relationships/externalLinkPath" Target="https://questionmarkgroup.sharepoint.com/sites/Schoonmaak/Gedeelde%20documenten/General/Projecten%20algemeen/In%20behandeling/GVB/2.%20Vanaf%202018/1.%20Mobiliteit%20Stations/0.%20Aanbesteding%20specialistisch%202024/Aanbestedingsdocumenten/Calculatie/Spec.%20Perceel%202%20concept%20V5a.xlsx" TargetMode="External"/><Relationship Id="rId2" Type="http://schemas.microsoft.com/office/2019/04/relationships/externalLinkLongPath" Target="https://gvb939.sharepoint.com/teams/TeamInkoopGVB/Gedeelde%20documenten/Inkoopprojecten/Infra%20&amp;%20Facilitair/2024-20%20Specialistische%20schoonmaak/05.%20Productie%20aanbestesdingsdocumenten/Bijlage%208%20-%20Calculatiemodellen/Spec.%20Perceel%202%20concept%20V5a.xlsx?3F82B7BB" TargetMode="External"/><Relationship Id="rId1" Type="http://schemas.openxmlformats.org/officeDocument/2006/relationships/externalLinkPath" Target="file:///\\3F82B7BB\Spec.%20Perceel%202%20concept%20V5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tra1rg1\data\Sales\Oud%20Lavold%20Data\IJekel\06\Landelijke%20accounts\UWV%20Gak%202003\Contracten%202004\Zuid%20West\Rijswijk%20-%20J.C.%20van%20Markenlaan%205-pp200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lient\E$\WINDOWS\Temporary%20Internet%20Files\OLK2\WERKPROGRAMMA%20PSU%20ONDERWIJS%2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twijfs01\users\Documents%20and%20Settings\pvgils\Local%20Settings\Temporary%20Internet%20Files\OLK1\Totaal%20voorstel%20Stegeman%2027042012%2014.00%20uur.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lmfs02\sjablonen$\OPDRACHTGEVERS\Marenland,%20Onderwijsbureau\Aanbesteding%202007\Bestek\Inventarisaties%20voor%20EA\Abt%20Emo%20School%20Westeremden%2019060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CSG%20Klanten%20actief\CSG%20Zuid\97008%20DS%20Pierson%20College\Schoonmaak\Aanbesteding%202011\08%20Calculatie\10%201229%20Rev%2000Calculatie%20Ds%20Pierson.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jeanettek/AppData/Local/Microsoft/Windows/Temporary%20Internet%20Files/Content.Outlook/MOI7SDBL/ruimtestaat%20Nazareth.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47.xml.rels><?xml version="1.0" encoding="UTF-8" standalone="yes"?>
<Relationships xmlns="http://schemas.openxmlformats.org/package/2006/relationships"><Relationship Id="rId3" Type="http://schemas.openxmlformats.org/officeDocument/2006/relationships/externalLinkPath" Target="https://questionmarkgroup.sharepoint.com/sites/Schoonmaak/Gedeelde%20documenten/General/Projecten%20algemeen/In%20behandeling/GVB/2.%20Vanaf%202018/1.%20Mobiliteit%20Stations/0.%20Aanbesteding%20specialistisch%202024/Aanbestedingsdocumenten/Calculatie/Spec.%20Perceel%201%20gevuld%20NVI%202.xlsx" TargetMode="External"/><Relationship Id="rId2" Type="http://schemas.microsoft.com/office/2019/04/relationships/externalLinkLongPath" Target="https://gvb939.sharepoint.com/sites/Schoonmaak/Gedeelde%20documenten/General/Projecten%20algemeen/In%20behandeling/GVB/2.%20Vanaf%202018/1.%20Mobiliteit%20Stations/0.%20Aanbesteding%20specialistisch%202024/Aanbestedingsdocumenten/Calculatie/Spec.%20Perceel%201%20gevuld%20NVI%202.xlsx?545EFF61" TargetMode="External"/><Relationship Id="rId1" Type="http://schemas.openxmlformats.org/officeDocument/2006/relationships/externalLinkPath" Target="file:///\\545EFF61\Spec.%20Perceel%201%20gevuld%20NVI%202.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Users/milmtosi/AppData/Local/Microsoft/Windows/Temporary%20Internet%20Files/Content.Outlook/73W1LHGI/Cleaning%20data%20CE_final_send.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G:\CSG%20Klanten%20actief\CSG%20West\07015%20Altrecht\Schoonmaak\Programma\07%201018%20Calculatie%20Altrech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84924.afasinsite.nl/CSG%20Klanten%20actief/CSG%20West/97032%20NKI-AVL/Schoonmaak/Programma's%20Huidig/Nieuw%20en%20Oudbouw%20Samen/CSG/01025%20Telfort%20A'dam/01025%20Programma/Progr.Telfort-Entree1-kan25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C/AtirLLSProductie/Atir/Projecten%20algemeen/In%20behandeling/Provincie%20Zuid%20Holland/Aanbesteding%202012/PZH%20calculatie/Calculatiemodel%20proquere%20definitief"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walwshr02\lwp_sta_fin\C\AtirLLSProductie\Atir\Projecten%20algemeen\In%20behandeling\Provincie%20Zuid%20Holland\Aanbesteding%202012\PZH%20calculatie\Calculatiemodel%20proquere%20definitief"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Inkoop/Facilitair%20Bedrijf/Facilitair%20Bedrijf%20(Vastgoed%20&amp;%20Milieu)/Projecten%20afgehandeld/Catering/Aanbesteding%202008/Projecten/Catering/981.035Fuji/corresp/ModelP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C/Users/r.toorenburgh/AppData/Local/Microsoft/Windows/Temporary%20Internet%20Files/Content.Outlook/83YS3KGK/Westerveld%20oude%20calculatie"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alwshr02\lwp_sta_fin\C\Users\r.toorenburgh\AppData\Local\Microsoft\Windows\Temporary%20Internet%20Files\Content.Outlook\83YS3KGK\Westerveld%20oude%20calculatie"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C/Users/nicole/AppData/Local/Microsoft/Windows/Temporary%20Internet%20Files/Content.Outlook/P4414I6B/Mutatie%20GVB%20Kraaijenest%20NvB"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walwshr02\lwp_sta_fin\C\Users\nicole\AppData\Local\Microsoft\Windows\Temporary%20Internet%20Files\Content.Outlook\P4414I6B\Mutatie%20GVB%20Kraaijenest%20Nv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Commercial\James\Oldham\Olham%20Cost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C/AtirLLSProductie/Atir/Projecten%20algemeen/In%20behandeling/Provincie%20Zuid%20Holland/Aanbesteding%202012/PZH%20calculatie/GLV-Calculatiemodel%20DEF"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walwshr02\lwp_sta_fin\C\AtirLLSProductie\Atir\Projecten%20algemeen\In%20behandeling\Provincie%20Zuid%20Holland\Aanbesteding%202012\PZH%20calculatie\GLV-Calculatiemodel%20DEF"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G:\Documents%20and%20Settings\lhhoff\Local%20Settings\Temporary%20Internet%20Files\OLK1C8\Valuation%20model%20-%20ver%202009%200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issglobal1-my.sharepoint.com/Users/lhotting/AppData/Local/Microsoft/Windows/Temporary%20Internet%20Files/Content.Outlook/73BBDHCT/Kopie%20van%20Simiss%20%20v11%20GGZ%20versie%202%200.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Stichting%20Horizon%20en%20St.%20Altra%20jeugdzorg%20en%20speciaal%20onderwijs%20(Icca)/Calculatie/1e%20versie/Bijlage%20D1%20Calculatiemodel%20perceel%203-V1.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issglobal1-my.sharepoint.com/personal/emilie_meijnen_nl_issworld_com/Documents/AB%20Prijzen/2016/2013/Af%20b%20-%20nog%20naar%20CBDschijf/GGZ-1%20v1a%2009-03-24em%20mut%20en%204x%20nieuw%20--.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W:\Beheer\Beheer%20KLPD\Beheer2000\OffAsito04-12-00.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Medewerkers\02.%20Offertes\01.%20In%20Behandeling\2011\Gemeente%20Heerenveen-2011274-Off\03%20Calculatie\Bijlage%204a%20Ruimtestaat%20en%20kostenmatrix%20Schoonmaak%20Perceel%2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Users/Aukje/Desktop/ADHD/schoonmaak/aanbesteding/file:/NCIESERVER/nCie/nCie/klanten/Papyrus/TV/Papyrus-TV-BeginMeting0308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SG%20Klanten%20actief/CSG%20West/97032%20NKI-AVL/Schoonmaak/Programma%20tbv%20Aanbesteding/06%200328%20Programma%20NKIAv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lgemeen\algemeen$\Afdelingen\Commercie\Offertes\Noordwest\2020\WNF%20-%20SMC\Calculatie\Calc%20WNF255%20v1%2005-02-2020em.xlsm"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G:\Huisv\Oude%20indeling%20L-schijf\Daphne%20auditing\KPN\mobiele%20telefonie\analyse%20mobiele%20telefonie\vergelijkemiskpnfebruari20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Regio%20Esther%20Westerhuis/SVVE/Calculatie/2009/SVVE%20De%20Orangerie/RBS%20De%20Orangerie%2013-03-09%20jh.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G:\Projecten\Catering\981.035Fuji\corresp\ModelPT.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Users/Aukje/Desktop/ADHD/schoonmaak/aanbesteding/file:/NCIESERVER/nCie/nCie/kostensoorten%20standaard/TV/Tarieven%20TV.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G:\MAsupport\Projects%20-%202000\Holland%20-%20CSU\Quick%20valuation%20model%20-%20NEW%20Version.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9/TMG%20(Heyday)/Calculatie/TMG_calc_v3_rvs.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Nlavnfsr02\avnshr018\In%20behandeling\UWV\Amsterdam%20-%20Delflandlaan%203-5%20pp2003.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gvb939.sharepoint.com/teams/TeamInkoopGVB/Gedeelde%20documenten/Inkoopprojecten/Infra%20&amp;%20Facilitair/2024-64%20Schoonmaak%20metro/03.%20Productie%20aanbestedingsdocumenten/120523%20Ruimtestaat%20Avenier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Users\rakse\AppData\Local\Microsoft\Windows\Temporary%20Internet%20Files\Content.Outlook\U6Y32292\NAW-bestand%20tbv%20contractwissel%2013-11-2014%20Zwanenberg%20Almelo.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Users/Aukje/Desktop/ADHD/schoonmaak/aanbesteding/file:/C:/Documents%20and%20Settings/dewis0/Local%20Settings/Temporary%20Internet%20Files/OLK1/PROEF%20TEMPLATE%20vereenvoudigd.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stwijfs01\users\Documents%20and%20Settings\pvgils\Local%20Settings\Temporary%20Internet%20Files\OLK1\Foodcalc%202009%20v2%20CONCEPT.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G:\Maarssen\Common\CBD\Afdeling%20Commercie\OFFERTE\TEKST%20(UITGEBRACHT)\ISS%20C&amp;C%20-%20Hospital\Prospect\1%20ZIEKENHUIZEN\UMC%20St%20Radboud\OFFERTE\Bid%20commitee\20121015_Overnamegegevens%20berekening%20ISS.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gvb939-my.sharepoint.com/Afdelingen/National%20Accounts/Healthcare/Calculatie%20Zorg/Archipel%20nieuw%20model/Archipel%20Calculatie%20Totaal%202019%20v06%20tm%20191001.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G:\AA%20-%20Werkmappen%20Cure&amp;Care\AA%20Onderhanden%20werk\2012%2009%20Radboud%20UMC%20%20Nijmegen\Calculatie%20ISS\UMC%20Utrecht%20Calculatie2011%20ISS%2011-12-12em.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AtirData/AtirLLSProductie/Atir/Projecten%20algemeen/In%20behandeling/OLVG/OLVG%202012/OLVG-Calculatie/calculatiemodel%202012%20HSO%20per%201-1-2012.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Users/marleen/AppData/Local/Microsoft/Windows/Temporary%20Internet%20Files/Content.Outlook/BAL0A37R/Calculatiemodel%20voor%20SED%202%20(3).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G:\ISSNL\Maarssen\Common\CBD\Afdeling%20Calculatie\Calculaties\Klanten\Regio%20Astri%20van%20Bilsen\Zaans%20Medisch%20Centrum\Calculaties%202008\ZMC-Calculatie%20v9a%2009-01-14em%20glas%20B15-B11-zazofs%20PB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CSG%20Klanten%20actief\CSG%20West\09098%20SER\Aanbesteding\01%20Voorbereidend%20werk\Werkdocumenten\10%200718%20Calculatie%20SER%209.0.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G:\Users\p.schellingerhout\AppData\Local\Microsoft\Windows\Temporary%20Internet%20Files\Content.Outlook\MZRJO3S8\umcu%20voorcalc%20atir%20def.xlsx"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lient\E$\Beheer\Beheer%20PGZ%20(ISS)\Actueel\Basisbestand%20PGZ.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Afdelingen/Commercie/Offertes/West/2014/GVB%20Perrons/Perceel%206/Prijslijst/Bijlage%201f%20GVB%20Calculatiemodel%20perceel%206%20(leeg).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walwshr02\lwp_sta_fin\Afdelingen\Commercie\Offertes\West\2014\GVB%20Perrons\Perceel%206\Prijslijst\Bijlage%201f%20GVB%20Calculatiemodel%20perceel%206%20(leeg).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gvb939.sharepoint.com/teams/TeamInkoopGVB/Gedeelde%20documenten/Inkoopprojecten/Infra%20&amp;%20Facilitair/2024-64%20Schoonmaak%20metro/03.%20Productie%20aanbestedingsdocumenten/120706%20Ruimtestaat%20Avenier%20&amp;%20Horizon.xlsx"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Users/Aukje/Desktop/ADHD/schoonmaak/aanbesteding/file:/C:/DOCUME~1/clstn0/LOCALS~1/Temp/Oude%20calculaties/Prijzen%20gouden%20versie%2012-02-03.xls" TargetMode="External"/></Relationships>
</file>

<file path=xl/externalLinks/_rels/externalLink9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Zwolle/Common/Contracten%20backoffice%20Zwolle/Calculatie/Key%20Accounts/ABN%20AMRO%202003/2009/OPG's/12%20-%20ABN%20AMRO%20per%201%20december%20OPG-2008%20incl.%203,6%2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G:\CSG%20Zuid\05017%20Waterschap%20De%20Dommel\Programma\Calculatie%202005%20versie%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_macros"/>
      <sheetName val="scrprogramma"/>
      <sheetName val="scrvloersoort"/>
      <sheetName val="scrruimtestaten"/>
      <sheetName val="variabelen"/>
      <sheetName val="Begroting"/>
      <sheetName val="Opbouw"/>
      <sheetName val="Vaste gegevens"/>
      <sheetName val="totaal"/>
      <sheetName val="ma_vr_1"/>
      <sheetName val="ma_vr_1_nlp"/>
      <sheetName val="za_1"/>
      <sheetName val="zo_1"/>
      <sheetName val="Werkelijke dage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Opslagen BL"/>
      <sheetName val="Tariefopbouw"/>
      <sheetName val="Regietarief"/>
      <sheetName val="Add prijzen"/>
      <sheetName val="matrix smo ind. loc&amp;rayons"/>
      <sheetName val="matrix glas "/>
      <sheetName val="Breda"/>
      <sheetName val="Eindhoven"/>
      <sheetName val="Heerlen"/>
      <sheetName val="Maastricht"/>
      <sheetName val="Venlo"/>
      <sheetName val="Overige kantoren"/>
      <sheetName val="Rayontotaal"/>
      <sheetName val="Kengetallen"/>
      <sheetName val="Opslagen_BL"/>
      <sheetName val="Add_prijzen"/>
      <sheetName val="matrix_smo_ind__loc&amp;rayons"/>
      <sheetName val="matrix_glas_"/>
      <sheetName val="Overige_kanto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ice"/>
      <sheetName val="Char"/>
      <sheetName val="Fin Input"/>
      <sheetName val="Adjust"/>
      <sheetName val="Syn,Good,Fin"/>
      <sheetName val="Value of Customer Contracts"/>
      <sheetName val="TAB"/>
      <sheetName val="Tax"/>
      <sheetName val="BudAssum"/>
      <sheetName val="Budget"/>
      <sheetName val="EBITA bridge"/>
      <sheetName val="Season"/>
      <sheetName val="Bud ISS"/>
      <sheetName val="Valuation"/>
      <sheetName val="Ratios"/>
      <sheetName val="Indicator"/>
      <sheetName val="Priorities"/>
      <sheetName val="LBO"/>
      <sheetName val="Covenants"/>
      <sheetName val="EPS effect"/>
      <sheetName val="Sensi"/>
      <sheetName val="Print"/>
      <sheetName val="S1 M1 L1 XL1"/>
      <sheetName val="S3 M3 L3 XL3"/>
      <sheetName val="S5"/>
      <sheetName val="S7"/>
      <sheetName val="M9 L19 XL27"/>
      <sheetName val="M11"/>
      <sheetName val="M13 L25 XL33"/>
      <sheetName val="M15 L27 XL35"/>
      <sheetName val="L5 XL7"/>
      <sheetName val="L17 XL25"/>
      <sheetName val="L21 XL29"/>
      <sheetName val="L23 XL31"/>
      <sheetName val="AQ database"/>
      <sheetName val="Fin_Input"/>
      <sheetName val="Value_of_Customer_Contracts"/>
      <sheetName val="EBITA_bridge"/>
      <sheetName val="Bud_ISS"/>
      <sheetName val="EPS_effect"/>
      <sheetName val="S1_M1_L1_XL1"/>
      <sheetName val="S3_M3_L3_XL3"/>
      <sheetName val="M9_L19_XL27"/>
      <sheetName val="M13_L25_XL33"/>
      <sheetName val="M15_L27_XL35"/>
      <sheetName val="L5_XL7"/>
      <sheetName val="L17_XL25"/>
      <sheetName val="L21_XL29"/>
      <sheetName val="L23_XL31"/>
      <sheetName val="AQ_database"/>
    </sheetNames>
    <sheetDataSet>
      <sheetData sheetId="0" refreshError="1"/>
      <sheetData sheetId="1" refreshError="1"/>
      <sheetData sheetId="2"/>
      <sheetData sheetId="3" refreshError="1"/>
      <sheetData sheetId="4"/>
      <sheetData sheetId="5"/>
      <sheetData sheetId="6"/>
      <sheetData sheetId="7"/>
      <sheetData sheetId="8"/>
      <sheetData sheetId="9" refreshError="1"/>
      <sheetData sheetId="10"/>
      <sheetData sheetId="11"/>
      <sheetData sheetId="12"/>
      <sheetData sheetId="13"/>
      <sheetData sheetId="14" refreshError="1"/>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atir_xls3"/>
    </sheetNames>
    <sheetDataSet>
      <sheetData sheetId="0" refreshError="1"/>
      <sheetData sheetId="1" refreshError="1"/>
      <sheetData sheetId="2" refreshError="1"/>
      <sheetData sheetId="3" refreshError="1"/>
      <sheetData sheetId="4"/>
      <sheetData sheetId="5"/>
      <sheetData sheetId="6" refreshError="1"/>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leiding"/>
      <sheetName val="Legenda"/>
      <sheetName val="Tariefsopbouw"/>
      <sheetName val="Prestatie"/>
      <sheetName val="Programma"/>
      <sheetName val="Bouw m2"/>
      <sheetName val="GC"/>
      <sheetName val="RS"/>
      <sheetName val="normblad"/>
      <sheetName val="Recap"/>
      <sheetName val="Uurtarieven"/>
      <sheetName val="Toeslagen"/>
      <sheetName val="Percentages"/>
      <sheetName val="Extra werkzhdn"/>
      <sheetName val="San. Voorz."/>
      <sheetName val="Totalisatie"/>
      <sheetName val="Opgave m2 prijz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eve vestigingen"/>
      <sheetName val="data"/>
      <sheetName val="inactieve vestigingen"/>
      <sheetName val="actieve_vestigingen"/>
      <sheetName val="inactieve_vestigingen"/>
    </sheetNames>
    <sheetDataSet>
      <sheetData sheetId="0"/>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Voortgang"/>
      <sheetName val="aanpassingen"/>
      <sheetName val="Prijsbladen"/>
      <sheetName val="vanaf hier printen"/>
      <sheetName val="Toelichting begroting 2005"/>
      <sheetName val="Totaal kostenoverzicht 2005"/>
      <sheetName val="Tarieven"/>
      <sheetName val="overzicht vaste bonnen 2005"/>
      <sheetName val="overzicht uren totaal 2004"/>
      <sheetName val="Afschrijving mach. + materiaal"/>
      <sheetName val="glasbewassing"/>
      <sheetName val="inloopmatten"/>
      <sheetName val="hygiëne containers"/>
      <sheetName val="tot hier printen"/>
      <sheetName val="2004 amve"/>
      <sheetName val="kengetal afd."/>
      <sheetName val="kengetal cleanroom overig"/>
      <sheetName val="kengetal WWP per rmt."/>
      <sheetName val="kengetal WWP dag-avond"/>
      <sheetName val="kengetal radiologische labs"/>
      <sheetName val="mid-mat-kleding-inleen-glas"/>
      <sheetName val="Kompas 2"/>
      <sheetName val="Module1"/>
      <sheetName val="Module2"/>
      <sheetName val="Module3"/>
      <sheetName val="Module4"/>
      <sheetName val="Module5"/>
      <sheetName val="Module6"/>
      <sheetName val="Module7"/>
      <sheetName val="Module8"/>
      <sheetName val="Module9"/>
      <sheetName val="vanaf_hier_printen"/>
      <sheetName val="Toelichting_begroting_2005"/>
      <sheetName val="Totaal_kostenoverzicht_2005"/>
      <sheetName val="overzicht_vaste_bonnen_2005"/>
      <sheetName val="overzicht_uren_totaal_2004"/>
      <sheetName val="Afschrijving_mach__+_materiaal"/>
      <sheetName val="hygiëne_containers"/>
      <sheetName val="tot_hier_printen"/>
      <sheetName val="2004_amve"/>
      <sheetName val="kengetal_afd_"/>
      <sheetName val="kengetal_cleanroom_overig"/>
      <sheetName val="kengetal_WWP_per_rmt_"/>
      <sheetName val="kengetal_WWP_dag-avond"/>
      <sheetName val="kengetal_radiologische_labs"/>
      <sheetName val="Kompas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verzamelblad"/>
      <sheetName val="basisgegevens opdrachtgever"/>
      <sheetName val="basisgegevens bestek contract"/>
      <sheetName val="basisgegevens aannemer"/>
      <sheetName val="uurtariefopbouw"/>
      <sheetName val="overige m2 prijzen"/>
      <sheetName val="10-101"/>
      <sheetName val="10-102"/>
      <sheetName val="10-103"/>
      <sheetName val="10-104"/>
      <sheetName val="10-105"/>
      <sheetName val="10-106"/>
      <sheetName val="10-107"/>
      <sheetName val="10-108"/>
      <sheetName val="10-109"/>
      <sheetName val="10-110"/>
      <sheetName val="10-111"/>
      <sheetName val="10-112"/>
      <sheetName val="10-113"/>
      <sheetName val="10-114"/>
      <sheetName val="10-115"/>
      <sheetName val="10-116"/>
      <sheetName val="10-117"/>
      <sheetName val="10-118"/>
      <sheetName val="10-119"/>
      <sheetName val="10-120"/>
      <sheetName val="10-121"/>
      <sheetName val="10-122"/>
      <sheetName val="10-123"/>
      <sheetName val="10-124"/>
      <sheetName val="10-125"/>
      <sheetName val="10-126"/>
      <sheetName val="10-127"/>
      <sheetName val="10-128"/>
      <sheetName val="10-129"/>
      <sheetName val="10-130"/>
      <sheetName val="10-131"/>
      <sheetName val="10-132"/>
      <sheetName val="10-133"/>
      <sheetName val="10-134"/>
      <sheetName val="Uitvoergegevens"/>
      <sheetName val="Inhoud"/>
      <sheetName val="Samenvatting"/>
      <sheetName val="Inschrijfbiljet 1"/>
      <sheetName val="Inschrijfbiljet 2"/>
      <sheetName val="Inschrijfbiljet 3"/>
      <sheetName val="Inschrijfbiljet 4"/>
      <sheetName val="Inschrijfbiljet 5"/>
      <sheetName val="Blad50"/>
      <sheetName val="Blad51"/>
      <sheetName val="Blad52"/>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sorteer_op_code_oud"/>
      <sheetName val="sorteer_op_nr_oud"/>
      <sheetName val="Mor_Li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1"/>
      <sheetName val="B-2"/>
      <sheetName val="C"/>
      <sheetName val="Totaal"/>
      <sheetName val="DT-inhoud"/>
      <sheetName val="DT-oppevl"/>
      <sheetName val="Laag 1"/>
      <sheetName val="BVO"/>
      <sheetName val="Categoriee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form.Contractomzet Diensten"/>
      <sheetName val="Uitvoerder"/>
      <sheetName val="Aard werk"/>
      <sheetName val="Frequnetie"/>
      <sheetName val="Ber_form_Contractomzet_Diensten"/>
      <sheetName val="Aard_werk"/>
    </sheetNames>
    <sheetDataSet>
      <sheetData sheetId="0"/>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aakverdeling per gebouw"/>
      <sheetName val="calculatie glas"/>
      <sheetName val="foto's glas"/>
      <sheetName val="calculatie HQ"/>
      <sheetName val="calculatie Service center"/>
      <sheetName val="calculatie Distribution"/>
      <sheetName val="Uurtarieven"/>
      <sheetName val="m² prijzen"/>
      <sheetName val="eenheidsprijzen"/>
      <sheetName val="Machine-investeringskosten"/>
      <sheetName val="dieptereiniging"/>
      <sheetName val="uurtarieven extra werkzhd"/>
      <sheetName val="Matrix artikel 21 CAO"/>
      <sheetName val="Algemeen"/>
      <sheetName val="Hoeveelheden sanitair"/>
      <sheetName val="Calculatie diepter sanitair"/>
      <sheetName val="Calculatieblad dieptereining"/>
      <sheetName val="werkprg sanitair"/>
      <sheetName val="werkprg. keuken"/>
      <sheetName val="werkprg. pantry"/>
      <sheetName val="niet in offerte"/>
      <sheetName val="Offerteproces"/>
      <sheetName val="Vragen bestek"/>
      <sheetName val="normentabel"/>
      <sheetName val="Werkwijze"/>
      <sheetName val="Invulblad uurtarieven"/>
      <sheetName val="Basisgegevens"/>
      <sheetName val="taakverdeling_per_gebouw"/>
      <sheetName val="calculatie_glas"/>
      <sheetName val="foto's_glas"/>
      <sheetName val="calculatie_HQ"/>
      <sheetName val="calculatie_Service_center"/>
      <sheetName val="calculatie_Distribution"/>
      <sheetName val="m²_prijzen"/>
      <sheetName val="uurtarieven_extra_werkzhd"/>
      <sheetName val="Matrix_artikel_21_CAO"/>
      <sheetName val="Hoeveelheden_sanitair"/>
      <sheetName val="Calculatie_diepter_sanitair"/>
      <sheetName val="Calculatieblad_dieptereining"/>
      <sheetName val="werkprg_sanitair"/>
      <sheetName val="werkprg__keuken"/>
      <sheetName val="werkprg__pantry"/>
      <sheetName val="niet_in_offerte"/>
      <sheetName val="Vragen_bestek"/>
      <sheetName val="Invulblad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otaaloverzicht"/>
      <sheetName val="Normen"/>
      <sheetName val="Ruimtestaat"/>
      <sheetName val="Glasbewassing"/>
      <sheetName val="TARIEF"/>
      <sheetName val="BM"/>
      <sheetName val="Uurtarieven"/>
      <sheetName val="Invulblad uurtarieven"/>
      <sheetName val="Matrix artikel 17 CAO"/>
      <sheetName val="Basisgegevens"/>
      <sheetName val="Werkbare dage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STURING"/>
      <sheetName val="OBJECT "/>
      <sheetName val="CALCULATIE"/>
      <sheetName val="CALCULATIE 2 (2)"/>
      <sheetName val="CALCULATIE 2 (3)"/>
      <sheetName val="Blad3"/>
      <sheetName val="CALCULATIE 2 (4)"/>
      <sheetName val="SLOTSCHERM"/>
      <sheetName val="RAYON"/>
      <sheetName val="MD"/>
      <sheetName val="GLAS"/>
      <sheetName val="UURTARIEF"/>
      <sheetName val="Matrix"/>
      <sheetName val="T&amp;T Glas"/>
      <sheetName val="T&amp;T Spec"/>
      <sheetName val="OBJECT_"/>
      <sheetName val="CALCULATIE_2_(2)"/>
      <sheetName val="CALCULATIE_2_(3)"/>
      <sheetName val="CALCULATIE_2_(4)"/>
      <sheetName val="T&amp;T_Glas"/>
      <sheetName val="T&amp;T_Sp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Huidig en Prognose"/>
      <sheetName val="BSC CA"/>
      <sheetName val="BSC SC"/>
      <sheetName val="Reductieberekening"/>
      <sheetName val="Voorcalcalculatie"/>
      <sheetName val="Huidig_en_Prognose"/>
      <sheetName val="BSC_CA"/>
      <sheetName val="BSC_SC"/>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 val="pers_inzet"/>
      <sheetName val="Offerteformulier_1"/>
      <sheetName val="Offerteformulier_2"/>
      <sheetName val="Alg__kosten"/>
      <sheetName val="pers_inzet1"/>
      <sheetName val="Offerteformulier_11"/>
      <sheetName val="Offerteformulier_21"/>
      <sheetName val="Alg__koste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EXT)"/>
      <sheetName val="Blad1"/>
      <sheetName val="CALC (EXT)"/>
      <sheetName val="Recap (INT)"/>
      <sheetName val="CALC (INT)"/>
      <sheetName val="normblad"/>
      <sheetName val="Basics en GC"/>
      <sheetName val="PVE_func eisen"/>
      <sheetName val="leeftijd"/>
      <sheetName val="Uurtarieven"/>
      <sheetName val="Percentages"/>
      <sheetName val="Toeslagen"/>
      <sheetName val="Indicatieve afroepprijzen"/>
      <sheetName val="Werkprogramma"/>
      <sheetName val="Tariefsopbouw"/>
      <sheetName val="Overnamegegevens"/>
      <sheetName val="Prestatiefactoren"/>
      <sheetName val="Ruimtestaat"/>
      <sheetName val="Glasbewassing"/>
      <sheetName val="Vloeronderhoud"/>
      <sheetName val="Extra werkzaamheden"/>
      <sheetName val="Regie en afroep"/>
      <sheetName val="Totalisatie"/>
      <sheetName val="Recap_(EXT)"/>
      <sheetName val="CALC_(EXT)"/>
      <sheetName val="Recap_(INT)"/>
      <sheetName val="CALC_(INT)"/>
      <sheetName val="Basics_en_GC"/>
      <sheetName val="PVE_func_eisen"/>
      <sheetName val="Indicatieve_afroepprijzen"/>
      <sheetName val="Extra_werkzaamheden"/>
      <sheetName val="Regie_en_afro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 overzicht"/>
      <sheetName val="functieschalen FUWA"/>
      <sheetName val="functieschalen HAY"/>
      <sheetName val="functieindeling"/>
      <sheetName val="Opstartkosten catering"/>
      <sheetName val="Totaaloverzicht"/>
      <sheetName val="Model"/>
      <sheetName val="8 jaar"/>
      <sheetName val="Bieding"/>
      <sheetName val="Account management jr1"/>
      <sheetName val="Account management jr 2"/>
      <sheetName val="Account management jr 3"/>
      <sheetName val="Account management jr 4"/>
      <sheetName val="Account management jr 5"/>
      <sheetName val="Tranisition costs jr 1"/>
      <sheetName val="5 year model"/>
      <sheetName val="NL"/>
      <sheetName val="Noord"/>
      <sheetName val="Zuid"/>
      <sheetName val="EMEA (2)"/>
      <sheetName val="EMEA"/>
      <sheetName val="Rates"/>
      <sheetName val="NL bench "/>
      <sheetName val="Assumptions"/>
      <sheetName val="Kengetallen oud"/>
      <sheetName val="overhead&amp;profit 2010"/>
      <sheetName val="Bewaking &amp; receptie 2010"/>
      <sheetName val="Facility Management 2010"/>
      <sheetName val="Schoonmaak 2010"/>
      <sheetName val="Model 2012"/>
      <sheetName val="Uren"/>
      <sheetName val="overzicht regelingen"/>
      <sheetName val="Prijsopbouw 2012"/>
      <sheetName val="Risico inventarisatie"/>
      <sheetName val="gemiddeld m2 tarief Noord"/>
      <sheetName val="gemiddeld m2 tarief Zuid"/>
      <sheetName val="Uitloop Noord"/>
      <sheetName val="Uitloop Zuid"/>
      <sheetName val="FM management"/>
      <sheetName val="FUWA uurtarieven"/>
      <sheetName val="functieschalen HAY (2)"/>
      <sheetName val="Personeel"/>
      <sheetName val="Blad5"/>
      <sheetName val="Totaal_overzicht"/>
      <sheetName val="functieschalen_FUWA"/>
      <sheetName val="functieschalen_HAY"/>
      <sheetName val="Opstartkosten_catering"/>
      <sheetName val="8_jaar"/>
      <sheetName val="Account_management_jr1"/>
      <sheetName val="Account_management_jr_2"/>
      <sheetName val="Account_management_jr_3"/>
      <sheetName val="Account_management_jr_4"/>
      <sheetName val="Account_management_jr_5"/>
      <sheetName val="Tranisition_costs_jr_1"/>
      <sheetName val="5_year_model"/>
      <sheetName val="EMEA_(2)"/>
      <sheetName val="NL_bench_"/>
      <sheetName val="Kengetallen_oud"/>
      <sheetName val="overhead&amp;profit_2010"/>
      <sheetName val="Bewaking_&amp;_receptie_2010"/>
      <sheetName val="Facility_Management_2010"/>
      <sheetName val="Schoonmaak_2010"/>
      <sheetName val="Model_2012"/>
      <sheetName val="overzicht_regelingen"/>
      <sheetName val="Prijsopbouw_2012"/>
      <sheetName val="Risico_inventarisatie"/>
      <sheetName val="gemiddeld_m2_tarief_Noord"/>
      <sheetName val="gemiddeld_m2_tarief_Zuid"/>
      <sheetName val="Uitloop_Noord"/>
      <sheetName val="Uitloop_Zuid"/>
      <sheetName val="FM_management"/>
      <sheetName val="FUWA_uurtarieven"/>
      <sheetName val="functieschalen_HA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amp; Assumptions"/>
      <sheetName val="Tender Settlement Form"/>
      <sheetName val="Adding Sheets"/>
      <sheetName val="Site Info"/>
      <sheetName val="Equip"/>
      <sheetName val="Periodics"/>
      <sheetName val="Comms_Tech"/>
      <sheetName val="Materials"/>
      <sheetName val="Amendments"/>
      <sheetName val="Other"/>
      <sheetName val="Hard Serv Subcon"/>
      <sheetName val="Hard Serv Matrix"/>
      <sheetName val="Tender Price Tracker Form"/>
      <sheetName val="Record of Tender Details"/>
      <sheetName val="Notification of Contract Award"/>
      <sheetName val="Contract Com no Signed Contract"/>
      <sheetName val="Hourly Rates"/>
      <sheetName val="Benchmarks"/>
      <sheetName val="Headcount Data"/>
      <sheetName val="Multi Service Details"/>
      <sheetName val="Summary"/>
      <sheetName val="Mobilisation"/>
      <sheetName val="MC"/>
      <sheetName val="SC1"/>
      <sheetName val="SC2"/>
      <sheetName val="SC3"/>
      <sheetName val="SC4"/>
      <sheetName val="Site (1)"/>
      <sheetName val="Sheet1"/>
      <sheetName val="Hygiene"/>
      <sheetName val="Site (2)"/>
      <sheetName val="Site (3)"/>
      <sheetName val="Site (4)"/>
      <sheetName val="Site (5)"/>
      <sheetName val="Site (6)"/>
      <sheetName val="Site (7)"/>
      <sheetName val="Site (8)"/>
      <sheetName val="Site (9)"/>
      <sheetName val="Site (10)"/>
      <sheetName val="Site (11)"/>
      <sheetName val="Site (12)"/>
      <sheetName val="Site (13)"/>
      <sheetName val="Site (14)"/>
      <sheetName val="Site (15)"/>
      <sheetName val="Site (16)"/>
      <sheetName val="Site (17)"/>
      <sheetName val="Site (18)"/>
      <sheetName val="Site (19)"/>
      <sheetName val="Site (20)"/>
      <sheetName val="Site (21)"/>
      <sheetName val="Site (22)"/>
      <sheetName val="Site (23)"/>
      <sheetName val="Site (24)"/>
      <sheetName val="Site (25)"/>
      <sheetName val="Site (26)"/>
      <sheetName val="Site (27)"/>
      <sheetName val="Site (28)"/>
      <sheetName val="Site (29)"/>
      <sheetName val="Site (30)"/>
      <sheetName val="Site (31)"/>
      <sheetName val="Site (32)"/>
      <sheetName val="Site (33)"/>
      <sheetName val="Site (34)"/>
      <sheetName val="Site (35)"/>
      <sheetName val="Site (36)"/>
      <sheetName val="Site (37)"/>
      <sheetName val="Site (38)"/>
      <sheetName val="Site (39)"/>
      <sheetName val="Site (40)"/>
      <sheetName val="Site (41)"/>
      <sheetName val="Site (42)"/>
      <sheetName val="Site (43)"/>
      <sheetName val="Site (44)"/>
      <sheetName val="Site (45)"/>
      <sheetName val="Site (46)"/>
      <sheetName val="Site (47)"/>
      <sheetName val="Site (48)"/>
      <sheetName val="Hygiene Requirements"/>
      <sheetName val="Laundry (Mats)"/>
      <sheetName val="Productivity Calcs"/>
      <sheetName val="Compact Productivity"/>
      <sheetName val="Assumed Pay Rates"/>
      <sheetName val="General Cleaning UK "/>
      <sheetName val="Pest Control"/>
      <sheetName val="Equipment"/>
      <sheetName val="Window Cleaning Costs"/>
      <sheetName val="Pandemic Protection Kits"/>
      <sheetName val="Landscaping"/>
      <sheetName val="Gritting"/>
      <sheetName val="5. General Waste (2)"/>
      <sheetName val="6. Recycled Waste (2)"/>
      <sheetName val="7. Confidential Waste (2)"/>
      <sheetName val="Instructions "/>
      <sheetName val="Staffing Numbers"/>
      <sheetName val="Consolidation of Annual Costs"/>
      <sheetName val="1. General Cleaning"/>
      <sheetName val="2. Consumables"/>
      <sheetName val="3. Horticulture"/>
      <sheetName val="4. Pest Control"/>
      <sheetName val="5. General Waste"/>
      <sheetName val="6. Recycled Waste"/>
      <sheetName val="7. Confidential Waste"/>
      <sheetName val="8. Additional services CE"/>
      <sheetName val="9. Laundry (Mats)"/>
      <sheetName val="10. Hygiene (Ancillary)"/>
      <sheetName val="11. Pandemic Protection"/>
      <sheetName val="12. Winter Gritting Service"/>
      <sheetName val="Sheet19"/>
      <sheetName val="Sign Off Summary"/>
      <sheetName val="Management Structure"/>
      <sheetName val="6. Recycled Waste (3)"/>
      <sheetName val="Auction Analysis"/>
      <sheetName val="Clarifications 1"/>
      <sheetName val="ISS v OCS"/>
      <sheetName val="Consolidation of Annual Cos (2"/>
      <sheetName val="European Benchmark"/>
      <sheetName val="Cleaning Missing Sites"/>
      <sheetName val="TUPE Data"/>
      <sheetName val="Redun"/>
      <sheetName val="Statutory Table"/>
      <sheetName val="Enhanced Table"/>
      <sheetName val="All Country Caveats"/>
      <sheetName val="Notes_&amp;_Assumptions"/>
      <sheetName val="Tender_Settlement_Form"/>
      <sheetName val="Adding_Sheets"/>
      <sheetName val="Site_Info"/>
      <sheetName val="Hard_Serv_Subcon"/>
      <sheetName val="Hard_Serv_Matrix"/>
      <sheetName val="Tender_Price_Tracker_Form"/>
      <sheetName val="Record_of_Tender_Details"/>
      <sheetName val="Notification_of_Contract_Award"/>
      <sheetName val="Contract_Com_no_Signed_Contract"/>
      <sheetName val="Hourly_Rates"/>
      <sheetName val="Headcount_Data"/>
      <sheetName val="Multi_Service_Details"/>
      <sheetName val="Site_(1)"/>
      <sheetName val="Site_(2)"/>
      <sheetName val="Site_(3)"/>
      <sheetName val="Site_(4)"/>
      <sheetName val="Site_(5)"/>
      <sheetName val="Site_(6)"/>
      <sheetName val="Site_(7)"/>
      <sheetName val="Site_(8)"/>
      <sheetName val="Site_(9)"/>
      <sheetName val="Site_(10)"/>
      <sheetName val="Site_(11)"/>
      <sheetName val="Site_(12)"/>
      <sheetName val="Site_(13)"/>
      <sheetName val="Site_(14)"/>
      <sheetName val="Site_(15)"/>
      <sheetName val="Site_(16)"/>
      <sheetName val="Site_(17)"/>
      <sheetName val="Site_(18)"/>
      <sheetName val="Site_(19)"/>
      <sheetName val="Site_(20)"/>
      <sheetName val="Site_(21)"/>
      <sheetName val="Site_(22)"/>
      <sheetName val="Site_(23)"/>
      <sheetName val="Site_(24)"/>
      <sheetName val="Site_(25)"/>
      <sheetName val="Site_(26)"/>
      <sheetName val="Site_(27)"/>
      <sheetName val="Site_(28)"/>
      <sheetName val="Site_(29)"/>
      <sheetName val="Site_(30)"/>
      <sheetName val="Site_(31)"/>
      <sheetName val="Site_(32)"/>
      <sheetName val="Site_(33)"/>
      <sheetName val="Site_(34)"/>
      <sheetName val="Site_(35)"/>
      <sheetName val="Site_(36)"/>
      <sheetName val="Site_(37)"/>
      <sheetName val="Site_(38)"/>
      <sheetName val="Site_(39)"/>
      <sheetName val="Site_(40)"/>
      <sheetName val="Site_(41)"/>
      <sheetName val="Site_(42)"/>
      <sheetName val="Site_(43)"/>
      <sheetName val="Site_(44)"/>
      <sheetName val="Site_(45)"/>
      <sheetName val="Site_(46)"/>
      <sheetName val="Site_(47)"/>
      <sheetName val="Site_(48)"/>
      <sheetName val="Hygiene_Requirements"/>
      <sheetName val="Laundry_(Mats)"/>
      <sheetName val="Productivity_Calcs"/>
      <sheetName val="Compact_Productivity"/>
      <sheetName val="Assumed_Pay_Rates"/>
      <sheetName val="General_Cleaning_UK_"/>
      <sheetName val="Pest_Control"/>
      <sheetName val="Window_Cleaning_Costs"/>
      <sheetName val="Pandemic_Protection_Kits"/>
      <sheetName val="5__General_Waste_(2)"/>
      <sheetName val="6__Recycled_Waste_(2)"/>
      <sheetName val="7__Confidential_Waste_(2)"/>
      <sheetName val="Instructions_"/>
      <sheetName val="Staffing_Numbers"/>
      <sheetName val="Consolidation_of_Annual_Costs"/>
      <sheetName val="1__General_Cleaning"/>
      <sheetName val="2__Consumables"/>
      <sheetName val="3__Horticulture"/>
      <sheetName val="4__Pest_Control"/>
      <sheetName val="5__General_Waste"/>
      <sheetName val="6__Recycled_Waste"/>
      <sheetName val="7__Confidential_Waste"/>
      <sheetName val="8__Additional_services_CE"/>
      <sheetName val="9__Laundry_(Mats)"/>
      <sheetName val="10__Hygiene_(Ancillary)"/>
      <sheetName val="11__Pandemic_Protection"/>
      <sheetName val="12__Winter_Gritting_Service"/>
      <sheetName val="Sign_Off_Summary"/>
      <sheetName val="Management_Structure"/>
      <sheetName val="6__Recycled_Waste_(3)"/>
      <sheetName val="Auction_Analysis"/>
      <sheetName val="Clarifications_1"/>
      <sheetName val="ISS_v_OCS"/>
      <sheetName val="Consolidation_of_Annual_Cos_(2"/>
      <sheetName val="European_Benchmark"/>
      <sheetName val="Cleaning_Missing_Sites"/>
      <sheetName val="TUPE_Data"/>
      <sheetName val="Statutory_Table"/>
      <sheetName val="Enhanced_Table"/>
      <sheetName val="All_Country_Cavea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totaal (2)"/>
      <sheetName val="totaal"/>
      <sheetName val="basisgegevens"/>
      <sheetName val="overige m2 prijzen"/>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Extra gegevens vestigingen OGN "/>
      <sheetName val="totaal_(2)"/>
      <sheetName val="overige_m2_prijzen"/>
      <sheetName val="Extra_gegevens_vestigingen_OGN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Information - LAR"/>
      <sheetName val="Site Selection"/>
      <sheetName val="Sheet3"/>
      <sheetName val="Country summary data"/>
      <sheetName val="Site Info - 11-27-06 (2)"/>
    </sheetNames>
    <sheetDataSet>
      <sheetData sheetId="0"/>
      <sheetData sheetId="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 val="Info_blad"/>
      <sheetName val="Risicoprofiel_(1)"/>
      <sheetName val="Risicoprofiel_(2)"/>
      <sheetName val="1-Contractblad_dag_(1)"/>
      <sheetName val="1-Contractblad_dag_(2)"/>
      <sheetName val="3-Basis_ruimtestaat"/>
      <sheetName val="4-Premies_en_opslagen"/>
      <sheetName val="5-Opbouw_uurtarieven"/>
      <sheetName val="6-_toeslagenmatrix"/>
      <sheetName val="7-Machine-investeringskosten_1"/>
      <sheetName val="7-Machine-investeringskoste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 val="Prijsopbouw_2004"/>
      <sheetName val="Niet-meewerkende_objectleiding"/>
      <sheetName val="Kengetallen_per_ruimte"/>
      <sheetName val="Regulier_werk"/>
      <sheetName val="Gegunde_beurten"/>
      <sheetName val="Afroep_incidenteel"/>
      <sheetName val="HHS-origineel_offerte_definitie"/>
      <sheetName val="3-Basis_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ummary"/>
      <sheetName val="Service Standards"/>
      <sheetName val="Sheet2"/>
      <sheetName val="Sheet3"/>
      <sheetName val="Service_Standards"/>
    </sheetNames>
    <sheetDataSet>
      <sheetData sheetId="0"/>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kelijke dagen"/>
      <sheetName val="PVE"/>
      <sheetName val="opening"/>
      <sheetName val="GC"/>
      <sheetName val="extra's"/>
      <sheetName val="Normenblad (2)"/>
      <sheetName val="DT_ma_vr"/>
      <sheetName val="DT_za_zo"/>
      <sheetName val="DT_fe"/>
      <sheetName val="Calc_ma_vr"/>
      <sheetName val="Calc_za_zo"/>
      <sheetName val="Calc_za"/>
      <sheetName val="Calc_zo"/>
      <sheetName val="Calc_fe"/>
      <sheetName val="normen_ma_vr"/>
      <sheetName val="normen_za_zo"/>
      <sheetName val="normen_fe"/>
      <sheetName val="normen"/>
      <sheetName val="Inventarisatie (2)"/>
      <sheetName val="Recap totaal"/>
      <sheetName val="Uurtarieven matrix"/>
      <sheetName val="Recap_ma_vr"/>
      <sheetName val="Recap_za"/>
      <sheetName val="Recap_zo"/>
      <sheetName val="Recap_fe"/>
      <sheetName val="Uurtarieven"/>
      <sheetName val="Percentages"/>
      <sheetName val="Toeslagen"/>
      <sheetName val="Inventarisatie"/>
      <sheetName val="medewerker smo uurtarief"/>
      <sheetName val="voorman smo uurtarief"/>
      <sheetName val="objectleiding smo uurtarief"/>
      <sheetName val="dagkracht uurtarief"/>
      <sheetName val="Specialistisch uurtarief"/>
      <sheetName val="regie uurtarief"/>
      <sheetName val="garderobe-sanitair uurtarief"/>
      <sheetName val="Normenblad"/>
      <sheetName val="Calculatieblad"/>
      <sheetName val="basisgegevens"/>
      <sheetName val="opleiding"/>
      <sheetName val="Calculatieoverzicht"/>
      <sheetName val="Afroepprijzen"/>
      <sheetName val="Fusernet"/>
      <sheetName val="Indicatieve afroepprijzen"/>
      <sheetName val="Extra We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vergelijken"/>
    </sheetNames>
    <sheetDataSet>
      <sheetData sheetId="0" refreshError="1"/>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pijt- en meubel  Fortron (2)"/>
      <sheetName val="prijslijst"/>
      <sheetName val="invullen"/>
      <sheetName val="prijscalc"/>
      <sheetName val="Vloeronderhoud Lino fortron"/>
      <sheetName val="Tapijt- en meubel  Fortron"/>
      <sheetName val="Plafond- en wandreiniging"/>
      <sheetName val="Lamellen reiniging"/>
      <sheetName val="prijslijst computer"/>
      <sheetName val="prijslijst sanitaire art. CWS"/>
      <sheetName val="Computer staffel"/>
      <sheetName val="afroepprijzen"/>
      <sheetName val="Blad3"/>
      <sheetName val="Tapijt-_en_meubel__Fortron_(2)"/>
      <sheetName val="Vloeronderhoud_Lino_fortron"/>
      <sheetName val="Tapijt-_en_meubel__Fortron"/>
      <sheetName val="Plafond-_en_wandreiniging"/>
      <sheetName val="Lamellen_reiniging"/>
      <sheetName val="prijslijst_computer"/>
      <sheetName val="prijslijst_sanitaire_art__CWS"/>
      <sheetName val="Computer_staff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1-Inschrijfstaat"/>
      <sheetName val="2-Kosten per locatie"/>
      <sheetName val="3-Ruimtestaat"/>
      <sheetName val="4-Reinigen vloeren"/>
      <sheetName val="5-Aanvullend"/>
      <sheetName val="6-Liftbodems"/>
      <sheetName val="7-Geveldelen  en wanden"/>
      <sheetName val="8a-Glasstaat"/>
      <sheetName val="8b-Glas kosten totaal"/>
      <sheetName val="9-Machinekosten"/>
      <sheetName val="10a-Periodieke beurt"/>
      <sheetName val="10b-Bereikbaarheidsvoorz."/>
      <sheetName val="11a- Afroepprijs graffiti"/>
      <sheetName val="11b- Afroepprijs Algemeen"/>
      <sheetName val="11c-Afroep Kap Bijlmer"/>
      <sheetName val="11c-Afroep RVS kraaiennest"/>
      <sheetName val="12-Gelijkrichter stations"/>
      <sheetName val="13- Technischeruimten"/>
      <sheetName val="14-Premies en opslagen"/>
      <sheetName val="15-Opbouw uurtarieven"/>
      <sheetName val="16-Sanitaire voorzieningen"/>
    </sheetNames>
    <definedNames>
      <definedName name="fe" refersTo="#VERW!" sheetId="15"/>
      <definedName name="home" refersTo="#VERW!" sheetId="15"/>
      <definedName name="Macro3" refersTo="#VERW!" sheetId="15"/>
      <definedName name="macrop12f2" refersTo="#VERW!" sheetId="15"/>
      <definedName name="MacroP17" refersTo="#VERW!" sheetId="15"/>
      <definedName name="MacroP17_6" refersTo="#VERW!" sheetId="15"/>
      <definedName name="Macrop2" refersTo="#VERW!" sheetId="15"/>
      <definedName name="macroP3f16" refersTo="#VERW!" sheetId="15"/>
      <definedName name="Macrop6" refersTo="#VERW!" sheetId="15"/>
      <definedName name="Macrop7" refersTo="#VERW!" sheetId="15"/>
      <definedName name="Overig" refersTo="#VERW!" sheetId="15"/>
      <definedName name="slingerb" refersTo="#VERW!" sheetId="15"/>
      <definedName name="verise" refersTo="#VERW!" sheetId="15"/>
      <definedName name="Was_S" refersTo="#VERW!" sheetId="15"/>
      <definedName name="zaal" refersTo="#VERW!" sheetId="15"/>
      <definedName name="zilverlinde" refersTo="#VERW!" sheetId="15"/>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enorm-Kengetal"/>
      <sheetName val="Basis ruimtestaat"/>
      <sheetName val="Jaarprijs smk"/>
      <sheetName val="Glasbewassing"/>
      <sheetName val="Investering machines"/>
      <sheetName val="Afroepprijzen"/>
      <sheetName val="prijsopbouw"/>
      <sheetName val="Basis_ruimtestaat"/>
      <sheetName val="Jaarprijs_smk"/>
      <sheetName val="Investering_machines"/>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Adm. ruimte 01.0"/>
      <sheetName val="Vergaderruimte 02.0"/>
      <sheetName val="Rookruimte 03.0"/>
      <sheetName val="Sanitaire ruimte 04.0"/>
      <sheetName val="Kleed en doucheruimte 05.0"/>
      <sheetName val="Kopieerprintruimte 06.0"/>
      <sheetName val="Laboratoria 07.0"/>
      <sheetName val="Fitnessruimte 08.0"/>
      <sheetName val="Garderobe 09.0"/>
      <sheetName val="Publieksentreehal 10.0"/>
      <sheetName val="Verkeersruimten 11.0"/>
      <sheetName val="Hoofdtrap 12.0"/>
      <sheetName val="Noodtrap 13.0"/>
      <sheetName val="Lift 14.0"/>
      <sheetName val="entree 15.0"/>
      <sheetName val="docenten-pers.kamer 16.0"/>
      <sheetName val="Pantry 17.0"/>
      <sheetName val="Opslag-archief 18.0"/>
      <sheetName val="Leslokaal theorie 19.0"/>
      <sheetName val="Leslokaal praktijk 20.0"/>
      <sheetName val="EHBO-ruimte 21.0"/>
      <sheetName val="Gymzaal 22.0"/>
      <sheetName val="Toestelberging 23.0"/>
      <sheetName val="Studieruimte-hal 24.0"/>
      <sheetName val="Kabinet 25.0"/>
      <sheetName val="Mediatheek bibliotheek 26.0"/>
      <sheetName val="aula restaurant 27.0"/>
      <sheetName val="Keuken 28.0"/>
      <sheetName val="Adm_ ruimte 01_0"/>
      <sheetName val="Vaste gegevens"/>
      <sheetName val="Adm__ruimte_01_0"/>
      <sheetName val="Vergaderruimte_02_0"/>
      <sheetName val="Rookruimte_03_0"/>
      <sheetName val="Sanitaire_ruimte_04_0"/>
      <sheetName val="Kleed_en_doucheruimte_05_0"/>
      <sheetName val="Kopieerprintruimte_06_0"/>
      <sheetName val="Laboratoria_07_0"/>
      <sheetName val="Fitnessruimte_08_0"/>
      <sheetName val="Garderobe_09_0"/>
      <sheetName val="Publieksentreehal_10_0"/>
      <sheetName val="Verkeersruimten_11_0"/>
      <sheetName val="Hoofdtrap_12_0"/>
      <sheetName val="Noodtrap_13_0"/>
      <sheetName val="Lift_14_0"/>
      <sheetName val="entree_15_0"/>
      <sheetName val="docenten-pers_kamer_16_0"/>
      <sheetName val="Pantry_17_0"/>
      <sheetName val="Opslag-archief_18_0"/>
      <sheetName val="Leslokaal_theorie_19_0"/>
      <sheetName val="Leslokaal_praktijk_20_0"/>
      <sheetName val="EHBO-ruimte_21_0"/>
      <sheetName val="Gymzaal_22_0"/>
      <sheetName val="Toestelberging_23_0"/>
      <sheetName val="Studieruimte-hal_24_0"/>
      <sheetName val="Kabinet_25_0"/>
      <sheetName val="Mediatheek_bibliotheek_26_0"/>
      <sheetName val="aula_restaurant_27_0"/>
      <sheetName val="Keuken_28_0"/>
      <sheetName val="Adm__ruimte_01_01"/>
      <sheetName val="Vaste_gegeven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s"/>
      <sheetName val="Work Scedule Wijhe "/>
      <sheetName val="Uren calculatie"/>
      <sheetName val="NAW blad - Resumé"/>
      <sheetName val="Transport dag"/>
      <sheetName val="Transport nacht"/>
      <sheetName val="Middag werk 5w"/>
      <sheetName val="nachtwerk 5w"/>
      <sheetName val="zaterdag werk"/>
      <sheetName val="Leiding"/>
      <sheetName val="Calculatieblad uurtarieven"/>
      <sheetName val="Regietarieven"/>
      <sheetName val="soclasten 2011"/>
      <sheetName val="Uitgangspunten"/>
      <sheetName val="Work_Scedule_Wijhe_"/>
      <sheetName val="Uren_calculatie"/>
      <sheetName val="NAW_blad_-_Resumé"/>
      <sheetName val="Transport_dag"/>
      <sheetName val="Transport_nacht"/>
      <sheetName val="Middag_werk_5w"/>
      <sheetName val="nachtwerk_5w"/>
      <sheetName val="zaterdag_werk"/>
      <sheetName val="Calculatieblad_uurtarieven"/>
      <sheetName val="soclasten_201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arisatie"/>
      <sheetName val="Categorieen"/>
      <sheetName val="Abt Emo School Westeremden 1906"/>
    </sheetNames>
    <sheetDataSet>
      <sheetData sheetId="0" refreshError="1"/>
      <sheetData sheetId="1" refreshError="1"/>
      <sheetData sheetId="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Hoofdmenu"/>
      <sheetName val="CSG_macros"/>
      <sheetName val="scrprogramma"/>
      <sheetName val="scrvloersoort"/>
      <sheetName val="scrruimtestaten"/>
      <sheetName val="Tussenblad"/>
      <sheetName val="Ma_vr"/>
      <sheetName val="Ma_vr 1e naloop"/>
      <sheetName val="Ma_vr 2e&amp;3e naloop"/>
      <sheetName val="Matrix Kosten Schoonmaak"/>
      <sheetName val="Matrix Kosten Glasbewassing"/>
      <sheetName val="Normblad"/>
      <sheetName val="rekenblad"/>
      <sheetName val="variabelen"/>
      <sheetName val="Begroting"/>
      <sheetName val="Opbouw"/>
      <sheetName val="Vaste gegevens"/>
      <sheetName val="Start_programma's"/>
      <sheetName val="Aul_L"/>
      <sheetName val="Bui_S"/>
      <sheetName val="Dou_S"/>
      <sheetName val="Ent_S"/>
      <sheetName val="Ent_T"/>
      <sheetName val="Gan_L"/>
      <sheetName val="Gar_L"/>
      <sheetName val="Gar_S"/>
      <sheetName val="Kan_L"/>
      <sheetName val="Kan_Su"/>
      <sheetName val="Kan_T"/>
      <sheetName val="Keu_L"/>
      <sheetName val="Kle_S"/>
      <sheetName val="Kof_L"/>
      <sheetName val="Kof_S"/>
      <sheetName val="Kof_T"/>
      <sheetName val="Les_L"/>
      <sheetName val="Les_Su"/>
      <sheetName val="Les_T"/>
      <sheetName val="Lif_L"/>
      <sheetName val="Mag_L"/>
      <sheetName val="Olc_L"/>
      <sheetName val="Pr4_L"/>
      <sheetName val="Pr4_Su"/>
      <sheetName val="San_L"/>
      <sheetName val="San_S"/>
      <sheetName val="Spo_P"/>
      <sheetName val="Tra_L"/>
      <sheetName val="Tra_R"/>
      <sheetName val="Tra_S"/>
      <sheetName val="Einde_programma's"/>
      <sheetName val="Ma_vr_1e_naloop"/>
      <sheetName val="Ma_vr_2e&amp;3e_naloop"/>
      <sheetName val="Matrix_Kosten_Schoonmaak"/>
      <sheetName val="Matrix_Kosten_Glasbewassing"/>
      <sheetName val="Vaste_gegeven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Uren en kostenvergelijking"/>
      <sheetName val="Totalen per locatie"/>
      <sheetName val="1A-Glas"/>
      <sheetName val="2-Kengetal"/>
      <sheetName val="3-Basis ruimtestaat"/>
      <sheetName val="Machines"/>
      <sheetName val="Schoonmaakpakket"/>
      <sheetName val="Info_blad"/>
      <sheetName val="Uren_en_kostenvergelijking"/>
      <sheetName val="Totalen_per_locatie"/>
      <sheetName val="3-Basis_ruimtestaa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 val="2a-Kosten_per_locatie1"/>
      <sheetName val="2b-Splitsing_technisch-Comfort1"/>
      <sheetName val="5-Schrobben_vloeren1"/>
      <sheetName val="7-Ballastbed_1"/>
      <sheetName val="8-Sanitaire_voorzieningen1"/>
      <sheetName val="9-Geveldelen__en_wanden1"/>
      <sheetName val="10-Glas_kosten_totaal1"/>
      <sheetName val="13a-_Afroepprijs1"/>
      <sheetName val="13b-Afroep_RVS_kraaiennest1"/>
      <sheetName val="13c-Afroep_Kap_Bijlmer1"/>
      <sheetName val="15-Periodieke_beu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1-Inschrijfstaat"/>
      <sheetName val="2-Kosten per locatie"/>
      <sheetName val="3-Ruimtestaat"/>
      <sheetName val="4-Reinigen vloeren"/>
      <sheetName val="5-Aanvullend"/>
      <sheetName val="6-Liftbodems"/>
      <sheetName val="7-Geveldelen  en wanden"/>
      <sheetName val="8a-Glasstaat"/>
      <sheetName val="8b-Glas kosten totaal"/>
      <sheetName val="9-Machinekosten"/>
      <sheetName val="10a-Periodieke beurt"/>
      <sheetName val="10b-Bereikbaarheidsvoorz."/>
      <sheetName val="11-NZL Glas Dag"/>
      <sheetName val="12-NZL Glas nacht"/>
      <sheetName val="13-NZL Periodieke dag"/>
      <sheetName val="14-NZLPeriodieke nacht"/>
      <sheetName val="15a- Stelpost graffiti"/>
      <sheetName val="15b- Afroepprijs Algemeen"/>
      <sheetName val="16- Technischeruimten"/>
      <sheetName val="17-Premies en opslagen"/>
      <sheetName val="18-Opbouw uurtarieven"/>
      <sheetName val="18a-Onderbouwing basis uurloon"/>
      <sheetName val="19-Sanitaire voorzieningen"/>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cation List"/>
      <sheetName val="General Cleaning CE"/>
      <sheetName val="General Cleaning conference"/>
      <sheetName val="General Cleaning storage"/>
      <sheetName val="General Cleaning sanitary"/>
      <sheetName val="General Cleaning stairs"/>
      <sheetName val="special cleaning CE"/>
      <sheetName val="Additional services CE"/>
      <sheetName val="Pest Control CE"/>
      <sheetName val="waste"/>
      <sheetName val="laundry"/>
      <sheetName val="data base"/>
      <sheetName val="Sheet1"/>
      <sheetName val="Location List CE"/>
      <sheetName val="Cleaning data CE_final_send"/>
      <sheetName val="Cleaning data CE_final_send.xls"/>
      <sheetName val="Location_List"/>
      <sheetName val="General_Cleaning_CE"/>
      <sheetName val="General_Cleaning_conference"/>
      <sheetName val="General_Cleaning_storage"/>
      <sheetName val="General_Cleaning_sanitary"/>
      <sheetName val="General_Cleaning_stairs"/>
      <sheetName val="special_cleaning_CE"/>
      <sheetName val="Additional_services_CE"/>
      <sheetName val="Pest_Control_CE"/>
      <sheetName val="data_base"/>
      <sheetName val="Location_List_CE"/>
      <sheetName val="Cleaning_data_CE_final_send"/>
      <sheetName val="Cleaning_data_CE_final_send_xl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Uitgangspunten"/>
      <sheetName val="Sheet2"/>
      <sheetName val="Inzet personeelscalculatie"/>
      <sheetName val="Salarisschalen"/>
      <sheetName val="Hulpbestand inzet personeel"/>
      <sheetName val="Calculatie_(nieuw)"/>
      <sheetName val="Calculatie_(oud)"/>
      <sheetName val="Calculatie_(st)"/>
      <sheetName val="Alg__kosten"/>
      <sheetName val="Offerteformulier_1"/>
      <sheetName val="Offerteformulier_2"/>
      <sheetName val="Inzet_personeelscalculatie"/>
      <sheetName val="Hulpbestand_inzet_persone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 sheetId="12"/>
      <sheetData sheetId="13"/>
      <sheetData sheetId="14"/>
      <sheetData sheetId="15"/>
      <sheetData sheetId="16"/>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 val="soc_lst_"/>
      <sheetName val="MATRIX_NLG"/>
      <sheetName val="Offerteformulier_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sheetData sheetId="11"/>
      <sheetData sheetId="12"/>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 val="Totaal_ruimtebestand1"/>
      <sheetName val="Werkbare_dagen1"/>
      <sheetName val="Opbouw_uurtarieven1"/>
      <sheetName val="Toeslagen_matrix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1"/>
      <sheetName val="Contract Price"/>
      <sheetName val="Schedule 10"/>
      <sheetName val="Schedule 9"/>
      <sheetName val="Schedule 8 prt2"/>
      <sheetName val="Schedule 8"/>
      <sheetName val="Redundy"/>
      <sheetName val="AREAS"/>
      <sheetName val="Data"/>
      <sheetName val="BG1"/>
      <sheetName val="BG2"/>
      <sheetName val="BG3"/>
      <sheetName val="BG4"/>
      <sheetName val="BG5"/>
      <sheetName val="BG6"/>
      <sheetName val="SG1"/>
      <sheetName val="SG2"/>
      <sheetName val="SG3"/>
      <sheetName val="SG4"/>
      <sheetName val="SG5"/>
      <sheetName val="SG6"/>
      <sheetName val="Managers"/>
      <sheetName val="Labour Costs"/>
      <sheetName val="Part 1 Costs"/>
      <sheetName val="Part 2 Costs"/>
      <sheetName val="Part 1"/>
      <sheetName val="Client Spreadsheet"/>
      <sheetName val="Adds to Tender"/>
      <sheetName val="Consumables"/>
      <sheetName val="Contents"/>
      <sheetName val="Differentials "/>
      <sheetName val="Equip &amp; Mats"/>
      <sheetName val="Lab Cost Anal"/>
      <sheetName val="Lab Alloc &amp; Deploy "/>
      <sheetName val="Man Fee"/>
      <sheetName val="Sched of Rates"/>
      <sheetName val="Periodicals "/>
      <sheetName val="ROSTER "/>
      <sheetName val="Part 2"/>
      <sheetName val="Schedule_11"/>
      <sheetName val="Contract_Price"/>
      <sheetName val="Schedule_10"/>
      <sheetName val="Schedule_9"/>
      <sheetName val="Schedule_8_prt2"/>
      <sheetName val="Schedule_8"/>
      <sheetName val="Labour_Costs"/>
      <sheetName val="Part_1_Costs"/>
      <sheetName val="Part_2_Costs"/>
      <sheetName val="Part_1"/>
      <sheetName val="Client_Spreadsheet"/>
      <sheetName val="Adds_to_Tender"/>
      <sheetName val="Differentials_"/>
      <sheetName val="Equip_&amp;_Mats"/>
      <sheetName val="Lab_Cost_Anal"/>
      <sheetName val="Lab_Alloc_&amp;_Deploy_"/>
      <sheetName val="Man_Fee"/>
      <sheetName val="Sched_of_Rates"/>
      <sheetName val="Periodicals_"/>
      <sheetName val="ROSTER_"/>
      <sheetName val="Part_2"/>
      <sheetName val="Schedule_111"/>
      <sheetName val="Contract_Price1"/>
      <sheetName val="Schedule_101"/>
      <sheetName val="Schedule_91"/>
      <sheetName val="Schedule_8_prt21"/>
      <sheetName val="Schedule_81"/>
      <sheetName val="Labour_Costs1"/>
      <sheetName val="Part_1_Costs1"/>
      <sheetName val="Part_2_Costs1"/>
      <sheetName val="Part_11"/>
      <sheetName val="Client_Spreadsheet1"/>
      <sheetName val="Adds_to_Tender1"/>
      <sheetName val="Differentials_1"/>
      <sheetName val="Equip_&amp;_Mats1"/>
      <sheetName val="Lab_Cost_Anal1"/>
      <sheetName val="Lab_Alloc_&amp;_Deploy_1"/>
      <sheetName val="Man_Fee1"/>
      <sheetName val="Sched_of_Rates1"/>
      <sheetName val="Periodicals_1"/>
      <sheetName val="ROSTER_1"/>
      <sheetName val="Part_21"/>
      <sheetName val="Expense Listing"/>
      <sheetName val="Schedule_113"/>
      <sheetName val="Contract_Price2"/>
      <sheetName val="Schedule_102"/>
      <sheetName val="Schedule_92"/>
      <sheetName val="Schedule_8_prt22"/>
      <sheetName val="Schedule_82"/>
      <sheetName val="Labour_Costs2"/>
      <sheetName val="Part_1_Costs2"/>
      <sheetName val="Part_2_Costs2"/>
      <sheetName val="Part_12"/>
      <sheetName val="Client_Spreadsheet2"/>
      <sheetName val="Adds_to_Tender2"/>
      <sheetName val="Differentials_2"/>
      <sheetName val="Equip_&amp;_Mats2"/>
      <sheetName val="Lab_Cost_Anal2"/>
      <sheetName val="Lab_Alloc_&amp;_Deploy_2"/>
      <sheetName val="Man_Fee2"/>
      <sheetName val="Sched_of_Rates2"/>
      <sheetName val="Periodicals_2"/>
      <sheetName val="ROSTER_2"/>
      <sheetName val="Part_22"/>
      <sheetName val="Schedule_112"/>
      <sheetName val="Schedule_114"/>
      <sheetName val="Contract_Price3"/>
      <sheetName val="Schedule_103"/>
      <sheetName val="Schedule_93"/>
      <sheetName val="Schedule_8_prt23"/>
      <sheetName val="Schedule_83"/>
      <sheetName val="Labour_Costs3"/>
      <sheetName val="Part_1_Costs3"/>
      <sheetName val="Part_2_Costs3"/>
      <sheetName val="Part_13"/>
      <sheetName val="Client_Spreadsheet3"/>
      <sheetName val="Adds_to_Tender3"/>
      <sheetName val="Differentials_3"/>
      <sheetName val="Equip_&amp;_Mats3"/>
      <sheetName val="Lab_Cost_Anal3"/>
      <sheetName val="Lab_Alloc_&amp;_Deploy_3"/>
      <sheetName val="Man_Fee3"/>
      <sheetName val="Sched_of_Rates3"/>
      <sheetName val="Periodicals_3"/>
      <sheetName val="ROSTER_3"/>
      <sheetName val="Part_23"/>
      <sheetName val="Expense_Listing"/>
      <sheetName val="ALLOCATION DAYS M-F"/>
      <sheetName val="ALLOCATION EVES M-F"/>
      <sheetName val="ALLOCATION WEEKENDS"/>
      <sheetName val="Schedule_115"/>
      <sheetName val="Country Data Sources"/>
      <sheetName val="Schedule_116"/>
      <sheetName val="Contract_Price4"/>
      <sheetName val="Schedule_104"/>
      <sheetName val="Schedule_94"/>
      <sheetName val="Schedule_8_prt24"/>
      <sheetName val="Schedule_84"/>
      <sheetName val="Labour_Costs4"/>
      <sheetName val="Part_1_Costs4"/>
      <sheetName val="Part_2_Costs4"/>
      <sheetName val="Part_14"/>
      <sheetName val="Client_Spreadsheet4"/>
      <sheetName val="Adds_to_Tender4"/>
      <sheetName val="Differentials_4"/>
      <sheetName val="Equip_&amp;_Mats4"/>
      <sheetName val="Lab_Cost_Anal4"/>
      <sheetName val="Lab_Alloc_&amp;_Deploy_4"/>
      <sheetName val="Man_Fee4"/>
      <sheetName val="Sched_of_Rates4"/>
      <sheetName val="Periodicals_4"/>
      <sheetName val="ROSTER_4"/>
      <sheetName val="Part_24"/>
      <sheetName val="Expense_Listing1"/>
      <sheetName val="ALLOCATION_DAYS_M-F"/>
      <sheetName val="ALLOCATION_EVES_M-F"/>
      <sheetName val="ALLOCATION_WEEKENDS"/>
      <sheetName val="Reference_Data"/>
      <sheetName val="Tables"/>
      <sheetName val="Targeting_-_Prospecting_Answers"/>
      <sheetName val="Schedule_117"/>
      <sheetName val="Contract_Price5"/>
      <sheetName val="Schedule_105"/>
      <sheetName val="Schedule_95"/>
      <sheetName val="Schedule_8_prt25"/>
      <sheetName val="Schedule_85"/>
      <sheetName val="Labour_Costs5"/>
      <sheetName val="Part_1_Costs5"/>
      <sheetName val="Part_2_Costs5"/>
      <sheetName val="Part_15"/>
      <sheetName val="Client_Spreadsheet5"/>
      <sheetName val="Adds_to_Tender5"/>
      <sheetName val="Differentials_5"/>
      <sheetName val="Equip_&amp;_Mats5"/>
      <sheetName val="Lab_Cost_Anal5"/>
      <sheetName val="Lab_Alloc_&amp;_Deploy_5"/>
      <sheetName val="Man_Fee5"/>
      <sheetName val="Sched_of_Rates5"/>
      <sheetName val="Periodicals_5"/>
      <sheetName val="ROSTER_5"/>
      <sheetName val="Part_25"/>
      <sheetName val="Expense_Listing2"/>
      <sheetName val="ALLOCATION_DAYS_M-F1"/>
      <sheetName val="ALLOCATION_EVES_M-F1"/>
      <sheetName val="ALLOCATION_WEEKENDS1"/>
      <sheetName val="key_inp"/>
      <sheetName val="org"/>
      <sheetName val="veh+equ"/>
      <sheetName val="subcon"/>
      <sheetName val="oth"/>
      <sheetName val="rls"/>
      <sheetName val="rls_svc"/>
      <sheetName val="rls_src"/>
      <sheetName val="staff_ctc"/>
      <sheetName val="staff_pay"/>
      <sheetName val="staff_prof"/>
      <sheetName val="staff_prof_indx"/>
      <sheetName val="staff_indx"/>
      <sheetName val="oth_indx"/>
      <sheetName val="sum"/>
      <sheetName val="INT_overview"/>
      <sheetName val="datatable"/>
      <sheetName val="validation"/>
      <sheetName val="Sheet1"/>
      <sheetName val="Equipment Type"/>
      <sheetName val="Lookup"/>
      <sheetName val="Look up sheet"/>
      <sheetName val="Schedule_118"/>
      <sheetName val="Contract_Price6"/>
      <sheetName val="Schedule_106"/>
      <sheetName val="Schedule_96"/>
      <sheetName val="Schedule_8_prt26"/>
      <sheetName val="Schedule_86"/>
      <sheetName val="Labour_Costs6"/>
      <sheetName val="Part_1_Costs6"/>
      <sheetName val="Part_2_Costs6"/>
      <sheetName val="Part_16"/>
      <sheetName val="Client_Spreadsheet6"/>
      <sheetName val="Adds_to_Tender6"/>
      <sheetName val="Differentials_6"/>
      <sheetName val="Equip_&amp;_Mats6"/>
      <sheetName val="Lab_Cost_Anal6"/>
      <sheetName val="Lab_Alloc_&amp;_Deploy_6"/>
      <sheetName val="Man_Fee6"/>
      <sheetName val="Sched_of_Rates6"/>
      <sheetName val="Periodicals_6"/>
      <sheetName val="ROSTER_6"/>
      <sheetName val="Part_26"/>
      <sheetName val="Expense_Listing3"/>
      <sheetName val="ALLOCATION_DAYS_M-F2"/>
      <sheetName val="ALLOCATION_EVES_M-F2"/>
      <sheetName val="ALLOCATION_WEEKENDS2"/>
      <sheetName val="Categories"/>
      <sheetName val="Vlook up"/>
      <sheetName val="Property List"/>
      <sheetName val="Drop down"/>
      <sheetName val="Country_Data_Sources"/>
      <sheetName val="Equipment_Type"/>
      <sheetName val="Drop_down"/>
      <sheetName val="Schedule_119"/>
      <sheetName val="Contract_Price7"/>
      <sheetName val="Schedule_107"/>
      <sheetName val="Schedule_97"/>
      <sheetName val="Schedule_8_prt27"/>
      <sheetName val="Schedule_87"/>
      <sheetName val="Labour_Costs7"/>
      <sheetName val="Part_1_Costs7"/>
      <sheetName val="Part_2_Costs7"/>
      <sheetName val="Part_17"/>
      <sheetName val="Client_Spreadsheet7"/>
      <sheetName val="Adds_to_Tender7"/>
      <sheetName val="Differentials_7"/>
      <sheetName val="Equip_&amp;_Mats7"/>
      <sheetName val="Lab_Cost_Anal7"/>
      <sheetName val="Lab_Alloc_&amp;_Deploy_7"/>
      <sheetName val="Man_Fee7"/>
      <sheetName val="Sched_of_Rates7"/>
      <sheetName val="Periodicals_7"/>
      <sheetName val="ROSTER_7"/>
      <sheetName val="Part_27"/>
      <sheetName val="Expense_Listing4"/>
      <sheetName val="ALLOCATION_DAYS_M-F3"/>
      <sheetName val="ALLOCATION_EVES_M-F3"/>
      <sheetName val="ALLOCATION_WEEKENDS3"/>
      <sheetName val="Vlook_up"/>
      <sheetName val="Look_up_sheet"/>
      <sheetName val="Property_List"/>
      <sheetName val="Validation Lists"/>
      <sheetName val="Sheet2"/>
      <sheetName val="Drop Down Lists (Hide)"/>
      <sheetName val="Data Sheet"/>
      <sheetName val="Olham Coster"/>
      <sheetName val="Instructions"/>
      <sheetName val="Version"/>
      <sheetName val="General Sheet (Internal)"/>
      <sheetName val="General Sheet"/>
      <sheetName val="Baseline"/>
      <sheetName val="Volume Data sheet"/>
      <sheetName val="Technology"/>
      <sheetName val="Phasing"/>
      <sheetName val="Solution - Labour"/>
      <sheetName val="Solution - Other"/>
      <sheetName val="Solution - Volumetric"/>
      <sheetName val="Labour Employment Charges"/>
      <sheetName val="CAPEX"/>
      <sheetName val="3rd Party Tracker"/>
      <sheetName val="Cost Baseline"/>
      <sheetName val="Solution Detail"/>
      <sheetName val="Solution &amp; Savings Summary"/>
      <sheetName val="Assumptions"/>
      <sheetName val="Checks"/>
      <sheetName val="Portfolio"/>
      <sheetName val="OUTPUT SHEET"/>
      <sheetName val="Control"/>
      <sheetName val="Exchange Rate"/>
      <sheetName val="General site info"/>
      <sheetName val="DataValidationTables"/>
      <sheetName val="Méthodo CDG"/>
      <sheetName val="Schedule_1110"/>
      <sheetName val="Contract_Price8"/>
      <sheetName val="Schedule_108"/>
      <sheetName val="Schedule_98"/>
      <sheetName val="Schedule_8_prt28"/>
      <sheetName val="Schedule_88"/>
      <sheetName val="Labour_Costs8"/>
      <sheetName val="Part_1_Costs8"/>
      <sheetName val="Part_2_Costs8"/>
      <sheetName val="Part_18"/>
      <sheetName val="Client_Spreadsheet8"/>
      <sheetName val="Adds_to_Tender8"/>
      <sheetName val="Differentials_8"/>
      <sheetName val="Equip_&amp;_Mats8"/>
      <sheetName val="Lab_Cost_Anal8"/>
      <sheetName val="Lab_Alloc_&amp;_Deploy_8"/>
      <sheetName val="Man_Fee8"/>
      <sheetName val="Sched_of_Rates8"/>
      <sheetName val="Periodicals_8"/>
      <sheetName val="ROSTER_8"/>
      <sheetName val="Part_28"/>
      <sheetName val="Expense_Listing5"/>
      <sheetName val="ALLOCATION_DAYS_M-F4"/>
      <sheetName val="ALLOCATION_EVES_M-F4"/>
      <sheetName val="ALLOCATION_WEEKENDS4"/>
      <sheetName val="Country_Data_Sources1"/>
      <sheetName val="Equipment_Type1"/>
      <sheetName val="Vlook_up1"/>
      <sheetName val="Look_up_sheet1"/>
      <sheetName val="Property_List1"/>
      <sheetName val="Drop_down1"/>
      <sheetName val="Schedule_1111"/>
      <sheetName val="Contract_Price9"/>
      <sheetName val="Schedule_109"/>
      <sheetName val="Schedule_99"/>
      <sheetName val="Schedule_8_prt29"/>
      <sheetName val="Schedule_89"/>
      <sheetName val="Labour_Costs9"/>
      <sheetName val="Part_1_Costs9"/>
      <sheetName val="Part_2_Costs9"/>
      <sheetName val="Part_19"/>
      <sheetName val="Client_Spreadsheet9"/>
      <sheetName val="Adds_to_Tender9"/>
      <sheetName val="Differentials_9"/>
      <sheetName val="Equip_&amp;_Mats9"/>
      <sheetName val="Lab_Cost_Anal9"/>
      <sheetName val="Lab_Alloc_&amp;_Deploy_9"/>
      <sheetName val="Man_Fee9"/>
      <sheetName val="Sched_of_Rates9"/>
      <sheetName val="Periodicals_9"/>
      <sheetName val="ROSTER_9"/>
      <sheetName val="Part_29"/>
      <sheetName val="Expense_Listing6"/>
      <sheetName val="ALLOCATION_DAYS_M-F5"/>
      <sheetName val="ALLOCATION_EVES_M-F5"/>
      <sheetName val="ALLOCATION_WEEKENDS5"/>
      <sheetName val="Country_Data_Sources2"/>
      <sheetName val="Vlook_up2"/>
      <sheetName val="Equipment_Type2"/>
      <sheetName val="Look_up_sheet2"/>
      <sheetName val="Property_List2"/>
      <sheetName val="Drop_down2"/>
      <sheetName val="Olham_Coster"/>
      <sheetName val="General_Sheet_(Internal)"/>
      <sheetName val="General_Sheet"/>
      <sheetName val="Volume_Data_sheet"/>
      <sheetName val="Solution_-_Labour"/>
      <sheetName val="Solution_-_Other"/>
      <sheetName val="Solution_-_Volumetric"/>
      <sheetName val="Labour_Employment_Charges"/>
      <sheetName val="3rd_Party_Tracker"/>
      <sheetName val="Cost_Baseline"/>
      <sheetName val="Solution_Detail"/>
      <sheetName val="Solution_&amp;_Savings_Summary"/>
      <sheetName val="OUTPUT_SHEET"/>
      <sheetName val="Exchange_Rate"/>
      <sheetName val="General_site_info"/>
      <sheetName val="Méthodo_CDG"/>
      <sheetName val="Validation_Lists"/>
      <sheetName val="Drop_Down_Lists_(Hide)"/>
      <sheetName val="Data_Sheet"/>
      <sheetName val="E&amp;S HK"/>
      <sheetName val="E&amp;S MC"/>
      <sheetName val="START"/>
      <sheetName val="MI_Report"/>
      <sheetName val="Front"/>
      <sheetName val="admin_labour"/>
      <sheetName val="DELETE_TAB"/>
      <sheetName val="RETAIL_Lookups"/>
      <sheetName val="Profitability"/>
      <sheetName val="Branch_Matrix"/>
      <sheetName val="Agreed_Profiles"/>
      <sheetName val="LOOK_UP_TABLES"/>
      <sheetName val="Costings"/>
      <sheetName val="Sales_Analysis"/>
      <sheetName val="FEELIST"/>
      <sheetName val="Customize_Your_Loan_Manager"/>
      <sheetName val="Sheet5"/>
      <sheetName val="Labour_Input"/>
      <sheetName val="retail_changes"/>
      <sheetName val="ITFM_Contract"/>
      <sheetName val="Sheet3"/>
      <sheetName val="Headcount_by_Site"/>
      <sheetName val="No_Invoices_by_Site"/>
      <sheetName val="Inputs"/>
      <sheetName val="Workings"/>
      <sheetName val="Data_Sheet_All_Services"/>
      <sheetName val="GridType"/>
      <sheetName val="Budget_p&amp;l"/>
      <sheetName val="Sheet8"/>
      <sheetName val="Worksheet_v_DB"/>
      <sheetName val="Pivot"/>
      <sheetName val="Repair"/>
      <sheetName val="SAP_Data"/>
      <sheetName val="Site_Allocation"/>
      <sheetName val="Page_1_(2)"/>
      <sheetName val="Technicians"/>
      <sheetName val="Tenure"/>
      <sheetName val="Base_Info"/>
      <sheetName val="PropertyLookup"/>
      <sheetName val="I_Inputs"/>
      <sheetName val="Menu"/>
      <sheetName val="BASE"/>
      <sheetName val="Lookups"/>
      <sheetName val="Cover Sheet"/>
      <sheetName val="Site_Details_Intructions"/>
      <sheetName val="Summary_Savings"/>
      <sheetName val="Tupe"/>
      <sheetName val="1_Hard_Services"/>
      <sheetName val="2_Cleaning"/>
      <sheetName val="3_Waste"/>
      <sheetName val="4_Front_of_House"/>
      <sheetName val="5_Back_of_House"/>
      <sheetName val="6_Grounds_Plants "/>
      <sheetName val="7_Security"/>
      <sheetName val="8_Space_Moves"/>
      <sheetName val="9_Catering"/>
      <sheetName val="10_Management"/>
      <sheetName val="SAP Section"/>
      <sheetName val="Summary"/>
      <sheetName val="Essbase"/>
      <sheetName val="Lists"/>
      <sheetName val="Labour"/>
      <sheetName val="Benchmark"/>
      <sheetName val="2.Site Specific Scope"/>
      <sheetName val="NEW"/>
      <sheetName val="Cover_Sheet"/>
      <sheetName val="6_Grounds_Plants_"/>
      <sheetName val="SAP_Section"/>
      <sheetName val="2_Site_Specific_Scope"/>
      <sheetName val="Schedule_1112"/>
      <sheetName val="Contract_Price10"/>
      <sheetName val="Schedule_1010"/>
      <sheetName val="Schedule_910"/>
      <sheetName val="Schedule_8_prt210"/>
      <sheetName val="Schedule_810"/>
      <sheetName val="Labour_Costs10"/>
      <sheetName val="Part_1_Costs10"/>
      <sheetName val="Part_2_Costs10"/>
      <sheetName val="Part_110"/>
      <sheetName val="Client_Spreadsheet10"/>
      <sheetName val="Adds_to_Tender10"/>
      <sheetName val="Differentials_10"/>
      <sheetName val="Equip_&amp;_Mats10"/>
      <sheetName val="Lab_Cost_Anal10"/>
      <sheetName val="Lab_Alloc_&amp;_Deploy_10"/>
      <sheetName val="Man_Fee10"/>
      <sheetName val="Sched_of_Rates10"/>
      <sheetName val="Periodicals_10"/>
      <sheetName val="ROSTER_10"/>
      <sheetName val="Part_210"/>
      <sheetName val="Expense_Listing7"/>
      <sheetName val="ALLOCATION_DAYS_M-F6"/>
      <sheetName val="ALLOCATION_EVES_M-F6"/>
      <sheetName val="ALLOCATION_WEEKENDS6"/>
      <sheetName val="Country_Data_Sources3"/>
      <sheetName val="Vlook_up3"/>
      <sheetName val="Equipment_Type3"/>
      <sheetName val="Look_up_sheet3"/>
      <sheetName val="Property_List3"/>
      <sheetName val="Drop_down3"/>
      <sheetName val="Olham_Coster1"/>
      <sheetName val="General_Sheet_(Internal)1"/>
      <sheetName val="General_Sheet1"/>
      <sheetName val="Volume_Data_sheet1"/>
      <sheetName val="Solution_-_Labour1"/>
      <sheetName val="Solution_-_Other1"/>
      <sheetName val="Solution_-_Volumetric1"/>
      <sheetName val="Labour_Employment_Charges1"/>
      <sheetName val="3rd_Party_Tracker1"/>
      <sheetName val="Cost_Baseline1"/>
      <sheetName val="Solution_Detail1"/>
      <sheetName val="Solution_&amp;_Savings_Summary1"/>
      <sheetName val="OUTPUT_SHEET1"/>
      <sheetName val="Exchange_Rate1"/>
      <sheetName val="General_site_info1"/>
      <sheetName val="Méthodo_CDG1"/>
      <sheetName val="Validation_Lists1"/>
      <sheetName val="Drop_Down_Lists_(Hide)1"/>
      <sheetName val="Data_Sheet1"/>
      <sheetName val="Labour Data"/>
      <sheetName val="Look up"/>
      <sheetName val="Data_Sheet2"/>
      <sheetName val="Data_Sheet3"/>
      <sheetName val="Data_Sheet4"/>
      <sheetName val="Data_Sheet5"/>
      <sheetName val="Data_Sheet6"/>
      <sheetName val="Country_Data_Sources4"/>
      <sheetName val="Schedule_1113"/>
      <sheetName val="Contract_Price11"/>
      <sheetName val="Schedule_1011"/>
      <sheetName val="Schedule_911"/>
      <sheetName val="Schedule_8_prt211"/>
      <sheetName val="Schedule_811"/>
      <sheetName val="Labour_Costs11"/>
      <sheetName val="Part_1_Costs11"/>
      <sheetName val="Part_2_Costs11"/>
      <sheetName val="Part_111"/>
      <sheetName val="Client_Spreadsheet11"/>
      <sheetName val="Adds_to_Tender11"/>
      <sheetName val="Differentials_11"/>
      <sheetName val="Equip_&amp;_Mats11"/>
      <sheetName val="Lab_Cost_Anal11"/>
      <sheetName val="Lab_Alloc_&amp;_Deploy_11"/>
      <sheetName val="Man_Fee11"/>
      <sheetName val="Sched_of_Rates11"/>
      <sheetName val="Periodicals_11"/>
      <sheetName val="ROSTER_11"/>
      <sheetName val="Part_211"/>
      <sheetName val="Data_Sheet7"/>
      <sheetName val="ALLOCATION_DAYS_M-F7"/>
      <sheetName val="ALLOCATION_EVES_M-F7"/>
      <sheetName val="ALLOCATION_WEEKENDS7"/>
      <sheetName val="Expense_Listing8"/>
      <sheetName val="Country_Data_Sources5"/>
      <sheetName val="Schedule_1114"/>
      <sheetName val="Contract_Price12"/>
      <sheetName val="Schedule_1012"/>
      <sheetName val="Schedule_912"/>
      <sheetName val="Schedule_8_prt212"/>
      <sheetName val="Schedule_812"/>
      <sheetName val="Labour_Costs12"/>
      <sheetName val="Part_1_Costs12"/>
      <sheetName val="Part_2_Costs12"/>
      <sheetName val="Part_112"/>
      <sheetName val="Client_Spreadsheet12"/>
      <sheetName val="Adds_to_Tender12"/>
      <sheetName val="Differentials_12"/>
      <sheetName val="Equip_&amp;_Mats12"/>
      <sheetName val="Lab_Cost_Anal12"/>
      <sheetName val="Lab_Alloc_&amp;_Deploy_12"/>
      <sheetName val="Man_Fee12"/>
      <sheetName val="Sched_of_Rates12"/>
      <sheetName val="Periodicals_12"/>
      <sheetName val="ROSTER_12"/>
      <sheetName val="Part_212"/>
      <sheetName val="Data_Sheet8"/>
      <sheetName val="ALLOCATION_DAYS_M-F8"/>
      <sheetName val="ALLOCATION_EVES_M-F8"/>
      <sheetName val="ALLOCATION_WEEKENDS8"/>
      <sheetName val="Expense_Listing9"/>
      <sheetName val="Country_Data_Sources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refreshError="1"/>
      <sheetData sheetId="295" refreshError="1"/>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refreshError="1"/>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ice"/>
      <sheetName val="Char"/>
      <sheetName val="Fin Input"/>
      <sheetName val="Adjust"/>
      <sheetName val="Syn,Good,Fin"/>
      <sheetName val="Value of Customer Contracts"/>
      <sheetName val="TAB"/>
      <sheetName val="Tax"/>
      <sheetName val="BudAssum"/>
      <sheetName val="Budget"/>
      <sheetName val="EBITA bridge"/>
      <sheetName val="Season"/>
      <sheetName val="Bud ISS"/>
      <sheetName val="Valuation"/>
      <sheetName val="Ratios"/>
      <sheetName val="Indicator"/>
      <sheetName val="Priorities"/>
      <sheetName val="LBO"/>
      <sheetName val="Covenants"/>
      <sheetName val="EPS effect"/>
      <sheetName val="Sensi"/>
      <sheetName val="Print"/>
      <sheetName val="S1 M1 L1 XL1"/>
      <sheetName val="S3 M3 L3 XL3"/>
      <sheetName val="S5"/>
      <sheetName val="S7"/>
      <sheetName val="M9 L19 XL27"/>
      <sheetName val="M11"/>
      <sheetName val="M13 L25 XL33"/>
      <sheetName val="M15 L27 XL35"/>
      <sheetName val="L5 XL7"/>
      <sheetName val="L17 XL25"/>
      <sheetName val="L21 XL29"/>
      <sheetName val="L23 XL31"/>
      <sheetName val="AQ database"/>
      <sheetName val="Fin_Input"/>
      <sheetName val="Value_of_Customer_Contracts"/>
      <sheetName val="EBITA_bridge"/>
      <sheetName val="Bud_ISS"/>
      <sheetName val="EPS_effect"/>
      <sheetName val="S1_M1_L1_XL1"/>
      <sheetName val="S3_M3_L3_XL3"/>
      <sheetName val="M9_L19_XL27"/>
      <sheetName val="M13_L25_XL33"/>
      <sheetName val="M15_L27_XL35"/>
      <sheetName val="L5_XL7"/>
      <sheetName val="L17_XL25"/>
      <sheetName val="L21_XL29"/>
      <sheetName val="L23_XL31"/>
      <sheetName val="AQ_databa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hard kopie tbv import"/>
      <sheetName val="2 hard kopie tbv import (2)"/>
      <sheetName val="1 pccl import Simis"/>
      <sheetName val="vloerafwerkingen"/>
      <sheetName val="2 pcclean calc overzicht"/>
      <sheetName val="SCS afroep "/>
      <sheetName val="SCS m² uur"/>
      <sheetName val="freq vloer"/>
      <sheetName val="Basis informatie"/>
      <sheetName val="Aanbieding"/>
      <sheetName val="budget versus calc"/>
      <sheetName val="Financial model "/>
      <sheetName val="Begroting 1"/>
      <sheetName val="P &amp; L 1"/>
      <sheetName val="verrekentarief"/>
      <sheetName val="Blad1"/>
      <sheetName val="Tarief 2013"/>
      <sheetName val="3 calculatie"/>
      <sheetName val="kengetallen"/>
      <sheetName val="kosten overzicht"/>
      <sheetName val="normen Osira"/>
      <sheetName val="ruimte code C &amp; C"/>
      <sheetName val="Ruimte code"/>
      <sheetName val="simiss"/>
      <sheetName val="Contract details"/>
      <sheetName val="additioneel werk"/>
      <sheetName val="Medewerkers"/>
      <sheetName val="calc vs medw uren"/>
      <sheetName val="lokatie@geen id "/>
      <sheetName val="Lokatie overzicht"/>
      <sheetName val="Voeronderhouden"/>
      <sheetName val="glas m2"/>
      <sheetName val="Blad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Toelichting Calculatiemodel"/>
      <sheetName val="budget"/>
      <sheetName val="RS"/>
      <sheetName val="normblad"/>
      <sheetName val="Recap"/>
      <sheetName val="Uurtarieven"/>
      <sheetName val="Percentages"/>
      <sheetName val="Toeslagen"/>
      <sheetName val="Voorblad"/>
      <sheetName val="Uitleg calculatiemodule"/>
      <sheetName val="1.0-Contractblad"/>
      <sheetName val="1.1a-Jaarprijzen"/>
      <sheetName val="1.2-Kengetal"/>
      <sheetName val="1.3-Basis ruimtestaat"/>
      <sheetName val="1.3a-Mutaties"/>
      <sheetName val="1.4-Premies en opslagen"/>
      <sheetName val="1.5 Opbouw uurtarieven"/>
      <sheetName val="1.6-Machine-investeringskosten"/>
      <sheetName val="1.8-Afroepprijs"/>
      <sheetName val="1.9-Glasbewa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ISS Info"/>
      <sheetName val="begroting"/>
      <sheetName val="Contractblad perceel 3"/>
      <sheetName val="Basis ruimtestaat"/>
      <sheetName val="Kosten per locatie"/>
      <sheetName val="begroting tot 1-5-08"/>
      <sheetName val="Contractblad p3 tot 1-5-08"/>
      <sheetName val="Kosten per locatie tot 1-5-08"/>
      <sheetName val="Kosten per locatie tot 1-7-07"/>
      <sheetName val="Specifieke werkzaamheden"/>
      <sheetName val="Kengetal"/>
      <sheetName val="Afroepprijs"/>
      <sheetName val="premies en opslagen 2008"/>
      <sheetName val="opbouw uurtarieven 2008"/>
      <sheetName val="premies en opslagen 2007"/>
      <sheetName val="opbouw uurtarieven 2007"/>
      <sheetName val="Premies en opslagen 2006"/>
      <sheetName val="Opbouw uurtarieven 2006"/>
      <sheetName val="Tarievenmatrix 2006"/>
      <sheetName val="Prijsverhoging 2007"/>
      <sheetName val="Tarievenmatrix 2007"/>
      <sheetName val="Machine-investeringsko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rsrt 3.1.1"/>
      <sheetName val="KBF aangepast 3.2"/>
      <sheetName val="Basis 12-2000 excl. KBF"/>
      <sheetName val="Norm 3.1.2"/>
      <sheetName val="Glas 3.3"/>
      <sheetName val="Uurt 3.4.1"/>
      <sheetName val="Uurt2 3.4.2"/>
      <sheetName val="Staffel 3.5"/>
      <sheetName val="Normen 2003"/>
      <sheetName val="Calculatienormen"/>
      <sheetName val="Glas 3_3"/>
      <sheetName val="Basis ruimtestaat"/>
      <sheetName val="Smrsrt_3_1_1"/>
      <sheetName val="KBF_aangepast_3_2"/>
      <sheetName val="Basis_12-2000_excl__KBF"/>
      <sheetName val="Norm_3_1_2"/>
      <sheetName val="Glas_3_3"/>
      <sheetName val="Uurt_3_4_1"/>
      <sheetName val="Uurt2_3_4_2"/>
      <sheetName val="Staffel_3_5"/>
      <sheetName val="Normen_2003"/>
      <sheetName val="Glas_3_31"/>
      <sheetName val="Smrsrt_3_1_11"/>
      <sheetName val="KBF_aangepast_3_21"/>
      <sheetName val="Basis_12-2000_excl__KBF1"/>
      <sheetName val="Norm_3_1_21"/>
      <sheetName val="Glas_3_32"/>
      <sheetName val="Uurt_3_4_11"/>
      <sheetName val="Uurt2_3_4_21"/>
      <sheetName val="Staffel_3_51"/>
      <sheetName val="Normen_20031"/>
      <sheetName val="Glas_3_33"/>
      <sheetName val="Basis_ruimtestaat"/>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overzicht"/>
      <sheetName val="Invulblad P1"/>
      <sheetName val="Ma - Vrij P1"/>
      <sheetName val="Zaterdag P1"/>
      <sheetName val="Kostenmatrix P1"/>
      <sheetName val="Specificatie SW"/>
      <sheetName val="Invulblad_P1"/>
      <sheetName val="Ma_-_Vrij_P1"/>
      <sheetName val="Zaterdag_P1"/>
      <sheetName val="Kostenmatrix_P1"/>
      <sheetName val="Specificatie_SW"/>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Uitleg"/>
      <sheetName val="BeginMeting"/>
      <sheetName val="Overig"/>
      <sheetName val="BSC"/>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op de calculatie"/>
      <sheetName val="Recap"/>
      <sheetName val="Cijfers_SMC"/>
      <sheetName val="Cijfers_SMC input"/>
      <sheetName val="Calc"/>
      <sheetName val="normblad"/>
      <sheetName val="Uurtarieven"/>
      <sheetName val="Percentages"/>
      <sheetName val="Toeslagen"/>
      <sheetName val="Inventarisatiestaat"/>
      <sheetName val="Controlegegevens SMC"/>
      <sheetName val="Parameters"/>
      <sheetName val="Ruimtestaat"/>
      <sheetName val="Frequentie kwaliteitsmeting"/>
      <sheetName val="Normenblad"/>
      <sheetName val="Offerte uurtarief"/>
      <sheetName val="Offerte uurtarief OLGA"/>
      <sheetName val="Kostenblad"/>
      <sheetName val="Toelichting_op_de_calculatie"/>
      <sheetName val="Cijfers_SMC_input"/>
      <sheetName val="Controlegegevens_SMC"/>
      <sheetName val="Frequentie_kwaliteitsmeting"/>
      <sheetName val="Offerte_uurtarief"/>
      <sheetName val="Offerte_uurtarief_OLGA"/>
    </sheetNames>
    <sheetDataSet>
      <sheetData sheetId="0"/>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sheetData sheetId="12" refreshError="1"/>
      <sheetData sheetId="13"/>
      <sheetData sheetId="14"/>
      <sheetData sheetId="15"/>
      <sheetData sheetId="16"/>
      <sheetData sheetId="17" refreshError="1"/>
      <sheetData sheetId="18"/>
      <sheetData sheetId="19"/>
      <sheetData sheetId="20"/>
      <sheetData sheetId="21"/>
      <sheetData sheetId="22"/>
      <sheetData sheetId="23"/>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s>
    <sheetDataSet>
      <sheetData sheetId="0"/>
      <sheetData sheetId="1"/>
      <sheetData sheetId="2"/>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Programma_check"/>
      <sheetName val="Tussenblad"/>
      <sheetName val="Hoofdmenu"/>
      <sheetName val="scrprogramma"/>
      <sheetName val="scrvloersoort"/>
      <sheetName val="scrruimtestaten"/>
      <sheetName val="Vloeren"/>
      <sheetName val="Tarief"/>
      <sheetName val="Uitgangspunten"/>
      <sheetName val="Dagen open"/>
      <sheetName val="Begroting totaal"/>
      <sheetName val="Begroting landrijt"/>
      <sheetName val="Begroting gagelbosch"/>
      <sheetName val="Begroting orangerie"/>
      <sheetName val="Totalen"/>
      <sheetName val="Tarief ma-vr"/>
      <sheetName val="Tarief za-zo"/>
      <sheetName val="Tarief fe"/>
      <sheetName val="Afroepprijzen"/>
      <sheetName val="Glasprijzen"/>
      <sheetName val="ma_vr"/>
      <sheetName val="za"/>
      <sheetName val="Normblad"/>
      <sheetName val="Start_programma's"/>
      <sheetName val="Apo_L"/>
      <sheetName val="Aul_L"/>
      <sheetName val="Aul_S"/>
      <sheetName val="Bad_L"/>
      <sheetName val="Bad_S"/>
      <sheetName val="Bal_S"/>
      <sheetName val="Beh_L"/>
      <sheetName val="Beh_T"/>
      <sheetName val="Csa_L"/>
      <sheetName val="Dag_L"/>
      <sheetName val="Dag_H"/>
      <sheetName val="Dag_S"/>
      <sheetName val="Dag_T"/>
      <sheetName val="Dot_L"/>
      <sheetName val="Dot_S"/>
      <sheetName val="Dou_L"/>
      <sheetName val="Dou_S"/>
      <sheetName val="Ent_L"/>
      <sheetName val="Ent_S"/>
      <sheetName val="Ent_T"/>
      <sheetName val="Gan_L"/>
      <sheetName val="Gan_T"/>
      <sheetName val="Gan_S"/>
      <sheetName val="Gar_L"/>
      <sheetName val="Gar_S"/>
      <sheetName val="Gar_T"/>
      <sheetName val="Gip_L"/>
      <sheetName val="Gip_S"/>
      <sheetName val="Hyd_L"/>
      <sheetName val="Hyd_S"/>
      <sheetName val="Iso_L"/>
      <sheetName val="Iso_T"/>
      <sheetName val="Iso_S"/>
      <sheetName val="Kan_L"/>
      <sheetName val="Kan_S"/>
      <sheetName val="parklaan 54"/>
      <sheetName val="Kan_T"/>
      <sheetName val="Keu_T"/>
      <sheetName val="einde"/>
      <sheetName val="Keu_L"/>
      <sheetName val="Keu_S"/>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Oef_L"/>
      <sheetName val="Ope_L"/>
      <sheetName val="Ope_S"/>
      <sheetName val="Par_L"/>
      <sheetName val="Par_S"/>
      <sheetName val="Pat_L"/>
      <sheetName val="Pat_S"/>
      <sheetName val="Pat_T"/>
      <sheetName val="Rec_L"/>
      <sheetName val="Rec_T"/>
      <sheetName val="Res_L"/>
      <sheetName val="Res_S"/>
      <sheetName val="Res_T"/>
      <sheetName val="Rol_L"/>
      <sheetName val="Rol_S"/>
      <sheetName val="Ron_L"/>
      <sheetName val="Ron_S"/>
      <sheetName val="San_L"/>
      <sheetName val="San_S"/>
      <sheetName val="Spo_L"/>
      <sheetName val="Spo_S"/>
      <sheetName val="Spr_L"/>
      <sheetName val="Spr_T"/>
      <sheetName val="Tea_L"/>
      <sheetName val="Tea_T"/>
      <sheetName val="Tel_L"/>
      <sheetName val="Tel_T"/>
      <sheetName val="The_L"/>
      <sheetName val="The_H"/>
      <sheetName val="The_T"/>
      <sheetName val="Toi_L"/>
      <sheetName val="Tra_L"/>
      <sheetName val="Tra_H"/>
      <sheetName val="Tra_M"/>
      <sheetName val="Toi_S"/>
      <sheetName val="Tra_S"/>
      <sheetName val="Tra_T"/>
      <sheetName val="Ver_L"/>
      <sheetName val="Ver_T"/>
      <sheetName val="Voo_L"/>
      <sheetName val="Wac_L"/>
      <sheetName val="Wac_S"/>
      <sheetName val="Voo_S"/>
      <sheetName val="Wac_T"/>
      <sheetName val="Was_L"/>
      <sheetName val="Was_S"/>
      <sheetName val="Win_L"/>
      <sheetName val="Win_S"/>
      <sheetName val="Win_T"/>
      <sheetName val="Zwe_S"/>
      <sheetName val="Module1"/>
      <sheetName val="Module3"/>
      <sheetName val="Dagen_open"/>
      <sheetName val="Begroting_totaal"/>
      <sheetName val="Begroting_landrijt"/>
      <sheetName val="Begroting_gagelbosch"/>
      <sheetName val="Begroting_orangerie"/>
      <sheetName val="Tarief_ma-vr"/>
      <sheetName val="Tarief_za-zo"/>
      <sheetName val="Tarief_fe"/>
      <sheetName val="parklaan_5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soc_lst_"/>
      <sheetName val="MATRIX_NL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even"/>
      <sheetName val="Kortingen"/>
      <sheetName val="projectsheet"/>
      <sheetName val="Lokaal"/>
      <sheetName val="Buiten Regio"/>
      <sheetName val="Internet"/>
      <sheetName val="Mobiel"/>
      <sheetName val="Overall-trans"/>
      <sheetName val="InternetAWI"/>
      <sheetName val="Buiten_Reg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naire"/>
      <sheetName val="Main"/>
      <sheetName val="Graphs"/>
      <sheetName val="Scenarios"/>
      <sheetName val="Trafficlight"/>
      <sheetName val="CALCULATIONS"/>
      <sheetName val="Module2"/>
      <sheetName val="Module4"/>
      <sheetName val="Module1"/>
      <sheetName val="Module3"/>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jsten"/>
      <sheetName val="Invultoelichting"/>
      <sheetName val="Algemene gegevens inschrijver"/>
      <sheetName val="Oppervlakten"/>
      <sheetName val="Sanitair"/>
      <sheetName val="CWS-Sanitair"/>
      <sheetName val="CWS-Productspecs "/>
      <sheetName val="CWS-Condities"/>
      <sheetName val="Vendor-Sanitair"/>
      <sheetName val="RECAP TOTAAL"/>
      <sheetName val="Glasbewassing"/>
      <sheetName val="Glas (INT)"/>
      <sheetName val="Glas (HK)"/>
      <sheetName val="Glas (REG)"/>
      <sheetName val="NvI TMG"/>
      <sheetName val="Locatiekenmerken 2019_v2"/>
      <sheetName val="Schoonmaak"/>
      <sheetName val="Recap  HK"/>
      <sheetName val="CALC HK"/>
      <sheetName val="CALC VLR HK"/>
      <sheetName val="Indicatieve afroepprijzen"/>
      <sheetName val="CAO Hago"/>
      <sheetName val="normblad HK"/>
      <sheetName val="Ruimtestaat HK"/>
      <sheetName val="Toelichting ruimtestaat"/>
      <sheetName val="Recap  REG"/>
      <sheetName val="CALC REG"/>
      <sheetName val="VLR_REG"/>
      <sheetName val="normblad REG"/>
      <sheetName val="CAO Eff (regio)"/>
      <sheetName val="Hygiëne containers en matten"/>
      <sheetName val="Uurtarieven"/>
      <sheetName val="Percentages"/>
      <sheetName val="Toeslagen"/>
      <sheetName val="Uurlon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sheetName val="Investering machines"/>
      <sheetName val="Afroepprijzen 2003"/>
      <sheetName val="Toelichting ruimtestaat"/>
      <sheetName val="PROGR"/>
      <sheetName val="Productienorm-Kengetal"/>
      <sheetName val="Blad1"/>
      <sheetName val="Ruimtestaat"/>
      <sheetName val="BLAD JAARPRIJS"/>
      <sheetName val="GEBOUW INFORMATIE"/>
      <sheetName val="Investering_machines"/>
      <sheetName val="Afroepprijzen_2003"/>
      <sheetName val="Toelichting_ruimtestaat"/>
      <sheetName val="BLAD_JAARPRIJS"/>
      <sheetName val="GEBOUW_INFORM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staat "/>
      <sheetName val="120523 Ruimtestaat Avenier1.0"/>
      <sheetName val="120523%20Ruimtestaat%20Avenier1"/>
    </sheetNames>
    <definedNames>
      <definedName name="sbhah" refersTo="#VERW!"/>
    </defined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W Gunning"/>
      <sheetName val="NAW Opzegging"/>
      <sheetName val="Mutaties Opzegging emis - ISS"/>
      <sheetName val="SSC"/>
      <sheetName val="NAW_Gunning"/>
      <sheetName val="NAW_Opzegging"/>
      <sheetName val="Mutaties_Opzegging_emis_-_ISS"/>
    </sheetNames>
    <sheetDataSet>
      <sheetData sheetId="0" refreshError="1"/>
      <sheetData sheetId="1" refreshError="1"/>
      <sheetData sheetId="2" refreshError="1"/>
      <sheetData sheetId="3"/>
      <sheetData sheetId="4"/>
      <sheetData sheetId="5"/>
      <sheetData sheetId="6"/>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 val="Opnameformulier_VW"/>
      <sheetName val="Opnameformulier_BRT"/>
      <sheetName val="Opnameformulier_LV"/>
      <sheetName val="Offerte_teksten"/>
      <sheetName val="Opnameformulier_VW1"/>
      <sheetName val="Opnameformulier_BRT1"/>
      <sheetName val="Opnameformulier_LV1"/>
      <sheetName val="Offerte_tekste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Opname VW"/>
      <sheetName val="Opname Regie-Brt "/>
      <sheetName val="Opname BRT glas sp.r."/>
      <sheetName val="Opname LV"/>
      <sheetName val="Leveringen"/>
      <sheetName val="Offerte teksten"/>
      <sheetName val="bijzonderheden"/>
      <sheetName val="Herberekening NORM"/>
      <sheetName val="Ruimtesoort"/>
      <sheetName val="Opname_VW"/>
      <sheetName val="Opname_Regie-Brt_"/>
      <sheetName val="Opname_BRT_glas_sp_r_"/>
      <sheetName val="Opname_LV"/>
      <sheetName val="Offerte_teksten"/>
      <sheetName val="Herberekening_NORM"/>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ick scan GOM GSH"/>
      <sheetName val="Toelichting"/>
      <sheetName val="NAW"/>
      <sheetName val="Tijdcalculatie"/>
      <sheetName val="Kostenspecificatie reeel "/>
      <sheetName val="Totaalopbouw reeel"/>
      <sheetName val="soclasten"/>
      <sheetName val="Werkrooster"/>
      <sheetName val="Resume CSP"/>
      <sheetName val="Vragen issues"/>
      <sheetName val="Invulformulier CSP"/>
      <sheetName val="Calc CSP"/>
      <sheetName val="staffel"/>
      <sheetName val="uren_omzet"/>
      <sheetName val="quick_scan_GOM_GSH"/>
      <sheetName val="Kostenspecificatie_reeel_"/>
      <sheetName val="Totaalopbouw_reeel"/>
      <sheetName val="Resume_CSP"/>
      <sheetName val="Vragen_issues"/>
      <sheetName val="Invulformulier_CSP"/>
      <sheetName val="Calc_CS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name personeel"/>
      <sheetName val="20121015_Overnamegegevens berek"/>
      <sheetName val="Overname_personeel"/>
      <sheetName val="20121015_Overnamegegevens_berek"/>
    </sheetNames>
    <definedNames>
      <definedName name="totaal" refersTo="#VERW!"/>
    </definedNames>
    <sheetDataSet>
      <sheetData sheetId="0"/>
      <sheetData sheetId="1" refreshError="1"/>
      <sheetData sheetId="2"/>
      <sheetData sheetId="3"/>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s"/>
      <sheetName val="Toeslagen"/>
      <sheetName val="Percentages"/>
      <sheetName val="1 BRK norm RS"/>
      <sheetName val="Normen BASIS"/>
      <sheetName val="Norm Oerle IG RS"/>
      <sheetName val="NF per lokatie"/>
      <sheetName val="Uurtarieven"/>
      <sheetName val="Tarieven per lokatie"/>
      <sheetName val="Mutatieblad"/>
      <sheetName val="TOTAAL"/>
      <sheetName val="1 BRK overzicht"/>
      <sheetName val="2 AKK overzicht"/>
      <sheetName val="5 ERD overzicht"/>
      <sheetName val="6 FLEU overzicht"/>
      <sheetName val="7 GAG overzicht"/>
      <sheetName val="8 KNTR overzicht"/>
      <sheetName val="9 LDR overzicht"/>
      <sheetName val="10 OER overzicht"/>
      <sheetName val="11 KANI overzicht"/>
      <sheetName val="1 BRK ma-vr"/>
      <sheetName val="1 BRK zzf"/>
      <sheetName val="2 AKK ma-vr"/>
      <sheetName val="2 AKK nlp"/>
      <sheetName val="2 AKK zzf "/>
      <sheetName val="5 ERB ma-vr"/>
      <sheetName val="5 ERD nlp"/>
      <sheetName val="5 ERD zzf"/>
      <sheetName val="6 FLEU ma-vr"/>
      <sheetName val="6 FLEU nlp"/>
      <sheetName val="6 FLEU zzf"/>
      <sheetName val="7 GAG ma-vr"/>
      <sheetName val="7 GAG nlp"/>
      <sheetName val="7 GAG zzf"/>
      <sheetName val="8 KNTR ma-vr"/>
      <sheetName val="9 LDR ma-vr"/>
      <sheetName val="9 LDR zzf"/>
      <sheetName val="10 OER ma- zzf"/>
      <sheetName val="11 KANI ma-vr"/>
      <sheetName val="11 KANI zzf"/>
      <sheetName val="Werkbare dagen"/>
      <sheetName val="3 EKH overzicht"/>
      <sheetName val="3 EKH ma-vr"/>
      <sheetName val="3 EKH nlp"/>
      <sheetName val="3 EKH zzf"/>
      <sheetName val="12 PAS overzicht"/>
      <sheetName val="12 PAS Overzicht123"/>
      <sheetName val="12 PAS ma-vr"/>
      <sheetName val="12 PAS nlp"/>
      <sheetName val="12 PAS zzf"/>
      <sheetName val="13 HvS overzicht"/>
      <sheetName val="13 HvS Overzicht123"/>
      <sheetName val="13 HvS ma-vr"/>
      <sheetName val="13 HvS nlp"/>
      <sheetName val="13 HvS zzf"/>
      <sheetName val="4 DOM overzicht"/>
      <sheetName val="4 DOM Overzicht123 "/>
      <sheetName val="4 DOM ma-vr"/>
      <sheetName val="4 DOM nlp"/>
      <sheetName val="4 DOM zzf"/>
      <sheetName val="Additioneel"/>
      <sheetName val="Glas"/>
      <sheetName val="Machines"/>
      <sheetName val="ZKN Machine"/>
      <sheetName val="Mach bestand loc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INZET UREN"/>
      <sheetName val="VERGELIJK HUIDIG-BUDGET"/>
      <sheetName val="REKENBLAD"/>
      <sheetName val="1-Contractblad Totaal"/>
      <sheetName val="1-Contractblad  Perceel 1budget"/>
      <sheetName val="1-Contractblad  Perceel 1"/>
      <sheetName val="1-Contractblad  Perceel 2"/>
      <sheetName val="1-Contractblad  Perceel 2budget"/>
      <sheetName val="1-Contractblad AZU HJGM"/>
      <sheetName val="1-Contractblad Stratenum"/>
      <sheetName val="1-Contractblad Huisvesting"/>
      <sheetName val="1-Contractblad MvG totaal"/>
      <sheetName val="1-Contractblad MvG ECNP"/>
      <sheetName val="1-Contractblad MvG Kendle"/>
      <sheetName val="1-Contractblad MvG SFAR"/>
      <sheetName val="1-Contractblad MvG Topselect"/>
      <sheetName val="1-Contractblad MvG UMCU"/>
      <sheetName val="1-Contractblad Israellaan"/>
      <sheetName val="1-Contractblad Juliuscentrum"/>
      <sheetName val="1-Contractblad LUH"/>
      <sheetName val="1-Contractblad AZU L"/>
      <sheetName val="1-Contractblad HVDB"/>
      <sheetName val="1-Contractblad WKZ"/>
      <sheetName val="1-Contractblad Julius Academy"/>
      <sheetName val="2-Kengetal"/>
      <sheetName val="16.04.255"/>
      <sheetName val="Res_L"/>
      <sheetName val="Lab_L"/>
      <sheetName val="3-Basis ruimtestaat"/>
      <sheetName val="4-Premies en opslagen"/>
      <sheetName val="5-Opbouw uurtarieven"/>
      <sheetName val="6- toeslagenmatrix"/>
      <sheetName val="7-Machine-investeringskosten"/>
      <sheetName val="8-Afroepprijs"/>
      <sheetName val="ad afroep"/>
      <sheetName val="9-additionele wkzh"/>
      <sheetName val="Traverse"/>
      <sheetName val="Info_blad"/>
      <sheetName val="INZET_UREN"/>
      <sheetName val="VERGELIJK_HUIDIG-BUDGET"/>
      <sheetName val="1-Contractblad_Totaal"/>
      <sheetName val="1-Contractblad__Perceel_1budget"/>
      <sheetName val="1-Contractblad__Perceel_1"/>
      <sheetName val="1-Contractblad__Perceel_2"/>
      <sheetName val="1-Contractblad__Perceel_2budget"/>
      <sheetName val="1-Contractblad_AZU_HJGM"/>
      <sheetName val="1-Contractblad_Stratenum"/>
      <sheetName val="1-Contractblad_Huisvesting"/>
      <sheetName val="1-Contractblad_MvG_totaal"/>
      <sheetName val="1-Contractblad_MvG_ECNP"/>
      <sheetName val="1-Contractblad_MvG_Kendle"/>
      <sheetName val="1-Contractblad_MvG_SFAR"/>
      <sheetName val="1-Contractblad_MvG_Topselect"/>
      <sheetName val="1-Contractblad_MvG_UMCU"/>
      <sheetName val="1-Contractblad_Israellaan"/>
      <sheetName val="1-Contractblad_Juliuscentrum"/>
      <sheetName val="1-Contractblad_LUH"/>
      <sheetName val="1-Contractblad_AZU_L"/>
      <sheetName val="1-Contractblad_HVDB"/>
      <sheetName val="1-Contractblad_WKZ"/>
      <sheetName val="1-Contractblad_Julius_Academy"/>
      <sheetName val="16_04_255"/>
      <sheetName val="3-Basis_ruimtestaat"/>
      <sheetName val="4-Premies_en_opslagen"/>
      <sheetName val="5-Opbouw_uurtarieven"/>
      <sheetName val="6-_toeslagenmatrix"/>
      <sheetName val="ad_afroep"/>
      <sheetName val="9-additionele_wkz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estand"/>
      <sheetName val="1-Contractblad dag"/>
      <sheetName val="2 - Additioneel"/>
      <sheetName val="2a - Uitleg Additioneel"/>
      <sheetName val="3 - Glasbewassing 2012"/>
      <sheetName val="4 - Totalen unit"/>
      <sheetName val="5 - Kengetal"/>
      <sheetName val="6 - Basis ruimtestaat"/>
      <sheetName val="7 - Premies en opslagen"/>
      <sheetName val="8 - Opbouw uurtarieven"/>
      <sheetName val="9 - toeslagenmatrix"/>
      <sheetName val="10 - Machine-investeringskosten"/>
      <sheetName val="11 - Afroepprijs"/>
      <sheetName val="1-Contractblad_dag"/>
      <sheetName val="2_-_Additioneel"/>
      <sheetName val="2a_-_Uitleg_Additioneel"/>
      <sheetName val="3_-_Glasbewassing_2012"/>
      <sheetName val="4_-_Totalen_unit"/>
      <sheetName val="5_-_Kengetal"/>
      <sheetName val="6_-_Basis_ruimtestaat"/>
      <sheetName val="7_-_Premies_en_opslagen"/>
      <sheetName val="8_-_Opbouw_uurtarieven"/>
      <sheetName val="9_-_toeslagenmatrix"/>
      <sheetName val="10_-_Machine-investeringskosten"/>
      <sheetName val="11_-_Afroepprij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 val="Info_blad1"/>
      <sheetName val="1-Contractblad_totaal1"/>
      <sheetName val="2-Prijzen_per_locatie1"/>
      <sheetName val="4-Basis_ruimtestaat1"/>
      <sheetName val="7-Sanitaire_voorzieningen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BEGROTING per 010109"/>
      <sheetName val="1-Contractblad per 010109"/>
      <sheetName val="2-Kengetal"/>
      <sheetName val="3-ZMC Rmst UB "/>
      <sheetName val="Kosten per blok"/>
      <sheetName val="4-Premies en opslagen"/>
      <sheetName val="5-Opbouw uurtarieven"/>
      <sheetName val="1a-Werkzaamheden specifiek"/>
      <sheetName val="Wacht op goedkeuring"/>
      <sheetName val="3-ZMC Concept calcs"/>
      <sheetName val="Vloeren"/>
      <sheetName val="3-ZMC Rmst UB  OK"/>
      <sheetName val="6-Tarievenmatrix"/>
      <sheetName val="7-Machine-investeringskosten"/>
      <sheetName val="8-Afroepprijs"/>
      <sheetName val="9-Prijs glasbewassing"/>
      <sheetName val="9-Prijs glasbewassing 4x"/>
      <sheetName val="loongroep 2"/>
      <sheetName val="Toelichting calculatiemodel"/>
      <sheetName val="BEGROTING_per_010109"/>
      <sheetName val="1-Contractblad_per_010109"/>
      <sheetName val="3-ZMC_Rmst_UB_"/>
      <sheetName val="Kosten_per_blok"/>
      <sheetName val="4-Premies_en_opslagen"/>
      <sheetName val="5-Opbouw_uurtarieven"/>
      <sheetName val="1a-Werkzaamheden_specifiek"/>
      <sheetName val="Wacht_op_goedkeuring"/>
      <sheetName val="3-ZMC_Concept_calcs"/>
      <sheetName val="3-ZMC_Rmst_UB__OK"/>
      <sheetName val="9-Prijs_glasbewassing"/>
      <sheetName val="9-Prijs_glasbewassing_4x"/>
      <sheetName val="loongroep_2"/>
      <sheetName val="Toelichting_calculatiemod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Blad3"/>
      <sheetName val="Blad2"/>
      <sheetName val="Totaal"/>
      <sheetName val="MA-VR"/>
      <sheetName val="IVM Smo ma-vr"/>
      <sheetName val="IVM Specials"/>
      <sheetName val="Tariefopbouw Contract"/>
      <sheetName val="Uurtarieven Contract"/>
      <sheetName val="Uurtarieven Regiewerkzaamheden"/>
      <sheetName val="IVM Regie"/>
      <sheetName val="IVM Glas"/>
      <sheetName val="Normblad"/>
      <sheetName val="rekenblad"/>
      <sheetName val="Codes"/>
      <sheetName val="variabelen"/>
      <sheetName val="Begroting"/>
      <sheetName val="Opbouw"/>
      <sheetName val="Vaste gegevens"/>
      <sheetName val="Start_programma's"/>
      <sheetName val="Ber_B"/>
      <sheetName val="Ber_L"/>
      <sheetName val="Ber_T"/>
      <sheetName val="Bib_T"/>
      <sheetName val="Dou_K"/>
      <sheetName val="Ent_N"/>
      <sheetName val="Ent_S"/>
      <sheetName val="Fit_L"/>
      <sheetName val="Gan_L"/>
      <sheetName val="Gan_N"/>
      <sheetName val="Gan_S"/>
      <sheetName val="Gan_T"/>
      <sheetName val="Kan_L"/>
      <sheetName val="Kan_N"/>
      <sheetName val="Kan_T"/>
      <sheetName val="Kle_L"/>
      <sheetName val="Kle_S"/>
      <sheetName val="Kle_T"/>
      <sheetName val="Lif_L"/>
      <sheetName val="Pan_L"/>
      <sheetName val="Pan_N"/>
      <sheetName val="Pan_S"/>
      <sheetName val="Pan_T"/>
      <sheetName val="Rep_L"/>
      <sheetName val="Res_H"/>
      <sheetName val="Roo_L"/>
      <sheetName val="San_S"/>
      <sheetName val="Tou_T"/>
      <sheetName val="Tra_B"/>
      <sheetName val="Tra_L"/>
      <sheetName val="Tra_N"/>
      <sheetName val="Tra_S"/>
      <sheetName val="Tra_T"/>
      <sheetName val="Ver_T"/>
      <sheetName val="Wer_B"/>
      <sheetName val="Wer_L"/>
      <sheetName val="Blad1"/>
      <sheetName val="IVM_Smo_ma-vr"/>
      <sheetName val="IVM_Specials"/>
      <sheetName val="Tariefopbouw_Contract"/>
      <sheetName val="Uurtarieven_Contract"/>
      <sheetName val="Uurtarieven_Regiewerkzaamheden"/>
      <sheetName val="IVM_Regie"/>
      <sheetName val="IVM_Glas"/>
      <sheetName val="Vaste_gegevens"/>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B TOTAAL"/>
      <sheetName val="1-CB  Juliuscentrum"/>
      <sheetName val="1-CB  Meijburghuis"/>
      <sheetName val="1-CB Huisvesting"/>
      <sheetName val="1-CB AZU L"/>
      <sheetName val="1-CB WKZ"/>
      <sheetName val="1-CB AZU HJGM"/>
      <sheetName val="1-CB HvdB"/>
      <sheetName val="1-CB Stratenum"/>
      <sheetName val="2-Kengetal"/>
      <sheetName val="3-Basis ruimtestaat"/>
      <sheetName val="4-Premies en opslagen"/>
      <sheetName val="5-Opbouw uurtarieven"/>
      <sheetName val="6- toeslagenmatrix"/>
      <sheetName val="7-Machine-investeringskosten"/>
      <sheetName val="8-Afroepprijs"/>
      <sheetName val="1-CB_TOTAAL"/>
      <sheetName val="1-CB__Juliuscentrum"/>
      <sheetName val="1-CB__Meijburghuis"/>
      <sheetName val="1-CB_Huisvesting"/>
      <sheetName val="1-CB_AZU_L"/>
      <sheetName val="1-CB_WKZ"/>
      <sheetName val="1-CB_AZU_HJGM"/>
      <sheetName val="1-CB_HvdB"/>
      <sheetName val="1-CB_Stratenum"/>
      <sheetName val="3-Basis_ruimtestaat"/>
      <sheetName val="4-Premies_en_opslagen"/>
      <sheetName val="5-Opbouw_uurtarieven"/>
      <sheetName val="6-_toeslagenmatrix"/>
    </sheetNames>
    <sheetDataSet>
      <sheetData sheetId="0" refreshError="1"/>
      <sheetData sheetId="1"/>
      <sheetData sheetId="2" refreshError="1"/>
      <sheetData sheetId="3" refreshError="1"/>
      <sheetData sheetId="4"/>
      <sheetData sheetId="5"/>
      <sheetData sheetId="6"/>
      <sheetData sheetId="7"/>
      <sheetData sheetId="8"/>
      <sheetData sheetId="9" refreshError="1"/>
      <sheetData sheetId="10"/>
      <sheetData sheetId="11" refreshError="1"/>
      <sheetData sheetId="12"/>
      <sheetData sheetId="13" refreshError="1"/>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
      <sheetName val="facturatie"/>
      <sheetName val="kengetal incl. afval"/>
      <sheetName val="kengetal excl. afval"/>
      <sheetName val="frequentie max"/>
      <sheetName val="ruimtestaat"/>
      <sheetName val="uurtarieven"/>
      <sheetName val="additionele werkzaamheden"/>
      <sheetName val="machine investeringskosten"/>
      <sheetName val="overnamekosten"/>
      <sheetName val="glas prijzen"/>
      <sheetName val="glas totaal"/>
      <sheetName val="sanitaire voorzieningen"/>
      <sheetName val="afroepprijzen"/>
      <sheetName val="vervanging eigen dienst"/>
      <sheetName val="besteknummers"/>
      <sheetName val="additioneel"/>
      <sheetName val="artikelprijzen"/>
      <sheetName val="3-ZMC Rmst UB "/>
      <sheetName val="kengetal_incl__afval"/>
      <sheetName val="kengetal_excl__afval"/>
      <sheetName val="frequentie_max"/>
      <sheetName val="additionele_werkzaamheden"/>
      <sheetName val="machine_investeringskosten"/>
      <sheetName val="glas_prijzen"/>
      <sheetName val="glas_totaal"/>
      <sheetName val="sanitaire_voorzieningen"/>
      <sheetName val="vervanging_eigen_dienst"/>
      <sheetName val="3-ZMC_Rmst_UB_"/>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refreshError="1"/>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uimtestaat"/>
      <sheetName val="120706 Ruimtestaat Avenier &amp; Ho"/>
      <sheetName val="120706%20Ruimtestaat%20Avenier%"/>
    </sheetNames>
    <definedNames>
      <definedName name="verbetring" refersTo="#VERW!"/>
    </definedNames>
    <sheetDataSet>
      <sheetData sheetId="0" refreshError="1"/>
      <sheetData sheetId="1" refreshError="1"/>
      <sheetData sheetId="2"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urering"/>
      <sheetName val="Inzet uren"/>
      <sheetName val="aanvullende werkzaamheden"/>
      <sheetName val="antwoorden"/>
      <sheetName val="Kosten per klant"/>
      <sheetName val="Ruimten"/>
      <sheetName val="Uurtarieven"/>
      <sheetName val="Groot materiaal"/>
      <sheetName val="Machines afschrijving"/>
      <sheetName val="Korting"/>
      <sheetName val="Regietarieven"/>
      <sheetName val="sanitair"/>
      <sheetName val="norm"/>
      <sheetName val="GLASWAS 2003"/>
      <sheetName val="1E BEURT"/>
      <sheetName val="2E BEURT"/>
      <sheetName val="3E BEURT"/>
      <sheetName val="4E BEURT"/>
      <sheetName val="Inzet_uren"/>
      <sheetName val="aanvullende_werkzaamheden"/>
      <sheetName val="Kosten_per_klant"/>
      <sheetName val="Groot_materiaal"/>
      <sheetName val="Machines_afschrijving"/>
      <sheetName val="GLASWAS_2003"/>
      <sheetName val="1E_BEURT"/>
      <sheetName val="2E_BEURT"/>
      <sheetName val="3E_BEURT"/>
      <sheetName val="4E_BEU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 val="Basis_ruimtestaat1"/>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Norm &amp; Freq"/>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Kostenoverzicht"/>
    </sheetNames>
    <sheetDataSet>
      <sheetData sheetId="0" refreshError="1"/>
      <sheetData sheetId="1"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Waterschapshuis-ma_vr"/>
      <sheetName val="RWZI Tilburg-ma_vr"/>
      <sheetName val="Middelbeers-ma_vr"/>
      <sheetName val="Veldhoven-ma_vr"/>
      <sheetName val="SVI Mierlo-ma_vr"/>
      <sheetName val="Boxtel-ma_vr"/>
      <sheetName val="WSDD-Hoogfrequent"/>
      <sheetName val="WSDD-Laagfrequent"/>
      <sheetName val="Totaal"/>
      <sheetName val="Invulmatrix SO"/>
      <sheetName val="Invulmatrix Glas"/>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Beh_L"/>
      <sheetName val="Bes_S"/>
      <sheetName val="Bib_L"/>
      <sheetName val="Bib_S"/>
      <sheetName val="Bib_T"/>
      <sheetName val="Dou_S"/>
      <sheetName val="Ent_S"/>
      <sheetName val="Ent_T"/>
      <sheetName val="Fie_S"/>
      <sheetName val="Gan_L"/>
      <sheetName val="Gan_S"/>
      <sheetName val="Gan_ST"/>
      <sheetName val="Gan_T"/>
      <sheetName val="Gar_L"/>
      <sheetName val="Gar_S"/>
      <sheetName val="Hal_S"/>
      <sheetName val="Kan_L"/>
      <sheetName val="Kan_H"/>
      <sheetName val="Kan_S"/>
      <sheetName val="Kan_ST"/>
      <sheetName val="Kan_T"/>
      <sheetName val="Keu_L"/>
      <sheetName val="Keu_S"/>
      <sheetName val="Keu_T"/>
      <sheetName val="Kle_S"/>
      <sheetName val="Lab_L"/>
      <sheetName val="Lab_S"/>
      <sheetName val="Lif_L"/>
      <sheetName val="Lif_T"/>
      <sheetName val="Mag_L"/>
      <sheetName val="Mag_S"/>
      <sheetName val="Pri_L"/>
      <sheetName val="Pri_S"/>
      <sheetName val="Pri_ST"/>
      <sheetName val="Pri_T"/>
      <sheetName val="Rec_T"/>
      <sheetName val="Res_L"/>
      <sheetName val="Res_S"/>
      <sheetName val="Res_T"/>
      <sheetName val="Roo_L"/>
      <sheetName val="Roo_S"/>
      <sheetName val="Roo_ST"/>
      <sheetName val="Roo_T"/>
      <sheetName val="San_S"/>
      <sheetName val="Spo_S"/>
      <sheetName val="Tra_H"/>
      <sheetName val="Tra_R"/>
      <sheetName val="Tra_S"/>
      <sheetName val="Ver_L"/>
      <sheetName val="Ver_S"/>
      <sheetName val="Ver_ST"/>
      <sheetName val="Ver_T"/>
      <sheetName val="Was_S"/>
      <sheetName val="Zaa_S"/>
      <sheetName val="Einde_programma's"/>
      <sheetName val="RWZI_Tilburg-ma_vr"/>
      <sheetName val="SVI_Mierlo-ma_vr"/>
      <sheetName val="Invulmatrix_SO"/>
      <sheetName val="Invulmatrix_Glas"/>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AEA06-F172-4D58-BC40-FF9EC72F249F}">
  <sheetPr>
    <tabColor theme="0" tint="-4.9989318521683403E-2"/>
  </sheetPr>
  <dimension ref="A1:N4"/>
  <sheetViews>
    <sheetView showGridLines="0" workbookViewId="0">
      <pane ySplit="4" topLeftCell="A5" activePane="bottomLeft" state="frozen"/>
      <selection activeCell="B9" sqref="B9"/>
      <selection pane="bottomLeft" activeCell="R11" sqref="R11"/>
    </sheetView>
  </sheetViews>
  <sheetFormatPr defaultRowHeight="12.6"/>
  <cols>
    <col min="1" max="1" width="27.6640625" customWidth="1"/>
  </cols>
  <sheetData>
    <row r="1" spans="1:14" ht="15.6">
      <c r="A1" s="6" t="str">
        <f>'1-Totaal inschrijfbedrag'!A3</f>
        <v>Naam opdrachtgever</v>
      </c>
      <c r="B1" s="420" t="str">
        <f>'1-Totaal inschrijfbedrag'!B3</f>
        <v>GVB operatie Metro</v>
      </c>
    </row>
    <row r="2" spans="1:14" ht="15.6">
      <c r="A2" s="6" t="str">
        <f>'1-Totaal inschrijfbedrag'!A4</f>
        <v>Calculatie onderdeel</v>
      </c>
      <c r="B2" s="174" t="str">
        <f ca="1">MID(CELL("bestandsnaam",$B$11),SEARCH("]",CELL("bestandsnaam",$B$11),1)+1,256)</f>
        <v>Uitgangspunten</v>
      </c>
      <c r="F2" s="421"/>
      <c r="G2" s="421"/>
      <c r="H2" s="421"/>
      <c r="I2" s="421"/>
      <c r="J2" s="421"/>
      <c r="K2" s="421"/>
      <c r="L2" s="421"/>
      <c r="M2" s="421"/>
      <c r="N2" s="421"/>
    </row>
    <row r="3" spans="1:14" ht="15.6">
      <c r="A3" s="6" t="str">
        <f>'1-Totaal inschrijfbedrag'!A5</f>
        <v>Gebouw/plaats</v>
      </c>
      <c r="B3" s="420" t="str">
        <f>'1-Totaal inschrijfbedrag'!B5</f>
        <v>Amsterdam</v>
      </c>
      <c r="F3" s="421"/>
      <c r="G3" s="421"/>
      <c r="H3" s="421"/>
      <c r="I3" s="421"/>
      <c r="J3" s="421"/>
      <c r="K3" s="421"/>
      <c r="L3" s="421"/>
      <c r="M3" s="421"/>
      <c r="N3" s="421"/>
    </row>
    <row r="4" spans="1:14" ht="15.6">
      <c r="A4" s="6" t="str">
        <f>'1-Totaal inschrijfbedrag'!A6</f>
        <v>Referentienummer</v>
      </c>
      <c r="B4" s="420" t="str">
        <f>'1-Totaal inschrijfbedrag'!B6</f>
        <v>2024-62</v>
      </c>
      <c r="G4" s="421"/>
      <c r="H4" s="421"/>
      <c r="I4" s="421"/>
      <c r="J4" s="421"/>
      <c r="K4" s="421"/>
      <c r="L4" s="421"/>
      <c r="M4" s="421"/>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4CDC4-2770-48AA-B104-992E2720D5A7}">
  <sheetPr>
    <tabColor theme="0" tint="-4.9989318521683403E-2"/>
  </sheetPr>
  <dimension ref="A1:L56"/>
  <sheetViews>
    <sheetView showGridLines="0" zoomScaleNormal="100" workbookViewId="0">
      <pane ySplit="9" topLeftCell="A13" activePane="bottomLeft" state="frozen"/>
      <selection activeCell="A3" sqref="A3:B8"/>
      <selection pane="bottomLeft" activeCell="E31" sqref="E31"/>
    </sheetView>
  </sheetViews>
  <sheetFormatPr defaultColWidth="31.109375" defaultRowHeight="13.2"/>
  <cols>
    <col min="1" max="1" width="31.109375" style="41"/>
    <col min="2" max="2" width="15.44140625" style="41" customWidth="1"/>
    <col min="3" max="3" width="22.6640625" style="41" customWidth="1"/>
    <col min="4" max="4" width="25.5546875" style="41" customWidth="1"/>
    <col min="5" max="5" width="24.6640625" style="41" customWidth="1"/>
    <col min="6" max="7" width="23.6640625" style="41" customWidth="1"/>
    <col min="8" max="8" width="24.33203125" style="41" customWidth="1"/>
    <col min="9" max="16384" width="31.109375" style="41"/>
  </cols>
  <sheetData>
    <row r="1" spans="1:12">
      <c r="A1" s="386" t="s">
        <v>0</v>
      </c>
    </row>
    <row r="3" spans="1:12" ht="15.6">
      <c r="A3" s="229" t="str">
        <f>'1-Totaal inschrijfbedrag'!A3</f>
        <v>Naam opdrachtgever</v>
      </c>
      <c r="B3" s="310" t="str">
        <f>'1-Totaal inschrijfbedrag'!B3</f>
        <v>GVB operatie Metro</v>
      </c>
    </row>
    <row r="4" spans="1:12" ht="15.6">
      <c r="A4" s="229" t="str">
        <f>'1-Totaal inschrijfbedrag'!A4</f>
        <v>Calculatie onderdeel</v>
      </c>
      <c r="B4" s="310" t="str">
        <f ca="1">MID(CELL("bestandsnaam",$C$9),SEARCH("]",CELL("bestandsnaam",$C$9),1)+1,256)</f>
        <v>7b-Gladheidsbestrijding Tram</v>
      </c>
    </row>
    <row r="5" spans="1:12" ht="15.6">
      <c r="A5" s="229" t="str">
        <f>'1-Totaal inschrijfbedrag'!A5</f>
        <v>Gebouw/plaats</v>
      </c>
      <c r="B5" s="310" t="str">
        <f>'1-Totaal inschrijfbedrag'!B5</f>
        <v>Amsterdam</v>
      </c>
      <c r="J5" s="360"/>
      <c r="K5" s="360"/>
      <c r="L5" s="360"/>
    </row>
    <row r="6" spans="1:12" ht="15.6">
      <c r="A6" s="229" t="str">
        <f>'1-Totaal inschrijfbedrag'!A6</f>
        <v>Referentienummer</v>
      </c>
      <c r="B6" s="310" t="str">
        <f>'1-Totaal inschrijfbedrag'!B6</f>
        <v>2024-62</v>
      </c>
    </row>
    <row r="7" spans="1:12" ht="15.6">
      <c r="A7" s="229" t="str">
        <f>'1-Totaal inschrijfbedrag'!A7</f>
        <v>Naam dienstverlener</v>
      </c>
      <c r="B7" s="310">
        <f>'1-Totaal inschrijfbedrag'!B7:D7</f>
        <v>0</v>
      </c>
      <c r="J7" s="265"/>
      <c r="K7" s="265"/>
      <c r="L7" s="265"/>
    </row>
    <row r="8" spans="1:12" ht="15.6">
      <c r="A8" s="229" t="str">
        <f>'1-Totaal inschrijfbedrag'!A8</f>
        <v>Prijspeil</v>
      </c>
      <c r="B8" s="228" t="str">
        <f>'1-Totaal inschrijfbedrag'!B8</f>
        <v>1 juli 2025</v>
      </c>
      <c r="D8" s="524"/>
      <c r="E8" s="524"/>
      <c r="F8" s="524"/>
      <c r="I8" s="265"/>
      <c r="J8" s="265"/>
      <c r="K8" s="265"/>
    </row>
    <row r="9" spans="1:12" ht="15.6">
      <c r="A9" s="229" t="str">
        <f>'1-Totaal inschrijfbedrag'!A9</f>
        <v>Perceel deel</v>
      </c>
      <c r="B9" s="184" t="str">
        <f>'1-Totaal inschrijfbedrag'!B9</f>
        <v>Comfort schoonmaak</v>
      </c>
    </row>
    <row r="11" spans="1:12" ht="54" customHeight="1">
      <c r="A11" s="382" t="s">
        <v>924</v>
      </c>
      <c r="B11" s="382" t="s">
        <v>925</v>
      </c>
      <c r="C11" s="383" t="s">
        <v>926</v>
      </c>
      <c r="D11" s="384" t="s">
        <v>927</v>
      </c>
      <c r="E11" s="384" t="s">
        <v>928</v>
      </c>
      <c r="F11" s="384" t="s">
        <v>929</v>
      </c>
      <c r="G11" s="383" t="s">
        <v>930</v>
      </c>
    </row>
    <row r="12" spans="1:12">
      <c r="A12" s="364" t="s">
        <v>931</v>
      </c>
      <c r="B12" s="385">
        <f>$D$56</f>
        <v>11859</v>
      </c>
      <c r="C12" s="393">
        <v>4</v>
      </c>
      <c r="D12" s="394">
        <v>0</v>
      </c>
      <c r="E12" s="394">
        <v>0</v>
      </c>
      <c r="F12" s="394">
        <v>0</v>
      </c>
      <c r="G12" s="332">
        <f>(((D12+E12)*B26)+(F12*$B$31))*C12</f>
        <v>0</v>
      </c>
    </row>
    <row r="13" spans="1:12">
      <c r="A13" s="364" t="s">
        <v>932</v>
      </c>
      <c r="B13" s="385">
        <f>B12</f>
        <v>11859</v>
      </c>
      <c r="C13" s="393">
        <v>4</v>
      </c>
      <c r="D13" s="394">
        <v>0</v>
      </c>
      <c r="E13" s="394">
        <v>0</v>
      </c>
      <c r="F13" s="394">
        <v>0</v>
      </c>
      <c r="G13" s="332">
        <f>(((D13+E13)*B27)+(F13*$B$31))*C13</f>
        <v>0</v>
      </c>
    </row>
    <row r="14" spans="1:12">
      <c r="A14" s="364" t="s">
        <v>933</v>
      </c>
      <c r="B14" s="385">
        <f t="shared" ref="B14:B15" si="0">B13</f>
        <v>11859</v>
      </c>
      <c r="C14" s="393">
        <v>1</v>
      </c>
      <c r="D14" s="394">
        <v>0</v>
      </c>
      <c r="E14" s="394">
        <v>0</v>
      </c>
      <c r="F14" s="394">
        <v>0</v>
      </c>
      <c r="G14" s="332">
        <f>(((D14+E14)*B28)+(F14*$B$31))*C14</f>
        <v>0</v>
      </c>
    </row>
    <row r="15" spans="1:12">
      <c r="A15" s="364" t="s">
        <v>934</v>
      </c>
      <c r="B15" s="385">
        <f t="shared" si="0"/>
        <v>11859</v>
      </c>
      <c r="C15" s="393">
        <v>1</v>
      </c>
      <c r="D15" s="394">
        <v>0</v>
      </c>
      <c r="E15" s="394">
        <v>0</v>
      </c>
      <c r="F15" s="394">
        <v>0</v>
      </c>
      <c r="G15" s="332">
        <f>(((D15+E15)*B29)+(F15*$B$31))*C15</f>
        <v>0</v>
      </c>
    </row>
    <row r="16" spans="1:12">
      <c r="A16" s="365" t="s">
        <v>940</v>
      </c>
      <c r="B16" s="366"/>
      <c r="C16" s="366"/>
      <c r="D16" s="366"/>
      <c r="E16" s="366"/>
      <c r="F16" s="366"/>
      <c r="G16" s="367"/>
    </row>
    <row r="17" spans="1:7">
      <c r="A17" s="368"/>
      <c r="B17" s="362"/>
      <c r="C17" s="362"/>
      <c r="D17" s="362"/>
      <c r="E17" s="361"/>
      <c r="F17" s="363"/>
      <c r="G17" s="369"/>
    </row>
    <row r="18" spans="1:7">
      <c r="A18" s="368" t="s">
        <v>941</v>
      </c>
      <c r="B18" s="362"/>
      <c r="C18" s="362"/>
      <c r="D18" s="362"/>
      <c r="E18" s="362"/>
      <c r="F18" s="363"/>
      <c r="G18" s="369"/>
    </row>
    <row r="19" spans="1:7">
      <c r="A19" s="370" t="s">
        <v>942</v>
      </c>
      <c r="E19" s="362"/>
      <c r="F19" s="363"/>
      <c r="G19" s="390">
        <v>0</v>
      </c>
    </row>
    <row r="20" spans="1:7">
      <c r="A20" s="370" t="s">
        <v>943</v>
      </c>
      <c r="E20" s="362"/>
      <c r="F20" s="363"/>
      <c r="G20" s="390">
        <v>0</v>
      </c>
    </row>
    <row r="21" spans="1:7">
      <c r="A21" s="370"/>
      <c r="B21" s="362"/>
      <c r="C21" s="371"/>
      <c r="D21" s="362"/>
      <c r="E21" s="362"/>
      <c r="F21" s="363"/>
      <c r="G21" s="391"/>
    </row>
    <row r="22" spans="1:7">
      <c r="A22" s="372" t="s">
        <v>944</v>
      </c>
      <c r="B22" s="361"/>
      <c r="C22" s="373"/>
      <c r="D22" s="361"/>
      <c r="E22" s="361"/>
      <c r="F22" s="374"/>
      <c r="G22" s="392">
        <f>SUM(G11:G20)</f>
        <v>0</v>
      </c>
    </row>
    <row r="23" spans="1:7">
      <c r="A23" s="375"/>
      <c r="B23" s="376"/>
      <c r="C23" s="377"/>
      <c r="D23" s="376"/>
      <c r="E23" s="376"/>
      <c r="F23" s="378"/>
      <c r="G23" s="379"/>
    </row>
    <row r="24" spans="1:7">
      <c r="A24" s="371"/>
      <c r="B24" s="362"/>
      <c r="C24" s="371"/>
      <c r="D24" s="362"/>
      <c r="E24" s="362"/>
      <c r="F24" s="363"/>
      <c r="G24" s="363"/>
    </row>
    <row r="25" spans="1:7">
      <c r="A25" s="361" t="s">
        <v>945</v>
      </c>
      <c r="B25" s="362"/>
      <c r="C25" s="362"/>
      <c r="D25" s="362"/>
      <c r="E25" s="362"/>
      <c r="F25" s="363"/>
      <c r="G25" s="363"/>
    </row>
    <row r="26" spans="1:7">
      <c r="A26" s="362" t="s">
        <v>946</v>
      </c>
      <c r="B26" s="328">
        <v>0</v>
      </c>
      <c r="C26" s="362" t="s">
        <v>947</v>
      </c>
      <c r="D26" s="362"/>
      <c r="E26" s="362"/>
      <c r="F26" s="363"/>
      <c r="G26" s="363"/>
    </row>
    <row r="27" spans="1:7">
      <c r="A27" s="362" t="s">
        <v>948</v>
      </c>
      <c r="B27" s="328">
        <v>0</v>
      </c>
      <c r="C27" s="362" t="s">
        <v>947</v>
      </c>
      <c r="D27" s="362"/>
      <c r="E27" s="361"/>
      <c r="F27" s="363"/>
      <c r="G27" s="363"/>
    </row>
    <row r="28" spans="1:7">
      <c r="A28" s="362" t="s">
        <v>949</v>
      </c>
      <c r="B28" s="328">
        <v>0</v>
      </c>
      <c r="C28" s="362" t="s">
        <v>947</v>
      </c>
      <c r="D28" s="362"/>
      <c r="E28" s="361"/>
      <c r="F28" s="363"/>
      <c r="G28" s="363"/>
    </row>
    <row r="29" spans="1:7">
      <c r="A29" s="362" t="s">
        <v>950</v>
      </c>
      <c r="B29" s="328">
        <v>0</v>
      </c>
      <c r="C29" s="362" t="s">
        <v>947</v>
      </c>
      <c r="D29" s="362"/>
      <c r="E29" s="361"/>
      <c r="F29" s="363"/>
      <c r="G29" s="363"/>
    </row>
    <row r="30" spans="1:7">
      <c r="A30" s="362"/>
      <c r="B30" s="380"/>
      <c r="C30" s="362"/>
      <c r="D30" s="433" t="s">
        <v>951</v>
      </c>
      <c r="F30" s="363"/>
      <c r="G30" s="363"/>
    </row>
    <row r="31" spans="1:7" s="1" customFormat="1">
      <c r="A31" s="362" t="s">
        <v>952</v>
      </c>
      <c r="B31" s="328">
        <v>0</v>
      </c>
      <c r="C31" s="362" t="s">
        <v>953</v>
      </c>
      <c r="D31" s="434">
        <v>0</v>
      </c>
      <c r="F31" s="363"/>
      <c r="G31" s="432"/>
    </row>
    <row r="32" spans="1:7">
      <c r="A32" s="362"/>
      <c r="B32" s="380"/>
      <c r="C32" s="362"/>
      <c r="D32" s="362"/>
      <c r="E32" s="362"/>
      <c r="F32" s="363"/>
      <c r="G32" s="363"/>
    </row>
    <row r="33" spans="1:8">
      <c r="A33" s="373" t="s">
        <v>954</v>
      </c>
      <c r="B33" s="371"/>
      <c r="C33" s="371"/>
      <c r="D33" s="371"/>
      <c r="E33" s="371"/>
      <c r="F33" s="371"/>
      <c r="G33" s="371"/>
      <c r="H33" s="381"/>
    </row>
    <row r="34" spans="1:8" ht="26.4">
      <c r="A34" s="387" t="s">
        <v>955</v>
      </c>
      <c r="B34" s="387" t="s">
        <v>38</v>
      </c>
      <c r="C34" s="387" t="s">
        <v>39</v>
      </c>
      <c r="D34" s="383" t="s">
        <v>956</v>
      </c>
      <c r="E34" s="383" t="s">
        <v>958</v>
      </c>
      <c r="F34" s="388" t="s">
        <v>959</v>
      </c>
    </row>
    <row r="35" spans="1:8">
      <c r="A35" s="435">
        <v>201</v>
      </c>
      <c r="B35" s="436" t="str">
        <f>VLOOKUP(A35,'2-Uren per locatie'!$A$15:$C$74,2,FALSE)</f>
        <v>A.J. Ernsstraat</v>
      </c>
      <c r="C35" s="437" t="str">
        <f>VLOOKUP(A35,'2-Uren per locatie'!$A$15:$C$74,3,FALSE)</f>
        <v>Amstellijn</v>
      </c>
      <c r="D35" s="438">
        <v>507</v>
      </c>
      <c r="E35" s="440" t="s">
        <v>952</v>
      </c>
      <c r="F35" s="441"/>
    </row>
    <row r="36" spans="1:8">
      <c r="A36" s="435">
        <v>202</v>
      </c>
      <c r="B36" s="436" t="str">
        <f>VLOOKUP(A36,'2-Uren per locatie'!$A$15:$C$74,2,FALSE)</f>
        <v>Van Boshuizenstraat</v>
      </c>
      <c r="C36" s="437" t="str">
        <f>VLOOKUP(A36,'2-Uren per locatie'!$A$15:$C$74,3,FALSE)</f>
        <v>Amstellijn</v>
      </c>
      <c r="D36" s="438">
        <v>671</v>
      </c>
      <c r="E36" s="440" t="s">
        <v>952</v>
      </c>
      <c r="F36" s="441"/>
    </row>
    <row r="37" spans="1:8">
      <c r="A37" s="435">
        <v>203</v>
      </c>
      <c r="B37" s="436" t="str">
        <f>VLOOKUP(A37,'2-Uren per locatie'!$A$15:$C$74,2,FALSE)</f>
        <v>Uilenstede</v>
      </c>
      <c r="C37" s="437" t="str">
        <f>VLOOKUP(A37,'2-Uren per locatie'!$A$15:$C$74,3,FALSE)</f>
        <v>Amstellijn</v>
      </c>
      <c r="D37" s="438">
        <v>585</v>
      </c>
      <c r="E37" s="440" t="s">
        <v>952</v>
      </c>
      <c r="F37" s="441"/>
    </row>
    <row r="38" spans="1:8">
      <c r="A38" s="435">
        <v>204</v>
      </c>
      <c r="B38" s="436" t="str">
        <f>VLOOKUP(A38,'2-Uren per locatie'!$A$15:$C$74,2,FALSE)</f>
        <v>Kronenburg</v>
      </c>
      <c r="C38" s="437" t="str">
        <f>VLOOKUP(A38,'2-Uren per locatie'!$A$15:$C$74,3,FALSE)</f>
        <v>Amstellijn</v>
      </c>
      <c r="D38" s="438">
        <v>658</v>
      </c>
      <c r="E38" s="440" t="s">
        <v>952</v>
      </c>
      <c r="F38" s="441"/>
    </row>
    <row r="39" spans="1:8">
      <c r="A39" s="435">
        <v>205</v>
      </c>
      <c r="B39" s="436" t="str">
        <f>VLOOKUP(A39,'2-Uren per locatie'!$A$15:$C$74,2,FALSE)</f>
        <v>Zonnestein</v>
      </c>
      <c r="C39" s="437" t="str">
        <f>VLOOKUP(A39,'2-Uren per locatie'!$A$15:$C$74,3,FALSE)</f>
        <v>Amstellijn</v>
      </c>
      <c r="D39" s="438">
        <v>658</v>
      </c>
      <c r="E39" s="440" t="s">
        <v>952</v>
      </c>
      <c r="F39" s="441"/>
    </row>
    <row r="40" spans="1:8">
      <c r="A40" s="435">
        <v>206</v>
      </c>
      <c r="B40" s="436" t="str">
        <f>VLOOKUP(A40,'2-Uren per locatie'!$A$15:$C$74,2,FALSE)</f>
        <v>Onderuit</v>
      </c>
      <c r="C40" s="437" t="str">
        <f>VLOOKUP(A40,'2-Uren per locatie'!$A$15:$C$74,3,FALSE)</f>
        <v>Amstellijn</v>
      </c>
      <c r="D40" s="438">
        <v>526</v>
      </c>
      <c r="E40" s="440" t="s">
        <v>952</v>
      </c>
      <c r="F40" s="441"/>
    </row>
    <row r="41" spans="1:8">
      <c r="A41" s="435">
        <v>207</v>
      </c>
      <c r="B41" s="436" t="str">
        <f>VLOOKUP(A41,'2-Uren per locatie'!$A$15:$C$74,2,FALSE)</f>
        <v>Oranjebaan</v>
      </c>
      <c r="C41" s="437" t="str">
        <f>VLOOKUP(A41,'2-Uren per locatie'!$A$15:$C$74,3,FALSE)</f>
        <v>Amstellijn</v>
      </c>
      <c r="D41" s="438">
        <v>596</v>
      </c>
      <c r="E41" s="440" t="s">
        <v>952</v>
      </c>
      <c r="F41" s="441"/>
    </row>
    <row r="42" spans="1:8">
      <c r="A42" s="435">
        <v>208</v>
      </c>
      <c r="B42" s="436" t="str">
        <f>VLOOKUP(A42,'2-Uren per locatie'!$A$15:$C$74,2,FALSE)</f>
        <v>Stadshart</v>
      </c>
      <c r="C42" s="437" t="str">
        <f>VLOOKUP(A42,'2-Uren per locatie'!$A$15:$C$74,3,FALSE)</f>
        <v>Amstellijn</v>
      </c>
      <c r="D42" s="438">
        <v>609</v>
      </c>
      <c r="E42" s="440" t="s">
        <v>952</v>
      </c>
      <c r="F42" s="441"/>
    </row>
    <row r="43" spans="1:8">
      <c r="A43" s="435">
        <v>209</v>
      </c>
      <c r="B43" s="436" t="str">
        <f>VLOOKUP(A43,'2-Uren per locatie'!$A$15:$C$74,2,FALSE)</f>
        <v>Ouderkerkerlaan</v>
      </c>
      <c r="C43" s="437" t="str">
        <f>VLOOKUP(A43,'2-Uren per locatie'!$A$15:$C$74,3,FALSE)</f>
        <v>Amstellijn</v>
      </c>
      <c r="D43" s="438">
        <v>899</v>
      </c>
      <c r="E43" s="440" t="s">
        <v>952</v>
      </c>
      <c r="F43" s="441"/>
    </row>
    <row r="44" spans="1:8">
      <c r="A44" s="435">
        <v>210</v>
      </c>
      <c r="B44" s="436" t="str">
        <f>VLOOKUP(A44,'2-Uren per locatie'!$A$15:$C$74,2,FALSE)</f>
        <v>Sportlaan</v>
      </c>
      <c r="C44" s="437" t="str">
        <f>VLOOKUP(A44,'2-Uren per locatie'!$A$15:$C$74,3,FALSE)</f>
        <v>Amstellijn</v>
      </c>
      <c r="D44" s="438">
        <v>658</v>
      </c>
      <c r="E44" s="440" t="s">
        <v>952</v>
      </c>
      <c r="F44" s="441"/>
    </row>
    <row r="45" spans="1:8">
      <c r="A45" s="435">
        <v>211</v>
      </c>
      <c r="B45" s="436" t="str">
        <f>VLOOKUP(A45,'2-Uren per locatie'!$A$15:$C$74,2,FALSE)</f>
        <v>Meent</v>
      </c>
      <c r="C45" s="437" t="str">
        <f>VLOOKUP(A45,'2-Uren per locatie'!$A$15:$C$74,3,FALSE)</f>
        <v>Amstellijn</v>
      </c>
      <c r="D45" s="438">
        <v>394</v>
      </c>
      <c r="E45" s="440" t="s">
        <v>952</v>
      </c>
      <c r="F45" s="441"/>
    </row>
    <row r="46" spans="1:8">
      <c r="A46" s="435">
        <v>212</v>
      </c>
      <c r="B46" s="436" t="str">
        <f>VLOOKUP(A46,'2-Uren per locatie'!$A$15:$C$74,2,FALSE)</f>
        <v>Brink</v>
      </c>
      <c r="C46" s="437" t="str">
        <f>VLOOKUP(A46,'2-Uren per locatie'!$A$15:$C$74,3,FALSE)</f>
        <v>Amstellijn</v>
      </c>
      <c r="D46" s="438">
        <v>378</v>
      </c>
      <c r="E46" s="440" t="s">
        <v>952</v>
      </c>
      <c r="F46" s="441"/>
    </row>
    <row r="47" spans="1:8">
      <c r="A47" s="435">
        <v>213</v>
      </c>
      <c r="B47" s="436" t="str">
        <f>VLOOKUP(A47,'2-Uren per locatie'!$A$15:$C$74,2,FALSE)</f>
        <v>Poortwachter</v>
      </c>
      <c r="C47" s="437" t="str">
        <f>VLOOKUP(A47,'2-Uren per locatie'!$A$15:$C$74,3,FALSE)</f>
        <v>Amstellijn</v>
      </c>
      <c r="D47" s="438">
        <v>492</v>
      </c>
      <c r="E47" s="440" t="s">
        <v>952</v>
      </c>
      <c r="F47" s="441"/>
    </row>
    <row r="48" spans="1:8">
      <c r="A48" s="435">
        <v>214</v>
      </c>
      <c r="B48" s="436" t="str">
        <f>VLOOKUP(A48,'2-Uren per locatie'!$A$15:$C$74,2,FALSE)</f>
        <v>Sacharovlaan</v>
      </c>
      <c r="C48" s="437" t="str">
        <f>VLOOKUP(A48,'2-Uren per locatie'!$A$15:$C$74,3,FALSE)</f>
        <v>Amstellijn</v>
      </c>
      <c r="D48" s="438">
        <v>467</v>
      </c>
      <c r="E48" s="440" t="s">
        <v>952</v>
      </c>
      <c r="F48" s="441"/>
    </row>
    <row r="49" spans="1:6">
      <c r="A49" s="435">
        <v>215</v>
      </c>
      <c r="B49" s="436" t="str">
        <f>VLOOKUP(A49,'2-Uren per locatie'!$A$15:$C$74,2,FALSE)</f>
        <v>Westwijk</v>
      </c>
      <c r="C49" s="437" t="str">
        <f>VLOOKUP(A49,'2-Uren per locatie'!$A$15:$C$74,3,FALSE)</f>
        <v>Amstellijn</v>
      </c>
      <c r="D49" s="438">
        <v>510</v>
      </c>
      <c r="E49" s="440" t="s">
        <v>952</v>
      </c>
      <c r="F49" s="441"/>
    </row>
    <row r="50" spans="1:6">
      <c r="A50" s="425" t="s">
        <v>89</v>
      </c>
      <c r="B50" s="436" t="str">
        <f>VLOOKUP(A50,'2-Uren per locatie'!$A$15:$C$74,2,FALSE)</f>
        <v>Aan de Zoom</v>
      </c>
      <c r="C50" s="437" t="str">
        <f>VLOOKUP(A50,'2-Uren per locatie'!$A$15:$C$74,3,FALSE)</f>
        <v>Amstellijn</v>
      </c>
      <c r="D50" s="438">
        <v>348</v>
      </c>
      <c r="E50" s="440" t="s">
        <v>952</v>
      </c>
      <c r="F50" s="441"/>
    </row>
    <row r="51" spans="1:6">
      <c r="A51" s="425" t="s">
        <v>91</v>
      </c>
      <c r="B51" s="436" t="str">
        <f>VLOOKUP(A51,'2-Uren per locatie'!$A$15:$C$74,2,FALSE)</f>
        <v>Uithoorn Station</v>
      </c>
      <c r="C51" s="437" t="str">
        <f>VLOOKUP(A51,'2-Uren per locatie'!$A$15:$C$74,3,FALSE)</f>
        <v>Amstellijn</v>
      </c>
      <c r="D51" s="438">
        <v>360</v>
      </c>
      <c r="E51" s="440" t="s">
        <v>952</v>
      </c>
      <c r="F51" s="441"/>
    </row>
    <row r="52" spans="1:6">
      <c r="A52" s="425" t="s">
        <v>93</v>
      </c>
      <c r="B52" s="436" t="str">
        <f>VLOOKUP(A52,'2-Uren per locatie'!$A$15:$C$74,2,FALSE)</f>
        <v>Uithoorn Centrum</v>
      </c>
      <c r="C52" s="437" t="str">
        <f>VLOOKUP(A52,'2-Uren per locatie'!$A$15:$C$74,3,FALSE)</f>
        <v>Amstellijn</v>
      </c>
      <c r="D52" s="438">
        <v>364</v>
      </c>
      <c r="E52" s="440" t="s">
        <v>952</v>
      </c>
      <c r="F52" s="441"/>
    </row>
    <row r="53" spans="1:6">
      <c r="A53" s="435">
        <v>1001</v>
      </c>
      <c r="B53" s="436" t="str">
        <f>VLOOKUP(A53,'2-Uren per locatie'!$A$15:$C$74,2,FALSE)</f>
        <v>Bim Huis</v>
      </c>
      <c r="C53" s="437" t="str">
        <f>VLOOKUP(A53,'2-Uren per locatie'!$A$15:$C$74,3,FALSE)</f>
        <v>Ijtram</v>
      </c>
      <c r="D53" s="438">
        <v>420</v>
      </c>
      <c r="E53" s="440" t="s">
        <v>952</v>
      </c>
      <c r="F53" s="441"/>
    </row>
    <row r="54" spans="1:6">
      <c r="A54" s="435">
        <v>1002</v>
      </c>
      <c r="B54" s="436" t="str">
        <f>VLOOKUP(A54,'2-Uren per locatie'!$A$15:$C$74,2,FALSE)</f>
        <v>Rietlandpark</v>
      </c>
      <c r="C54" s="437" t="str">
        <f>VLOOKUP(A54,'2-Uren per locatie'!$A$15:$C$74,3,FALSE)</f>
        <v>Ijtram</v>
      </c>
      <c r="D54" s="438">
        <v>1759</v>
      </c>
      <c r="E54" s="440" t="s">
        <v>952</v>
      </c>
      <c r="F54" s="441"/>
    </row>
    <row r="55" spans="1:6">
      <c r="D55" s="78"/>
    </row>
    <row r="56" spans="1:6">
      <c r="A56" s="18" t="s">
        <v>963</v>
      </c>
      <c r="B56" s="32"/>
      <c r="C56" s="19"/>
      <c r="D56" s="389">
        <f>SUM(D35:D55)</f>
        <v>11859</v>
      </c>
    </row>
  </sheetData>
  <autoFilter ref="A34:P54" xr:uid="{A97A8086-2078-49E6-9D7A-71EB42CDFE02}"/>
  <pageMargins left="0.7" right="0.7" top="0.75" bottom="0.75" header="0.3" footer="0.3"/>
  <pageSetup paperSize="9" scale="64" orientation="portrait" r:id="rId1"/>
  <rowBreaks count="1" manualBreakCount="1">
    <brk id="3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E70"/>
  <sheetViews>
    <sheetView showGridLines="0" zoomScale="80" zoomScaleNormal="80" workbookViewId="0">
      <pane ySplit="9" topLeftCell="A35" activePane="bottomLeft" state="frozen"/>
      <selection activeCell="A3" sqref="A3:B8"/>
      <selection pane="bottomLeft" activeCell="B29" sqref="B29"/>
    </sheetView>
  </sheetViews>
  <sheetFormatPr defaultColWidth="11.44140625" defaultRowHeight="13.2"/>
  <cols>
    <col min="1" max="1" width="48" style="41" customWidth="1"/>
    <col min="2" max="2" width="26" style="41" customWidth="1"/>
    <col min="3" max="3" width="20.6640625" style="41" customWidth="1"/>
    <col min="4" max="4" width="20.44140625" style="41" customWidth="1"/>
    <col min="5" max="5" width="17.5546875" style="41" customWidth="1"/>
    <col min="6" max="6" width="13" style="41" customWidth="1"/>
    <col min="7" max="16384" width="11.44140625" style="41"/>
  </cols>
  <sheetData>
    <row r="1" spans="1:4">
      <c r="A1" s="412" t="s">
        <v>0</v>
      </c>
    </row>
    <row r="3" spans="1:4" ht="15.6">
      <c r="A3" s="229" t="str">
        <f>'1-Totaal inschrijfbedrag'!A3</f>
        <v>Naam opdrachtgever</v>
      </c>
      <c r="B3" s="310" t="str">
        <f>'1-Totaal inschrijfbedrag'!B3</f>
        <v>GVB operatie Metro</v>
      </c>
    </row>
    <row r="4" spans="1:4" ht="15.6">
      <c r="A4" s="229" t="str">
        <f>'1-Totaal inschrijfbedrag'!A4</f>
        <v>Calculatie onderdeel</v>
      </c>
      <c r="B4" s="310" t="str">
        <f ca="1">MID(CELL("bestandsnaam",$C$8),SEARCH("]",CELL("bestandsnaam",$C$8),1)+1,256)</f>
        <v>8- Afroepprijs</v>
      </c>
    </row>
    <row r="5" spans="1:4" ht="15.6">
      <c r="A5" s="229" t="str">
        <f>'1-Totaal inschrijfbedrag'!A5</f>
        <v>Gebouw/plaats</v>
      </c>
      <c r="B5" s="184" t="s">
        <v>964</v>
      </c>
      <c r="C5" s="312"/>
      <c r="D5" s="312"/>
    </row>
    <row r="6" spans="1:4" ht="15.6">
      <c r="A6" s="229" t="str">
        <f>'1-Totaal inschrijfbedrag'!A6</f>
        <v>Referentienummer</v>
      </c>
      <c r="B6" s="396" t="str">
        <f>'1-Totaal inschrijfbedrag'!B6</f>
        <v>2024-62</v>
      </c>
      <c r="C6" s="314"/>
      <c r="D6" s="397"/>
    </row>
    <row r="7" spans="1:4" ht="15.6">
      <c r="A7" s="229" t="str">
        <f>'1-Totaal inschrijfbedrag'!A7</f>
        <v>Naam dienstverlener</v>
      </c>
      <c r="B7" s="184">
        <f>'1-Totaal inschrijfbedrag'!B7:D7</f>
        <v>0</v>
      </c>
      <c r="C7" s="314"/>
      <c r="D7" s="397"/>
    </row>
    <row r="8" spans="1:4" ht="15.6">
      <c r="A8" s="229" t="str">
        <f>'1-Totaal inschrijfbedrag'!A8</f>
        <v>Prijspeil</v>
      </c>
      <c r="B8" s="228" t="str">
        <f>'1-Totaal inschrijfbedrag'!B8</f>
        <v>1 juli 2025</v>
      </c>
      <c r="C8" s="314"/>
      <c r="D8" s="397"/>
    </row>
    <row r="9" spans="1:4" ht="15.6">
      <c r="A9" s="229" t="str">
        <f>'1-Totaal inschrijfbedrag'!A9</f>
        <v>Perceel deel</v>
      </c>
      <c r="B9" s="184" t="str">
        <f>'1-Totaal inschrijfbedrag'!B9</f>
        <v>Comfort schoonmaak</v>
      </c>
      <c r="C9" s="314"/>
      <c r="D9" s="397"/>
    </row>
    <row r="10" spans="1:4" ht="15.6">
      <c r="A10" s="229"/>
      <c r="B10" s="398"/>
      <c r="C10" s="314"/>
      <c r="D10" s="397"/>
    </row>
    <row r="11" spans="1:4" ht="34.200000000000003" customHeight="1">
      <c r="A11" s="545" t="s">
        <v>965</v>
      </c>
      <c r="B11" s="546"/>
      <c r="C11" s="546"/>
      <c r="D11" s="547"/>
    </row>
    <row r="13" spans="1:4">
      <c r="A13" s="399"/>
      <c r="B13" s="400"/>
      <c r="C13" s="543" t="s">
        <v>966</v>
      </c>
      <c r="D13" s="544"/>
    </row>
    <row r="14" spans="1:4">
      <c r="A14" s="282" t="s">
        <v>877</v>
      </c>
      <c r="B14" s="282" t="s">
        <v>967</v>
      </c>
      <c r="C14" s="304" t="s">
        <v>968</v>
      </c>
      <c r="D14" s="304" t="s">
        <v>969</v>
      </c>
    </row>
    <row r="15" spans="1:4">
      <c r="A15" s="401" t="s">
        <v>970</v>
      </c>
      <c r="B15" s="401" t="s">
        <v>971</v>
      </c>
      <c r="C15" s="328">
        <v>0</v>
      </c>
      <c r="D15" s="328">
        <v>0</v>
      </c>
    </row>
    <row r="16" spans="1:4">
      <c r="A16" s="401" t="s">
        <v>972</v>
      </c>
      <c r="B16" s="401" t="s">
        <v>973</v>
      </c>
      <c r="C16" s="328">
        <v>0</v>
      </c>
      <c r="D16" s="328">
        <v>0</v>
      </c>
    </row>
    <row r="17" spans="1:5">
      <c r="A17" s="402" t="s">
        <v>974</v>
      </c>
      <c r="B17" s="401"/>
      <c r="C17" s="328">
        <v>0</v>
      </c>
      <c r="D17" s="328">
        <v>0</v>
      </c>
    </row>
    <row r="18" spans="1:5">
      <c r="A18" s="402" t="s">
        <v>975</v>
      </c>
      <c r="B18" s="401"/>
      <c r="C18" s="328">
        <v>0</v>
      </c>
      <c r="D18" s="328">
        <v>0</v>
      </c>
    </row>
    <row r="19" spans="1:5">
      <c r="A19" s="403"/>
      <c r="B19" s="404"/>
      <c r="C19" s="404"/>
      <c r="D19" s="404"/>
    </row>
    <row r="20" spans="1:5">
      <c r="A20" s="282" t="s">
        <v>877</v>
      </c>
      <c r="B20" s="414" t="s">
        <v>976</v>
      </c>
      <c r="C20" s="414" t="s">
        <v>977</v>
      </c>
      <c r="D20" s="414" t="s">
        <v>978</v>
      </c>
      <c r="E20" s="404"/>
    </row>
    <row r="21" spans="1:5" ht="26.4">
      <c r="A21" s="405" t="s">
        <v>979</v>
      </c>
      <c r="B21" s="406" t="s">
        <v>56</v>
      </c>
      <c r="C21" s="527" t="s">
        <v>21</v>
      </c>
      <c r="D21" s="413">
        <v>0</v>
      </c>
    </row>
    <row r="22" spans="1:5">
      <c r="A22" s="407"/>
      <c r="B22" s="403"/>
      <c r="C22" s="403"/>
      <c r="D22" s="403"/>
      <c r="E22" s="404"/>
    </row>
    <row r="23" spans="1:5" ht="26.4">
      <c r="A23" s="415" t="s">
        <v>980</v>
      </c>
      <c r="B23" s="415" t="s">
        <v>977</v>
      </c>
      <c r="C23" s="304" t="s">
        <v>981</v>
      </c>
      <c r="D23" s="416" t="s">
        <v>982</v>
      </c>
    </row>
    <row r="24" spans="1:5">
      <c r="A24" s="401" t="s">
        <v>983</v>
      </c>
      <c r="B24" s="408" t="s">
        <v>984</v>
      </c>
      <c r="C24" s="408" t="s">
        <v>985</v>
      </c>
      <c r="D24" s="328">
        <v>0</v>
      </c>
      <c r="E24" s="404"/>
    </row>
    <row r="25" spans="1:5">
      <c r="A25" s="401" t="s">
        <v>983</v>
      </c>
      <c r="B25" s="408" t="s">
        <v>986</v>
      </c>
      <c r="C25" s="408" t="s">
        <v>985</v>
      </c>
      <c r="D25" s="328">
        <v>0</v>
      </c>
      <c r="E25" s="409"/>
    </row>
    <row r="26" spans="1:5">
      <c r="A26" s="401" t="s">
        <v>983</v>
      </c>
      <c r="B26" s="408" t="s">
        <v>21</v>
      </c>
      <c r="C26" s="408" t="s">
        <v>987</v>
      </c>
      <c r="D26" s="328">
        <v>0</v>
      </c>
      <c r="E26" s="409"/>
    </row>
    <row r="27" spans="1:5">
      <c r="A27" s="401" t="s">
        <v>983</v>
      </c>
      <c r="B27" s="408" t="s">
        <v>988</v>
      </c>
      <c r="C27" s="408" t="s">
        <v>989</v>
      </c>
      <c r="D27" s="328">
        <v>0</v>
      </c>
      <c r="E27" s="409"/>
    </row>
    <row r="28" spans="1:5">
      <c r="A28" s="401" t="s">
        <v>983</v>
      </c>
      <c r="B28" s="408" t="s">
        <v>990</v>
      </c>
      <c r="C28" s="408" t="s">
        <v>989</v>
      </c>
      <c r="D28" s="328">
        <v>0</v>
      </c>
      <c r="E28" s="409"/>
    </row>
    <row r="29" spans="1:5">
      <c r="A29" s="401" t="s">
        <v>983</v>
      </c>
      <c r="B29" s="408" t="s">
        <v>991</v>
      </c>
      <c r="C29" s="408" t="s">
        <v>992</v>
      </c>
      <c r="D29" s="328">
        <v>0</v>
      </c>
      <c r="E29" s="409"/>
    </row>
    <row r="30" spans="1:5">
      <c r="A30" s="401" t="s">
        <v>983</v>
      </c>
      <c r="B30" s="408" t="s">
        <v>993</v>
      </c>
      <c r="C30" s="408" t="s">
        <v>992</v>
      </c>
      <c r="D30" s="328">
        <v>0</v>
      </c>
      <c r="E30" s="409"/>
    </row>
    <row r="31" spans="1:5">
      <c r="A31" s="401" t="s">
        <v>983</v>
      </c>
      <c r="B31" s="408" t="s">
        <v>994</v>
      </c>
      <c r="C31" s="408" t="s">
        <v>992</v>
      </c>
      <c r="D31" s="328">
        <v>0</v>
      </c>
      <c r="E31" s="409"/>
    </row>
    <row r="32" spans="1:5">
      <c r="A32" s="401" t="s">
        <v>995</v>
      </c>
      <c r="B32" s="408" t="s">
        <v>984</v>
      </c>
      <c r="C32" s="408" t="s">
        <v>985</v>
      </c>
      <c r="D32" s="328">
        <v>0</v>
      </c>
      <c r="E32" s="409"/>
    </row>
    <row r="33" spans="1:5">
      <c r="A33" s="401" t="s">
        <v>995</v>
      </c>
      <c r="B33" s="408" t="s">
        <v>986</v>
      </c>
      <c r="C33" s="408" t="s">
        <v>985</v>
      </c>
      <c r="D33" s="328">
        <v>0</v>
      </c>
      <c r="E33" s="409"/>
    </row>
    <row r="34" spans="1:5">
      <c r="A34" s="401" t="s">
        <v>995</v>
      </c>
      <c r="B34" s="408" t="s">
        <v>21</v>
      </c>
      <c r="C34" s="408" t="s">
        <v>987</v>
      </c>
      <c r="D34" s="328">
        <v>0</v>
      </c>
      <c r="E34" s="409"/>
    </row>
    <row r="35" spans="1:5">
      <c r="A35" s="401" t="s">
        <v>995</v>
      </c>
      <c r="B35" s="408" t="s">
        <v>988</v>
      </c>
      <c r="C35" s="408" t="s">
        <v>989</v>
      </c>
      <c r="D35" s="328">
        <v>0</v>
      </c>
      <c r="E35" s="409"/>
    </row>
    <row r="36" spans="1:5">
      <c r="A36" s="401" t="s">
        <v>995</v>
      </c>
      <c r="B36" s="408" t="s">
        <v>990</v>
      </c>
      <c r="C36" s="408" t="s">
        <v>989</v>
      </c>
      <c r="D36" s="328">
        <v>0</v>
      </c>
      <c r="E36" s="409"/>
    </row>
    <row r="37" spans="1:5">
      <c r="A37" s="401" t="s">
        <v>995</v>
      </c>
      <c r="B37" s="408" t="s">
        <v>991</v>
      </c>
      <c r="C37" s="408" t="s">
        <v>992</v>
      </c>
      <c r="D37" s="328">
        <v>0</v>
      </c>
      <c r="E37" s="409"/>
    </row>
    <row r="38" spans="1:5">
      <c r="A38" s="401" t="s">
        <v>995</v>
      </c>
      <c r="B38" s="408" t="s">
        <v>993</v>
      </c>
      <c r="C38" s="408" t="s">
        <v>992</v>
      </c>
      <c r="D38" s="328">
        <v>0</v>
      </c>
      <c r="E38" s="409"/>
    </row>
    <row r="39" spans="1:5">
      <c r="A39" s="401" t="s">
        <v>995</v>
      </c>
      <c r="B39" s="408" t="s">
        <v>994</v>
      </c>
      <c r="C39" s="408" t="s">
        <v>992</v>
      </c>
      <c r="D39" s="328">
        <v>0</v>
      </c>
      <c r="E39" s="409"/>
    </row>
    <row r="40" spans="1:5">
      <c r="A40" s="401" t="s">
        <v>996</v>
      </c>
      <c r="B40" s="408" t="s">
        <v>984</v>
      </c>
      <c r="C40" s="408" t="s">
        <v>985</v>
      </c>
      <c r="D40" s="328">
        <v>0</v>
      </c>
      <c r="E40" s="409"/>
    </row>
    <row r="41" spans="1:5">
      <c r="A41" s="401" t="s">
        <v>996</v>
      </c>
      <c r="B41" s="408" t="s">
        <v>986</v>
      </c>
      <c r="C41" s="408" t="s">
        <v>985</v>
      </c>
      <c r="D41" s="328">
        <v>0</v>
      </c>
      <c r="E41" s="409"/>
    </row>
    <row r="42" spans="1:5">
      <c r="A42" s="401" t="s">
        <v>996</v>
      </c>
      <c r="B42" s="408" t="s">
        <v>21</v>
      </c>
      <c r="C42" s="408" t="s">
        <v>987</v>
      </c>
      <c r="D42" s="328">
        <v>0</v>
      </c>
      <c r="E42" s="409"/>
    </row>
    <row r="43" spans="1:5">
      <c r="A43" s="401" t="s">
        <v>996</v>
      </c>
      <c r="B43" s="408" t="s">
        <v>988</v>
      </c>
      <c r="C43" s="408" t="s">
        <v>989</v>
      </c>
      <c r="D43" s="328">
        <v>0</v>
      </c>
      <c r="E43" s="409"/>
    </row>
    <row r="44" spans="1:5">
      <c r="A44" s="401" t="s">
        <v>996</v>
      </c>
      <c r="B44" s="408" t="s">
        <v>990</v>
      </c>
      <c r="C44" s="408" t="s">
        <v>989</v>
      </c>
      <c r="D44" s="328">
        <v>0</v>
      </c>
      <c r="E44" s="409"/>
    </row>
    <row r="45" spans="1:5">
      <c r="A45" s="401" t="s">
        <v>996</v>
      </c>
      <c r="B45" s="408" t="s">
        <v>991</v>
      </c>
      <c r="C45" s="408" t="s">
        <v>992</v>
      </c>
      <c r="D45" s="328">
        <v>0</v>
      </c>
      <c r="E45" s="409"/>
    </row>
    <row r="46" spans="1:5">
      <c r="A46" s="401" t="s">
        <v>996</v>
      </c>
      <c r="B46" s="408" t="s">
        <v>993</v>
      </c>
      <c r="C46" s="408" t="s">
        <v>992</v>
      </c>
      <c r="D46" s="328">
        <v>0</v>
      </c>
      <c r="E46" s="409"/>
    </row>
    <row r="47" spans="1:5">
      <c r="A47" s="401" t="s">
        <v>996</v>
      </c>
      <c r="B47" s="408" t="s">
        <v>994</v>
      </c>
      <c r="C47" s="408" t="s">
        <v>992</v>
      </c>
      <c r="D47" s="328">
        <v>0</v>
      </c>
      <c r="E47" s="409"/>
    </row>
    <row r="48" spans="1:5">
      <c r="A48" s="404"/>
      <c r="B48" s="195"/>
      <c r="C48" s="195"/>
      <c r="D48" s="195"/>
      <c r="E48" s="195"/>
    </row>
    <row r="49" spans="1:5" ht="15.6">
      <c r="A49" s="548" t="s">
        <v>997</v>
      </c>
      <c r="B49" s="549"/>
      <c r="C49" s="549"/>
      <c r="D49" s="549"/>
      <c r="E49" s="550"/>
    </row>
    <row r="50" spans="1:5">
      <c r="A50" s="515"/>
      <c r="B50" s="515"/>
      <c r="C50" s="515"/>
      <c r="D50" s="515"/>
      <c r="E50" s="515"/>
    </row>
    <row r="51" spans="1:5" ht="15.6">
      <c r="A51" s="516" t="s">
        <v>966</v>
      </c>
      <c r="B51" s="517"/>
      <c r="C51" s="517"/>
      <c r="D51" s="517"/>
      <c r="E51" s="518"/>
    </row>
    <row r="52" spans="1:5">
      <c r="A52" s="519" t="s">
        <v>998</v>
      </c>
      <c r="B52" s="523">
        <v>250</v>
      </c>
      <c r="C52" s="523">
        <v>250</v>
      </c>
      <c r="D52" s="523">
        <v>500</v>
      </c>
      <c r="E52" s="523">
        <v>500</v>
      </c>
    </row>
    <row r="53" spans="1:5">
      <c r="A53" s="414" t="s">
        <v>999</v>
      </c>
      <c r="B53" s="520" t="s">
        <v>1000</v>
      </c>
      <c r="C53" s="520" t="s">
        <v>1001</v>
      </c>
      <c r="D53" s="520" t="s">
        <v>1002</v>
      </c>
      <c r="E53" s="520" t="s">
        <v>1003</v>
      </c>
    </row>
    <row r="54" spans="1:5">
      <c r="A54" s="521" t="s">
        <v>1004</v>
      </c>
      <c r="B54" s="522"/>
      <c r="C54" s="522"/>
      <c r="D54" s="522"/>
      <c r="E54" s="522"/>
    </row>
    <row r="55" spans="1:5">
      <c r="A55" s="521" t="s">
        <v>1005</v>
      </c>
      <c r="B55" s="522"/>
      <c r="C55" s="522"/>
      <c r="D55" s="522"/>
      <c r="E55" s="522"/>
    </row>
    <row r="56" spans="1:5">
      <c r="A56" s="521" t="s">
        <v>1006</v>
      </c>
      <c r="B56" s="522"/>
      <c r="C56" s="522"/>
      <c r="D56" s="522"/>
      <c r="E56" s="522"/>
    </row>
    <row r="57" spans="1:5">
      <c r="A57" s="521" t="s">
        <v>1007</v>
      </c>
      <c r="B57" s="522"/>
      <c r="C57" s="522"/>
      <c r="D57" s="522"/>
      <c r="E57" s="522"/>
    </row>
    <row r="58" spans="1:5">
      <c r="A58" s="521" t="s">
        <v>1008</v>
      </c>
      <c r="B58" s="522"/>
      <c r="C58" s="522"/>
      <c r="D58" s="522"/>
      <c r="E58" s="522"/>
    </row>
    <row r="59" spans="1:5">
      <c r="A59" s="521" t="s">
        <v>1009</v>
      </c>
      <c r="B59" s="522"/>
      <c r="C59" s="522"/>
      <c r="D59" s="522"/>
      <c r="E59" s="522"/>
    </row>
    <row r="60" spans="1:5">
      <c r="A60" s="521" t="s">
        <v>1010</v>
      </c>
      <c r="B60" s="522"/>
      <c r="C60" s="522"/>
      <c r="D60" s="522"/>
      <c r="E60" s="522"/>
    </row>
    <row r="61" spans="1:5">
      <c r="A61" s="521" t="s">
        <v>1011</v>
      </c>
      <c r="B61" s="522"/>
      <c r="C61" s="522"/>
      <c r="D61" s="522"/>
      <c r="E61" s="522"/>
    </row>
    <row r="62" spans="1:5">
      <c r="A62" s="404"/>
      <c r="B62" s="195"/>
      <c r="C62" s="195"/>
      <c r="D62" s="195"/>
      <c r="E62" s="195"/>
    </row>
    <row r="63" spans="1:5" ht="31.2" customHeight="1">
      <c r="A63" s="551" t="s">
        <v>1012</v>
      </c>
      <c r="B63" s="551"/>
      <c r="C63" s="551"/>
      <c r="D63" s="551"/>
      <c r="E63" s="551"/>
    </row>
    <row r="64" spans="1:5">
      <c r="A64" s="407"/>
      <c r="B64" s="403"/>
      <c r="C64" s="403"/>
      <c r="D64" s="407"/>
    </row>
    <row r="65" spans="1:4" ht="15.6">
      <c r="A65" s="410" t="s">
        <v>1013</v>
      </c>
      <c r="B65" s="306"/>
      <c r="C65" s="306"/>
      <c r="D65" s="404"/>
    </row>
    <row r="66" spans="1:4">
      <c r="A66" s="404" t="s">
        <v>1014</v>
      </c>
      <c r="B66" s="306"/>
      <c r="C66" s="306"/>
      <c r="D66" s="404"/>
    </row>
    <row r="67" spans="1:4">
      <c r="A67" s="404" t="s">
        <v>1015</v>
      </c>
      <c r="B67" s="306"/>
      <c r="C67" s="306"/>
      <c r="D67" s="404"/>
    </row>
    <row r="68" spans="1:4">
      <c r="A68" s="404"/>
      <c r="B68" s="306"/>
      <c r="C68" s="306"/>
      <c r="D68" s="404"/>
    </row>
    <row r="69" spans="1:4">
      <c r="B69" s="306"/>
      <c r="C69" s="306"/>
      <c r="D69" s="411"/>
    </row>
    <row r="70" spans="1:4">
      <c r="A70" s="306"/>
      <c r="B70" s="306"/>
      <c r="C70" s="306"/>
      <c r="D70" s="306"/>
    </row>
  </sheetData>
  <mergeCells count="4">
    <mergeCell ref="C13:D13"/>
    <mergeCell ref="A11:D11"/>
    <mergeCell ref="A49:E49"/>
    <mergeCell ref="A63:E63"/>
  </mergeCells>
  <pageMargins left="0.7" right="0.7" top="0.75" bottom="0.75" header="0.3" footer="0.3"/>
  <pageSetup paperSize="9" scale="6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64FC8-3F54-4A3E-9733-D5F80D16A135}">
  <sheetPr>
    <tabColor theme="0" tint="-4.9989318521683403E-2"/>
  </sheetPr>
  <dimension ref="A1:E55"/>
  <sheetViews>
    <sheetView showGridLines="0" showZeros="0" showOutlineSymbols="0" zoomScaleNormal="100" zoomScaleSheetLayoutView="100" workbookViewId="0">
      <pane ySplit="9" topLeftCell="A10" activePane="bottomLeft" state="frozen"/>
      <selection pane="bottomLeft" activeCell="B1" sqref="B1"/>
    </sheetView>
  </sheetViews>
  <sheetFormatPr defaultColWidth="9.33203125" defaultRowHeight="13.2"/>
  <cols>
    <col min="1" max="1" width="34.88671875" style="41" customWidth="1"/>
    <col min="2" max="2" width="25.5546875" style="41" customWidth="1"/>
    <col min="3" max="3" width="18.44140625" style="41" customWidth="1"/>
    <col min="4" max="4" width="10.6640625" style="1" customWidth="1"/>
    <col min="5" max="5" width="11.109375" style="1" customWidth="1"/>
    <col min="6" max="6" width="2.109375" style="1" customWidth="1"/>
    <col min="7" max="7" width="7.88671875" style="1" customWidth="1"/>
    <col min="8" max="8" width="27" style="1" bestFit="1" customWidth="1"/>
    <col min="9" max="16384" width="9.33203125" style="1"/>
  </cols>
  <sheetData>
    <row r="1" spans="1:5">
      <c r="A1" s="97" t="s">
        <v>0</v>
      </c>
      <c r="B1" s="98"/>
      <c r="C1" s="99"/>
      <c r="D1" s="100"/>
      <c r="E1" s="100"/>
    </row>
    <row r="2" spans="1:5">
      <c r="A2" s="99"/>
      <c r="B2" s="99"/>
      <c r="C2" s="99"/>
      <c r="D2" s="100"/>
      <c r="E2" s="100"/>
    </row>
    <row r="3" spans="1:5" ht="15.6">
      <c r="A3" s="6" t="str">
        <f>'1-Totaal inschrijfbedrag'!A3</f>
        <v>Naam opdrachtgever</v>
      </c>
      <c r="B3" s="4" t="str">
        <f>'1-Totaal inschrijfbedrag'!B3</f>
        <v>GVB operatie Metro</v>
      </c>
      <c r="C3" s="99"/>
      <c r="D3" s="100"/>
      <c r="E3" s="101"/>
    </row>
    <row r="4" spans="1:5" ht="15.6">
      <c r="A4" s="6" t="str">
        <f>'1-Totaal inschrijfbedrag'!A4</f>
        <v>Calculatie onderdeel</v>
      </c>
      <c r="B4" s="44" t="str">
        <f ca="1">MID(CELL("bestandsnaam",$D$10),SEARCH("]",CELL("bestandsnaam",$D$10),1)+1,256)</f>
        <v>9-Premies en opslagen</v>
      </c>
      <c r="C4" s="5"/>
      <c r="D4" s="100"/>
      <c r="E4" s="101"/>
    </row>
    <row r="5" spans="1:5" ht="15.6">
      <c r="A5" s="6" t="str">
        <f>'1-Totaal inschrijfbedrag'!A5</f>
        <v>Gebouw/plaats</v>
      </c>
      <c r="B5" s="4" t="str">
        <f>'1-Totaal inschrijfbedrag'!B5</f>
        <v>Amsterdam</v>
      </c>
      <c r="C5" s="6"/>
      <c r="D5" s="100"/>
      <c r="E5" s="101"/>
    </row>
    <row r="6" spans="1:5" ht="15.6">
      <c r="A6" s="6" t="str">
        <f>'1-Totaal inschrijfbedrag'!A6</f>
        <v>Referentienummer</v>
      </c>
      <c r="B6" s="4" t="str">
        <f>'1-Totaal inschrijfbedrag'!B6</f>
        <v>2024-62</v>
      </c>
      <c r="C6" s="8"/>
      <c r="D6" s="7"/>
      <c r="E6" s="103"/>
    </row>
    <row r="7" spans="1:5" ht="15.6">
      <c r="A7" s="6" t="str">
        <f>'1-Totaal inschrijfbedrag'!A7</f>
        <v>Naam dienstverlener</v>
      </c>
      <c r="B7" s="4">
        <f>'1-Totaal inschrijfbedrag'!B7</f>
        <v>0</v>
      </c>
      <c r="C7" s="8"/>
      <c r="D7" s="7"/>
      <c r="E7" s="102"/>
    </row>
    <row r="8" spans="1:5" ht="15.6">
      <c r="A8" s="6" t="str">
        <f>'1-Totaal inschrijfbedrag'!A8</f>
        <v>Prijspeil</v>
      </c>
      <c r="B8" s="2" t="str">
        <f>'1-Totaal inschrijfbedrag'!B8</f>
        <v>1 juli 2025</v>
      </c>
      <c r="C8" s="105"/>
      <c r="D8" s="102"/>
      <c r="E8" s="102"/>
    </row>
    <row r="9" spans="1:5" ht="18.600000000000001">
      <c r="A9" s="106"/>
      <c r="B9" s="105"/>
      <c r="C9" s="105"/>
      <c r="D9" s="102"/>
      <c r="E9" s="102"/>
    </row>
    <row r="10" spans="1:5" ht="21">
      <c r="A10" s="107" t="s">
        <v>1016</v>
      </c>
      <c r="B10" s="9"/>
      <c r="C10" s="10"/>
      <c r="D10" s="102"/>
      <c r="E10" s="102"/>
    </row>
    <row r="11" spans="1:5">
      <c r="A11" s="11"/>
      <c r="B11" s="12"/>
      <c r="C11" s="12"/>
      <c r="D11" s="102"/>
      <c r="E11" s="102"/>
    </row>
    <row r="12" spans="1:5">
      <c r="A12" s="13"/>
      <c r="B12" s="14"/>
      <c r="C12" s="15" t="s">
        <v>1017</v>
      </c>
      <c r="D12" s="102"/>
      <c r="E12" s="102"/>
    </row>
    <row r="13" spans="1:5">
      <c r="A13" s="16" t="s">
        <v>1018</v>
      </c>
      <c r="B13" s="14"/>
      <c r="C13" s="17">
        <v>0</v>
      </c>
      <c r="D13" s="102"/>
      <c r="E13" s="102"/>
    </row>
    <row r="14" spans="1:5">
      <c r="A14" s="16" t="s">
        <v>1019</v>
      </c>
      <c r="B14" s="14"/>
      <c r="C14" s="17">
        <v>0</v>
      </c>
      <c r="D14" s="102"/>
      <c r="E14" s="102"/>
    </row>
    <row r="15" spans="1:5">
      <c r="A15" s="16" t="s">
        <v>1020</v>
      </c>
      <c r="B15" s="14"/>
      <c r="C15" s="17">
        <v>0</v>
      </c>
      <c r="D15" s="102"/>
      <c r="E15" s="102"/>
    </row>
    <row r="16" spans="1:5">
      <c r="A16" s="18" t="s">
        <v>26</v>
      </c>
      <c r="B16" s="19"/>
      <c r="C16" s="20">
        <f>SUM(C13:C15)</f>
        <v>0</v>
      </c>
      <c r="D16" s="102"/>
      <c r="E16" s="102"/>
    </row>
    <row r="17" spans="1:5">
      <c r="A17" s="18"/>
      <c r="B17" s="19"/>
      <c r="C17" s="20"/>
      <c r="D17" s="102"/>
      <c r="E17" s="102"/>
    </row>
    <row r="18" spans="1:5">
      <c r="A18" s="555" t="s">
        <v>1021</v>
      </c>
      <c r="B18" s="556"/>
      <c r="C18" s="17">
        <v>0</v>
      </c>
      <c r="D18" s="102"/>
      <c r="E18" s="102"/>
    </row>
    <row r="19" spans="1:5">
      <c r="A19" s="16" t="s">
        <v>1022</v>
      </c>
      <c r="B19" s="21"/>
      <c r="C19" s="17">
        <v>0</v>
      </c>
      <c r="D19" s="102"/>
      <c r="E19" s="102"/>
    </row>
    <row r="20" spans="1:5">
      <c r="A20" s="555" t="s">
        <v>1023</v>
      </c>
      <c r="B20" s="556"/>
      <c r="C20" s="17">
        <v>0</v>
      </c>
      <c r="D20" s="102"/>
      <c r="E20" s="102"/>
    </row>
    <row r="21" spans="1:5">
      <c r="A21" s="555" t="s">
        <v>1024</v>
      </c>
      <c r="B21" s="556"/>
      <c r="C21" s="22" t="e">
        <f>C34</f>
        <v>#DIV/0!</v>
      </c>
      <c r="D21" s="102"/>
      <c r="E21" s="102"/>
    </row>
    <row r="22" spans="1:5">
      <c r="A22" s="555" t="s">
        <v>1025</v>
      </c>
      <c r="B22" s="556"/>
      <c r="C22" s="17">
        <v>0</v>
      </c>
      <c r="D22" s="102"/>
      <c r="E22" s="102"/>
    </row>
    <row r="23" spans="1:5">
      <c r="A23" s="555" t="s">
        <v>1026</v>
      </c>
      <c r="B23" s="556"/>
      <c r="C23" s="17">
        <v>0</v>
      </c>
      <c r="D23" s="102"/>
      <c r="E23" s="102"/>
    </row>
    <row r="24" spans="1:5">
      <c r="A24" s="557" t="s">
        <v>1027</v>
      </c>
      <c r="B24" s="558"/>
      <c r="C24" s="23" t="e">
        <f>SUM(C16:C23)</f>
        <v>#DIV/0!</v>
      </c>
      <c r="D24" s="102"/>
      <c r="E24" s="102"/>
    </row>
    <row r="25" spans="1:5">
      <c r="A25" s="108"/>
      <c r="B25" s="24"/>
      <c r="C25" s="109"/>
      <c r="D25" s="102"/>
      <c r="E25" s="102"/>
    </row>
    <row r="26" spans="1:5" ht="21">
      <c r="A26" s="107" t="s">
        <v>1028</v>
      </c>
      <c r="B26" s="9"/>
      <c r="C26" s="10"/>
      <c r="D26" s="102"/>
      <c r="E26" s="102"/>
    </row>
    <row r="27" spans="1:5">
      <c r="A27" s="11"/>
      <c r="B27" s="12"/>
      <c r="C27" s="12"/>
      <c r="D27" s="102"/>
      <c r="E27" s="102"/>
    </row>
    <row r="28" spans="1:5">
      <c r="A28" s="12"/>
      <c r="B28" s="12"/>
      <c r="C28" s="25" t="s">
        <v>1029</v>
      </c>
      <c r="D28" s="102"/>
      <c r="E28" s="102"/>
    </row>
    <row r="29" spans="1:5">
      <c r="A29" s="16" t="s">
        <v>1030</v>
      </c>
      <c r="B29" s="14"/>
      <c r="C29" s="110">
        <f>'10-Opbouw uurtarieven'!E21</f>
        <v>0</v>
      </c>
      <c r="D29" s="102"/>
      <c r="E29" s="102"/>
    </row>
    <row r="30" spans="1:5">
      <c r="A30" s="16" t="s">
        <v>1031</v>
      </c>
      <c r="B30" s="26" t="s">
        <v>1032</v>
      </c>
      <c r="C30" s="27">
        <v>0</v>
      </c>
      <c r="D30" s="102"/>
      <c r="E30" s="102"/>
    </row>
    <row r="31" spans="1:5">
      <c r="A31" s="16" t="s">
        <v>1033</v>
      </c>
      <c r="B31" s="14"/>
      <c r="C31" s="111">
        <f>C29+C30</f>
        <v>0</v>
      </c>
      <c r="D31" s="102"/>
      <c r="E31" s="102"/>
    </row>
    <row r="32" spans="1:5">
      <c r="A32" s="28" t="s">
        <v>1034</v>
      </c>
      <c r="B32" s="29"/>
      <c r="C32" s="30">
        <v>0</v>
      </c>
      <c r="E32" s="31"/>
    </row>
    <row r="33" spans="1:5">
      <c r="A33" s="11"/>
      <c r="B33" s="32"/>
      <c r="C33" s="33"/>
      <c r="E33" s="34"/>
    </row>
    <row r="34" spans="1:5">
      <c r="A34" s="112" t="s">
        <v>1035</v>
      </c>
      <c r="B34" s="35"/>
      <c r="C34" s="36" t="e">
        <f>(C31/C29)*C32</f>
        <v>#DIV/0!</v>
      </c>
      <c r="E34" s="37"/>
    </row>
    <row r="35" spans="1:5">
      <c r="A35" s="11"/>
      <c r="B35" s="12"/>
      <c r="C35" s="12"/>
      <c r="E35" s="37"/>
    </row>
    <row r="36" spans="1:5" ht="21">
      <c r="A36" s="113" t="s">
        <v>1036</v>
      </c>
      <c r="B36" s="114"/>
      <c r="C36" s="115"/>
      <c r="E36" s="37"/>
    </row>
    <row r="37" spans="1:5">
      <c r="A37" s="108"/>
      <c r="B37" s="24"/>
      <c r="C37" s="109"/>
      <c r="E37" s="37"/>
    </row>
    <row r="38" spans="1:5" ht="16.2">
      <c r="A38" s="108"/>
      <c r="B38" s="116" t="s">
        <v>1037</v>
      </c>
      <c r="C38" s="109"/>
      <c r="E38" s="37"/>
    </row>
    <row r="39" spans="1:5">
      <c r="A39" s="117" t="s">
        <v>1038</v>
      </c>
      <c r="B39" s="118">
        <v>365</v>
      </c>
      <c r="C39" s="109"/>
      <c r="E39" s="37"/>
    </row>
    <row r="40" spans="1:5">
      <c r="A40" s="117" t="s">
        <v>1039</v>
      </c>
      <c r="B40" s="118">
        <v>104</v>
      </c>
      <c r="C40" s="109"/>
      <c r="E40" s="37"/>
    </row>
    <row r="41" spans="1:5">
      <c r="A41" s="119" t="s">
        <v>1040</v>
      </c>
      <c r="B41" s="120">
        <f>B39-B40</f>
        <v>261</v>
      </c>
      <c r="C41" s="109"/>
      <c r="E41" s="37"/>
    </row>
    <row r="42" spans="1:5">
      <c r="A42" s="121"/>
      <c r="B42" s="38"/>
      <c r="C42" s="109"/>
      <c r="E42" s="37"/>
    </row>
    <row r="43" spans="1:5">
      <c r="A43" s="117" t="s">
        <v>1041</v>
      </c>
      <c r="B43" s="122">
        <v>0</v>
      </c>
      <c r="C43" s="109"/>
      <c r="E43" s="37"/>
    </row>
    <row r="44" spans="1:5">
      <c r="A44" s="117" t="s">
        <v>1042</v>
      </c>
      <c r="B44" s="122">
        <v>0</v>
      </c>
      <c r="C44" s="109"/>
      <c r="E44" s="37"/>
    </row>
    <row r="45" spans="1:5">
      <c r="A45" s="117" t="s">
        <v>1043</v>
      </c>
      <c r="B45" s="122">
        <v>0</v>
      </c>
      <c r="C45" s="109"/>
      <c r="E45" s="37"/>
    </row>
    <row r="46" spans="1:5">
      <c r="A46" s="117" t="s">
        <v>1044</v>
      </c>
      <c r="B46" s="122"/>
      <c r="C46" s="109"/>
      <c r="E46" s="37"/>
    </row>
    <row r="47" spans="1:5">
      <c r="A47" s="119" t="s">
        <v>1045</v>
      </c>
      <c r="B47" s="120">
        <f>B41-SUM(B43:B46)</f>
        <v>261</v>
      </c>
      <c r="C47" s="109"/>
      <c r="E47" s="37"/>
    </row>
    <row r="48" spans="1:5">
      <c r="A48" s="123"/>
      <c r="B48" s="38"/>
      <c r="C48" s="109"/>
      <c r="E48" s="37"/>
    </row>
    <row r="49" spans="1:5">
      <c r="A49" s="124" t="s">
        <v>1046</v>
      </c>
      <c r="B49" s="39">
        <f>IF(B43=0,0,B43/$B$47)</f>
        <v>0</v>
      </c>
      <c r="C49" s="109"/>
      <c r="E49" s="37"/>
    </row>
    <row r="50" spans="1:5">
      <c r="A50" s="124" t="s">
        <v>1042</v>
      </c>
      <c r="B50" s="39">
        <f>IF(B44=0,0,B44/$B$47)</f>
        <v>0</v>
      </c>
      <c r="C50" s="109"/>
      <c r="E50" s="37"/>
    </row>
    <row r="51" spans="1:5">
      <c r="A51" s="117" t="s">
        <v>1043</v>
      </c>
      <c r="B51" s="39">
        <f>IF(B45=0,0,B45/$B$47)</f>
        <v>0</v>
      </c>
      <c r="C51" s="109"/>
      <c r="E51" s="37"/>
    </row>
    <row r="52" spans="1:5">
      <c r="A52" s="124" t="s">
        <v>1044</v>
      </c>
      <c r="B52" s="39">
        <f>IF(B46=0,0,B46/$B$47)</f>
        <v>0</v>
      </c>
      <c r="C52" s="109"/>
      <c r="E52" s="37"/>
    </row>
    <row r="53" spans="1:5">
      <c r="A53" s="119" t="s">
        <v>1047</v>
      </c>
      <c r="B53" s="40">
        <f>SUM(B49:B52)</f>
        <v>0</v>
      </c>
      <c r="C53" s="109"/>
      <c r="E53" s="37"/>
    </row>
    <row r="54" spans="1:5">
      <c r="A54" s="125"/>
      <c r="B54" s="125"/>
      <c r="C54" s="125"/>
      <c r="E54" s="37"/>
    </row>
    <row r="55" spans="1:5" ht="31.2" customHeight="1">
      <c r="A55" s="552" t="s">
        <v>1048</v>
      </c>
      <c r="B55" s="553"/>
      <c r="C55" s="554"/>
      <c r="E55" s="37"/>
    </row>
  </sheetData>
  <dataConsolidate/>
  <mergeCells count="7">
    <mergeCell ref="A55:C55"/>
    <mergeCell ref="A18:B18"/>
    <mergeCell ref="A20:B20"/>
    <mergeCell ref="A21:B21"/>
    <mergeCell ref="A22:B22"/>
    <mergeCell ref="A23:B23"/>
    <mergeCell ref="A24:B24"/>
  </mergeCells>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9225-AAD9-4C66-BD84-4D2C1460DF38}">
  <sheetPr>
    <tabColor theme="0" tint="-4.9989318521683403E-2"/>
    <pageSetUpPr fitToPage="1"/>
  </sheetPr>
  <dimension ref="A1:Y64"/>
  <sheetViews>
    <sheetView showGridLines="0" showZeros="0" showOutlineSymbols="0" zoomScale="90" zoomScaleNormal="90" zoomScalePageLayoutView="50" workbookViewId="0">
      <pane xSplit="3" ySplit="10" topLeftCell="D11" activePane="bottomRight" state="frozen"/>
      <selection pane="topRight" activeCell="A3" sqref="A3:B8"/>
      <selection pane="bottomLeft" activeCell="A3" sqref="A3:B8"/>
      <selection pane="bottomRight" activeCell="K49" sqref="K49"/>
    </sheetView>
  </sheetViews>
  <sheetFormatPr defaultColWidth="11.44140625" defaultRowHeight="13.2"/>
  <cols>
    <col min="1" max="1" width="35.88671875" style="41" customWidth="1"/>
    <col min="2" max="2" width="21.6640625" style="41" customWidth="1"/>
    <col min="3" max="3" width="19.33203125" style="41" bestFit="1" customWidth="1"/>
    <col min="4" max="4" width="2" style="41" customWidth="1"/>
    <col min="5" max="5" width="14.44140625" style="41" customWidth="1"/>
    <col min="6" max="6" width="12.33203125" style="41" customWidth="1"/>
    <col min="7" max="7" width="2" style="41" customWidth="1"/>
    <col min="8" max="8" width="14.44140625" style="41" customWidth="1"/>
    <col min="9" max="9" width="12.33203125" style="41" customWidth="1"/>
    <col min="10" max="10" width="2.33203125" style="41" customWidth="1"/>
    <col min="11" max="11" width="12.33203125" style="41" customWidth="1"/>
    <col min="12" max="12" width="27.5546875" style="41" customWidth="1"/>
    <col min="13" max="19" width="11.44140625" style="41"/>
    <col min="20" max="20" width="10.5546875" style="41" customWidth="1"/>
    <col min="21" max="25" width="11.44140625" style="41"/>
    <col min="26" max="16384" width="11.44140625" style="1"/>
  </cols>
  <sheetData>
    <row r="1" spans="1:22" ht="12.75" customHeight="1">
      <c r="A1" s="97" t="s">
        <v>0</v>
      </c>
      <c r="B1" s="98"/>
      <c r="C1" s="99"/>
      <c r="D1" s="99"/>
      <c r="E1" s="99"/>
      <c r="F1" s="99"/>
      <c r="H1" s="99"/>
      <c r="I1" s="99"/>
      <c r="J1" s="99"/>
      <c r="K1" s="99"/>
      <c r="L1" s="559"/>
      <c r="M1" s="559"/>
      <c r="N1" s="559"/>
      <c r="O1" s="559"/>
      <c r="P1" s="559"/>
      <c r="Q1" s="559"/>
      <c r="R1" s="559"/>
    </row>
    <row r="2" spans="1:22" ht="15">
      <c r="A2" s="126"/>
      <c r="B2" s="127"/>
      <c r="C2" s="128"/>
      <c r="D2" s="127"/>
      <c r="E2" s="42"/>
      <c r="F2" s="43"/>
      <c r="H2" s="42"/>
      <c r="I2" s="43"/>
      <c r="J2" s="43"/>
      <c r="K2" s="43"/>
      <c r="L2" s="559"/>
      <c r="M2" s="559"/>
      <c r="N2" s="559"/>
      <c r="O2" s="559"/>
      <c r="P2" s="559"/>
      <c r="Q2" s="559"/>
      <c r="R2" s="559"/>
    </row>
    <row r="3" spans="1:22" ht="14.25" customHeight="1">
      <c r="A3" s="6" t="str">
        <f>'1-Totaal inschrijfbedrag'!A3</f>
        <v>Naam opdrachtgever</v>
      </c>
      <c r="B3" s="4" t="str">
        <f>'1-Totaal inschrijfbedrag'!B3</f>
        <v>GVB operatie Metro</v>
      </c>
      <c r="C3" s="129"/>
      <c r="D3" s="127"/>
      <c r="E3" s="45"/>
      <c r="F3" s="46"/>
      <c r="H3" s="45"/>
      <c r="I3" s="46"/>
      <c r="J3" s="46"/>
      <c r="K3" s="46"/>
      <c r="L3" s="559"/>
      <c r="M3" s="559"/>
      <c r="N3" s="559"/>
      <c r="O3" s="559"/>
      <c r="P3" s="559"/>
      <c r="Q3" s="559"/>
      <c r="R3" s="559"/>
    </row>
    <row r="4" spans="1:22" ht="15.75" customHeight="1">
      <c r="A4" s="6" t="str">
        <f>'1-Totaal inschrijfbedrag'!A4</f>
        <v>Calculatie onderdeel</v>
      </c>
      <c r="B4" s="44" t="str">
        <f ca="1">MID(CELL("bestandsnaam",$D$10),SEARCH("]",CELL("bestandsnaam",$D$10),1)+1,256)</f>
        <v>10-Opbouw uurtarieven</v>
      </c>
      <c r="C4" s="130"/>
      <c r="D4" s="131"/>
      <c r="L4" s="559"/>
      <c r="M4" s="559"/>
      <c r="N4" s="559"/>
      <c r="O4" s="559"/>
      <c r="P4" s="559"/>
      <c r="Q4" s="559"/>
      <c r="R4" s="559"/>
    </row>
    <row r="5" spans="1:22" ht="15.6">
      <c r="A5" s="6" t="str">
        <f>'1-Totaal inschrijfbedrag'!A5</f>
        <v>Gebouw/plaats</v>
      </c>
      <c r="B5" s="4" t="str">
        <f>'1-Totaal inschrijfbedrag'!B5</f>
        <v>Amsterdam</v>
      </c>
      <c r="C5" s="130"/>
      <c r="D5" s="131"/>
      <c r="L5" s="559"/>
      <c r="M5" s="559"/>
      <c r="N5" s="559"/>
      <c r="O5" s="559"/>
      <c r="P5" s="559"/>
      <c r="Q5" s="559"/>
      <c r="R5" s="559"/>
    </row>
    <row r="6" spans="1:22" ht="15.6">
      <c r="A6" s="6" t="str">
        <f>'1-Totaal inschrijfbedrag'!A6</f>
        <v>Referentienummer</v>
      </c>
      <c r="B6" s="4" t="str">
        <f>'1-Totaal inschrijfbedrag'!B6</f>
        <v>2024-62</v>
      </c>
      <c r="C6" s="130"/>
      <c r="D6" s="131"/>
      <c r="L6" s="47"/>
      <c r="M6" s="47"/>
      <c r="N6" s="47"/>
      <c r="O6" s="47"/>
      <c r="P6" s="47"/>
      <c r="Q6" s="47"/>
      <c r="R6" s="47"/>
    </row>
    <row r="7" spans="1:22" ht="15.6">
      <c r="A7" s="6" t="str">
        <f>'1-Totaal inschrijfbedrag'!A7</f>
        <v>Naam dienstverlener</v>
      </c>
      <c r="B7" s="4">
        <f>'1-Totaal inschrijfbedrag'!B7</f>
        <v>0</v>
      </c>
      <c r="C7" s="130"/>
      <c r="D7" s="131"/>
      <c r="L7" s="47"/>
      <c r="M7" s="47"/>
      <c r="N7" s="47"/>
      <c r="O7" s="47"/>
      <c r="P7" s="47"/>
      <c r="Q7" s="47"/>
      <c r="R7" s="47"/>
    </row>
    <row r="8" spans="1:22" ht="15.6">
      <c r="A8" s="6" t="str">
        <f>'1-Totaal inschrijfbedrag'!A8</f>
        <v>Prijspeil</v>
      </c>
      <c r="B8" s="2" t="str">
        <f>'1-Totaal inschrijfbedrag'!B8</f>
        <v>1 juli 2025</v>
      </c>
      <c r="C8" s="130"/>
      <c r="D8" s="131"/>
      <c r="N8" s="47"/>
      <c r="O8" s="47"/>
      <c r="P8" s="47"/>
      <c r="Q8" s="47"/>
      <c r="R8" s="47"/>
      <c r="S8" s="48"/>
    </row>
    <row r="9" spans="1:22" ht="16.95" customHeight="1">
      <c r="A9" s="49"/>
      <c r="B9" s="50"/>
      <c r="C9" s="132"/>
      <c r="D9" s="131"/>
      <c r="E9" s="51"/>
      <c r="F9" s="52"/>
      <c r="H9" s="51"/>
      <c r="I9" s="52"/>
      <c r="N9" s="47"/>
      <c r="O9" s="47"/>
      <c r="P9" s="47"/>
      <c r="Q9" s="47"/>
      <c r="R9" s="47"/>
    </row>
    <row r="10" spans="1:22" s="54" customFormat="1" ht="30.75" customHeight="1">
      <c r="A10" s="133" t="s">
        <v>1049</v>
      </c>
      <c r="B10" s="134"/>
      <c r="C10" s="135"/>
      <c r="D10" s="136"/>
      <c r="E10" s="560" t="s">
        <v>1050</v>
      </c>
      <c r="F10" s="561"/>
      <c r="G10" s="53"/>
      <c r="H10" s="560" t="s">
        <v>1051</v>
      </c>
      <c r="I10" s="561"/>
      <c r="J10" s="41"/>
      <c r="K10" s="41"/>
      <c r="L10" s="41"/>
      <c r="M10" s="41"/>
      <c r="N10" s="47"/>
      <c r="O10" s="47"/>
      <c r="P10" s="47"/>
      <c r="Q10" s="47"/>
      <c r="R10" s="47"/>
      <c r="S10" s="48"/>
      <c r="T10" s="41"/>
      <c r="U10" s="41"/>
      <c r="V10" s="41"/>
    </row>
    <row r="11" spans="1:22" ht="14.4" customHeight="1">
      <c r="A11" s="137"/>
      <c r="B11" s="55" t="s">
        <v>32</v>
      </c>
      <c r="C11" s="56" t="s">
        <v>32</v>
      </c>
      <c r="D11" s="131"/>
      <c r="E11" s="57"/>
      <c r="F11" s="58"/>
      <c r="H11" s="57"/>
      <c r="I11" s="58"/>
      <c r="K11" s="138"/>
      <c r="N11" s="47"/>
      <c r="O11" s="47"/>
      <c r="P11" s="47"/>
      <c r="Q11" s="47"/>
      <c r="R11" s="47"/>
    </row>
    <row r="12" spans="1:22">
      <c r="A12" s="137" t="s">
        <v>1052</v>
      </c>
      <c r="B12" s="59" t="s">
        <v>1053</v>
      </c>
      <c r="C12" s="60"/>
      <c r="D12" s="131"/>
      <c r="E12" s="65">
        <v>0</v>
      </c>
      <c r="F12" s="62"/>
      <c r="H12" s="63">
        <v>0</v>
      </c>
      <c r="I12" s="62"/>
      <c r="J12" s="139"/>
      <c r="K12" s="139"/>
      <c r="N12" s="47"/>
      <c r="O12" s="47"/>
      <c r="P12" s="47"/>
      <c r="Q12" s="47"/>
      <c r="R12" s="47"/>
    </row>
    <row r="13" spans="1:22">
      <c r="A13" s="137" t="s">
        <v>1054</v>
      </c>
      <c r="B13" s="59" t="s">
        <v>1053</v>
      </c>
      <c r="C13" s="64"/>
      <c r="D13" s="131"/>
      <c r="E13" s="65">
        <v>0</v>
      </c>
      <c r="F13" s="62"/>
      <c r="H13" s="65">
        <v>0</v>
      </c>
      <c r="I13" s="62"/>
      <c r="J13" s="139"/>
      <c r="K13" s="139"/>
      <c r="N13" s="47"/>
      <c r="O13" s="47"/>
      <c r="P13" s="47"/>
      <c r="Q13" s="47"/>
      <c r="R13" s="47"/>
    </row>
    <row r="14" spans="1:22">
      <c r="A14" s="140"/>
      <c r="B14" s="141"/>
      <c r="C14" s="142"/>
      <c r="D14" s="143"/>
      <c r="E14" s="61"/>
      <c r="F14" s="144"/>
      <c r="H14" s="61"/>
      <c r="I14" s="144"/>
      <c r="J14" s="139"/>
      <c r="K14" s="139"/>
      <c r="N14" s="47"/>
      <c r="O14" s="47"/>
      <c r="P14" s="47"/>
      <c r="Q14" s="47"/>
      <c r="R14" s="47"/>
    </row>
    <row r="15" spans="1:22">
      <c r="A15" s="145" t="s">
        <v>1055</v>
      </c>
      <c r="B15" s="146"/>
      <c r="C15" s="147"/>
      <c r="D15" s="148"/>
      <c r="E15" s="66">
        <f>SUM(E12:E14)</f>
        <v>0</v>
      </c>
      <c r="F15" s="62"/>
      <c r="H15" s="66">
        <f>SUM(H12:H14)</f>
        <v>0</v>
      </c>
      <c r="I15" s="62"/>
      <c r="J15" s="139"/>
      <c r="K15" s="139"/>
      <c r="N15" s="47"/>
      <c r="O15" s="47"/>
      <c r="P15" s="47"/>
      <c r="Q15" s="47"/>
      <c r="R15" s="47"/>
    </row>
    <row r="16" spans="1:22">
      <c r="A16" s="149"/>
      <c r="B16" s="150"/>
      <c r="C16" s="151"/>
      <c r="D16" s="131"/>
      <c r="E16" s="67"/>
      <c r="F16" s="62"/>
      <c r="H16" s="67"/>
      <c r="I16" s="62"/>
      <c r="J16" s="139"/>
      <c r="K16" s="139"/>
      <c r="N16" s="47"/>
      <c r="O16" s="47"/>
      <c r="P16" s="47"/>
      <c r="Q16" s="47"/>
      <c r="R16" s="47"/>
    </row>
    <row r="17" spans="1:22">
      <c r="A17" s="152" t="s">
        <v>1056</v>
      </c>
      <c r="B17" s="59" t="s">
        <v>1053</v>
      </c>
      <c r="C17" s="68">
        <v>0</v>
      </c>
      <c r="D17" s="131"/>
      <c r="E17" s="69">
        <f>$C17*E15</f>
        <v>0</v>
      </c>
      <c r="F17" s="62"/>
      <c r="H17" s="69">
        <f>$C17*H15</f>
        <v>0</v>
      </c>
      <c r="I17" s="62"/>
      <c r="J17" s="139"/>
      <c r="K17" s="139"/>
      <c r="N17" s="47"/>
      <c r="O17" s="47"/>
      <c r="P17" s="47"/>
      <c r="Q17" s="47"/>
      <c r="R17" s="47"/>
    </row>
    <row r="18" spans="1:22">
      <c r="A18" s="152" t="s">
        <v>1057</v>
      </c>
      <c r="B18" s="59" t="s">
        <v>1053</v>
      </c>
      <c r="C18" s="68">
        <v>0</v>
      </c>
      <c r="D18" s="131"/>
      <c r="E18" s="70">
        <f>$C18*E15</f>
        <v>0</v>
      </c>
      <c r="F18" s="62"/>
      <c r="H18" s="70">
        <f>$C18*H15</f>
        <v>0</v>
      </c>
      <c r="I18" s="62"/>
      <c r="J18" s="139"/>
      <c r="K18" s="139"/>
      <c r="N18" s="47"/>
      <c r="O18" s="47"/>
      <c r="P18" s="47"/>
      <c r="Q18" s="47"/>
      <c r="R18" s="47"/>
    </row>
    <row r="19" spans="1:22">
      <c r="A19" s="145" t="s">
        <v>1058</v>
      </c>
      <c r="B19" s="153"/>
      <c r="C19" s="154"/>
      <c r="D19" s="131"/>
      <c r="E19" s="66">
        <f>SUM(E15:E18)</f>
        <v>0</v>
      </c>
      <c r="F19" s="71">
        <f>IF(E19=0,0,E19/E$46)</f>
        <v>0</v>
      </c>
      <c r="H19" s="66">
        <f>SUM(H15:H18)</f>
        <v>0</v>
      </c>
      <c r="I19" s="71">
        <f>IF(H19=0,0,H19/H$46)</f>
        <v>0</v>
      </c>
      <c r="J19" s="155"/>
      <c r="K19" s="155"/>
      <c r="N19" s="47"/>
      <c r="O19" s="47"/>
      <c r="P19" s="47"/>
      <c r="Q19" s="47"/>
      <c r="R19" s="47"/>
    </row>
    <row r="20" spans="1:22" ht="15" customHeight="1">
      <c r="A20" s="149"/>
      <c r="B20" s="150"/>
      <c r="C20" s="151"/>
      <c r="D20" s="131"/>
      <c r="E20" s="67"/>
      <c r="F20" s="62"/>
      <c r="H20" s="67"/>
      <c r="I20" s="62"/>
      <c r="J20" s="139"/>
      <c r="K20" s="139"/>
      <c r="N20" s="47"/>
      <c r="O20" s="47"/>
      <c r="P20" s="47"/>
      <c r="Q20" s="47"/>
      <c r="R20" s="47"/>
    </row>
    <row r="21" spans="1:22">
      <c r="A21" s="156" t="s">
        <v>1059</v>
      </c>
      <c r="B21" s="157"/>
      <c r="C21" s="151"/>
      <c r="D21" s="158"/>
      <c r="E21" s="72">
        <f>E19*0.96</f>
        <v>0</v>
      </c>
      <c r="F21" s="73"/>
      <c r="G21" s="74"/>
      <c r="H21" s="72">
        <f>H19*0.96</f>
        <v>0</v>
      </c>
      <c r="I21" s="73"/>
      <c r="J21" s="159"/>
      <c r="K21" s="159"/>
      <c r="N21" s="47"/>
      <c r="O21" s="47"/>
      <c r="P21" s="47"/>
      <c r="Q21" s="47"/>
      <c r="R21" s="47"/>
      <c r="T21" s="74"/>
      <c r="U21" s="74"/>
      <c r="V21" s="74"/>
    </row>
    <row r="22" spans="1:22" s="76" customFormat="1">
      <c r="A22" s="152" t="s">
        <v>1060</v>
      </c>
      <c r="B22" s="157"/>
      <c r="C22" s="75" t="s">
        <v>1061</v>
      </c>
      <c r="D22" s="131"/>
      <c r="E22" s="69" t="e">
        <f>E21*'9-Premies en opslagen'!$C24</f>
        <v>#DIV/0!</v>
      </c>
      <c r="F22" s="62"/>
      <c r="G22" s="41"/>
      <c r="H22" s="69" t="e">
        <f>H21*'9-Premies en opslagen'!$C24</f>
        <v>#DIV/0!</v>
      </c>
      <c r="I22" s="62"/>
      <c r="J22" s="139"/>
      <c r="K22" s="139"/>
      <c r="L22" s="41"/>
      <c r="M22" s="41"/>
      <c r="N22" s="47"/>
      <c r="O22" s="47"/>
      <c r="P22" s="47"/>
      <c r="Q22" s="47"/>
      <c r="R22" s="47"/>
      <c r="S22" s="41"/>
      <c r="T22" s="41"/>
      <c r="U22" s="41"/>
      <c r="V22" s="41"/>
    </row>
    <row r="23" spans="1:22" ht="14.25" customHeight="1">
      <c r="A23" s="145" t="s">
        <v>1062</v>
      </c>
      <c r="B23" s="160"/>
      <c r="C23" s="154"/>
      <c r="D23" s="131"/>
      <c r="E23" s="66" t="e">
        <f>E22+E19</f>
        <v>#DIV/0!</v>
      </c>
      <c r="F23" s="71" t="e">
        <f>IF(E23=0,0,E23/E$46)</f>
        <v>#DIV/0!</v>
      </c>
      <c r="H23" s="66" t="e">
        <f>H22+H19</f>
        <v>#DIV/0!</v>
      </c>
      <c r="I23" s="71" t="e">
        <f>IF(H23=0,0,H23/H$46)</f>
        <v>#DIV/0!</v>
      </c>
      <c r="J23" s="155"/>
      <c r="K23" s="155"/>
      <c r="N23" s="47"/>
      <c r="O23" s="47"/>
      <c r="P23" s="47"/>
      <c r="Q23" s="47"/>
      <c r="R23" s="47"/>
    </row>
    <row r="24" spans="1:22" ht="12.75" customHeight="1">
      <c r="A24" s="149"/>
      <c r="B24" s="153"/>
      <c r="C24" s="154"/>
      <c r="D24" s="131"/>
      <c r="E24" s="57"/>
      <c r="F24" s="62"/>
      <c r="H24" s="57"/>
      <c r="I24" s="62"/>
      <c r="J24" s="139"/>
      <c r="K24" s="139"/>
    </row>
    <row r="25" spans="1:22" ht="12.75" customHeight="1">
      <c r="A25" s="152" t="s">
        <v>1063</v>
      </c>
      <c r="B25" s="157"/>
      <c r="C25" s="75" t="s">
        <v>1061</v>
      </c>
      <c r="D25" s="131"/>
      <c r="E25" s="69" t="e">
        <f>E23*'9-Premies en opslagen'!$B53</f>
        <v>#DIV/0!</v>
      </c>
      <c r="F25" s="62"/>
      <c r="H25" s="69" t="e">
        <f>H23*'9-Premies en opslagen'!$B53</f>
        <v>#DIV/0!</v>
      </c>
      <c r="I25" s="62"/>
      <c r="J25" s="139"/>
      <c r="K25" s="139"/>
    </row>
    <row r="26" spans="1:22">
      <c r="A26" s="145" t="s">
        <v>1064</v>
      </c>
      <c r="B26" s="153"/>
      <c r="C26" s="154"/>
      <c r="D26" s="131"/>
      <c r="E26" s="66" t="e">
        <f>SUM(E23:E25)</f>
        <v>#DIV/0!</v>
      </c>
      <c r="F26" s="71" t="e">
        <f>IF(E26=0,0,E26/E$46)</f>
        <v>#DIV/0!</v>
      </c>
      <c r="H26" s="66" t="e">
        <f>SUM(H23:H25)</f>
        <v>#DIV/0!</v>
      </c>
      <c r="I26" s="71" t="e">
        <f>IF(H26=0,0,H26/H$46)</f>
        <v>#DIV/0!</v>
      </c>
      <c r="J26" s="155"/>
      <c r="K26" s="155"/>
    </row>
    <row r="27" spans="1:22">
      <c r="A27" s="149"/>
      <c r="B27" s="153"/>
      <c r="C27" s="154"/>
      <c r="D27" s="131"/>
      <c r="E27" s="57"/>
      <c r="F27" s="62"/>
      <c r="H27" s="57"/>
      <c r="I27" s="62"/>
      <c r="J27" s="139"/>
      <c r="K27" s="139"/>
    </row>
    <row r="28" spans="1:22">
      <c r="A28" s="149" t="s">
        <v>1065</v>
      </c>
      <c r="B28" s="161"/>
      <c r="C28" s="64" t="s">
        <v>1066</v>
      </c>
      <c r="D28" s="131"/>
      <c r="E28" s="65">
        <v>0</v>
      </c>
      <c r="F28" s="62">
        <v>0</v>
      </c>
      <c r="H28" s="162"/>
      <c r="I28" s="62">
        <v>0</v>
      </c>
      <c r="J28" s="139"/>
      <c r="K28" s="139"/>
    </row>
    <row r="29" spans="1:22">
      <c r="A29" s="149" t="s">
        <v>1067</v>
      </c>
      <c r="B29" s="163"/>
      <c r="C29" s="64" t="s">
        <v>1066</v>
      </c>
      <c r="D29" s="131"/>
      <c r="E29" s="65">
        <v>0</v>
      </c>
      <c r="F29" s="62">
        <v>0</v>
      </c>
      <c r="H29" s="65">
        <v>0</v>
      </c>
      <c r="I29" s="62">
        <v>0</v>
      </c>
      <c r="J29" s="139"/>
      <c r="K29" s="139"/>
    </row>
    <row r="30" spans="1:22" ht="12.75" customHeight="1">
      <c r="A30" s="164"/>
      <c r="B30" s="165"/>
      <c r="C30" s="166" t="s">
        <v>32</v>
      </c>
      <c r="D30" s="131"/>
      <c r="E30" s="65"/>
      <c r="F30" s="62"/>
      <c r="H30" s="65"/>
      <c r="I30" s="62"/>
      <c r="J30" s="139"/>
      <c r="K30" s="139"/>
    </row>
    <row r="31" spans="1:22" ht="12.75" customHeight="1">
      <c r="A31" s="145" t="s">
        <v>1068</v>
      </c>
      <c r="B31" s="153"/>
      <c r="C31" s="154"/>
      <c r="D31" s="131"/>
      <c r="E31" s="66" t="e">
        <f>SUM(E26:E30)</f>
        <v>#DIV/0!</v>
      </c>
      <c r="F31" s="71" t="e">
        <f>IF(E31=0,0,E31/E$46)</f>
        <v>#DIV/0!</v>
      </c>
      <c r="H31" s="66" t="e">
        <f>SUM(H26:H30)</f>
        <v>#DIV/0!</v>
      </c>
      <c r="I31" s="71" t="e">
        <f>IF(H31=0,0,H31/H$46)</f>
        <v>#DIV/0!</v>
      </c>
      <c r="J31" s="155"/>
      <c r="K31" s="155"/>
    </row>
    <row r="32" spans="1:22" s="41" customFormat="1" ht="12.75" customHeight="1">
      <c r="A32" s="149"/>
      <c r="B32" s="153"/>
      <c r="C32" s="154"/>
      <c r="D32" s="131"/>
      <c r="E32" s="57"/>
      <c r="F32" s="62"/>
      <c r="H32" s="57"/>
      <c r="I32" s="62"/>
      <c r="J32" s="139"/>
      <c r="K32" s="139"/>
    </row>
    <row r="33" spans="1:22" s="41" customFormat="1" ht="12.75" customHeight="1">
      <c r="A33" s="149" t="s">
        <v>1069</v>
      </c>
      <c r="B33" s="153"/>
      <c r="C33" s="81"/>
      <c r="D33" s="131"/>
      <c r="E33" s="65">
        <v>0</v>
      </c>
      <c r="F33" s="82" t="e">
        <f t="shared" ref="F33:F41" si="0">E33/$E$46</f>
        <v>#DIV/0!</v>
      </c>
      <c r="H33" s="65">
        <v>0</v>
      </c>
      <c r="I33" s="82" t="e">
        <f t="shared" ref="I33:I41" si="1">H33/$E$46</f>
        <v>#DIV/0!</v>
      </c>
      <c r="J33" s="167"/>
      <c r="K33" s="167"/>
    </row>
    <row r="34" spans="1:22" s="41" customFormat="1" ht="12.75" customHeight="1">
      <c r="A34" s="149" t="s">
        <v>1070</v>
      </c>
      <c r="B34" s="153"/>
      <c r="C34" s="81"/>
      <c r="D34" s="131"/>
      <c r="E34" s="65">
        <v>0</v>
      </c>
      <c r="F34" s="82" t="e">
        <f t="shared" si="0"/>
        <v>#DIV/0!</v>
      </c>
      <c r="H34" s="65">
        <v>0</v>
      </c>
      <c r="I34" s="82" t="e">
        <f t="shared" si="1"/>
        <v>#DIV/0!</v>
      </c>
      <c r="J34" s="167"/>
      <c r="K34" s="167"/>
    </row>
    <row r="35" spans="1:22" s="41" customFormat="1" ht="14.25" customHeight="1">
      <c r="A35" s="149" t="s">
        <v>1071</v>
      </c>
      <c r="B35" s="153"/>
      <c r="C35" s="81"/>
      <c r="D35" s="131"/>
      <c r="E35" s="65">
        <v>0</v>
      </c>
      <c r="F35" s="82" t="e">
        <f t="shared" si="0"/>
        <v>#DIV/0!</v>
      </c>
      <c r="H35" s="65">
        <v>0</v>
      </c>
      <c r="I35" s="82" t="e">
        <f t="shared" si="1"/>
        <v>#DIV/0!</v>
      </c>
      <c r="J35" s="167"/>
      <c r="K35" s="167"/>
    </row>
    <row r="36" spans="1:22" s="41" customFormat="1">
      <c r="A36" s="149" t="s">
        <v>1072</v>
      </c>
      <c r="B36" s="153"/>
      <c r="C36" s="85"/>
      <c r="D36" s="131"/>
      <c r="E36" s="65">
        <v>0</v>
      </c>
      <c r="F36" s="82" t="e">
        <f t="shared" si="0"/>
        <v>#DIV/0!</v>
      </c>
      <c r="H36" s="65">
        <v>0</v>
      </c>
      <c r="I36" s="82" t="e">
        <f t="shared" si="1"/>
        <v>#DIV/0!</v>
      </c>
      <c r="J36" s="167"/>
      <c r="K36" s="167"/>
    </row>
    <row r="37" spans="1:22" s="41" customFormat="1">
      <c r="A37" s="149" t="s">
        <v>1073</v>
      </c>
      <c r="B37" s="153"/>
      <c r="C37" s="81"/>
      <c r="D37" s="131"/>
      <c r="E37" s="65">
        <v>0</v>
      </c>
      <c r="F37" s="82" t="e">
        <f t="shared" si="0"/>
        <v>#DIV/0!</v>
      </c>
      <c r="H37" s="65">
        <v>0</v>
      </c>
      <c r="I37" s="82" t="e">
        <f t="shared" si="1"/>
        <v>#DIV/0!</v>
      </c>
      <c r="J37" s="167"/>
      <c r="K37" s="167"/>
    </row>
    <row r="38" spans="1:22" s="41" customFormat="1">
      <c r="A38" s="149" t="s">
        <v>1074</v>
      </c>
      <c r="B38" s="153"/>
      <c r="C38" s="85"/>
      <c r="D38" s="131"/>
      <c r="E38" s="65">
        <v>0</v>
      </c>
      <c r="F38" s="82" t="e">
        <f t="shared" si="0"/>
        <v>#DIV/0!</v>
      </c>
      <c r="H38" s="65">
        <v>0</v>
      </c>
      <c r="I38" s="82" t="e">
        <f t="shared" si="1"/>
        <v>#DIV/0!</v>
      </c>
      <c r="J38" s="167"/>
      <c r="K38" s="167"/>
    </row>
    <row r="39" spans="1:22" s="41" customFormat="1">
      <c r="A39" s="149" t="s">
        <v>1075</v>
      </c>
      <c r="B39" s="153"/>
      <c r="C39" s="64" t="s">
        <v>1066</v>
      </c>
      <c r="D39" s="131"/>
      <c r="E39" s="65">
        <v>0</v>
      </c>
      <c r="F39" s="82" t="e">
        <f t="shared" si="0"/>
        <v>#DIV/0!</v>
      </c>
      <c r="H39" s="65">
        <v>0</v>
      </c>
      <c r="I39" s="82" t="e">
        <f t="shared" si="1"/>
        <v>#DIV/0!</v>
      </c>
      <c r="J39" s="167"/>
      <c r="K39" s="167"/>
    </row>
    <row r="40" spans="1:22" s="41" customFormat="1">
      <c r="A40" s="149" t="s">
        <v>1076</v>
      </c>
      <c r="B40" s="153"/>
      <c r="C40" s="64"/>
      <c r="D40" s="131"/>
      <c r="E40" s="65">
        <v>0</v>
      </c>
      <c r="F40" s="82" t="e">
        <f t="shared" si="0"/>
        <v>#DIV/0!</v>
      </c>
      <c r="H40" s="65">
        <v>0</v>
      </c>
      <c r="I40" s="82" t="e">
        <f t="shared" si="1"/>
        <v>#DIV/0!</v>
      </c>
      <c r="J40" s="167"/>
      <c r="K40" s="167"/>
    </row>
    <row r="41" spans="1:22" s="41" customFormat="1">
      <c r="A41" s="164"/>
      <c r="B41" s="165"/>
      <c r="C41" s="87"/>
      <c r="D41" s="131"/>
      <c r="E41" s="65">
        <v>0</v>
      </c>
      <c r="F41" s="62" t="e">
        <f t="shared" si="0"/>
        <v>#DIV/0!</v>
      </c>
      <c r="H41" s="65">
        <v>0</v>
      </c>
      <c r="I41" s="62" t="e">
        <f t="shared" si="1"/>
        <v>#DIV/0!</v>
      </c>
      <c r="J41" s="139"/>
      <c r="K41" s="139"/>
    </row>
    <row r="42" spans="1:22" s="41" customFormat="1">
      <c r="A42" s="145" t="s">
        <v>1077</v>
      </c>
      <c r="B42" s="153"/>
      <c r="C42" s="154"/>
      <c r="D42" s="131"/>
      <c r="E42" s="66" t="e">
        <f>SUM(E31:E41)</f>
        <v>#DIV/0!</v>
      </c>
      <c r="F42" s="71" t="e">
        <f>IF(E42=0,0,E42/E$46)</f>
        <v>#DIV/0!</v>
      </c>
      <c r="H42" s="66" t="e">
        <f>SUM(H31:H41)</f>
        <v>#DIV/0!</v>
      </c>
      <c r="I42" s="71" t="e">
        <f>IF(H42=0,0,H42/H$46)</f>
        <v>#DIV/0!</v>
      </c>
      <c r="J42" s="155"/>
      <c r="K42" s="155"/>
    </row>
    <row r="43" spans="1:22" s="41" customFormat="1">
      <c r="A43" s="149"/>
      <c r="B43" s="153"/>
      <c r="C43" s="154"/>
      <c r="D43" s="131"/>
      <c r="E43" s="57"/>
      <c r="F43" s="88"/>
      <c r="H43" s="57"/>
      <c r="I43" s="88"/>
      <c r="J43" s="93"/>
      <c r="K43" s="93"/>
    </row>
    <row r="44" spans="1:22" s="41" customFormat="1">
      <c r="A44" s="149" t="s">
        <v>1078</v>
      </c>
      <c r="B44" s="153"/>
      <c r="C44" s="85"/>
      <c r="D44" s="131"/>
      <c r="E44" s="65">
        <v>0</v>
      </c>
      <c r="F44" s="71">
        <f>(IF(E44=0,0,E44/E$46))</f>
        <v>0</v>
      </c>
      <c r="H44" s="65">
        <v>0</v>
      </c>
      <c r="I44" s="71">
        <f>(IF(H44=0,0,H44/H$46))</f>
        <v>0</v>
      </c>
      <c r="J44" s="155"/>
      <c r="K44" s="155"/>
    </row>
    <row r="45" spans="1:22" s="41" customFormat="1" ht="30" customHeight="1">
      <c r="A45" s="149"/>
      <c r="B45" s="168"/>
      <c r="C45" s="154"/>
      <c r="D45" s="131"/>
      <c r="E45" s="57"/>
      <c r="F45" s="62"/>
      <c r="H45" s="57"/>
      <c r="I45" s="62"/>
      <c r="J45" s="139"/>
      <c r="K45" s="139"/>
      <c r="L45" s="74"/>
      <c r="M45" s="74"/>
      <c r="N45" s="74"/>
      <c r="O45" s="74"/>
      <c r="P45" s="74"/>
      <c r="Q45" s="74"/>
      <c r="R45" s="74"/>
    </row>
    <row r="46" spans="1:22" s="41" customFormat="1">
      <c r="A46" s="145" t="s">
        <v>1079</v>
      </c>
      <c r="B46" s="169"/>
      <c r="C46" s="170"/>
      <c r="D46" s="131"/>
      <c r="E46" s="89" t="e">
        <f>SUM(E42:E45)</f>
        <v>#DIV/0!</v>
      </c>
      <c r="F46" s="90" t="e">
        <f t="shared" ref="F46" si="2">SUM(F42:F45)</f>
        <v>#DIV/0!</v>
      </c>
      <c r="H46" s="89" t="e">
        <f t="shared" ref="H46:I46" si="3">SUM(H42:H45)</f>
        <v>#DIV/0!</v>
      </c>
      <c r="I46" s="90" t="e">
        <f t="shared" si="3"/>
        <v>#DIV/0!</v>
      </c>
      <c r="J46" s="171"/>
      <c r="K46" s="171"/>
      <c r="L46" s="74"/>
      <c r="M46" s="74"/>
      <c r="N46" s="74"/>
      <c r="O46" s="74"/>
      <c r="P46" s="74"/>
      <c r="Q46" s="74"/>
      <c r="R46" s="74"/>
      <c r="S46" s="74"/>
    </row>
    <row r="47" spans="1:22" s="41" customFormat="1">
      <c r="B47" s="91"/>
      <c r="C47" s="92"/>
      <c r="D47" s="131"/>
      <c r="E47" s="78"/>
      <c r="F47" s="93"/>
      <c r="H47" s="78"/>
      <c r="I47" s="93"/>
      <c r="J47" s="93"/>
      <c r="K47" s="93"/>
      <c r="L47" s="74"/>
      <c r="M47" s="74"/>
      <c r="N47" s="74"/>
      <c r="O47" s="74"/>
      <c r="P47" s="74"/>
      <c r="Q47" s="74"/>
      <c r="R47" s="74"/>
      <c r="S47" s="74"/>
      <c r="T47" s="74"/>
    </row>
    <row r="48" spans="1:22" s="76" customFormat="1">
      <c r="A48" s="488" t="s">
        <v>1080</v>
      </c>
      <c r="B48" s="489"/>
      <c r="C48" s="490"/>
      <c r="D48" s="74"/>
      <c r="E48" s="491" t="e">
        <f>(E$26*1.3)+($E$46-$E$26)</f>
        <v>#DIV/0!</v>
      </c>
      <c r="F48" s="95"/>
      <c r="G48" s="74"/>
      <c r="H48" s="531" t="e">
        <f>(H$26*1.3)+($H$46-$H$26)</f>
        <v>#DIV/0!</v>
      </c>
      <c r="I48" s="95"/>
      <c r="J48" s="95"/>
      <c r="K48" s="95"/>
      <c r="L48" s="74"/>
      <c r="M48" s="74"/>
      <c r="N48" s="74"/>
      <c r="O48" s="74"/>
      <c r="P48" s="74"/>
      <c r="Q48" s="41"/>
      <c r="R48" s="74"/>
      <c r="S48" s="74"/>
      <c r="T48" s="74"/>
      <c r="U48" s="74"/>
      <c r="V48" s="74"/>
    </row>
    <row r="49" spans="1:22" s="76" customFormat="1">
      <c r="A49" s="74"/>
      <c r="B49" s="94"/>
      <c r="C49" s="492"/>
      <c r="D49" s="74"/>
      <c r="E49" s="493"/>
      <c r="F49" s="95"/>
      <c r="G49" s="74"/>
      <c r="H49" s="493"/>
      <c r="I49" s="95"/>
      <c r="J49" s="95"/>
      <c r="K49" s="95"/>
      <c r="L49" s="74"/>
      <c r="M49" s="74"/>
      <c r="N49" s="74"/>
      <c r="O49" s="74"/>
      <c r="P49" s="74"/>
      <c r="Q49" s="41"/>
      <c r="R49" s="74"/>
      <c r="S49" s="74"/>
      <c r="T49" s="74"/>
      <c r="U49" s="74"/>
      <c r="V49" s="74"/>
    </row>
    <row r="50" spans="1:22" s="76" customFormat="1">
      <c r="A50" s="488" t="s">
        <v>1081</v>
      </c>
      <c r="B50" s="489"/>
      <c r="C50" s="490"/>
      <c r="D50" s="74"/>
      <c r="E50" s="491" t="e">
        <f>(E$26*1.5)+($E$46-$E$26)</f>
        <v>#DIV/0!</v>
      </c>
      <c r="F50" s="95"/>
      <c r="G50" s="74"/>
      <c r="H50" s="491" t="e">
        <f>(H$26*1.5)+($H$46-$H$26)</f>
        <v>#DIV/0!</v>
      </c>
      <c r="I50" s="95"/>
      <c r="J50" s="95"/>
      <c r="K50" s="95"/>
      <c r="L50" s="74"/>
      <c r="M50" s="74"/>
      <c r="N50" s="74"/>
      <c r="O50" s="74"/>
      <c r="P50" s="74"/>
      <c r="Q50" s="41"/>
      <c r="R50" s="74"/>
      <c r="S50" s="74"/>
      <c r="T50" s="74"/>
      <c r="U50" s="74"/>
      <c r="V50" s="74"/>
    </row>
    <row r="51" spans="1:22" s="76" customFormat="1">
      <c r="A51" s="74"/>
      <c r="B51" s="94"/>
      <c r="C51" s="492"/>
      <c r="D51" s="74"/>
      <c r="E51" s="493"/>
      <c r="F51" s="95"/>
      <c r="G51" s="74"/>
      <c r="H51" s="493"/>
      <c r="I51" s="95"/>
      <c r="J51" s="95"/>
      <c r="K51" s="95"/>
      <c r="L51" s="74"/>
      <c r="M51" s="74"/>
      <c r="N51" s="74"/>
      <c r="O51" s="74"/>
      <c r="P51" s="74"/>
      <c r="Q51" s="41"/>
      <c r="R51" s="74"/>
      <c r="S51" s="74"/>
      <c r="T51" s="74"/>
      <c r="U51" s="74"/>
      <c r="V51" s="74"/>
    </row>
    <row r="52" spans="1:22" s="76" customFormat="1">
      <c r="A52" s="488" t="s">
        <v>1082</v>
      </c>
      <c r="B52" s="489"/>
      <c r="C52" s="490"/>
      <c r="D52" s="74"/>
      <c r="E52" s="491" t="e">
        <f>(E$26*2.5)+($E$46-$E$26)</f>
        <v>#DIV/0!</v>
      </c>
      <c r="F52" s="95"/>
      <c r="G52" s="74"/>
      <c r="H52" s="491" t="e">
        <f>(H$26*2.5)+($H$46-$H$26)</f>
        <v>#DIV/0!</v>
      </c>
      <c r="I52" s="95"/>
      <c r="J52" s="95"/>
      <c r="K52" s="95"/>
      <c r="L52" s="74"/>
      <c r="M52" s="74"/>
      <c r="N52" s="74"/>
      <c r="O52" s="74"/>
      <c r="P52" s="74"/>
      <c r="Q52" s="41"/>
      <c r="R52" s="41"/>
      <c r="S52" s="74"/>
      <c r="T52" s="74"/>
      <c r="U52" s="74"/>
      <c r="V52" s="74"/>
    </row>
    <row r="53" spans="1:22" s="76" customFormat="1">
      <c r="A53" s="74"/>
      <c r="B53" s="74"/>
      <c r="C53" s="96"/>
      <c r="D53" s="74"/>
      <c r="E53" s="74"/>
      <c r="F53" s="95"/>
      <c r="G53" s="74"/>
      <c r="H53" s="74"/>
      <c r="I53" s="95"/>
      <c r="J53" s="95"/>
      <c r="K53" s="95"/>
      <c r="L53" s="74"/>
      <c r="M53" s="74"/>
      <c r="N53" s="74"/>
      <c r="O53" s="74"/>
      <c r="P53" s="74"/>
      <c r="Q53" s="41"/>
      <c r="R53" s="41"/>
      <c r="S53" s="74"/>
      <c r="T53" s="74"/>
      <c r="U53" s="74"/>
      <c r="V53" s="74"/>
    </row>
    <row r="54" spans="1:22" s="76" customFormat="1">
      <c r="A54" s="74"/>
      <c r="B54" s="74"/>
      <c r="C54" s="96"/>
      <c r="D54" s="74"/>
      <c r="E54" s="74"/>
      <c r="F54" s="95"/>
      <c r="G54" s="74"/>
      <c r="H54" s="74"/>
      <c r="I54" s="95"/>
      <c r="J54" s="95"/>
      <c r="K54" s="95"/>
      <c r="L54" s="74"/>
      <c r="M54" s="74"/>
      <c r="N54" s="74"/>
      <c r="O54" s="74"/>
      <c r="P54" s="74"/>
      <c r="Q54" s="41"/>
      <c r="R54" s="41"/>
      <c r="S54" s="74"/>
      <c r="T54" s="74"/>
      <c r="U54" s="74"/>
      <c r="V54" s="74"/>
    </row>
    <row r="55" spans="1:22" s="76" customFormat="1">
      <c r="A55" s="74"/>
      <c r="B55" s="74"/>
      <c r="C55" s="96"/>
      <c r="D55" s="74"/>
      <c r="E55" s="74"/>
      <c r="F55" s="95"/>
      <c r="G55" s="74"/>
      <c r="H55" s="74"/>
      <c r="I55" s="95"/>
      <c r="J55" s="95"/>
      <c r="K55" s="95"/>
      <c r="L55" s="74"/>
      <c r="M55" s="74"/>
      <c r="N55" s="74"/>
      <c r="O55" s="74"/>
      <c r="P55" s="74"/>
      <c r="Q55" s="41"/>
      <c r="R55" s="41"/>
      <c r="S55" s="74"/>
      <c r="T55" s="74"/>
      <c r="U55" s="74"/>
      <c r="V55" s="74"/>
    </row>
    <row r="56" spans="1:22" s="76" customFormat="1">
      <c r="A56" s="74"/>
      <c r="B56" s="74"/>
      <c r="C56" s="96"/>
      <c r="D56" s="74"/>
      <c r="E56" s="74"/>
      <c r="F56" s="95"/>
      <c r="G56" s="74"/>
      <c r="H56" s="74"/>
      <c r="I56" s="95"/>
      <c r="J56" s="95"/>
      <c r="K56" s="95"/>
      <c r="L56" s="74"/>
      <c r="M56" s="74"/>
      <c r="N56" s="74"/>
      <c r="O56" s="74"/>
      <c r="P56" s="74"/>
      <c r="Q56" s="41"/>
      <c r="R56" s="41"/>
      <c r="S56" s="74"/>
      <c r="T56" s="74"/>
      <c r="U56" s="74"/>
      <c r="V56" s="74"/>
    </row>
    <row r="57" spans="1:22" s="76" customFormat="1">
      <c r="A57" s="74"/>
      <c r="B57" s="74"/>
      <c r="C57" s="96"/>
      <c r="D57" s="74"/>
      <c r="E57" s="74"/>
      <c r="F57" s="95"/>
      <c r="G57" s="74"/>
      <c r="H57" s="74"/>
      <c r="I57" s="95"/>
      <c r="J57" s="95"/>
      <c r="K57" s="95"/>
      <c r="L57" s="74"/>
      <c r="M57" s="74"/>
      <c r="N57" s="74"/>
      <c r="O57" s="74"/>
      <c r="P57" s="74"/>
      <c r="Q57" s="41"/>
      <c r="R57" s="41"/>
      <c r="S57" s="74"/>
      <c r="T57" s="74"/>
      <c r="U57" s="74"/>
      <c r="V57" s="74"/>
    </row>
    <row r="58" spans="1:22" s="76" customFormat="1">
      <c r="A58" s="74"/>
      <c r="B58" s="74"/>
      <c r="C58" s="96"/>
      <c r="D58" s="74"/>
      <c r="E58" s="74"/>
      <c r="F58" s="95"/>
      <c r="G58" s="74"/>
      <c r="H58" s="74"/>
      <c r="I58" s="95"/>
      <c r="J58" s="95"/>
      <c r="K58" s="95"/>
      <c r="L58" s="74"/>
      <c r="M58" s="74"/>
      <c r="N58" s="74"/>
      <c r="O58" s="74"/>
      <c r="P58" s="74"/>
      <c r="Q58" s="41"/>
      <c r="R58" s="41"/>
      <c r="S58" s="41"/>
      <c r="T58" s="74"/>
      <c r="U58" s="74"/>
      <c r="V58" s="74"/>
    </row>
    <row r="59" spans="1:22" s="76" customFormat="1">
      <c r="A59" s="74"/>
      <c r="B59" s="74"/>
      <c r="C59" s="96"/>
      <c r="D59" s="74"/>
      <c r="E59" s="41"/>
      <c r="F59" s="95"/>
      <c r="G59" s="74"/>
      <c r="H59" s="41"/>
      <c r="I59" s="95"/>
      <c r="J59" s="95"/>
      <c r="K59" s="95"/>
      <c r="L59" s="74"/>
      <c r="M59" s="74"/>
      <c r="N59" s="74"/>
      <c r="O59" s="74"/>
      <c r="P59" s="74"/>
      <c r="Q59" s="41"/>
      <c r="R59" s="41"/>
      <c r="S59" s="41"/>
      <c r="T59" s="41"/>
      <c r="U59" s="74"/>
      <c r="V59" s="74"/>
    </row>
    <row r="60" spans="1:22" s="76" customFormat="1">
      <c r="A60" s="41"/>
      <c r="B60" s="41"/>
      <c r="C60" s="41"/>
      <c r="D60" s="41"/>
      <c r="E60" s="41"/>
      <c r="F60" s="41"/>
      <c r="G60" s="41"/>
      <c r="H60" s="41"/>
      <c r="I60" s="41"/>
      <c r="J60" s="41"/>
      <c r="K60" s="41"/>
      <c r="L60" s="74"/>
      <c r="M60" s="74"/>
      <c r="N60" s="74"/>
      <c r="O60" s="74"/>
      <c r="P60" s="74"/>
      <c r="Q60" s="41"/>
      <c r="R60" s="41"/>
      <c r="S60" s="41"/>
      <c r="T60" s="41"/>
      <c r="U60" s="41"/>
      <c r="V60" s="41"/>
    </row>
    <row r="61" spans="1:22">
      <c r="L61" s="74"/>
      <c r="M61" s="74"/>
      <c r="N61" s="74"/>
      <c r="O61" s="74"/>
      <c r="P61" s="74"/>
    </row>
    <row r="62" spans="1:22">
      <c r="L62" s="74"/>
      <c r="M62" s="74"/>
      <c r="N62" s="74"/>
      <c r="O62" s="74"/>
      <c r="P62" s="74"/>
    </row>
    <row r="63" spans="1:22">
      <c r="L63" s="74"/>
      <c r="M63" s="74"/>
      <c r="N63" s="74"/>
      <c r="O63" s="74"/>
      <c r="P63" s="74"/>
    </row>
    <row r="64" spans="1:22">
      <c r="L64" s="74"/>
      <c r="M64" s="74"/>
      <c r="N64" s="74"/>
      <c r="O64" s="74"/>
      <c r="P64" s="74"/>
    </row>
  </sheetData>
  <dataConsolidate/>
  <mergeCells count="5">
    <mergeCell ref="L1:R2"/>
    <mergeCell ref="L3:R3"/>
    <mergeCell ref="L4:R5"/>
    <mergeCell ref="E10:F10"/>
    <mergeCell ref="H10:I10"/>
  </mergeCells>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682D0-CE67-401B-9990-94D4C71DFDE8}">
  <sheetPr>
    <tabColor theme="0" tint="-4.9989318521683403E-2"/>
  </sheetPr>
  <dimension ref="A1:AF41"/>
  <sheetViews>
    <sheetView showGridLines="0" workbookViewId="0">
      <pane ySplit="10" topLeftCell="A11" activePane="bottomLeft" state="frozen"/>
      <selection pane="bottomLeft" activeCell="C26" sqref="C26"/>
    </sheetView>
  </sheetViews>
  <sheetFormatPr defaultColWidth="11.44140625" defaultRowHeight="13.2"/>
  <cols>
    <col min="1" max="1" width="35.88671875" style="41" customWidth="1"/>
    <col min="2" max="7" width="8.5546875" style="41" customWidth="1"/>
    <col min="8" max="8" width="3.33203125" style="41" customWidth="1"/>
    <col min="9" max="9" width="35.88671875" style="41" customWidth="1"/>
    <col min="10" max="15" width="8.6640625" style="41" customWidth="1"/>
    <col min="16" max="16" width="3.5546875" style="41" customWidth="1"/>
    <col min="17" max="18" width="12.33203125" style="41" customWidth="1"/>
    <col min="19" max="19" width="27.5546875" style="41" customWidth="1"/>
    <col min="20" max="26" width="11.44140625" style="41"/>
    <col min="27" max="27" width="10.5546875" style="41" customWidth="1"/>
    <col min="28" max="32" width="11.44140625" style="41"/>
    <col min="33" max="16384" width="11.44140625" style="1"/>
  </cols>
  <sheetData>
    <row r="1" spans="1:29" ht="12.75" customHeight="1">
      <c r="A1" s="97" t="s">
        <v>0</v>
      </c>
      <c r="B1" s="98"/>
      <c r="C1" s="99"/>
      <c r="D1" s="99"/>
      <c r="E1" s="99"/>
      <c r="F1" s="99"/>
      <c r="G1" s="99"/>
      <c r="H1" s="99"/>
      <c r="I1" s="99"/>
      <c r="J1" s="99"/>
      <c r="K1" s="99"/>
      <c r="L1" s="99"/>
      <c r="M1" s="99"/>
      <c r="N1" s="99"/>
      <c r="O1" s="99"/>
      <c r="P1" s="99"/>
      <c r="Q1" s="99"/>
      <c r="R1" s="99"/>
      <c r="S1" s="559"/>
      <c r="T1" s="559"/>
      <c r="U1" s="559"/>
      <c r="V1" s="559"/>
      <c r="W1" s="559"/>
      <c r="X1" s="559"/>
      <c r="Y1" s="559"/>
    </row>
    <row r="2" spans="1:29" ht="15">
      <c r="A2" s="126"/>
      <c r="B2" s="127"/>
      <c r="C2" s="128"/>
      <c r="D2" s="127"/>
      <c r="E2" s="42"/>
      <c r="F2" s="43"/>
      <c r="G2" s="42"/>
      <c r="H2" s="43"/>
      <c r="I2" s="126"/>
      <c r="J2" s="126"/>
      <c r="K2" s="126"/>
      <c r="L2" s="127"/>
      <c r="M2" s="42"/>
      <c r="N2" s="43"/>
      <c r="O2" s="42"/>
      <c r="P2" s="42"/>
      <c r="Q2" s="43"/>
      <c r="R2" s="43"/>
      <c r="S2" s="559"/>
      <c r="T2" s="559"/>
      <c r="U2" s="559"/>
      <c r="V2" s="559"/>
      <c r="W2" s="559"/>
      <c r="X2" s="559"/>
      <c r="Y2" s="559"/>
    </row>
    <row r="3" spans="1:29" ht="14.25" customHeight="1">
      <c r="A3" s="6" t="str">
        <f>'1-Totaal inschrijfbedrag'!A3</f>
        <v>Naam opdrachtgever</v>
      </c>
      <c r="B3" s="4" t="str">
        <f>'1-Totaal inschrijfbedrag'!B3</f>
        <v>GVB operatie Metro</v>
      </c>
      <c r="C3" s="129"/>
      <c r="D3" s="127"/>
      <c r="E3" s="45"/>
      <c r="F3" s="46"/>
      <c r="G3" s="45"/>
      <c r="H3" s="46"/>
      <c r="I3" s="3"/>
      <c r="J3" s="4"/>
      <c r="K3" s="129"/>
      <c r="L3" s="127"/>
      <c r="M3" s="45"/>
      <c r="N3" s="46"/>
      <c r="O3" s="45"/>
      <c r="P3" s="45"/>
      <c r="Q3" s="46"/>
      <c r="R3" s="46"/>
      <c r="S3" s="559"/>
      <c r="T3" s="559"/>
      <c r="U3" s="559"/>
      <c r="V3" s="559"/>
      <c r="W3" s="559"/>
      <c r="X3" s="559"/>
      <c r="Y3" s="559"/>
    </row>
    <row r="4" spans="1:29" ht="15.75" customHeight="1">
      <c r="A4" s="6" t="str">
        <f>'1-Totaal inschrijfbedrag'!A4</f>
        <v>Calculatie onderdeel</v>
      </c>
      <c r="B4" s="44" t="str">
        <f ca="1">MID(CELL("bestandsnaam",$D$10),SEARCH("]",CELL("bestandsnaam",$D$10),1)+1,256)</f>
        <v>10a-Onderbouwing basis uurloon</v>
      </c>
      <c r="C4" s="130"/>
      <c r="D4" s="131"/>
      <c r="I4" s="3"/>
      <c r="J4" s="4"/>
      <c r="K4" s="130"/>
      <c r="L4" s="131"/>
      <c r="S4" s="559"/>
      <c r="T4" s="559"/>
      <c r="U4" s="559"/>
      <c r="V4" s="559"/>
      <c r="W4" s="559"/>
      <c r="X4" s="559"/>
      <c r="Y4" s="559"/>
    </row>
    <row r="5" spans="1:29" ht="18.600000000000001">
      <c r="A5" s="6" t="str">
        <f>'1-Totaal inschrijfbedrag'!A5</f>
        <v>Gebouw/plaats</v>
      </c>
      <c r="B5" s="4" t="str">
        <f>'1-Totaal inschrijfbedrag'!B5</f>
        <v>Amsterdam</v>
      </c>
      <c r="C5" s="130"/>
      <c r="D5" s="131"/>
      <c r="I5" s="3"/>
      <c r="J5" s="4"/>
      <c r="K5" s="130"/>
      <c r="L5" s="131"/>
      <c r="S5" s="559"/>
      <c r="T5" s="559"/>
      <c r="U5" s="559"/>
      <c r="V5" s="559"/>
      <c r="W5" s="559"/>
      <c r="X5" s="559"/>
      <c r="Y5" s="559"/>
    </row>
    <row r="6" spans="1:29" ht="18.600000000000001">
      <c r="A6" s="6" t="str">
        <f>'1-Totaal inschrijfbedrag'!A6</f>
        <v>Referentienummer</v>
      </c>
      <c r="B6" s="4" t="str">
        <f>'1-Totaal inschrijfbedrag'!B6</f>
        <v>2024-62</v>
      </c>
      <c r="C6" s="130"/>
      <c r="D6" s="131"/>
      <c r="I6" s="3"/>
      <c r="J6" s="4"/>
      <c r="K6" s="130"/>
      <c r="L6" s="131"/>
      <c r="S6" s="47"/>
      <c r="T6" s="47"/>
      <c r="U6" s="47"/>
      <c r="V6" s="47"/>
      <c r="W6" s="47"/>
      <c r="X6" s="47"/>
      <c r="Y6" s="47"/>
    </row>
    <row r="7" spans="1:29" ht="18.600000000000001">
      <c r="A7" s="6" t="str">
        <f>'1-Totaal inschrijfbedrag'!A7</f>
        <v>Naam dienstverlener</v>
      </c>
      <c r="B7" s="4">
        <f>'1-Totaal inschrijfbedrag'!B7</f>
        <v>0</v>
      </c>
      <c r="C7" s="130"/>
      <c r="D7" s="131"/>
      <c r="I7" s="3"/>
      <c r="J7" s="4"/>
      <c r="K7" s="130"/>
      <c r="L7" s="131"/>
      <c r="S7" s="47"/>
      <c r="T7" s="47"/>
      <c r="U7" s="47"/>
      <c r="V7" s="47"/>
      <c r="W7" s="47"/>
      <c r="X7" s="47"/>
      <c r="Y7" s="47"/>
    </row>
    <row r="8" spans="1:29" ht="18.600000000000001">
      <c r="A8" s="6" t="str">
        <f>'1-Totaal inschrijfbedrag'!A8</f>
        <v>Prijspeil</v>
      </c>
      <c r="B8" s="2" t="str">
        <f>'1-Totaal inschrijfbedrag'!B8</f>
        <v>1 juli 2025</v>
      </c>
      <c r="C8" s="130"/>
      <c r="D8" s="131"/>
      <c r="I8" s="3"/>
      <c r="J8" s="104"/>
      <c r="K8" s="130"/>
      <c r="L8" s="131"/>
      <c r="U8" s="47"/>
      <c r="V8" s="47"/>
      <c r="W8" s="47"/>
      <c r="X8" s="47"/>
      <c r="Y8" s="47"/>
      <c r="Z8" s="48"/>
    </row>
    <row r="9" spans="1:29" s="76" customFormat="1">
      <c r="A9" s="74"/>
      <c r="B9" s="74"/>
      <c r="C9" s="96"/>
      <c r="D9" s="74"/>
      <c r="E9" s="74"/>
      <c r="F9" s="95"/>
      <c r="G9" s="74"/>
      <c r="H9" s="95"/>
      <c r="I9" s="74"/>
      <c r="J9" s="74"/>
      <c r="K9" s="96"/>
      <c r="L9" s="74"/>
      <c r="M9" s="74"/>
      <c r="N9" s="95"/>
      <c r="O9" s="74"/>
      <c r="P9" s="74"/>
      <c r="Q9" s="95"/>
      <c r="R9" s="95"/>
      <c r="S9" s="74"/>
      <c r="T9" s="74"/>
      <c r="U9" s="74"/>
      <c r="V9" s="74"/>
      <c r="W9" s="74"/>
      <c r="X9" s="41"/>
      <c r="Y9" s="41"/>
      <c r="Z9" s="74"/>
      <c r="AA9" s="74"/>
      <c r="AB9" s="74"/>
      <c r="AC9" s="74"/>
    </row>
    <row r="10" spans="1:29" s="76" customFormat="1" ht="30" customHeight="1">
      <c r="A10" s="133" t="s">
        <v>1050</v>
      </c>
      <c r="B10" s="567" t="s">
        <v>1083</v>
      </c>
      <c r="C10" s="568"/>
      <c r="D10" s="568"/>
      <c r="E10" s="568"/>
      <c r="F10" s="568"/>
      <c r="G10" s="568"/>
      <c r="H10" s="95"/>
      <c r="I10" s="133" t="s">
        <v>1051</v>
      </c>
      <c r="J10" s="567" t="s">
        <v>1083</v>
      </c>
      <c r="K10" s="568"/>
      <c r="L10" s="568"/>
      <c r="M10" s="568"/>
      <c r="N10" s="568"/>
      <c r="O10" s="568"/>
      <c r="P10" s="74"/>
      <c r="Q10" s="95"/>
      <c r="R10" s="95"/>
      <c r="S10" s="74"/>
      <c r="T10" s="74"/>
      <c r="U10" s="74"/>
      <c r="V10" s="74"/>
      <c r="W10" s="74"/>
      <c r="X10" s="41"/>
      <c r="Y10" s="41"/>
      <c r="Z10" s="74"/>
      <c r="AA10" s="74"/>
      <c r="AB10" s="74"/>
      <c r="AC10" s="74"/>
    </row>
    <row r="11" spans="1:29" s="76" customFormat="1">
      <c r="A11" s="137"/>
      <c r="B11" s="172">
        <v>1</v>
      </c>
      <c r="C11" s="172">
        <v>2</v>
      </c>
      <c r="D11" s="172">
        <v>3</v>
      </c>
      <c r="E11" s="172">
        <v>4</v>
      </c>
      <c r="F11" s="172">
        <v>5</v>
      </c>
      <c r="G11" s="172">
        <v>6</v>
      </c>
      <c r="H11" s="95"/>
      <c r="I11" s="137"/>
      <c r="J11" s="172">
        <v>1</v>
      </c>
      <c r="K11" s="172">
        <v>2</v>
      </c>
      <c r="L11" s="172">
        <v>3</v>
      </c>
      <c r="M11" s="172">
        <v>4</v>
      </c>
      <c r="N11" s="172">
        <v>5</v>
      </c>
      <c r="O11" s="172">
        <v>6</v>
      </c>
      <c r="P11" s="74"/>
      <c r="Q11" s="95"/>
      <c r="R11" s="95"/>
      <c r="S11" s="74"/>
      <c r="T11" s="74"/>
      <c r="U11" s="74"/>
      <c r="V11" s="74"/>
      <c r="W11" s="74"/>
      <c r="X11" s="41"/>
      <c r="Y11" s="41"/>
      <c r="Z11" s="74"/>
      <c r="AA11" s="74"/>
      <c r="AB11" s="74"/>
      <c r="AC11" s="74"/>
    </row>
    <row r="12" spans="1:29" s="76" customFormat="1">
      <c r="A12" s="137" t="s">
        <v>1084</v>
      </c>
      <c r="B12" s="63">
        <v>0</v>
      </c>
      <c r="C12" s="63">
        <v>0</v>
      </c>
      <c r="D12" s="63">
        <v>0</v>
      </c>
      <c r="E12" s="63">
        <v>0</v>
      </c>
      <c r="F12" s="63">
        <v>0</v>
      </c>
      <c r="G12" s="63">
        <v>0</v>
      </c>
      <c r="H12" s="95"/>
      <c r="I12" s="137" t="s">
        <v>1084</v>
      </c>
      <c r="J12" s="63">
        <v>0</v>
      </c>
      <c r="K12" s="63">
        <v>0</v>
      </c>
      <c r="L12" s="63">
        <v>0</v>
      </c>
      <c r="M12" s="63">
        <v>0</v>
      </c>
      <c r="N12" s="63">
        <v>0</v>
      </c>
      <c r="O12" s="63">
        <v>0</v>
      </c>
      <c r="P12" s="74"/>
      <c r="Q12" s="95"/>
      <c r="R12" s="95"/>
      <c r="S12" s="74"/>
      <c r="T12" s="74"/>
      <c r="U12" s="74"/>
      <c r="V12" s="74"/>
      <c r="W12" s="74"/>
      <c r="X12" s="41"/>
      <c r="Y12" s="41"/>
      <c r="Z12" s="74"/>
      <c r="AA12" s="74"/>
      <c r="AB12" s="74"/>
      <c r="AC12" s="74"/>
    </row>
    <row r="13" spans="1:29" s="76" customFormat="1">
      <c r="A13" s="137" t="s">
        <v>1085</v>
      </c>
      <c r="B13" s="63">
        <v>0</v>
      </c>
      <c r="C13" s="63">
        <v>0</v>
      </c>
      <c r="D13" s="63">
        <v>0</v>
      </c>
      <c r="E13" s="63">
        <v>0</v>
      </c>
      <c r="F13" s="63">
        <v>0</v>
      </c>
      <c r="G13" s="63">
        <v>0</v>
      </c>
      <c r="H13" s="95"/>
      <c r="I13" s="137" t="s">
        <v>1085</v>
      </c>
      <c r="J13" s="63">
        <v>0</v>
      </c>
      <c r="K13" s="63">
        <v>0</v>
      </c>
      <c r="L13" s="63">
        <v>0</v>
      </c>
      <c r="M13" s="63">
        <v>0</v>
      </c>
      <c r="N13" s="63">
        <v>0</v>
      </c>
      <c r="O13" s="63">
        <v>0</v>
      </c>
      <c r="P13" s="74"/>
      <c r="Q13" s="95"/>
      <c r="R13" s="95"/>
      <c r="S13" s="74"/>
      <c r="T13" s="74"/>
      <c r="U13" s="74"/>
      <c r="V13" s="74"/>
      <c r="W13" s="74"/>
      <c r="X13" s="41"/>
      <c r="Y13" s="41"/>
      <c r="Z13" s="74"/>
      <c r="AA13" s="74"/>
      <c r="AB13" s="74"/>
      <c r="AC13" s="74"/>
    </row>
    <row r="14" spans="1:29" s="76" customFormat="1">
      <c r="A14" s="137" t="s">
        <v>1086</v>
      </c>
      <c r="B14" s="63">
        <v>0</v>
      </c>
      <c r="C14" s="63">
        <v>0</v>
      </c>
      <c r="D14" s="63">
        <v>0</v>
      </c>
      <c r="E14" s="63">
        <v>0</v>
      </c>
      <c r="F14" s="63">
        <v>0</v>
      </c>
      <c r="G14" s="63">
        <v>0</v>
      </c>
      <c r="H14" s="95"/>
      <c r="I14" s="137" t="s">
        <v>1086</v>
      </c>
      <c r="J14" s="63">
        <v>0</v>
      </c>
      <c r="K14" s="63">
        <v>0</v>
      </c>
      <c r="L14" s="63">
        <v>0</v>
      </c>
      <c r="M14" s="63">
        <v>0</v>
      </c>
      <c r="N14" s="63">
        <v>0</v>
      </c>
      <c r="O14" s="63">
        <v>0</v>
      </c>
      <c r="P14" s="74"/>
      <c r="Q14" s="95"/>
      <c r="R14" s="95"/>
      <c r="S14" s="74"/>
      <c r="T14" s="74"/>
      <c r="U14" s="74"/>
      <c r="V14" s="74"/>
      <c r="W14" s="74"/>
      <c r="X14" s="41"/>
      <c r="Y14" s="41"/>
      <c r="Z14" s="41"/>
      <c r="AA14" s="74"/>
      <c r="AB14" s="74"/>
      <c r="AC14" s="74"/>
    </row>
    <row r="15" spans="1:29" s="76" customFormat="1">
      <c r="A15" s="137" t="s">
        <v>1087</v>
      </c>
      <c r="B15" s="63">
        <v>0</v>
      </c>
      <c r="C15" s="63">
        <v>0</v>
      </c>
      <c r="D15" s="63">
        <v>0</v>
      </c>
      <c r="E15" s="63">
        <v>0</v>
      </c>
      <c r="F15" s="63">
        <v>0</v>
      </c>
      <c r="G15" s="63">
        <v>0</v>
      </c>
      <c r="H15" s="95"/>
      <c r="I15" s="137" t="s">
        <v>1087</v>
      </c>
      <c r="J15" s="63">
        <v>0</v>
      </c>
      <c r="K15" s="63">
        <v>0</v>
      </c>
      <c r="L15" s="63">
        <v>0</v>
      </c>
      <c r="M15" s="63">
        <v>0</v>
      </c>
      <c r="N15" s="63">
        <v>0</v>
      </c>
      <c r="O15" s="63">
        <v>0</v>
      </c>
      <c r="P15" s="41"/>
      <c r="Q15" s="95"/>
      <c r="R15" s="95"/>
      <c r="S15" s="74"/>
      <c r="T15" s="74"/>
      <c r="U15" s="74"/>
      <c r="V15" s="74"/>
      <c r="W15" s="74"/>
      <c r="X15" s="41"/>
      <c r="Y15" s="41"/>
      <c r="Z15" s="41"/>
      <c r="AA15" s="41"/>
      <c r="AB15" s="74"/>
      <c r="AC15" s="74"/>
    </row>
    <row r="16" spans="1:29" s="76" customFormat="1">
      <c r="A16" s="137" t="s">
        <v>1088</v>
      </c>
      <c r="B16" s="63">
        <v>0</v>
      </c>
      <c r="C16" s="63">
        <v>0</v>
      </c>
      <c r="D16" s="63">
        <v>0</v>
      </c>
      <c r="E16" s="63">
        <v>0</v>
      </c>
      <c r="F16" s="63">
        <v>0</v>
      </c>
      <c r="G16" s="63">
        <v>0</v>
      </c>
      <c r="H16" s="41"/>
      <c r="I16" s="137" t="s">
        <v>1088</v>
      </c>
      <c r="J16" s="63">
        <v>0</v>
      </c>
      <c r="K16" s="63">
        <v>0</v>
      </c>
      <c r="L16" s="63">
        <v>0</v>
      </c>
      <c r="M16" s="63">
        <v>0</v>
      </c>
      <c r="N16" s="63">
        <v>0</v>
      </c>
      <c r="O16" s="63">
        <v>0</v>
      </c>
      <c r="P16" s="41"/>
      <c r="Q16" s="41"/>
      <c r="R16" s="41"/>
      <c r="S16" s="74"/>
      <c r="T16" s="74"/>
      <c r="U16" s="74"/>
      <c r="V16" s="74"/>
      <c r="W16" s="74"/>
      <c r="X16" s="41"/>
      <c r="Y16" s="41"/>
      <c r="Z16" s="41"/>
      <c r="AA16" s="41"/>
      <c r="AB16" s="41"/>
      <c r="AC16" s="41"/>
    </row>
    <row r="17" spans="1:29">
      <c r="A17" s="137" t="s">
        <v>1089</v>
      </c>
      <c r="B17" s="63">
        <v>0</v>
      </c>
      <c r="C17" s="63">
        <v>0</v>
      </c>
      <c r="D17" s="63">
        <v>0</v>
      </c>
      <c r="E17" s="63">
        <v>0</v>
      </c>
      <c r="F17" s="63">
        <v>0</v>
      </c>
      <c r="G17" s="63">
        <v>0</v>
      </c>
      <c r="I17" s="137" t="s">
        <v>1089</v>
      </c>
      <c r="J17" s="63">
        <v>0</v>
      </c>
      <c r="K17" s="63">
        <v>0</v>
      </c>
      <c r="L17" s="63">
        <v>0</v>
      </c>
      <c r="M17" s="63">
        <v>0</v>
      </c>
      <c r="N17" s="63">
        <v>0</v>
      </c>
      <c r="O17" s="63">
        <v>0</v>
      </c>
      <c r="S17" s="74"/>
      <c r="T17" s="74"/>
      <c r="U17" s="74"/>
      <c r="V17" s="74"/>
      <c r="W17" s="74"/>
    </row>
    <row r="18" spans="1:29">
      <c r="A18" s="137" t="s">
        <v>1090</v>
      </c>
      <c r="B18" s="63">
        <v>0</v>
      </c>
      <c r="C18" s="63">
        <v>0</v>
      </c>
      <c r="D18" s="63">
        <v>0</v>
      </c>
      <c r="E18" s="63">
        <v>0</v>
      </c>
      <c r="F18" s="63">
        <v>0</v>
      </c>
      <c r="G18" s="63">
        <v>0</v>
      </c>
      <c r="I18" s="137" t="s">
        <v>1090</v>
      </c>
      <c r="J18" s="63">
        <v>0</v>
      </c>
      <c r="K18" s="63">
        <v>0</v>
      </c>
      <c r="L18" s="63">
        <v>0</v>
      </c>
      <c r="M18" s="63">
        <v>0</v>
      </c>
      <c r="N18" s="63">
        <v>0</v>
      </c>
      <c r="O18" s="63">
        <v>0</v>
      </c>
      <c r="S18" s="74"/>
      <c r="T18" s="74"/>
      <c r="U18" s="74"/>
      <c r="V18" s="74"/>
      <c r="W18" s="74"/>
    </row>
    <row r="19" spans="1:29">
      <c r="S19" s="74"/>
      <c r="T19" s="74"/>
      <c r="U19" s="74"/>
      <c r="V19" s="74"/>
      <c r="W19" s="74"/>
    </row>
    <row r="20" spans="1:29" ht="15" customHeight="1">
      <c r="A20" s="133" t="s">
        <v>980</v>
      </c>
      <c r="B20" s="562" t="s">
        <v>1091</v>
      </c>
      <c r="C20" s="563"/>
      <c r="D20" s="563"/>
      <c r="E20" s="563"/>
      <c r="F20" s="563"/>
      <c r="G20" s="564"/>
      <c r="I20" s="133" t="s">
        <v>980</v>
      </c>
      <c r="J20" s="562" t="s">
        <v>1091</v>
      </c>
      <c r="K20" s="563"/>
      <c r="L20" s="563"/>
      <c r="M20" s="563"/>
      <c r="N20" s="563"/>
      <c r="O20" s="564"/>
      <c r="S20" s="74"/>
      <c r="T20" s="74"/>
      <c r="U20" s="74"/>
      <c r="V20" s="74"/>
      <c r="W20" s="74"/>
    </row>
    <row r="21" spans="1:29">
      <c r="A21" s="137"/>
      <c r="B21" s="172">
        <v>1</v>
      </c>
      <c r="C21" s="172">
        <v>2</v>
      </c>
      <c r="D21" s="172">
        <v>3</v>
      </c>
      <c r="E21" s="172">
        <v>4</v>
      </c>
      <c r="F21" s="172">
        <v>5</v>
      </c>
      <c r="G21" s="172">
        <v>6</v>
      </c>
      <c r="I21" s="137"/>
      <c r="J21" s="172">
        <v>1</v>
      </c>
      <c r="K21" s="172">
        <v>2</v>
      </c>
      <c r="L21" s="172">
        <v>3</v>
      </c>
      <c r="M21" s="172">
        <v>4</v>
      </c>
      <c r="N21" s="172">
        <v>5</v>
      </c>
      <c r="O21" s="172">
        <v>6</v>
      </c>
    </row>
    <row r="22" spans="1:29">
      <c r="A22" s="137" t="s">
        <v>1084</v>
      </c>
      <c r="B22" s="77"/>
      <c r="C22" s="77"/>
      <c r="D22" s="77"/>
      <c r="E22" s="77"/>
      <c r="F22" s="77"/>
      <c r="G22" s="77"/>
      <c r="I22" s="137" t="s">
        <v>1084</v>
      </c>
      <c r="J22" s="77"/>
      <c r="K22" s="77"/>
      <c r="L22" s="77"/>
      <c r="M22" s="77"/>
      <c r="N22" s="77"/>
      <c r="O22" s="77"/>
    </row>
    <row r="23" spans="1:29">
      <c r="A23" s="137" t="s">
        <v>1085</v>
      </c>
      <c r="B23" s="77"/>
      <c r="C23" s="77"/>
      <c r="D23" s="77"/>
      <c r="E23" s="77"/>
      <c r="F23" s="77"/>
      <c r="G23" s="77"/>
      <c r="I23" s="137" t="s">
        <v>1085</v>
      </c>
      <c r="J23" s="77"/>
      <c r="K23" s="77"/>
      <c r="L23" s="77"/>
      <c r="M23" s="77"/>
      <c r="N23" s="77"/>
      <c r="O23" s="77"/>
    </row>
    <row r="24" spans="1:29">
      <c r="A24" s="137" t="s">
        <v>1086</v>
      </c>
      <c r="B24" s="77"/>
      <c r="C24" s="77"/>
      <c r="D24" s="77"/>
      <c r="E24" s="77"/>
      <c r="F24" s="77"/>
      <c r="G24" s="77"/>
      <c r="I24" s="137" t="s">
        <v>1086</v>
      </c>
      <c r="J24" s="77"/>
      <c r="K24" s="77"/>
      <c r="L24" s="77"/>
      <c r="M24" s="77"/>
      <c r="N24" s="77"/>
      <c r="O24" s="77"/>
    </row>
    <row r="25" spans="1:29">
      <c r="A25" s="137" t="s">
        <v>1087</v>
      </c>
      <c r="B25" s="77"/>
      <c r="C25" s="77"/>
      <c r="D25" s="77"/>
      <c r="E25" s="77"/>
      <c r="F25" s="77"/>
      <c r="G25" s="77"/>
      <c r="I25" s="137" t="s">
        <v>1087</v>
      </c>
      <c r="J25" s="77"/>
      <c r="K25" s="77"/>
      <c r="L25" s="77"/>
      <c r="M25" s="77"/>
      <c r="N25" s="77"/>
      <c r="O25" s="77"/>
    </row>
    <row r="26" spans="1:29">
      <c r="A26" s="137" t="s">
        <v>1088</v>
      </c>
      <c r="B26" s="77"/>
      <c r="C26" s="77"/>
      <c r="D26" s="77"/>
      <c r="E26" s="77"/>
      <c r="F26" s="77"/>
      <c r="G26" s="77"/>
      <c r="I26" s="137" t="s">
        <v>1088</v>
      </c>
      <c r="J26" s="77"/>
      <c r="K26" s="77"/>
      <c r="L26" s="77"/>
      <c r="M26" s="77"/>
      <c r="N26" s="77"/>
      <c r="O26" s="77"/>
    </row>
    <row r="27" spans="1:29">
      <c r="A27" s="137" t="s">
        <v>1089</v>
      </c>
      <c r="B27" s="77"/>
      <c r="C27" s="77"/>
      <c r="D27" s="77"/>
      <c r="E27" s="77"/>
      <c r="F27" s="77"/>
      <c r="G27" s="77"/>
      <c r="I27" s="137" t="s">
        <v>1089</v>
      </c>
      <c r="J27" s="77"/>
      <c r="K27" s="77"/>
      <c r="L27" s="77"/>
      <c r="M27" s="77"/>
      <c r="N27" s="77"/>
      <c r="O27" s="77"/>
    </row>
    <row r="28" spans="1:29">
      <c r="A28" s="137" t="s">
        <v>1090</v>
      </c>
      <c r="B28" s="77"/>
      <c r="C28" s="77"/>
      <c r="D28" s="77"/>
      <c r="E28" s="77"/>
      <c r="F28" s="77"/>
      <c r="G28" s="77"/>
      <c r="I28" s="137" t="s">
        <v>1090</v>
      </c>
      <c r="J28" s="77"/>
      <c r="K28" s="77"/>
      <c r="L28" s="77"/>
      <c r="M28" s="77"/>
      <c r="N28" s="77"/>
      <c r="O28" s="77"/>
    </row>
    <row r="29" spans="1:29">
      <c r="A29" s="79" t="s">
        <v>1092</v>
      </c>
      <c r="B29" s="80">
        <f t="shared" ref="B29:G29" si="0">SUM(B22:B28)</f>
        <v>0</v>
      </c>
      <c r="C29" s="80">
        <f t="shared" si="0"/>
        <v>0</v>
      </c>
      <c r="D29" s="80">
        <f t="shared" si="0"/>
        <v>0</v>
      </c>
      <c r="E29" s="80">
        <f t="shared" si="0"/>
        <v>0</v>
      </c>
      <c r="F29" s="80">
        <f t="shared" si="0"/>
        <v>0</v>
      </c>
      <c r="G29" s="80">
        <f t="shared" si="0"/>
        <v>0</v>
      </c>
      <c r="I29" s="79" t="s">
        <v>1092</v>
      </c>
      <c r="J29" s="80">
        <f t="shared" ref="J29:O29" si="1">SUM(J22:J28)</f>
        <v>0</v>
      </c>
      <c r="K29" s="80">
        <f t="shared" si="1"/>
        <v>0</v>
      </c>
      <c r="L29" s="80">
        <f t="shared" si="1"/>
        <v>0</v>
      </c>
      <c r="M29" s="80">
        <f t="shared" si="1"/>
        <v>0</v>
      </c>
      <c r="N29" s="80">
        <f t="shared" si="1"/>
        <v>0</v>
      </c>
      <c r="O29" s="80">
        <f t="shared" si="1"/>
        <v>0</v>
      </c>
    </row>
    <row r="30" spans="1:29">
      <c r="A30" s="74"/>
      <c r="B30" s="74"/>
      <c r="C30" s="74"/>
      <c r="D30" s="74"/>
      <c r="E30" s="74"/>
      <c r="F30" s="74"/>
      <c r="G30" s="74"/>
      <c r="I30" s="74"/>
      <c r="J30" s="74"/>
      <c r="K30" s="74"/>
      <c r="L30" s="74"/>
      <c r="M30" s="74"/>
      <c r="N30" s="74"/>
      <c r="O30" s="74"/>
    </row>
    <row r="31" spans="1:29" ht="15" customHeight="1">
      <c r="A31" s="133" t="s">
        <v>980</v>
      </c>
      <c r="B31" s="565" t="s">
        <v>1093</v>
      </c>
      <c r="C31" s="566"/>
      <c r="D31" s="566"/>
      <c r="E31" s="566"/>
      <c r="F31" s="566"/>
      <c r="G31" s="566"/>
      <c r="I31" s="133" t="s">
        <v>980</v>
      </c>
      <c r="J31" s="565" t="s">
        <v>1093</v>
      </c>
      <c r="K31" s="566"/>
      <c r="L31" s="566"/>
      <c r="M31" s="566"/>
      <c r="N31" s="566"/>
      <c r="O31" s="566"/>
    </row>
    <row r="32" spans="1:29" s="76" customFormat="1">
      <c r="A32" s="137"/>
      <c r="B32" s="172">
        <v>1</v>
      </c>
      <c r="C32" s="172">
        <v>2</v>
      </c>
      <c r="D32" s="172">
        <v>3</v>
      </c>
      <c r="E32" s="172">
        <v>4</v>
      </c>
      <c r="F32" s="172">
        <v>5</v>
      </c>
      <c r="G32" s="172">
        <v>6</v>
      </c>
      <c r="H32" s="95"/>
      <c r="I32" s="137"/>
      <c r="J32" s="172">
        <v>1</v>
      </c>
      <c r="K32" s="172">
        <v>2</v>
      </c>
      <c r="L32" s="172">
        <v>3</v>
      </c>
      <c r="M32" s="172">
        <v>4</v>
      </c>
      <c r="N32" s="172">
        <v>5</v>
      </c>
      <c r="O32" s="172">
        <v>6</v>
      </c>
      <c r="P32" s="74"/>
      <c r="Q32" s="95"/>
      <c r="R32" s="95"/>
      <c r="S32" s="74"/>
      <c r="T32" s="74"/>
      <c r="U32" s="74"/>
      <c r="V32" s="74"/>
      <c r="W32" s="74"/>
      <c r="X32" s="41"/>
      <c r="Y32" s="41"/>
      <c r="Z32" s="74"/>
      <c r="AA32" s="74"/>
      <c r="AB32" s="74"/>
      <c r="AC32" s="74"/>
    </row>
    <row r="33" spans="1:15">
      <c r="A33" s="137" t="s">
        <v>1084</v>
      </c>
      <c r="B33" s="83">
        <f t="shared" ref="B33:G39" si="2">B22*B12</f>
        <v>0</v>
      </c>
      <c r="C33" s="83">
        <f t="shared" si="2"/>
        <v>0</v>
      </c>
      <c r="D33" s="83">
        <f t="shared" si="2"/>
        <v>0</v>
      </c>
      <c r="E33" s="83">
        <f t="shared" si="2"/>
        <v>0</v>
      </c>
      <c r="F33" s="83">
        <f t="shared" si="2"/>
        <v>0</v>
      </c>
      <c r="G33" s="84">
        <f t="shared" si="2"/>
        <v>0</v>
      </c>
      <c r="I33" s="137" t="s">
        <v>1084</v>
      </c>
      <c r="J33" s="83">
        <f t="shared" ref="J33:O39" si="3">J22*J12</f>
        <v>0</v>
      </c>
      <c r="K33" s="83">
        <f t="shared" si="3"/>
        <v>0</v>
      </c>
      <c r="L33" s="83">
        <f t="shared" si="3"/>
        <v>0</v>
      </c>
      <c r="M33" s="83">
        <f t="shared" si="3"/>
        <v>0</v>
      </c>
      <c r="N33" s="83">
        <f t="shared" si="3"/>
        <v>0</v>
      </c>
      <c r="O33" s="84">
        <f t="shared" si="3"/>
        <v>0</v>
      </c>
    </row>
    <row r="34" spans="1:15">
      <c r="A34" s="137" t="s">
        <v>1085</v>
      </c>
      <c r="B34" s="83">
        <f t="shared" si="2"/>
        <v>0</v>
      </c>
      <c r="C34" s="83">
        <f t="shared" si="2"/>
        <v>0</v>
      </c>
      <c r="D34" s="83">
        <f t="shared" si="2"/>
        <v>0</v>
      </c>
      <c r="E34" s="83">
        <f t="shared" si="2"/>
        <v>0</v>
      </c>
      <c r="F34" s="83">
        <f t="shared" si="2"/>
        <v>0</v>
      </c>
      <c r="G34" s="84">
        <f t="shared" si="2"/>
        <v>0</v>
      </c>
      <c r="I34" s="137" t="s">
        <v>1085</v>
      </c>
      <c r="J34" s="83">
        <f t="shared" si="3"/>
        <v>0</v>
      </c>
      <c r="K34" s="83">
        <f t="shared" si="3"/>
        <v>0</v>
      </c>
      <c r="L34" s="83">
        <f t="shared" si="3"/>
        <v>0</v>
      </c>
      <c r="M34" s="83">
        <f t="shared" si="3"/>
        <v>0</v>
      </c>
      <c r="N34" s="83">
        <f t="shared" si="3"/>
        <v>0</v>
      </c>
      <c r="O34" s="84">
        <f t="shared" si="3"/>
        <v>0</v>
      </c>
    </row>
    <row r="35" spans="1:15">
      <c r="A35" s="137" t="s">
        <v>1086</v>
      </c>
      <c r="B35" s="83">
        <f t="shared" si="2"/>
        <v>0</v>
      </c>
      <c r="C35" s="83">
        <f t="shared" si="2"/>
        <v>0</v>
      </c>
      <c r="D35" s="83">
        <f t="shared" si="2"/>
        <v>0</v>
      </c>
      <c r="E35" s="83">
        <f t="shared" si="2"/>
        <v>0</v>
      </c>
      <c r="F35" s="83">
        <f t="shared" si="2"/>
        <v>0</v>
      </c>
      <c r="G35" s="84">
        <f t="shared" si="2"/>
        <v>0</v>
      </c>
      <c r="I35" s="137" t="s">
        <v>1086</v>
      </c>
      <c r="J35" s="83">
        <f t="shared" si="3"/>
        <v>0</v>
      </c>
      <c r="K35" s="83">
        <f t="shared" si="3"/>
        <v>0</v>
      </c>
      <c r="L35" s="83">
        <f t="shared" si="3"/>
        <v>0</v>
      </c>
      <c r="M35" s="83">
        <f t="shared" si="3"/>
        <v>0</v>
      </c>
      <c r="N35" s="83">
        <f t="shared" si="3"/>
        <v>0</v>
      </c>
      <c r="O35" s="84">
        <f t="shared" si="3"/>
        <v>0</v>
      </c>
    </row>
    <row r="36" spans="1:15">
      <c r="A36" s="137" t="s">
        <v>1087</v>
      </c>
      <c r="B36" s="83">
        <f t="shared" si="2"/>
        <v>0</v>
      </c>
      <c r="C36" s="83">
        <f t="shared" si="2"/>
        <v>0</v>
      </c>
      <c r="D36" s="83">
        <f t="shared" si="2"/>
        <v>0</v>
      </c>
      <c r="E36" s="83">
        <f t="shared" si="2"/>
        <v>0</v>
      </c>
      <c r="F36" s="83">
        <f t="shared" si="2"/>
        <v>0</v>
      </c>
      <c r="G36" s="84">
        <f t="shared" si="2"/>
        <v>0</v>
      </c>
      <c r="I36" s="137" t="s">
        <v>1087</v>
      </c>
      <c r="J36" s="83">
        <f t="shared" si="3"/>
        <v>0</v>
      </c>
      <c r="K36" s="83">
        <f t="shared" si="3"/>
        <v>0</v>
      </c>
      <c r="L36" s="83">
        <f t="shared" si="3"/>
        <v>0</v>
      </c>
      <c r="M36" s="83">
        <f t="shared" si="3"/>
        <v>0</v>
      </c>
      <c r="N36" s="83">
        <f t="shared" si="3"/>
        <v>0</v>
      </c>
      <c r="O36" s="84">
        <f t="shared" si="3"/>
        <v>0</v>
      </c>
    </row>
    <row r="37" spans="1:15">
      <c r="A37" s="137" t="s">
        <v>1088</v>
      </c>
      <c r="B37" s="83">
        <f t="shared" si="2"/>
        <v>0</v>
      </c>
      <c r="C37" s="83">
        <f t="shared" si="2"/>
        <v>0</v>
      </c>
      <c r="D37" s="83">
        <f t="shared" si="2"/>
        <v>0</v>
      </c>
      <c r="E37" s="83">
        <f t="shared" si="2"/>
        <v>0</v>
      </c>
      <c r="F37" s="83">
        <f t="shared" si="2"/>
        <v>0</v>
      </c>
      <c r="G37" s="84">
        <f t="shared" si="2"/>
        <v>0</v>
      </c>
      <c r="I37" s="137" t="s">
        <v>1088</v>
      </c>
      <c r="J37" s="83">
        <f t="shared" si="3"/>
        <v>0</v>
      </c>
      <c r="K37" s="83">
        <f t="shared" si="3"/>
        <v>0</v>
      </c>
      <c r="L37" s="83">
        <f t="shared" si="3"/>
        <v>0</v>
      </c>
      <c r="M37" s="83">
        <f t="shared" si="3"/>
        <v>0</v>
      </c>
      <c r="N37" s="83">
        <f t="shared" si="3"/>
        <v>0</v>
      </c>
      <c r="O37" s="84">
        <f t="shared" si="3"/>
        <v>0</v>
      </c>
    </row>
    <row r="38" spans="1:15">
      <c r="A38" s="137" t="s">
        <v>1089</v>
      </c>
      <c r="B38" s="83">
        <f t="shared" si="2"/>
        <v>0</v>
      </c>
      <c r="C38" s="83">
        <f t="shared" si="2"/>
        <v>0</v>
      </c>
      <c r="D38" s="83">
        <f t="shared" si="2"/>
        <v>0</v>
      </c>
      <c r="E38" s="83">
        <f t="shared" si="2"/>
        <v>0</v>
      </c>
      <c r="F38" s="83">
        <f t="shared" si="2"/>
        <v>0</v>
      </c>
      <c r="G38" s="84">
        <f t="shared" si="2"/>
        <v>0</v>
      </c>
      <c r="I38" s="137" t="s">
        <v>1089</v>
      </c>
      <c r="J38" s="83">
        <f t="shared" si="3"/>
        <v>0</v>
      </c>
      <c r="K38" s="83">
        <f t="shared" si="3"/>
        <v>0</v>
      </c>
      <c r="L38" s="83">
        <f t="shared" si="3"/>
        <v>0</v>
      </c>
      <c r="M38" s="83">
        <f t="shared" si="3"/>
        <v>0</v>
      </c>
      <c r="N38" s="83">
        <f t="shared" si="3"/>
        <v>0</v>
      </c>
      <c r="O38" s="84">
        <f t="shared" si="3"/>
        <v>0</v>
      </c>
    </row>
    <row r="39" spans="1:15">
      <c r="A39" s="137" t="s">
        <v>1090</v>
      </c>
      <c r="B39" s="83">
        <f t="shared" si="2"/>
        <v>0</v>
      </c>
      <c r="C39" s="83">
        <f t="shared" si="2"/>
        <v>0</v>
      </c>
      <c r="D39" s="83">
        <f t="shared" si="2"/>
        <v>0</v>
      </c>
      <c r="E39" s="83">
        <f t="shared" si="2"/>
        <v>0</v>
      </c>
      <c r="F39" s="83">
        <f t="shared" si="2"/>
        <v>0</v>
      </c>
      <c r="G39" s="84">
        <f t="shared" si="2"/>
        <v>0</v>
      </c>
      <c r="I39" s="137" t="s">
        <v>1090</v>
      </c>
      <c r="J39" s="83">
        <f t="shared" si="3"/>
        <v>0</v>
      </c>
      <c r="K39" s="83">
        <f t="shared" si="3"/>
        <v>0</v>
      </c>
      <c r="L39" s="83">
        <f t="shared" si="3"/>
        <v>0</v>
      </c>
      <c r="M39" s="83">
        <f t="shared" si="3"/>
        <v>0</v>
      </c>
      <c r="N39" s="83">
        <f t="shared" si="3"/>
        <v>0</v>
      </c>
      <c r="O39" s="84">
        <f t="shared" si="3"/>
        <v>0</v>
      </c>
    </row>
    <row r="40" spans="1:15">
      <c r="A40" s="79" t="s">
        <v>1092</v>
      </c>
      <c r="B40" s="86">
        <f t="shared" ref="B40:G40" si="4">SUM(B33:B39)</f>
        <v>0</v>
      </c>
      <c r="C40" s="86">
        <f t="shared" si="4"/>
        <v>0</v>
      </c>
      <c r="D40" s="86">
        <f t="shared" si="4"/>
        <v>0</v>
      </c>
      <c r="E40" s="86">
        <f t="shared" si="4"/>
        <v>0</v>
      </c>
      <c r="F40" s="86">
        <f t="shared" si="4"/>
        <v>0</v>
      </c>
      <c r="G40" s="86">
        <f t="shared" si="4"/>
        <v>0</v>
      </c>
      <c r="I40" s="79" t="s">
        <v>1092</v>
      </c>
      <c r="J40" s="86">
        <f t="shared" ref="J40:O40" si="5">SUM(J33:J39)</f>
        <v>0</v>
      </c>
      <c r="K40" s="86">
        <f t="shared" si="5"/>
        <v>0</v>
      </c>
      <c r="L40" s="86">
        <f t="shared" si="5"/>
        <v>0</v>
      </c>
      <c r="M40" s="86">
        <f t="shared" si="5"/>
        <v>0</v>
      </c>
      <c r="N40" s="86">
        <f t="shared" si="5"/>
        <v>0</v>
      </c>
      <c r="O40" s="86">
        <f t="shared" si="5"/>
        <v>0</v>
      </c>
    </row>
    <row r="41" spans="1:15">
      <c r="D41" s="18" t="s">
        <v>1094</v>
      </c>
      <c r="E41" s="18"/>
      <c r="F41" s="19"/>
      <c r="G41" s="173">
        <f>SUM(B40:G40)</f>
        <v>0</v>
      </c>
      <c r="L41" s="18" t="s">
        <v>1094</v>
      </c>
      <c r="M41" s="18"/>
      <c r="N41" s="19"/>
      <c r="O41" s="173">
        <f>SUM(J40:O40)</f>
        <v>0</v>
      </c>
    </row>
  </sheetData>
  <mergeCells count="9">
    <mergeCell ref="B20:G20"/>
    <mergeCell ref="J20:O20"/>
    <mergeCell ref="B31:G31"/>
    <mergeCell ref="J31:O31"/>
    <mergeCell ref="S1:Y2"/>
    <mergeCell ref="S3:Y3"/>
    <mergeCell ref="S4:Y5"/>
    <mergeCell ref="B10:G10"/>
    <mergeCell ref="J10:O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N38"/>
  <sheetViews>
    <sheetView showGridLines="0" zoomScale="118" zoomScaleNormal="118" zoomScaleSheetLayoutView="100" workbookViewId="0">
      <pane ySplit="11" topLeftCell="A12" activePane="bottomLeft" state="frozen"/>
      <selection activeCell="A3" sqref="A3:B8"/>
      <selection pane="bottomLeft" activeCell="B11" sqref="B11"/>
    </sheetView>
  </sheetViews>
  <sheetFormatPr defaultColWidth="9.33203125" defaultRowHeight="13.2"/>
  <cols>
    <col min="1" max="1" width="35.5546875" style="178" customWidth="1"/>
    <col min="2" max="2" width="32.109375" style="178" customWidth="1"/>
    <col min="3" max="3" width="16.109375" style="178" customWidth="1"/>
    <col min="4" max="4" width="3.6640625" style="178" customWidth="1"/>
    <col min="5" max="5" width="12.6640625" style="178" customWidth="1"/>
    <col min="6" max="6" width="13.33203125" style="178" customWidth="1"/>
    <col min="7" max="7" width="12.6640625" style="178" customWidth="1"/>
    <col min="8" max="8" width="19.88671875" style="178" customWidth="1"/>
    <col min="9" max="9" width="2.44140625" style="178" customWidth="1"/>
    <col min="10" max="10" width="20" style="178" customWidth="1"/>
    <col min="11" max="11" width="14.44140625" style="178" bestFit="1" customWidth="1"/>
    <col min="12" max="12" width="12.88671875" style="178" bestFit="1" customWidth="1"/>
    <col min="13" max="16384" width="9.33203125" style="178"/>
  </cols>
  <sheetData>
    <row r="1" spans="1:14">
      <c r="A1" s="209" t="s">
        <v>0</v>
      </c>
      <c r="B1" s="177"/>
      <c r="C1" s="177"/>
    </row>
    <row r="2" spans="1:14">
      <c r="A2" s="179"/>
      <c r="B2" s="177"/>
      <c r="C2" s="177"/>
    </row>
    <row r="3" spans="1:14" s="183" customFormat="1" ht="15.6">
      <c r="A3" s="180" t="s">
        <v>1</v>
      </c>
      <c r="B3" s="174" t="s">
        <v>2</v>
      </c>
      <c r="C3" s="177"/>
      <c r="D3" s="178"/>
      <c r="E3" s="178"/>
      <c r="F3" s="178"/>
      <c r="G3" s="178"/>
      <c r="H3" s="181"/>
      <c r="I3" s="181"/>
      <c r="J3" s="181"/>
      <c r="K3" s="178"/>
      <c r="L3" s="182"/>
    </row>
    <row r="4" spans="1:14" s="183" customFormat="1" ht="15.6">
      <c r="A4" s="180" t="s">
        <v>3</v>
      </c>
      <c r="B4" s="184" t="str">
        <f ca="1">MID(CELL("bestandsnaam",$D$11),SEARCH("]",CELL("bestandsnaam",$D$11),1)+1,256)</f>
        <v>1-Totaal inschrijfbedrag</v>
      </c>
      <c r="C4" s="181"/>
      <c r="D4" s="181"/>
      <c r="E4" s="181"/>
      <c r="F4" s="181"/>
      <c r="G4" s="181"/>
      <c r="H4" s="181"/>
      <c r="I4" s="181"/>
      <c r="J4" s="181"/>
      <c r="K4" s="182"/>
      <c r="L4" s="178"/>
      <c r="M4" s="178"/>
    </row>
    <row r="5" spans="1:14" s="183" customFormat="1" ht="15.6">
      <c r="A5" s="180" t="s">
        <v>4</v>
      </c>
      <c r="B5" s="184" t="s">
        <v>5</v>
      </c>
      <c r="C5" s="181"/>
      <c r="D5" s="181"/>
      <c r="E5" s="181"/>
      <c r="F5" s="181"/>
      <c r="G5" s="181"/>
      <c r="H5" s="181"/>
      <c r="I5" s="181"/>
      <c r="J5" s="181"/>
      <c r="K5" s="185"/>
      <c r="L5" s="182"/>
    </row>
    <row r="6" spans="1:14" s="183" customFormat="1" ht="15.6">
      <c r="A6" s="176" t="s">
        <v>6</v>
      </c>
      <c r="B6" s="500" t="s">
        <v>7</v>
      </c>
      <c r="C6" s="181"/>
      <c r="D6" s="181"/>
      <c r="E6" s="181"/>
      <c r="F6" s="181"/>
      <c r="G6" s="181"/>
      <c r="H6" s="181"/>
      <c r="I6" s="181"/>
      <c r="J6" s="181"/>
      <c r="K6" s="182"/>
      <c r="L6" s="178"/>
      <c r="M6" s="178"/>
    </row>
    <row r="7" spans="1:14" s="183" customFormat="1" ht="15.6">
      <c r="A7" s="175" t="s">
        <v>8</v>
      </c>
      <c r="B7" s="533"/>
      <c r="C7" s="533"/>
      <c r="D7" s="534"/>
      <c r="E7" s="181"/>
      <c r="F7" s="181"/>
      <c r="G7" s="181"/>
      <c r="H7" s="181"/>
      <c r="I7" s="181"/>
      <c r="J7" s="181"/>
      <c r="K7" s="182"/>
      <c r="L7" s="182"/>
    </row>
    <row r="8" spans="1:14" s="183" customFormat="1" ht="15.6">
      <c r="A8" s="180" t="s">
        <v>9</v>
      </c>
      <c r="B8" s="187" t="s">
        <v>10</v>
      </c>
      <c r="C8" s="188"/>
      <c r="D8" s="181"/>
      <c r="E8" s="181"/>
      <c r="F8" s="181"/>
      <c r="G8" s="181"/>
      <c r="H8" s="181"/>
      <c r="I8" s="181"/>
      <c r="J8" s="181"/>
      <c r="K8" s="181"/>
      <c r="L8" s="181"/>
      <c r="M8" s="181"/>
    </row>
    <row r="9" spans="1:14" s="183" customFormat="1" ht="15.6">
      <c r="A9" s="175" t="s">
        <v>11</v>
      </c>
      <c r="B9" s="184" t="s">
        <v>12</v>
      </c>
      <c r="C9" s="188"/>
      <c r="D9" s="181"/>
      <c r="E9" s="181"/>
      <c r="F9" s="181"/>
      <c r="G9" s="181"/>
      <c r="H9" s="181"/>
      <c r="I9" s="181"/>
      <c r="J9" s="181"/>
      <c r="L9" s="182"/>
    </row>
    <row r="10" spans="1:14" s="183" customFormat="1" ht="15.6">
      <c r="A10" s="180" t="s">
        <v>13</v>
      </c>
      <c r="B10" s="189" t="s">
        <v>1095</v>
      </c>
      <c r="C10" s="188"/>
      <c r="D10" s="181"/>
      <c r="E10" s="181"/>
      <c r="F10" s="181"/>
      <c r="G10" s="181"/>
      <c r="H10" s="181"/>
      <c r="I10" s="181"/>
      <c r="L10" s="182"/>
    </row>
    <row r="11" spans="1:14" s="183" customFormat="1" ht="15.6">
      <c r="A11" s="190"/>
      <c r="G11" s="186"/>
      <c r="H11" s="186"/>
    </row>
    <row r="12" spans="1:14" s="183" customFormat="1" ht="15.6">
      <c r="A12" s="535" t="s">
        <v>14</v>
      </c>
      <c r="B12" s="536"/>
      <c r="C12" s="536"/>
      <c r="D12" s="536"/>
      <c r="E12" s="536"/>
      <c r="F12" s="536"/>
      <c r="G12" s="536"/>
      <c r="H12" s="537"/>
      <c r="I12" s="191"/>
      <c r="J12" s="178"/>
    </row>
    <row r="14" spans="1:14" ht="26.4">
      <c r="A14" s="482" t="s">
        <v>15</v>
      </c>
      <c r="D14" s="193"/>
      <c r="E14" s="483" t="s">
        <v>16</v>
      </c>
      <c r="F14" s="483" t="s">
        <v>17</v>
      </c>
      <c r="G14" s="483" t="s">
        <v>18</v>
      </c>
      <c r="H14" s="484" t="s">
        <v>19</v>
      </c>
      <c r="I14" s="194"/>
    </row>
    <row r="15" spans="1:14">
      <c r="A15" s="195" t="s">
        <v>20</v>
      </c>
      <c r="B15" s="195" t="s">
        <v>21</v>
      </c>
      <c r="C15" s="195" t="s">
        <v>22</v>
      </c>
      <c r="D15" s="196"/>
      <c r="E15" s="525">
        <v>1</v>
      </c>
      <c r="F15" s="212" t="e">
        <f>('2-Uren per locatie'!$F$76+'2-Uren per locatie'!$G$76)*E15</f>
        <v>#DIV/0!</v>
      </c>
      <c r="G15" s="494" t="e">
        <f>'10-Opbouw uurtarieven'!E46</f>
        <v>#DIV/0!</v>
      </c>
      <c r="H15" s="213" t="e">
        <f>G15*F15</f>
        <v>#DIV/0!</v>
      </c>
      <c r="I15" s="194"/>
      <c r="L15" s="194"/>
      <c r="M15" s="194"/>
      <c r="N15" s="194"/>
    </row>
    <row r="16" spans="1:14">
      <c r="A16" s="195"/>
      <c r="B16" s="199"/>
      <c r="C16" s="199"/>
      <c r="D16" s="199"/>
      <c r="E16" s="214"/>
      <c r="F16" s="199"/>
      <c r="G16" s="495"/>
      <c r="H16" s="214"/>
      <c r="I16" s="200"/>
    </row>
    <row r="17" spans="1:8">
      <c r="A17" s="195" t="s">
        <v>23</v>
      </c>
      <c r="B17" s="195" t="s">
        <v>21</v>
      </c>
      <c r="C17" s="195" t="s">
        <v>22</v>
      </c>
      <c r="D17" s="199"/>
      <c r="E17" s="211">
        <v>0</v>
      </c>
      <c r="F17" s="212" t="e">
        <f>F15*E17</f>
        <v>#DIV/0!</v>
      </c>
      <c r="G17" s="494" t="e">
        <f>'10-Opbouw uurtarieven'!H46</f>
        <v>#DIV/0!</v>
      </c>
      <c r="H17" s="213" t="e">
        <f t="shared" ref="H17" si="0">G17*F17</f>
        <v>#DIV/0!</v>
      </c>
    </row>
    <row r="18" spans="1:8">
      <c r="A18" s="202"/>
      <c r="D18" s="199"/>
      <c r="E18" s="418"/>
      <c r="F18" s="201"/>
      <c r="G18" s="496"/>
      <c r="H18" s="215"/>
    </row>
    <row r="19" spans="1:8">
      <c r="A19" s="195" t="s">
        <v>20</v>
      </c>
      <c r="B19" s="195" t="s">
        <v>24</v>
      </c>
      <c r="C19" s="195" t="s">
        <v>22</v>
      </c>
      <c r="D19" s="196"/>
      <c r="E19" s="211">
        <v>0</v>
      </c>
      <c r="F19" s="212" t="e">
        <f>('2-Uren per locatie'!$H$76+'2-Uren per locatie'!$I$76)*E19</f>
        <v>#DIV/0!</v>
      </c>
      <c r="G19" s="494" t="e">
        <f>'10-Opbouw uurtarieven'!E50</f>
        <v>#DIV/0!</v>
      </c>
      <c r="H19" s="213" t="e">
        <f>G19*F19</f>
        <v>#DIV/0!</v>
      </c>
    </row>
    <row r="20" spans="1:8">
      <c r="A20" s="195" t="s">
        <v>20</v>
      </c>
      <c r="B20" s="195" t="s">
        <v>25</v>
      </c>
      <c r="C20" s="195" t="s">
        <v>22</v>
      </c>
      <c r="D20" s="196"/>
      <c r="E20" s="211">
        <v>0</v>
      </c>
      <c r="F20" s="212" t="e">
        <f>('2-Uren per locatie'!$H$76+'2-Uren per locatie'!$I$76)*E20</f>
        <v>#DIV/0!</v>
      </c>
      <c r="G20" s="494" t="e">
        <f>'10-Opbouw uurtarieven'!E52</f>
        <v>#DIV/0!</v>
      </c>
      <c r="H20" s="213" t="e">
        <f>G20*F20</f>
        <v>#DIV/0!</v>
      </c>
    </row>
    <row r="21" spans="1:8">
      <c r="A21" s="195"/>
      <c r="B21" s="195"/>
      <c r="C21" s="197" t="s">
        <v>26</v>
      </c>
      <c r="D21" s="198"/>
      <c r="E21" s="417">
        <f>SUM(E19:E20)</f>
        <v>0</v>
      </c>
      <c r="F21" s="197" t="s">
        <v>27</v>
      </c>
      <c r="G21" s="486" t="e">
        <f>(H19+H20)/(F19+F20)</f>
        <v>#DIV/0!</v>
      </c>
      <c r="H21" s="213"/>
    </row>
    <row r="22" spans="1:8">
      <c r="A22" s="195"/>
      <c r="B22" s="199"/>
      <c r="C22" s="199"/>
      <c r="D22" s="199"/>
      <c r="E22" s="214"/>
      <c r="F22" s="201"/>
      <c r="G22" s="419"/>
      <c r="H22" s="214"/>
    </row>
    <row r="23" spans="1:8">
      <c r="A23" s="195" t="s">
        <v>28</v>
      </c>
      <c r="B23" s="195" t="s">
        <v>24</v>
      </c>
      <c r="C23" s="195" t="s">
        <v>22</v>
      </c>
      <c r="D23" s="199"/>
      <c r="E23" s="211">
        <v>0</v>
      </c>
      <c r="F23" s="212" t="e">
        <f>F19*E23</f>
        <v>#DIV/0!</v>
      </c>
      <c r="G23" s="494" t="e">
        <f>'10-Opbouw uurtarieven'!H50</f>
        <v>#DIV/0!</v>
      </c>
      <c r="H23" s="213" t="e">
        <f>G23*F23</f>
        <v>#DIV/0!</v>
      </c>
    </row>
    <row r="24" spans="1:8">
      <c r="A24" s="195" t="s">
        <v>28</v>
      </c>
      <c r="B24" s="195" t="s">
        <v>25</v>
      </c>
      <c r="C24" s="195" t="s">
        <v>22</v>
      </c>
      <c r="D24" s="199"/>
      <c r="E24" s="211">
        <v>0</v>
      </c>
      <c r="F24" s="212" t="e">
        <f>F20*E24</f>
        <v>#DIV/0!</v>
      </c>
      <c r="G24" s="494" t="e">
        <f>'10-Opbouw uurtarieven'!H52</f>
        <v>#DIV/0!</v>
      </c>
      <c r="H24" s="213" t="e">
        <f>G24*F24</f>
        <v>#DIV/0!</v>
      </c>
    </row>
    <row r="25" spans="1:8">
      <c r="A25" s="195"/>
      <c r="B25" s="195"/>
      <c r="C25" s="197" t="s">
        <v>26</v>
      </c>
      <c r="D25" s="198"/>
      <c r="E25" s="417">
        <f>AVERAGE(E23:E24)</f>
        <v>0</v>
      </c>
      <c r="F25" s="197" t="s">
        <v>27</v>
      </c>
      <c r="G25" s="486" t="e">
        <f>(H23+H24)/(F23+F24)</f>
        <v>#DIV/0!</v>
      </c>
      <c r="H25" s="213"/>
    </row>
    <row r="26" spans="1:8">
      <c r="A26" s="178" t="str">
        <f ca="1">'5-Aanvullend'!C4</f>
        <v>5-Aanvullend</v>
      </c>
      <c r="H26" s="213">
        <f>'5-Aanvullend'!M46</f>
        <v>0</v>
      </c>
    </row>
    <row r="27" spans="1:8">
      <c r="H27" s="213"/>
    </row>
    <row r="28" spans="1:8">
      <c r="A28" s="205" t="str">
        <f ca="1">'6-Sanitaire voorzieningen'!B4</f>
        <v>6-Sanitaire voorzieningen</v>
      </c>
      <c r="H28" s="213">
        <f>'6-Sanitaire voorzieningen'!G19+'6-Sanitaire voorzieningen'!G28</f>
        <v>0</v>
      </c>
    </row>
    <row r="29" spans="1:8">
      <c r="A29" s="205"/>
      <c r="H29" s="213"/>
    </row>
    <row r="30" spans="1:8">
      <c r="A30" s="205" t="str">
        <f ca="1">'7a-Gladheidsbestrijding Metro'!B4</f>
        <v>7a-Gladheidsbestrijding Metro</v>
      </c>
      <c r="H30" s="213">
        <f>'7a-Gladheidsbestrijding Metro'!H26</f>
        <v>0</v>
      </c>
    </row>
    <row r="31" spans="1:8">
      <c r="A31" s="205" t="str">
        <f ca="1">'7b-Gladheidsbestrijding Tram'!B4</f>
        <v>7b-Gladheidsbestrijding Tram</v>
      </c>
      <c r="H31" s="213">
        <f>'7b-Gladheidsbestrijding Tram'!G22</f>
        <v>0</v>
      </c>
    </row>
    <row r="32" spans="1:8">
      <c r="A32" s="195"/>
      <c r="B32" s="195"/>
      <c r="C32" s="195"/>
      <c r="D32" s="195"/>
      <c r="E32" s="195"/>
      <c r="F32" s="195"/>
      <c r="G32" s="195"/>
      <c r="H32" s="216"/>
    </row>
    <row r="33" spans="1:9">
      <c r="A33" s="206" t="s">
        <v>29</v>
      </c>
      <c r="B33" s="207"/>
      <c r="C33" s="207"/>
      <c r="D33" s="207"/>
      <c r="E33" s="208"/>
      <c r="F33" s="207"/>
      <c r="G33" s="207"/>
      <c r="H33" s="219" t="e">
        <f>SUM(H15:H32)</f>
        <v>#DIV/0!</v>
      </c>
    </row>
    <row r="34" spans="1:9">
      <c r="A34" s="204" t="s">
        <v>30</v>
      </c>
      <c r="G34" s="218">
        <v>0.21</v>
      </c>
      <c r="H34" s="217" t="e">
        <f>G34*H33</f>
        <v>#DIV/0!</v>
      </c>
      <c r="I34" s="191"/>
    </row>
    <row r="35" spans="1:9">
      <c r="A35" s="204" t="s">
        <v>31</v>
      </c>
      <c r="G35" s="194" t="s">
        <v>32</v>
      </c>
      <c r="H35" s="213" t="e">
        <f>H34+H33</f>
        <v>#DIV/0!</v>
      </c>
      <c r="I35" s="191"/>
    </row>
    <row r="37" spans="1:9">
      <c r="A37" s="203" t="s">
        <v>33</v>
      </c>
      <c r="H37" s="210">
        <v>0</v>
      </c>
    </row>
    <row r="38" spans="1:9" ht="28.95" customHeight="1">
      <c r="A38" s="532" t="s">
        <v>34</v>
      </c>
      <c r="B38" s="532"/>
      <c r="C38" s="532"/>
      <c r="D38" s="532"/>
      <c r="E38" s="532"/>
      <c r="F38" s="532"/>
    </row>
  </sheetData>
  <mergeCells count="3">
    <mergeCell ref="A38:F38"/>
    <mergeCell ref="B7:D7"/>
    <mergeCell ref="A12:H12"/>
  </mergeCells>
  <conditionalFormatting sqref="E15 G15 E17 G17">
    <cfRule type="cellIs" dxfId="8" priority="17" stopIfTrue="1" operator="equal">
      <formula>"nvt"</formula>
    </cfRule>
  </conditionalFormatting>
  <conditionalFormatting sqref="E19:E20">
    <cfRule type="cellIs" dxfId="7" priority="6" stopIfTrue="1" operator="equal">
      <formula>"nvt"</formula>
    </cfRule>
  </conditionalFormatting>
  <conditionalFormatting sqref="E21">
    <cfRule type="cellIs" dxfId="6" priority="24" operator="greaterThan">
      <formula>1</formula>
    </cfRule>
    <cfRule type="cellIs" dxfId="5" priority="25" operator="between">
      <formula>0.999999</formula>
      <formula>0</formula>
    </cfRule>
    <cfRule type="cellIs" dxfId="4" priority="26" operator="equal">
      <formula>1</formula>
    </cfRule>
  </conditionalFormatting>
  <conditionalFormatting sqref="E23:E24">
    <cfRule type="cellIs" dxfId="3" priority="5" stopIfTrue="1" operator="equal">
      <formula>"nvt"</formula>
    </cfRule>
  </conditionalFormatting>
  <conditionalFormatting sqref="G19:G20">
    <cfRule type="cellIs" dxfId="2" priority="12" stopIfTrue="1" operator="equal">
      <formula>"nvt"</formula>
    </cfRule>
  </conditionalFormatting>
  <conditionalFormatting sqref="G23:G24">
    <cfRule type="cellIs" dxfId="1" priority="11" stopIfTrue="1" operator="equal">
      <formula>"nvt"</formula>
    </cfRule>
  </conditionalFormatting>
  <conditionalFormatting sqref="H37">
    <cfRule type="cellIs" dxfId="0" priority="1" stopIfTrue="1" operator="equal">
      <formula>"nvt"</formula>
    </cfRule>
  </conditionalFormatting>
  <pageMargins left="0.70866141732283461" right="0.70866141732283461" top="0.74803149606299213" bottom="0.74803149606299213" header="0.31496062992125984" footer="0.31496062992125984"/>
  <pageSetup paperSize="9"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R82"/>
  <sheetViews>
    <sheetView showGridLines="0" zoomScale="80" zoomScaleNormal="80" zoomScaleSheetLayoutView="80" workbookViewId="0">
      <selection activeCell="F8" sqref="F8"/>
    </sheetView>
  </sheetViews>
  <sheetFormatPr defaultColWidth="9.109375" defaultRowHeight="13.2"/>
  <cols>
    <col min="1" max="1" width="8.44140625" style="41" customWidth="1"/>
    <col min="2" max="2" width="20.44140625" style="41" customWidth="1"/>
    <col min="3" max="3" width="25" style="41" customWidth="1"/>
    <col min="4" max="4" width="11.5546875" style="41" customWidth="1"/>
    <col min="5" max="5" width="13.33203125" style="241" customWidth="1"/>
    <col min="6" max="9" width="13.109375" style="241" customWidth="1"/>
    <col min="10" max="10" width="13.33203125" style="242" customWidth="1"/>
    <col min="11" max="11" width="11.88671875" style="41" customWidth="1"/>
    <col min="12" max="12" width="11.109375" style="41" customWidth="1"/>
    <col min="13" max="13" width="12.88671875" style="41" customWidth="1"/>
    <col min="14" max="16384" width="9.109375" style="41"/>
  </cols>
  <sheetData>
    <row r="1" spans="1:13" s="178" customFormat="1">
      <c r="A1" s="209" t="s">
        <v>0</v>
      </c>
      <c r="B1" s="209"/>
      <c r="C1" s="192"/>
      <c r="D1" s="192"/>
      <c r="E1" s="222"/>
      <c r="F1" s="222"/>
      <c r="G1" s="222"/>
      <c r="H1" s="222"/>
      <c r="I1" s="222"/>
      <c r="J1" s="223"/>
    </row>
    <row r="2" spans="1:13" s="178" customFormat="1">
      <c r="C2" s="192"/>
      <c r="D2" s="192"/>
      <c r="E2" s="222"/>
      <c r="F2" s="222"/>
      <c r="G2" s="222"/>
      <c r="H2" s="222"/>
      <c r="I2" s="222"/>
      <c r="J2" s="223"/>
    </row>
    <row r="3" spans="1:13" s="183" customFormat="1" ht="15.6">
      <c r="A3" s="180" t="str">
        <f>'1-Totaal inschrijfbedrag'!A3</f>
        <v>Naam opdrachtgever</v>
      </c>
      <c r="B3" s="224"/>
      <c r="C3" s="184" t="str">
        <f>'1-Totaal inschrijfbedrag'!B3</f>
        <v>GVB operatie Metro</v>
      </c>
      <c r="D3" s="184"/>
      <c r="E3" s="225"/>
      <c r="F3" s="226"/>
      <c r="G3" s="222"/>
      <c r="H3" s="222"/>
      <c r="I3" s="222"/>
      <c r="J3" s="223"/>
      <c r="K3" s="181"/>
      <c r="L3" s="181"/>
    </row>
    <row r="4" spans="1:13" s="183" customFormat="1" ht="15.6">
      <c r="A4" s="180" t="str">
        <f>'1-Totaal inschrijfbedrag'!A4</f>
        <v>Calculatie onderdeel</v>
      </c>
      <c r="B4" s="224"/>
      <c r="C4" s="184" t="str">
        <f ca="1">MID(CELL("bestandsnaam",$C$7),SEARCH("]",CELL("bestandsnaam",$C$7),1)+1,256)</f>
        <v>2-Uren per locatie</v>
      </c>
      <c r="D4" s="184"/>
      <c r="E4" s="225"/>
      <c r="F4" s="226"/>
      <c r="G4" s="222"/>
      <c r="H4" s="222"/>
      <c r="I4" s="222"/>
      <c r="J4" s="223"/>
      <c r="K4" s="181"/>
      <c r="L4" s="181"/>
    </row>
    <row r="5" spans="1:13" s="183" customFormat="1" ht="18.75" customHeight="1">
      <c r="A5" s="180" t="str">
        <f>'1-Totaal inschrijfbedrag'!A5</f>
        <v>Gebouw/plaats</v>
      </c>
      <c r="B5" s="224"/>
      <c r="C5" s="184" t="str">
        <f>'1-Totaal inschrijfbedrag'!B5</f>
        <v>Amsterdam</v>
      </c>
      <c r="D5" s="184"/>
      <c r="E5" s="225"/>
      <c r="F5" s="226"/>
      <c r="G5" s="222"/>
      <c r="H5" s="222"/>
      <c r="I5" s="222"/>
      <c r="J5" s="223"/>
      <c r="K5" s="181"/>
      <c r="L5" s="181"/>
    </row>
    <row r="6" spans="1:13" s="183" customFormat="1" ht="15.6">
      <c r="A6" s="180" t="str">
        <f>'1-Totaal inschrijfbedrag'!A6</f>
        <v>Referentienummer</v>
      </c>
      <c r="B6" s="224"/>
      <c r="C6" s="184" t="str">
        <f>'1-Totaal inschrijfbedrag'!B6</f>
        <v>2024-62</v>
      </c>
      <c r="D6" s="184"/>
      <c r="E6" s="225"/>
      <c r="F6" s="226"/>
      <c r="G6" s="222"/>
      <c r="H6" s="222"/>
      <c r="I6" s="222"/>
      <c r="J6" s="223"/>
      <c r="K6" s="181"/>
      <c r="L6" s="181"/>
    </row>
    <row r="7" spans="1:13" s="183" customFormat="1" ht="15.6">
      <c r="A7" s="180" t="str">
        <f>'1-Totaal inschrijfbedrag'!A7</f>
        <v>Naam dienstverlener</v>
      </c>
      <c r="B7" s="224"/>
      <c r="C7" s="184">
        <f>'1-Totaal inschrijfbedrag'!B7</f>
        <v>0</v>
      </c>
      <c r="D7" s="184"/>
      <c r="E7" s="224"/>
      <c r="F7" s="227"/>
      <c r="G7" s="222"/>
      <c r="H7" s="222"/>
      <c r="I7" s="222"/>
      <c r="J7" s="223"/>
      <c r="K7" s="182"/>
      <c r="L7" s="182"/>
    </row>
    <row r="8" spans="1:13" s="183" customFormat="1" ht="15.6">
      <c r="A8" s="180" t="str">
        <f>'1-Totaal inschrijfbedrag'!A8</f>
        <v>Prijspeil</v>
      </c>
      <c r="C8" s="228" t="str">
        <f>'1-Totaal inschrijfbedrag'!B8</f>
        <v>1 juli 2025</v>
      </c>
      <c r="D8" s="228"/>
      <c r="E8" s="226"/>
      <c r="F8" s="226"/>
      <c r="G8" s="222"/>
      <c r="H8" s="222"/>
      <c r="I8" s="222"/>
      <c r="J8" s="223"/>
      <c r="K8" s="181"/>
      <c r="L8" s="181"/>
    </row>
    <row r="9" spans="1:13" s="183" customFormat="1" ht="15.6">
      <c r="A9" s="180" t="str">
        <f>'1-Totaal inschrijfbedrag'!A9</f>
        <v>Perceel deel</v>
      </c>
      <c r="C9" s="526" t="str">
        <f>'1-Totaal inschrijfbedrag'!B9</f>
        <v>Comfort schoonmaak</v>
      </c>
      <c r="D9" s="526"/>
      <c r="E9" s="226"/>
      <c r="F9" s="226"/>
      <c r="G9" s="222"/>
      <c r="H9" s="222"/>
      <c r="I9" s="222"/>
      <c r="J9" s="223"/>
      <c r="K9" s="181"/>
      <c r="L9" s="181"/>
    </row>
    <row r="10" spans="1:13" s="183" customFormat="1" ht="15.6">
      <c r="A10" s="180" t="str">
        <f>'1-Totaal inschrijfbedrag'!A10</f>
        <v>Versie</v>
      </c>
      <c r="C10" s="230" t="str">
        <f>'1-Totaal inschrijfbedrag'!B10</f>
        <v>NVI 3</v>
      </c>
      <c r="D10" s="230"/>
      <c r="E10" s="226"/>
      <c r="F10" s="226"/>
      <c r="G10" s="226"/>
      <c r="H10" s="226"/>
      <c r="I10" s="226"/>
      <c r="J10" s="232"/>
      <c r="K10" s="232"/>
      <c r="L10" s="232"/>
    </row>
    <row r="11" spans="1:13" s="183" customFormat="1" ht="15.6">
      <c r="A11" s="231"/>
      <c r="C11" s="231"/>
      <c r="D11" s="231"/>
      <c r="E11" s="227"/>
      <c r="F11" s="227"/>
      <c r="G11" s="227"/>
      <c r="H11" s="227"/>
      <c r="I11" s="227"/>
      <c r="J11" s="233"/>
      <c r="K11" s="234"/>
      <c r="L11" s="234"/>
    </row>
    <row r="12" spans="1:13" s="183" customFormat="1" ht="15.6">
      <c r="A12" s="235" t="s">
        <v>35</v>
      </c>
      <c r="B12" s="220"/>
      <c r="C12" s="236" t="s">
        <v>36</v>
      </c>
      <c r="D12" s="236"/>
      <c r="E12" s="220"/>
      <c r="F12" s="220"/>
      <c r="G12" s="220"/>
      <c r="H12" s="220"/>
      <c r="I12" s="220"/>
      <c r="J12" s="220"/>
      <c r="K12" s="220"/>
      <c r="L12" s="220"/>
    </row>
    <row r="13" spans="1:13" s="178" customFormat="1">
      <c r="E13" s="222"/>
      <c r="F13" s="222"/>
      <c r="G13" s="222"/>
      <c r="H13" s="222"/>
      <c r="I13" s="222"/>
      <c r="J13" s="223"/>
    </row>
    <row r="14" spans="1:13" s="238" customFormat="1" ht="52.8">
      <c r="A14" s="237" t="s">
        <v>37</v>
      </c>
      <c r="B14" s="237" t="s">
        <v>38</v>
      </c>
      <c r="C14" s="237" t="s">
        <v>39</v>
      </c>
      <c r="D14" s="529" t="s">
        <v>40</v>
      </c>
      <c r="E14" s="237" t="s">
        <v>41</v>
      </c>
      <c r="F14" s="237" t="s">
        <v>42</v>
      </c>
      <c r="G14" s="237" t="s">
        <v>43</v>
      </c>
      <c r="H14" s="237" t="s">
        <v>44</v>
      </c>
      <c r="I14" s="237" t="s">
        <v>45</v>
      </c>
      <c r="J14" s="237" t="s">
        <v>46</v>
      </c>
      <c r="K14" s="237" t="s">
        <v>47</v>
      </c>
      <c r="L14" s="237" t="s">
        <v>48</v>
      </c>
    </row>
    <row r="15" spans="1:13">
      <c r="A15" s="253">
        <v>101</v>
      </c>
      <c r="B15" s="240" t="s">
        <v>49</v>
      </c>
      <c r="C15" s="239" t="s">
        <v>50</v>
      </c>
      <c r="D15" s="530">
        <v>1</v>
      </c>
      <c r="E15" s="248">
        <f>SUMIF('3-Ruimtestaat'!B:B,A15,'3-Ruimtestaat'!Q:Q)</f>
        <v>4431.1959999999999</v>
      </c>
      <c r="F15" s="248" t="e">
        <f>SUMIF('3-Ruimtestaat'!B:B,A15,'3-Ruimtestaat'!R:R)</f>
        <v>#DIV/0!</v>
      </c>
      <c r="G15" s="248" t="e">
        <f>SUMIF('3-Ruimtestaat'!B:B,A15,'3-Ruimtestaat'!S:S)</f>
        <v>#DIV/0!</v>
      </c>
      <c r="H15" s="248" t="e">
        <f>SUMIF('3-Ruimtestaat'!B:B,A15,('3-Ruimtestaat'!T:T))+SUMIF('3-Ruimtestaat'!B:B,A15,('3-Ruimtestaat'!V:V))</f>
        <v>#DIV/0!</v>
      </c>
      <c r="I15" s="248" t="e">
        <f>SUMIF('3-Ruimtestaat'!B:B,A15,('3-Ruimtestaat'!U:U))+SUMIF('3-Ruimtestaat'!B:B,A15,('3-Ruimtestaat'!W:W))</f>
        <v>#DIV/0!</v>
      </c>
      <c r="J15" s="248" t="e">
        <f t="shared" ref="J15" si="0">SUM(F15:I15)</f>
        <v>#DIV/0!</v>
      </c>
      <c r="K15" s="248" t="e">
        <f>(F15+G15)*'1-Totaal inschrijfbedrag'!$E$17</f>
        <v>#DIV/0!</v>
      </c>
      <c r="L15" s="248" t="e">
        <f>(H15+I15)*'1-Totaal inschrijfbedrag'!$E$25</f>
        <v>#DIV/0!</v>
      </c>
      <c r="M15" s="238"/>
    </row>
    <row r="16" spans="1:13">
      <c r="A16" s="253">
        <v>102</v>
      </c>
      <c r="B16" s="239" t="s">
        <v>51</v>
      </c>
      <c r="C16" s="239" t="s">
        <v>50</v>
      </c>
      <c r="D16" s="530">
        <v>1</v>
      </c>
      <c r="E16" s="248">
        <f>SUMIF('3-Ruimtestaat'!B:B,A16,'3-Ruimtestaat'!Q:Q)</f>
        <v>3479.7029999999995</v>
      </c>
      <c r="F16" s="248" t="e">
        <f>SUMIF('3-Ruimtestaat'!B:B,A16,'3-Ruimtestaat'!R:R)</f>
        <v>#DIV/0!</v>
      </c>
      <c r="G16" s="248" t="e">
        <f>SUMIF('3-Ruimtestaat'!B:B,A16,'3-Ruimtestaat'!S:S)</f>
        <v>#DIV/0!</v>
      </c>
      <c r="H16" s="248" t="e">
        <f>SUMIF('3-Ruimtestaat'!B:B,A16,('3-Ruimtestaat'!T:T))+SUMIF('3-Ruimtestaat'!B:B,A16,('3-Ruimtestaat'!V:V))</f>
        <v>#DIV/0!</v>
      </c>
      <c r="I16" s="248" t="e">
        <f>SUMIF('3-Ruimtestaat'!B:B,A16,('3-Ruimtestaat'!U:U))+SUMIF('3-Ruimtestaat'!B:B,A16,('3-Ruimtestaat'!W:W))</f>
        <v>#DIV/0!</v>
      </c>
      <c r="J16" s="248" t="e">
        <f t="shared" ref="J16" si="1">SUM(F16:I16)</f>
        <v>#DIV/0!</v>
      </c>
      <c r="K16" s="248" t="e">
        <f>(F16+G16)*'1-Totaal inschrijfbedrag'!$E$17</f>
        <v>#DIV/0!</v>
      </c>
      <c r="L16" s="248" t="e">
        <f>(H16+I16)*'1-Totaal inschrijfbedrag'!$E$25</f>
        <v>#DIV/0!</v>
      </c>
      <c r="M16" s="238"/>
    </row>
    <row r="17" spans="1:12">
      <c r="A17" s="253">
        <v>103</v>
      </c>
      <c r="B17" s="239" t="s">
        <v>52</v>
      </c>
      <c r="C17" s="239" t="s">
        <v>50</v>
      </c>
      <c r="D17" s="530">
        <v>1</v>
      </c>
      <c r="E17" s="248">
        <f>SUMIF('3-Ruimtestaat'!B:B,A17,'3-Ruimtestaat'!Q:Q)</f>
        <v>3219.3209999999999</v>
      </c>
      <c r="F17" s="248" t="e">
        <f>SUMIF('3-Ruimtestaat'!B:B,A17,'3-Ruimtestaat'!R:R)</f>
        <v>#DIV/0!</v>
      </c>
      <c r="G17" s="248" t="e">
        <f>SUMIF('3-Ruimtestaat'!B:B,A17,'3-Ruimtestaat'!S:S)</f>
        <v>#DIV/0!</v>
      </c>
      <c r="H17" s="248" t="e">
        <f>SUMIF('3-Ruimtestaat'!B:B,A17,('3-Ruimtestaat'!T:T))+SUMIF('3-Ruimtestaat'!B:B,A17,('3-Ruimtestaat'!V:V))</f>
        <v>#DIV/0!</v>
      </c>
      <c r="I17" s="248" t="e">
        <f>SUMIF('3-Ruimtestaat'!B:B,A17,('3-Ruimtestaat'!U:U))+SUMIF('3-Ruimtestaat'!B:B,A17,('3-Ruimtestaat'!W:W))</f>
        <v>#DIV/0!</v>
      </c>
      <c r="J17" s="248" t="e">
        <f t="shared" ref="J17:J35" si="2">SUM(F17:I17)</f>
        <v>#DIV/0!</v>
      </c>
      <c r="K17" s="248" t="e">
        <f>(F17+G17)*'1-Totaal inschrijfbedrag'!$E$17</f>
        <v>#DIV/0!</v>
      </c>
      <c r="L17" s="248" t="e">
        <f>(H17+I17)*'1-Totaal inschrijfbedrag'!$E$25</f>
        <v>#DIV/0!</v>
      </c>
    </row>
    <row r="18" spans="1:12">
      <c r="A18" s="253">
        <v>104</v>
      </c>
      <c r="B18" s="239" t="s">
        <v>53</v>
      </c>
      <c r="C18" s="239" t="s">
        <v>50</v>
      </c>
      <c r="D18" s="530">
        <v>1</v>
      </c>
      <c r="E18" s="248">
        <f>SUMIF('3-Ruimtestaat'!B:B,A18,'3-Ruimtestaat'!Q:Q)</f>
        <v>4889.2602500000003</v>
      </c>
      <c r="F18" s="248" t="e">
        <f>SUMIF('3-Ruimtestaat'!B:B,A18,'3-Ruimtestaat'!R:R)</f>
        <v>#DIV/0!</v>
      </c>
      <c r="G18" s="248" t="e">
        <f>SUMIF('3-Ruimtestaat'!B:B,A18,'3-Ruimtestaat'!S:S)</f>
        <v>#DIV/0!</v>
      </c>
      <c r="H18" s="248" t="e">
        <f>SUMIF('3-Ruimtestaat'!B:B,A18,('3-Ruimtestaat'!T:T))+SUMIF('3-Ruimtestaat'!B:B,A18,('3-Ruimtestaat'!V:V))</f>
        <v>#DIV/0!</v>
      </c>
      <c r="I18" s="248" t="e">
        <f>SUMIF('3-Ruimtestaat'!B:B,A18,('3-Ruimtestaat'!U:U))+SUMIF('3-Ruimtestaat'!B:B,A18,('3-Ruimtestaat'!W:W))</f>
        <v>#DIV/0!</v>
      </c>
      <c r="J18" s="248" t="e">
        <f t="shared" si="2"/>
        <v>#DIV/0!</v>
      </c>
      <c r="K18" s="248" t="e">
        <f>(F18+G18)*'1-Totaal inschrijfbedrag'!$E$17</f>
        <v>#DIV/0!</v>
      </c>
      <c r="L18" s="248" t="e">
        <f>(H18+I18)*'1-Totaal inschrijfbedrag'!$E$25</f>
        <v>#DIV/0!</v>
      </c>
    </row>
    <row r="19" spans="1:12">
      <c r="A19" s="253">
        <v>105</v>
      </c>
      <c r="B19" s="239" t="s">
        <v>54</v>
      </c>
      <c r="C19" s="239" t="s">
        <v>50</v>
      </c>
      <c r="D19" s="530">
        <v>1</v>
      </c>
      <c r="E19" s="248">
        <f>SUMIF('3-Ruimtestaat'!B:B,A19,'3-Ruimtestaat'!Q:Q)</f>
        <v>3442.0757499999995</v>
      </c>
      <c r="F19" s="248" t="e">
        <f>SUMIF('3-Ruimtestaat'!B:B,A19,'3-Ruimtestaat'!R:R)</f>
        <v>#DIV/0!</v>
      </c>
      <c r="G19" s="248" t="e">
        <f>SUMIF('3-Ruimtestaat'!B:B,A19,'3-Ruimtestaat'!S:S)</f>
        <v>#DIV/0!</v>
      </c>
      <c r="H19" s="248" t="e">
        <f>SUMIF('3-Ruimtestaat'!B:B,A19,('3-Ruimtestaat'!T:T))+SUMIF('3-Ruimtestaat'!B:B,A19,('3-Ruimtestaat'!V:V))</f>
        <v>#DIV/0!</v>
      </c>
      <c r="I19" s="248" t="e">
        <f>SUMIF('3-Ruimtestaat'!B:B,A19,('3-Ruimtestaat'!U:U))+SUMIF('3-Ruimtestaat'!B:B,A19,('3-Ruimtestaat'!W:W))</f>
        <v>#DIV/0!</v>
      </c>
      <c r="J19" s="248" t="e">
        <f t="shared" si="2"/>
        <v>#DIV/0!</v>
      </c>
      <c r="K19" s="248" t="e">
        <f>(F19+G19)*'1-Totaal inschrijfbedrag'!$E$17</f>
        <v>#DIV/0!</v>
      </c>
      <c r="L19" s="248" t="e">
        <f>(H19+I19)*'1-Totaal inschrijfbedrag'!$E$25</f>
        <v>#DIV/0!</v>
      </c>
    </row>
    <row r="20" spans="1:12">
      <c r="A20" s="253">
        <v>106</v>
      </c>
      <c r="B20" s="239" t="s">
        <v>55</v>
      </c>
      <c r="C20" s="239" t="s">
        <v>56</v>
      </c>
      <c r="D20" s="530">
        <v>1</v>
      </c>
      <c r="E20" s="248">
        <f>SUMIF('3-Ruimtestaat'!B:B,A20,'3-Ruimtestaat'!Q:Q)</f>
        <v>0</v>
      </c>
      <c r="F20" s="248">
        <f>SUMIF('3-Ruimtestaat'!B:B,A20,'3-Ruimtestaat'!R:R)</f>
        <v>0</v>
      </c>
      <c r="G20" s="248">
        <f>SUMIF('3-Ruimtestaat'!B:B,A20,'3-Ruimtestaat'!S:S)</f>
        <v>0</v>
      </c>
      <c r="H20" s="248">
        <f>SUMIF('3-Ruimtestaat'!B:B,A20,('3-Ruimtestaat'!T:T))+SUMIF('3-Ruimtestaat'!B:B,A20,('3-Ruimtestaat'!V:V))</f>
        <v>0</v>
      </c>
      <c r="I20" s="248">
        <f>SUMIF('3-Ruimtestaat'!B:B,A20,('3-Ruimtestaat'!U:U))+SUMIF('3-Ruimtestaat'!B:B,A20,('3-Ruimtestaat'!W:W))</f>
        <v>0</v>
      </c>
      <c r="J20" s="248">
        <f t="shared" si="2"/>
        <v>0</v>
      </c>
      <c r="K20" s="248">
        <f>(F20+G20)*'1-Totaal inschrijfbedrag'!$E$17</f>
        <v>0</v>
      </c>
      <c r="L20" s="248">
        <f>(H20+I20)*'1-Totaal inschrijfbedrag'!$E$25</f>
        <v>0</v>
      </c>
    </row>
    <row r="21" spans="1:12">
      <c r="A21" s="253">
        <v>107</v>
      </c>
      <c r="B21" s="239" t="s">
        <v>57</v>
      </c>
      <c r="C21" s="239" t="s">
        <v>56</v>
      </c>
      <c r="D21" s="530">
        <v>1</v>
      </c>
      <c r="E21" s="248">
        <f>SUMIF('3-Ruimtestaat'!B:B,A21,'3-Ruimtestaat'!Q:Q)</f>
        <v>3122.7826440677973</v>
      </c>
      <c r="F21" s="248" t="e">
        <f>SUMIF('3-Ruimtestaat'!B:B,A21,'3-Ruimtestaat'!R:R)</f>
        <v>#DIV/0!</v>
      </c>
      <c r="G21" s="248" t="e">
        <f>SUMIF('3-Ruimtestaat'!B:B,A21,'3-Ruimtestaat'!S:S)</f>
        <v>#DIV/0!</v>
      </c>
      <c r="H21" s="248" t="e">
        <f>SUMIF('3-Ruimtestaat'!B:B,A21,('3-Ruimtestaat'!T:T))+SUMIF('3-Ruimtestaat'!B:B,A21,('3-Ruimtestaat'!V:V))</f>
        <v>#DIV/0!</v>
      </c>
      <c r="I21" s="248" t="e">
        <f>SUMIF('3-Ruimtestaat'!B:B,A21,('3-Ruimtestaat'!U:U))+SUMIF('3-Ruimtestaat'!B:B,A21,('3-Ruimtestaat'!W:W))</f>
        <v>#DIV/0!</v>
      </c>
      <c r="J21" s="248" t="e">
        <f t="shared" si="2"/>
        <v>#DIV/0!</v>
      </c>
      <c r="K21" s="248" t="e">
        <f>(F21+G21)*'1-Totaal inschrijfbedrag'!$E$17</f>
        <v>#DIV/0!</v>
      </c>
      <c r="L21" s="248" t="e">
        <f>(H21+I21)*'1-Totaal inschrijfbedrag'!$E$25</f>
        <v>#DIV/0!</v>
      </c>
    </row>
    <row r="22" spans="1:12">
      <c r="A22" s="253">
        <v>108</v>
      </c>
      <c r="B22" s="239" t="s">
        <v>58</v>
      </c>
      <c r="C22" s="239" t="s">
        <v>56</v>
      </c>
      <c r="D22" s="530">
        <v>1</v>
      </c>
      <c r="E22" s="248">
        <f>SUMIF('3-Ruimtestaat'!B:B,A22,'3-Ruimtestaat'!Q:Q)</f>
        <v>3461.1400000000003</v>
      </c>
      <c r="F22" s="248" t="e">
        <f>SUMIF('3-Ruimtestaat'!B:B,A22,'3-Ruimtestaat'!R:R)</f>
        <v>#DIV/0!</v>
      </c>
      <c r="G22" s="248" t="e">
        <f>SUMIF('3-Ruimtestaat'!B:B,A22,'3-Ruimtestaat'!S:S)</f>
        <v>#DIV/0!</v>
      </c>
      <c r="H22" s="248" t="e">
        <f>SUMIF('3-Ruimtestaat'!B:B,A22,('3-Ruimtestaat'!T:T))+SUMIF('3-Ruimtestaat'!B:B,A22,('3-Ruimtestaat'!V:V))</f>
        <v>#DIV/0!</v>
      </c>
      <c r="I22" s="248" t="e">
        <f>SUMIF('3-Ruimtestaat'!B:B,A22,('3-Ruimtestaat'!U:U))+SUMIF('3-Ruimtestaat'!B:B,A22,('3-Ruimtestaat'!W:W))</f>
        <v>#DIV/0!</v>
      </c>
      <c r="J22" s="248" t="e">
        <f t="shared" si="2"/>
        <v>#DIV/0!</v>
      </c>
      <c r="K22" s="248" t="e">
        <f>(F22+G22)*'1-Totaal inschrijfbedrag'!$E$17</f>
        <v>#DIV/0!</v>
      </c>
      <c r="L22" s="248" t="e">
        <f>(H22+I22)*'1-Totaal inschrijfbedrag'!$E$25</f>
        <v>#DIV/0!</v>
      </c>
    </row>
    <row r="23" spans="1:12">
      <c r="A23" s="253">
        <v>109</v>
      </c>
      <c r="B23" s="239" t="s">
        <v>59</v>
      </c>
      <c r="C23" s="239" t="s">
        <v>56</v>
      </c>
      <c r="D23" s="530">
        <v>1</v>
      </c>
      <c r="E23" s="248">
        <f>SUMIF('3-Ruimtestaat'!B:B,A23,'3-Ruimtestaat'!Q:Q)</f>
        <v>0</v>
      </c>
      <c r="F23" s="248">
        <f>SUMIF('3-Ruimtestaat'!B:B,A23,'3-Ruimtestaat'!R:R)</f>
        <v>0</v>
      </c>
      <c r="G23" s="248">
        <f>SUMIF('3-Ruimtestaat'!B:B,A23,'3-Ruimtestaat'!S:S)</f>
        <v>0</v>
      </c>
      <c r="H23" s="248">
        <f>SUMIF('3-Ruimtestaat'!B:B,A23,('3-Ruimtestaat'!T:T))+SUMIF('3-Ruimtestaat'!B:B,A23,('3-Ruimtestaat'!V:V))</f>
        <v>0</v>
      </c>
      <c r="I23" s="248">
        <f>SUMIF('3-Ruimtestaat'!B:B,A23,('3-Ruimtestaat'!U:U))+SUMIF('3-Ruimtestaat'!B:B,A23,('3-Ruimtestaat'!W:W))</f>
        <v>0</v>
      </c>
      <c r="J23" s="248">
        <f t="shared" si="2"/>
        <v>0</v>
      </c>
      <c r="K23" s="248">
        <f>(F23+G23)*'1-Totaal inschrijfbedrag'!$E$17</f>
        <v>0</v>
      </c>
      <c r="L23" s="248">
        <f>(H23+I23)*'1-Totaal inschrijfbedrag'!$E$25</f>
        <v>0</v>
      </c>
    </row>
    <row r="24" spans="1:12">
      <c r="A24" s="253">
        <v>110</v>
      </c>
      <c r="B24" s="239" t="s">
        <v>60</v>
      </c>
      <c r="C24" s="239" t="s">
        <v>56</v>
      </c>
      <c r="D24" s="530">
        <v>1</v>
      </c>
      <c r="E24" s="248">
        <f>SUMIF('3-Ruimtestaat'!B:B,A24,'3-Ruimtestaat'!Q:Q)</f>
        <v>2207.7000000000007</v>
      </c>
      <c r="F24" s="248" t="e">
        <f>SUMIF('3-Ruimtestaat'!B:B,A24,'3-Ruimtestaat'!R:R)</f>
        <v>#DIV/0!</v>
      </c>
      <c r="G24" s="248" t="e">
        <f>SUMIF('3-Ruimtestaat'!B:B,A24,'3-Ruimtestaat'!S:S)</f>
        <v>#DIV/0!</v>
      </c>
      <c r="H24" s="248" t="e">
        <f>SUMIF('3-Ruimtestaat'!B:B,A24,('3-Ruimtestaat'!T:T))+SUMIF('3-Ruimtestaat'!B:B,A24,('3-Ruimtestaat'!V:V))</f>
        <v>#DIV/0!</v>
      </c>
      <c r="I24" s="248" t="e">
        <f>SUMIF('3-Ruimtestaat'!B:B,A24,('3-Ruimtestaat'!U:U))+SUMIF('3-Ruimtestaat'!B:B,A24,('3-Ruimtestaat'!W:W))</f>
        <v>#DIV/0!</v>
      </c>
      <c r="J24" s="248" t="e">
        <f t="shared" si="2"/>
        <v>#DIV/0!</v>
      </c>
      <c r="K24" s="248" t="e">
        <f>(F24+G24)*'1-Totaal inschrijfbedrag'!$E$17</f>
        <v>#DIV/0!</v>
      </c>
      <c r="L24" s="248" t="e">
        <f>(H24+I24)*'1-Totaal inschrijfbedrag'!$E$25</f>
        <v>#DIV/0!</v>
      </c>
    </row>
    <row r="25" spans="1:12">
      <c r="A25" s="253">
        <v>111</v>
      </c>
      <c r="B25" s="239" t="s">
        <v>61</v>
      </c>
      <c r="C25" s="239" t="s">
        <v>56</v>
      </c>
      <c r="D25" s="530">
        <v>1</v>
      </c>
      <c r="E25" s="248">
        <f>SUMIF('3-Ruimtestaat'!B:B,A25,'3-Ruimtestaat'!Q:Q)</f>
        <v>2577.6100000000006</v>
      </c>
      <c r="F25" s="248" t="e">
        <f>SUMIF('3-Ruimtestaat'!B:B,A25,'3-Ruimtestaat'!R:R)</f>
        <v>#DIV/0!</v>
      </c>
      <c r="G25" s="248" t="e">
        <f>SUMIF('3-Ruimtestaat'!B:B,A25,'3-Ruimtestaat'!S:S)</f>
        <v>#DIV/0!</v>
      </c>
      <c r="H25" s="248" t="e">
        <f>SUMIF('3-Ruimtestaat'!B:B,A25,('3-Ruimtestaat'!T:T))+SUMIF('3-Ruimtestaat'!B:B,A25,('3-Ruimtestaat'!V:V))</f>
        <v>#DIV/0!</v>
      </c>
      <c r="I25" s="248" t="e">
        <f>SUMIF('3-Ruimtestaat'!B:B,A25,('3-Ruimtestaat'!U:U))+SUMIF('3-Ruimtestaat'!B:B,A25,('3-Ruimtestaat'!W:W))</f>
        <v>#DIV/0!</v>
      </c>
      <c r="J25" s="248" t="e">
        <f t="shared" si="2"/>
        <v>#DIV/0!</v>
      </c>
      <c r="K25" s="248" t="e">
        <f>(F25+G25)*'1-Totaal inschrijfbedrag'!$E$17</f>
        <v>#DIV/0!</v>
      </c>
      <c r="L25" s="248" t="e">
        <f>(H25+I25)*'1-Totaal inschrijfbedrag'!$E$25</f>
        <v>#DIV/0!</v>
      </c>
    </row>
    <row r="26" spans="1:12">
      <c r="A26" s="253">
        <v>112</v>
      </c>
      <c r="B26" s="239" t="s">
        <v>62</v>
      </c>
      <c r="C26" s="239" t="s">
        <v>56</v>
      </c>
      <c r="D26" s="530">
        <v>1</v>
      </c>
      <c r="E26" s="248">
        <f>SUMIF('3-Ruimtestaat'!B:B,A26,'3-Ruimtestaat'!Q:Q)</f>
        <v>2001.1000000000001</v>
      </c>
      <c r="F26" s="248" t="e">
        <f>SUMIF('3-Ruimtestaat'!B:B,A26,'3-Ruimtestaat'!R:R)</f>
        <v>#DIV/0!</v>
      </c>
      <c r="G26" s="248" t="e">
        <f>SUMIF('3-Ruimtestaat'!B:B,A26,'3-Ruimtestaat'!S:S)</f>
        <v>#DIV/0!</v>
      </c>
      <c r="H26" s="248" t="e">
        <f>SUMIF('3-Ruimtestaat'!B:B,A26,('3-Ruimtestaat'!T:T))+SUMIF('3-Ruimtestaat'!B:B,A26,('3-Ruimtestaat'!V:V))</f>
        <v>#DIV/0!</v>
      </c>
      <c r="I26" s="248" t="e">
        <f>SUMIF('3-Ruimtestaat'!B:B,A26,('3-Ruimtestaat'!U:U))+SUMIF('3-Ruimtestaat'!B:B,A26,('3-Ruimtestaat'!W:W))</f>
        <v>#DIV/0!</v>
      </c>
      <c r="J26" s="248" t="e">
        <f t="shared" si="2"/>
        <v>#DIV/0!</v>
      </c>
      <c r="K26" s="248" t="e">
        <f>(F26+G26)*'1-Totaal inschrijfbedrag'!$E$17</f>
        <v>#DIV/0!</v>
      </c>
      <c r="L26" s="248" t="e">
        <f>(H26+I26)*'1-Totaal inschrijfbedrag'!$E$25</f>
        <v>#DIV/0!</v>
      </c>
    </row>
    <row r="27" spans="1:12">
      <c r="A27" s="253">
        <v>113</v>
      </c>
      <c r="B27" s="239" t="s">
        <v>63</v>
      </c>
      <c r="C27" s="239" t="s">
        <v>56</v>
      </c>
      <c r="D27" s="530">
        <v>1</v>
      </c>
      <c r="E27" s="248">
        <f>SUMIF('3-Ruimtestaat'!B:B,A27,'3-Ruimtestaat'!Q:Q)</f>
        <v>2172.6000000000008</v>
      </c>
      <c r="F27" s="248" t="e">
        <f>SUMIF('3-Ruimtestaat'!B:B,A27,'3-Ruimtestaat'!R:R)</f>
        <v>#DIV/0!</v>
      </c>
      <c r="G27" s="248" t="e">
        <f>SUMIF('3-Ruimtestaat'!B:B,A27,'3-Ruimtestaat'!S:S)</f>
        <v>#DIV/0!</v>
      </c>
      <c r="H27" s="248" t="e">
        <f>SUMIF('3-Ruimtestaat'!B:B,A27,('3-Ruimtestaat'!T:T))+SUMIF('3-Ruimtestaat'!B:B,A27,('3-Ruimtestaat'!V:V))</f>
        <v>#DIV/0!</v>
      </c>
      <c r="I27" s="248" t="e">
        <f>SUMIF('3-Ruimtestaat'!B:B,A27,('3-Ruimtestaat'!U:U))+SUMIF('3-Ruimtestaat'!B:B,A27,('3-Ruimtestaat'!W:W))</f>
        <v>#DIV/0!</v>
      </c>
      <c r="J27" s="248" t="e">
        <f t="shared" si="2"/>
        <v>#DIV/0!</v>
      </c>
      <c r="K27" s="248" t="e">
        <f>(F27+G27)*'1-Totaal inschrijfbedrag'!$E$17</f>
        <v>#DIV/0!</v>
      </c>
      <c r="L27" s="248" t="e">
        <f>(H27+I27)*'1-Totaal inschrijfbedrag'!$E$25</f>
        <v>#DIV/0!</v>
      </c>
    </row>
    <row r="28" spans="1:12">
      <c r="A28" s="253">
        <v>114</v>
      </c>
      <c r="B28" s="239" t="s">
        <v>64</v>
      </c>
      <c r="C28" s="239" t="s">
        <v>56</v>
      </c>
      <c r="D28" s="530">
        <v>1</v>
      </c>
      <c r="E28" s="248">
        <f>SUMIF('3-Ruimtestaat'!B:B,A28,'3-Ruimtestaat'!Q:Q)</f>
        <v>2152.88</v>
      </c>
      <c r="F28" s="248" t="e">
        <f>SUMIF('3-Ruimtestaat'!B:B,A28,'3-Ruimtestaat'!R:R)</f>
        <v>#DIV/0!</v>
      </c>
      <c r="G28" s="248" t="e">
        <f>SUMIF('3-Ruimtestaat'!B:B,A28,'3-Ruimtestaat'!S:S)</f>
        <v>#DIV/0!</v>
      </c>
      <c r="H28" s="248" t="e">
        <f>SUMIF('3-Ruimtestaat'!B:B,A28,('3-Ruimtestaat'!T:T))+SUMIF('3-Ruimtestaat'!B:B,A28,('3-Ruimtestaat'!V:V))</f>
        <v>#DIV/0!</v>
      </c>
      <c r="I28" s="248" t="e">
        <f>SUMIF('3-Ruimtestaat'!B:B,A28,('3-Ruimtestaat'!U:U))+SUMIF('3-Ruimtestaat'!B:B,A28,('3-Ruimtestaat'!W:W))</f>
        <v>#DIV/0!</v>
      </c>
      <c r="J28" s="248" t="e">
        <f t="shared" si="2"/>
        <v>#DIV/0!</v>
      </c>
      <c r="K28" s="248" t="e">
        <f>(F28+G28)*'1-Totaal inschrijfbedrag'!$E$17</f>
        <v>#DIV/0!</v>
      </c>
      <c r="L28" s="248" t="e">
        <f>(H28+I28)*'1-Totaal inschrijfbedrag'!$E$25</f>
        <v>#DIV/0!</v>
      </c>
    </row>
    <row r="29" spans="1:12">
      <c r="A29" s="253">
        <v>115</v>
      </c>
      <c r="B29" s="239" t="s">
        <v>65</v>
      </c>
      <c r="C29" s="239" t="s">
        <v>66</v>
      </c>
      <c r="D29" s="530">
        <v>1</v>
      </c>
      <c r="E29" s="248">
        <f>SUMIF('3-Ruimtestaat'!B:B,A29,'3-Ruimtestaat'!Q:Q)</f>
        <v>2259.91</v>
      </c>
      <c r="F29" s="248" t="e">
        <f>SUMIF('3-Ruimtestaat'!B:B,A29,'3-Ruimtestaat'!R:R)</f>
        <v>#DIV/0!</v>
      </c>
      <c r="G29" s="248" t="e">
        <f>SUMIF('3-Ruimtestaat'!B:B,A29,'3-Ruimtestaat'!S:S)</f>
        <v>#DIV/0!</v>
      </c>
      <c r="H29" s="248" t="e">
        <f>SUMIF('3-Ruimtestaat'!B:B,A29,('3-Ruimtestaat'!T:T))+SUMIF('3-Ruimtestaat'!B:B,A29,('3-Ruimtestaat'!V:V))</f>
        <v>#DIV/0!</v>
      </c>
      <c r="I29" s="248" t="e">
        <f>SUMIF('3-Ruimtestaat'!B:B,A29,('3-Ruimtestaat'!U:U))+SUMIF('3-Ruimtestaat'!B:B,A29,('3-Ruimtestaat'!W:W))</f>
        <v>#DIV/0!</v>
      </c>
      <c r="J29" s="248" t="e">
        <f t="shared" si="2"/>
        <v>#DIV/0!</v>
      </c>
      <c r="K29" s="248" t="e">
        <f>(F29+G29)*'1-Totaal inschrijfbedrag'!$E$17</f>
        <v>#DIV/0!</v>
      </c>
      <c r="L29" s="248" t="e">
        <f>(H29+I29)*'1-Totaal inschrijfbedrag'!$E$25</f>
        <v>#DIV/0!</v>
      </c>
    </row>
    <row r="30" spans="1:12">
      <c r="A30" s="253">
        <v>116</v>
      </c>
      <c r="B30" s="239" t="s">
        <v>67</v>
      </c>
      <c r="C30" s="239" t="s">
        <v>56</v>
      </c>
      <c r="D30" s="530">
        <v>1</v>
      </c>
      <c r="E30" s="248">
        <f>SUMIF('3-Ruimtestaat'!B:B,A30,'3-Ruimtestaat'!Q:Q)</f>
        <v>1876</v>
      </c>
      <c r="F30" s="248" t="e">
        <f>SUMIF('3-Ruimtestaat'!B:B,A30,'3-Ruimtestaat'!R:R)</f>
        <v>#DIV/0!</v>
      </c>
      <c r="G30" s="248" t="e">
        <f>SUMIF('3-Ruimtestaat'!B:B,A30,'3-Ruimtestaat'!S:S)</f>
        <v>#DIV/0!</v>
      </c>
      <c r="H30" s="248" t="e">
        <f>SUMIF('3-Ruimtestaat'!B:B,A30,('3-Ruimtestaat'!T:T))+SUMIF('3-Ruimtestaat'!B:B,A30,('3-Ruimtestaat'!V:V))</f>
        <v>#DIV/0!</v>
      </c>
      <c r="I30" s="248" t="e">
        <f>SUMIF('3-Ruimtestaat'!B:B,A30,('3-Ruimtestaat'!U:U))+SUMIF('3-Ruimtestaat'!B:B,A30,('3-Ruimtestaat'!W:W))</f>
        <v>#DIV/0!</v>
      </c>
      <c r="J30" s="248" t="e">
        <f t="shared" si="2"/>
        <v>#DIV/0!</v>
      </c>
      <c r="K30" s="248" t="e">
        <f>(F30+G30)*'1-Totaal inschrijfbedrag'!$E$17</f>
        <v>#DIV/0!</v>
      </c>
      <c r="L30" s="248" t="e">
        <f>(H30+I30)*'1-Totaal inschrijfbedrag'!$E$25</f>
        <v>#DIV/0!</v>
      </c>
    </row>
    <row r="31" spans="1:12">
      <c r="A31" s="253">
        <v>117</v>
      </c>
      <c r="B31" s="239" t="s">
        <v>68</v>
      </c>
      <c r="C31" s="239" t="s">
        <v>56</v>
      </c>
      <c r="D31" s="530">
        <v>1</v>
      </c>
      <c r="E31" s="248">
        <f>SUMIF('3-Ruimtestaat'!B:B,A31,'3-Ruimtestaat'!Q:Q)</f>
        <v>1842</v>
      </c>
      <c r="F31" s="248" t="e">
        <f>SUMIF('3-Ruimtestaat'!B:B,A31,'3-Ruimtestaat'!R:R)</f>
        <v>#DIV/0!</v>
      </c>
      <c r="G31" s="248" t="e">
        <f>SUMIF('3-Ruimtestaat'!B:B,A31,'3-Ruimtestaat'!S:S)</f>
        <v>#DIV/0!</v>
      </c>
      <c r="H31" s="248" t="e">
        <f>SUMIF('3-Ruimtestaat'!B:B,A31,('3-Ruimtestaat'!T:T))+SUMIF('3-Ruimtestaat'!B:B,A31,('3-Ruimtestaat'!V:V))</f>
        <v>#DIV/0!</v>
      </c>
      <c r="I31" s="248" t="e">
        <f>SUMIF('3-Ruimtestaat'!B:B,A31,('3-Ruimtestaat'!U:U))+SUMIF('3-Ruimtestaat'!B:B,A31,('3-Ruimtestaat'!W:W))</f>
        <v>#DIV/0!</v>
      </c>
      <c r="J31" s="248" t="e">
        <f t="shared" si="2"/>
        <v>#DIV/0!</v>
      </c>
      <c r="K31" s="248" t="e">
        <f>(F31+G31)*'1-Totaal inschrijfbedrag'!$E$17</f>
        <v>#DIV/0!</v>
      </c>
      <c r="L31" s="248" t="e">
        <f>(H31+I31)*'1-Totaal inschrijfbedrag'!$E$25</f>
        <v>#DIV/0!</v>
      </c>
    </row>
    <row r="32" spans="1:12">
      <c r="A32" s="253">
        <v>118</v>
      </c>
      <c r="B32" s="239" t="s">
        <v>69</v>
      </c>
      <c r="C32" s="239" t="s">
        <v>56</v>
      </c>
      <c r="D32" s="530">
        <v>1</v>
      </c>
      <c r="E32" s="248">
        <f>SUMIF('3-Ruimtestaat'!B:B,A32,'3-Ruimtestaat'!Q:Q)</f>
        <v>1610</v>
      </c>
      <c r="F32" s="248" t="e">
        <f>SUMIF('3-Ruimtestaat'!B:B,A32,'3-Ruimtestaat'!R:R)</f>
        <v>#DIV/0!</v>
      </c>
      <c r="G32" s="248" t="e">
        <f>SUMIF('3-Ruimtestaat'!B:B,A32,'3-Ruimtestaat'!S:S)</f>
        <v>#DIV/0!</v>
      </c>
      <c r="H32" s="248" t="e">
        <f>SUMIF('3-Ruimtestaat'!B:B,A32,('3-Ruimtestaat'!T:T))+SUMIF('3-Ruimtestaat'!B:B,A32,('3-Ruimtestaat'!V:V))</f>
        <v>#DIV/0!</v>
      </c>
      <c r="I32" s="248" t="e">
        <f>SUMIF('3-Ruimtestaat'!B:B,A32,('3-Ruimtestaat'!U:U))+SUMIF('3-Ruimtestaat'!B:B,A32,('3-Ruimtestaat'!W:W))</f>
        <v>#DIV/0!</v>
      </c>
      <c r="J32" s="248" t="e">
        <f t="shared" si="2"/>
        <v>#DIV/0!</v>
      </c>
      <c r="K32" s="248" t="e">
        <f>(F32+G32)*'1-Totaal inschrijfbedrag'!$E$17</f>
        <v>#DIV/0!</v>
      </c>
      <c r="L32" s="248" t="e">
        <f>(H32+I32)*'1-Totaal inschrijfbedrag'!$E$25</f>
        <v>#DIV/0!</v>
      </c>
    </row>
    <row r="33" spans="1:12">
      <c r="A33" s="253">
        <v>119</v>
      </c>
      <c r="B33" s="239" t="s">
        <v>70</v>
      </c>
      <c r="C33" s="239" t="s">
        <v>56</v>
      </c>
      <c r="D33" s="530">
        <v>1</v>
      </c>
      <c r="E33" s="248">
        <f>SUMIF('3-Ruimtestaat'!B:B,A33,'3-Ruimtestaat'!Q:Q)</f>
        <v>2041</v>
      </c>
      <c r="F33" s="248" t="e">
        <f>SUMIF('3-Ruimtestaat'!B:B,A33,'3-Ruimtestaat'!R:R)</f>
        <v>#DIV/0!</v>
      </c>
      <c r="G33" s="248" t="e">
        <f>SUMIF('3-Ruimtestaat'!B:B,A33,'3-Ruimtestaat'!S:S)</f>
        <v>#DIV/0!</v>
      </c>
      <c r="H33" s="248" t="e">
        <f>SUMIF('3-Ruimtestaat'!B:B,A33,('3-Ruimtestaat'!T:T))+SUMIF('3-Ruimtestaat'!B:B,A33,('3-Ruimtestaat'!V:V))</f>
        <v>#DIV/0!</v>
      </c>
      <c r="I33" s="248" t="e">
        <f>SUMIF('3-Ruimtestaat'!B:B,A33,('3-Ruimtestaat'!U:U))+SUMIF('3-Ruimtestaat'!B:B,A33,('3-Ruimtestaat'!W:W))</f>
        <v>#DIV/0!</v>
      </c>
      <c r="J33" s="248" t="e">
        <f t="shared" si="2"/>
        <v>#DIV/0!</v>
      </c>
      <c r="K33" s="248" t="e">
        <f>(F33+G33)*'1-Totaal inschrijfbedrag'!$E$17</f>
        <v>#DIV/0!</v>
      </c>
      <c r="L33" s="248" t="e">
        <f>(H33+I33)*'1-Totaal inschrijfbedrag'!$E$25</f>
        <v>#DIV/0!</v>
      </c>
    </row>
    <row r="34" spans="1:12">
      <c r="A34" s="253">
        <v>120</v>
      </c>
      <c r="B34" s="239" t="s">
        <v>71</v>
      </c>
      <c r="C34" s="239" t="s">
        <v>56</v>
      </c>
      <c r="D34" s="530">
        <v>1</v>
      </c>
      <c r="E34" s="248">
        <f>SUMIF('3-Ruimtestaat'!B:B,A34,'3-Ruimtestaat'!Q:Q)</f>
        <v>2202</v>
      </c>
      <c r="F34" s="248" t="e">
        <f>SUMIF('3-Ruimtestaat'!B:B,A34,'3-Ruimtestaat'!R:R)</f>
        <v>#DIV/0!</v>
      </c>
      <c r="G34" s="248" t="e">
        <f>SUMIF('3-Ruimtestaat'!B:B,A34,'3-Ruimtestaat'!S:S)</f>
        <v>#DIV/0!</v>
      </c>
      <c r="H34" s="248" t="e">
        <f>SUMIF('3-Ruimtestaat'!B:B,A34,('3-Ruimtestaat'!T:T))+SUMIF('3-Ruimtestaat'!B:B,A34,('3-Ruimtestaat'!V:V))</f>
        <v>#DIV/0!</v>
      </c>
      <c r="I34" s="248" t="e">
        <f>SUMIF('3-Ruimtestaat'!B:B,A34,('3-Ruimtestaat'!U:U))+SUMIF('3-Ruimtestaat'!B:B,A34,('3-Ruimtestaat'!W:W))</f>
        <v>#DIV/0!</v>
      </c>
      <c r="J34" s="248" t="e">
        <f t="shared" si="2"/>
        <v>#DIV/0!</v>
      </c>
      <c r="K34" s="248" t="e">
        <f>(F34+G34)*'1-Totaal inschrijfbedrag'!$E$17</f>
        <v>#DIV/0!</v>
      </c>
      <c r="L34" s="248" t="e">
        <f>(H34+I34)*'1-Totaal inschrijfbedrag'!$E$25</f>
        <v>#DIV/0!</v>
      </c>
    </row>
    <row r="35" spans="1:12">
      <c r="A35" s="253">
        <v>121</v>
      </c>
      <c r="B35" s="239" t="s">
        <v>72</v>
      </c>
      <c r="C35" s="239" t="s">
        <v>56</v>
      </c>
      <c r="D35" s="530">
        <v>1</v>
      </c>
      <c r="E35" s="248">
        <f>SUMIF('3-Ruimtestaat'!B:B,A35,'3-Ruimtestaat'!Q:Q)</f>
        <v>1699</v>
      </c>
      <c r="F35" s="248" t="e">
        <f>SUMIF('3-Ruimtestaat'!B:B,A35,'3-Ruimtestaat'!R:R)</f>
        <v>#DIV/0!</v>
      </c>
      <c r="G35" s="248" t="e">
        <f>SUMIF('3-Ruimtestaat'!B:B,A35,'3-Ruimtestaat'!S:S)</f>
        <v>#DIV/0!</v>
      </c>
      <c r="H35" s="248" t="e">
        <f>SUMIF('3-Ruimtestaat'!B:B,A35,('3-Ruimtestaat'!T:T))+SUMIF('3-Ruimtestaat'!B:B,A35,('3-Ruimtestaat'!V:V))</f>
        <v>#DIV/0!</v>
      </c>
      <c r="I35" s="248" t="e">
        <f>SUMIF('3-Ruimtestaat'!B:B,A35,('3-Ruimtestaat'!U:U))+SUMIF('3-Ruimtestaat'!B:B,A35,('3-Ruimtestaat'!W:W))</f>
        <v>#DIV/0!</v>
      </c>
      <c r="J35" s="248" t="e">
        <f t="shared" si="2"/>
        <v>#DIV/0!</v>
      </c>
      <c r="K35" s="248" t="e">
        <f>(F35+G35)*'1-Totaal inschrijfbedrag'!$E$17</f>
        <v>#DIV/0!</v>
      </c>
      <c r="L35" s="248" t="e">
        <f>(H35+I35)*'1-Totaal inschrijfbedrag'!$E$25</f>
        <v>#DIV/0!</v>
      </c>
    </row>
    <row r="36" spans="1:12">
      <c r="A36" s="253">
        <v>201</v>
      </c>
      <c r="B36" s="239" t="s">
        <v>73</v>
      </c>
      <c r="C36" s="239" t="s">
        <v>74</v>
      </c>
      <c r="D36" s="530">
        <v>1</v>
      </c>
      <c r="E36" s="248">
        <f>SUMIF('3-Ruimtestaat'!B:B,A36,'3-Ruimtestaat'!Q:Q)</f>
        <v>507</v>
      </c>
      <c r="F36" s="248" t="e">
        <f>SUMIF('3-Ruimtestaat'!B:B,A36,'3-Ruimtestaat'!R:R)</f>
        <v>#DIV/0!</v>
      </c>
      <c r="G36" s="248" t="e">
        <f>SUMIF('3-Ruimtestaat'!B:B,A36,'3-Ruimtestaat'!S:S)</f>
        <v>#DIV/0!</v>
      </c>
      <c r="H36" s="248" t="e">
        <f>SUMIF('3-Ruimtestaat'!B:B,A36,('3-Ruimtestaat'!T:T))+SUMIF('3-Ruimtestaat'!B:B,A36,('3-Ruimtestaat'!V:V))</f>
        <v>#DIV/0!</v>
      </c>
      <c r="I36" s="248" t="e">
        <f>SUMIF('3-Ruimtestaat'!B:B,A36,('3-Ruimtestaat'!U:U))+SUMIF('3-Ruimtestaat'!B:B,A36,('3-Ruimtestaat'!W:W))</f>
        <v>#DIV/0!</v>
      </c>
      <c r="J36" s="248" t="e">
        <f t="shared" ref="J36:J65" si="3">SUM(F36:I36)</f>
        <v>#DIV/0!</v>
      </c>
      <c r="K36" s="248" t="e">
        <f>(F36+G36)*'1-Totaal inschrijfbedrag'!$E$17</f>
        <v>#DIV/0!</v>
      </c>
      <c r="L36" s="248" t="e">
        <f>(H36+I36)*'1-Totaal inschrijfbedrag'!$E$25</f>
        <v>#DIV/0!</v>
      </c>
    </row>
    <row r="37" spans="1:12">
      <c r="A37" s="253">
        <v>202</v>
      </c>
      <c r="B37" s="239" t="s">
        <v>75</v>
      </c>
      <c r="C37" s="239" t="s">
        <v>74</v>
      </c>
      <c r="D37" s="530">
        <v>1</v>
      </c>
      <c r="E37" s="248">
        <f>SUMIF('3-Ruimtestaat'!B:B,A37,'3-Ruimtestaat'!Q:Q)</f>
        <v>671</v>
      </c>
      <c r="F37" s="248" t="e">
        <f>SUMIF('3-Ruimtestaat'!B:B,A37,'3-Ruimtestaat'!R:R)</f>
        <v>#DIV/0!</v>
      </c>
      <c r="G37" s="248" t="e">
        <f>SUMIF('3-Ruimtestaat'!B:B,A37,'3-Ruimtestaat'!S:S)</f>
        <v>#DIV/0!</v>
      </c>
      <c r="H37" s="248" t="e">
        <f>SUMIF('3-Ruimtestaat'!B:B,A37,('3-Ruimtestaat'!T:T))+SUMIF('3-Ruimtestaat'!B:B,A37,('3-Ruimtestaat'!V:V))</f>
        <v>#DIV/0!</v>
      </c>
      <c r="I37" s="248" t="e">
        <f>SUMIF('3-Ruimtestaat'!B:B,A37,('3-Ruimtestaat'!U:U))+SUMIF('3-Ruimtestaat'!B:B,A37,('3-Ruimtestaat'!W:W))</f>
        <v>#DIV/0!</v>
      </c>
      <c r="J37" s="248" t="e">
        <f t="shared" si="3"/>
        <v>#DIV/0!</v>
      </c>
      <c r="K37" s="248" t="e">
        <f>(F37+G37)*'1-Totaal inschrijfbedrag'!$E$17</f>
        <v>#DIV/0!</v>
      </c>
      <c r="L37" s="248" t="e">
        <f>(H37+I37)*'1-Totaal inschrijfbedrag'!$E$25</f>
        <v>#DIV/0!</v>
      </c>
    </row>
    <row r="38" spans="1:12">
      <c r="A38" s="253">
        <v>203</v>
      </c>
      <c r="B38" s="239" t="s">
        <v>76</v>
      </c>
      <c r="C38" s="239" t="s">
        <v>74</v>
      </c>
      <c r="D38" s="530">
        <v>1</v>
      </c>
      <c r="E38" s="248">
        <f>SUMIF('3-Ruimtestaat'!B:B,A38,'3-Ruimtestaat'!Q:Q)</f>
        <v>589</v>
      </c>
      <c r="F38" s="248" t="e">
        <f>SUMIF('3-Ruimtestaat'!B:B,A38,'3-Ruimtestaat'!R:R)</f>
        <v>#DIV/0!</v>
      </c>
      <c r="G38" s="248" t="e">
        <f>SUMIF('3-Ruimtestaat'!B:B,A38,'3-Ruimtestaat'!S:S)</f>
        <v>#DIV/0!</v>
      </c>
      <c r="H38" s="248" t="e">
        <f>SUMIF('3-Ruimtestaat'!B:B,A38,('3-Ruimtestaat'!T:T))+SUMIF('3-Ruimtestaat'!B:B,A38,('3-Ruimtestaat'!V:V))</f>
        <v>#DIV/0!</v>
      </c>
      <c r="I38" s="248" t="e">
        <f>SUMIF('3-Ruimtestaat'!B:B,A38,('3-Ruimtestaat'!U:U))+SUMIF('3-Ruimtestaat'!B:B,A38,('3-Ruimtestaat'!W:W))</f>
        <v>#DIV/0!</v>
      </c>
      <c r="J38" s="248" t="e">
        <f t="shared" si="3"/>
        <v>#DIV/0!</v>
      </c>
      <c r="K38" s="248" t="e">
        <f>(F38+G38)*'1-Totaal inschrijfbedrag'!$E$17</f>
        <v>#DIV/0!</v>
      </c>
      <c r="L38" s="248" t="e">
        <f>(H38+I38)*'1-Totaal inschrijfbedrag'!$E$25</f>
        <v>#DIV/0!</v>
      </c>
    </row>
    <row r="39" spans="1:12">
      <c r="A39" s="253">
        <v>204</v>
      </c>
      <c r="B39" s="239" t="s">
        <v>77</v>
      </c>
      <c r="C39" s="239" t="s">
        <v>74</v>
      </c>
      <c r="D39" s="530">
        <v>1</v>
      </c>
      <c r="E39" s="248">
        <f>SUMIF('3-Ruimtestaat'!B:B,A39,'3-Ruimtestaat'!Q:Q)</f>
        <v>662</v>
      </c>
      <c r="F39" s="248" t="e">
        <f>SUMIF('3-Ruimtestaat'!B:B,A39,'3-Ruimtestaat'!R:R)</f>
        <v>#DIV/0!</v>
      </c>
      <c r="G39" s="248" t="e">
        <f>SUMIF('3-Ruimtestaat'!B:B,A39,'3-Ruimtestaat'!S:S)</f>
        <v>#DIV/0!</v>
      </c>
      <c r="H39" s="248" t="e">
        <f>SUMIF('3-Ruimtestaat'!B:B,A39,('3-Ruimtestaat'!T:T))+SUMIF('3-Ruimtestaat'!B:B,A39,('3-Ruimtestaat'!V:V))</f>
        <v>#DIV/0!</v>
      </c>
      <c r="I39" s="248" t="e">
        <f>SUMIF('3-Ruimtestaat'!B:B,A39,('3-Ruimtestaat'!U:U))+SUMIF('3-Ruimtestaat'!B:B,A39,('3-Ruimtestaat'!W:W))</f>
        <v>#DIV/0!</v>
      </c>
      <c r="J39" s="248" t="e">
        <f t="shared" si="3"/>
        <v>#DIV/0!</v>
      </c>
      <c r="K39" s="248" t="e">
        <f>(F39+G39)*'1-Totaal inschrijfbedrag'!$E$17</f>
        <v>#DIV/0!</v>
      </c>
      <c r="L39" s="248" t="e">
        <f>(H39+I39)*'1-Totaal inschrijfbedrag'!$E$25</f>
        <v>#DIV/0!</v>
      </c>
    </row>
    <row r="40" spans="1:12">
      <c r="A40" s="253">
        <v>205</v>
      </c>
      <c r="B40" s="239" t="s">
        <v>78</v>
      </c>
      <c r="C40" s="239" t="s">
        <v>74</v>
      </c>
      <c r="D40" s="530">
        <v>1</v>
      </c>
      <c r="E40" s="248">
        <f>SUMIF('3-Ruimtestaat'!B:B,A40,'3-Ruimtestaat'!Q:Q)</f>
        <v>662</v>
      </c>
      <c r="F40" s="248" t="e">
        <f>SUMIF('3-Ruimtestaat'!B:B,A40,'3-Ruimtestaat'!R:R)</f>
        <v>#DIV/0!</v>
      </c>
      <c r="G40" s="248" t="e">
        <f>SUMIF('3-Ruimtestaat'!B:B,A40,'3-Ruimtestaat'!S:S)</f>
        <v>#DIV/0!</v>
      </c>
      <c r="H40" s="248" t="e">
        <f>SUMIF('3-Ruimtestaat'!B:B,A40,('3-Ruimtestaat'!T:T))+SUMIF('3-Ruimtestaat'!B:B,A40,('3-Ruimtestaat'!V:V))</f>
        <v>#DIV/0!</v>
      </c>
      <c r="I40" s="248" t="e">
        <f>SUMIF('3-Ruimtestaat'!B:B,A40,('3-Ruimtestaat'!U:U))+SUMIF('3-Ruimtestaat'!B:B,A40,('3-Ruimtestaat'!W:W))</f>
        <v>#DIV/0!</v>
      </c>
      <c r="J40" s="248" t="e">
        <f t="shared" si="3"/>
        <v>#DIV/0!</v>
      </c>
      <c r="K40" s="248" t="e">
        <f>(F40+G40)*'1-Totaal inschrijfbedrag'!$E$17</f>
        <v>#DIV/0!</v>
      </c>
      <c r="L40" s="248" t="e">
        <f>(H40+I40)*'1-Totaal inschrijfbedrag'!$E$25</f>
        <v>#DIV/0!</v>
      </c>
    </row>
    <row r="41" spans="1:12">
      <c r="A41" s="253">
        <v>206</v>
      </c>
      <c r="B41" s="239" t="s">
        <v>79</v>
      </c>
      <c r="C41" s="239" t="s">
        <v>74</v>
      </c>
      <c r="D41" s="530">
        <v>1</v>
      </c>
      <c r="E41" s="248">
        <f>SUMIF('3-Ruimtestaat'!B:B,A41,'3-Ruimtestaat'!Q:Q)</f>
        <v>530</v>
      </c>
      <c r="F41" s="248" t="e">
        <f>SUMIF('3-Ruimtestaat'!B:B,A41,'3-Ruimtestaat'!R:R)</f>
        <v>#DIV/0!</v>
      </c>
      <c r="G41" s="248" t="e">
        <f>SUMIF('3-Ruimtestaat'!B:B,A41,'3-Ruimtestaat'!S:S)</f>
        <v>#DIV/0!</v>
      </c>
      <c r="H41" s="248" t="e">
        <f>SUMIF('3-Ruimtestaat'!B:B,A41,('3-Ruimtestaat'!T:T))+SUMIF('3-Ruimtestaat'!B:B,A41,('3-Ruimtestaat'!V:V))</f>
        <v>#DIV/0!</v>
      </c>
      <c r="I41" s="248" t="e">
        <f>SUMIF('3-Ruimtestaat'!B:B,A41,('3-Ruimtestaat'!U:U))+SUMIF('3-Ruimtestaat'!B:B,A41,('3-Ruimtestaat'!W:W))</f>
        <v>#DIV/0!</v>
      </c>
      <c r="J41" s="248" t="e">
        <f t="shared" si="3"/>
        <v>#DIV/0!</v>
      </c>
      <c r="K41" s="248" t="e">
        <f>(F41+G41)*'1-Totaal inschrijfbedrag'!$E$17</f>
        <v>#DIV/0!</v>
      </c>
      <c r="L41" s="248" t="e">
        <f>(H41+I41)*'1-Totaal inschrijfbedrag'!$E$25</f>
        <v>#DIV/0!</v>
      </c>
    </row>
    <row r="42" spans="1:12">
      <c r="A42" s="253">
        <v>207</v>
      </c>
      <c r="B42" s="239" t="s">
        <v>80</v>
      </c>
      <c r="C42" s="239" t="s">
        <v>74</v>
      </c>
      <c r="D42" s="530">
        <v>1</v>
      </c>
      <c r="E42" s="248">
        <f>SUMIF('3-Ruimtestaat'!B:B,A42,'3-Ruimtestaat'!Q:Q)</f>
        <v>600</v>
      </c>
      <c r="F42" s="248" t="e">
        <f>SUMIF('3-Ruimtestaat'!B:B,A42,'3-Ruimtestaat'!R:R)</f>
        <v>#DIV/0!</v>
      </c>
      <c r="G42" s="248" t="e">
        <f>SUMIF('3-Ruimtestaat'!B:B,A42,'3-Ruimtestaat'!S:S)</f>
        <v>#DIV/0!</v>
      </c>
      <c r="H42" s="248" t="e">
        <f>SUMIF('3-Ruimtestaat'!B:B,A42,('3-Ruimtestaat'!T:T))+SUMIF('3-Ruimtestaat'!B:B,A42,('3-Ruimtestaat'!V:V))</f>
        <v>#DIV/0!</v>
      </c>
      <c r="I42" s="248" t="e">
        <f>SUMIF('3-Ruimtestaat'!B:B,A42,('3-Ruimtestaat'!U:U))+SUMIF('3-Ruimtestaat'!B:B,A42,('3-Ruimtestaat'!W:W))</f>
        <v>#DIV/0!</v>
      </c>
      <c r="J42" s="248" t="e">
        <f t="shared" si="3"/>
        <v>#DIV/0!</v>
      </c>
      <c r="K42" s="248" t="e">
        <f>(F42+G42)*'1-Totaal inschrijfbedrag'!$E$17</f>
        <v>#DIV/0!</v>
      </c>
      <c r="L42" s="248" t="e">
        <f>(H42+I42)*'1-Totaal inschrijfbedrag'!$E$25</f>
        <v>#DIV/0!</v>
      </c>
    </row>
    <row r="43" spans="1:12">
      <c r="A43" s="253">
        <v>208</v>
      </c>
      <c r="B43" s="239" t="s">
        <v>81</v>
      </c>
      <c r="C43" s="239" t="s">
        <v>74</v>
      </c>
      <c r="D43" s="530">
        <v>1</v>
      </c>
      <c r="E43" s="248">
        <f>SUMIF('3-Ruimtestaat'!B:B,A43,'3-Ruimtestaat'!Q:Q)</f>
        <v>609</v>
      </c>
      <c r="F43" s="248" t="e">
        <f>SUMIF('3-Ruimtestaat'!B:B,A43,'3-Ruimtestaat'!R:R)</f>
        <v>#DIV/0!</v>
      </c>
      <c r="G43" s="248" t="e">
        <f>SUMIF('3-Ruimtestaat'!B:B,A43,'3-Ruimtestaat'!S:S)</f>
        <v>#DIV/0!</v>
      </c>
      <c r="H43" s="248" t="e">
        <f>SUMIF('3-Ruimtestaat'!B:B,A43,('3-Ruimtestaat'!T:T))+SUMIF('3-Ruimtestaat'!B:B,A43,('3-Ruimtestaat'!V:V))</f>
        <v>#DIV/0!</v>
      </c>
      <c r="I43" s="248" t="e">
        <f>SUMIF('3-Ruimtestaat'!B:B,A43,('3-Ruimtestaat'!U:U))+SUMIF('3-Ruimtestaat'!B:B,A43,('3-Ruimtestaat'!W:W))</f>
        <v>#DIV/0!</v>
      </c>
      <c r="J43" s="248" t="e">
        <f t="shared" ref="J43:J50" si="4">SUM(F43:I43)</f>
        <v>#DIV/0!</v>
      </c>
      <c r="K43" s="248" t="e">
        <f>(F43+G43)*'1-Totaal inschrijfbedrag'!$E$17</f>
        <v>#DIV/0!</v>
      </c>
      <c r="L43" s="248" t="e">
        <f>(H43+I43)*'1-Totaal inschrijfbedrag'!$E$25</f>
        <v>#DIV/0!</v>
      </c>
    </row>
    <row r="44" spans="1:12">
      <c r="A44" s="253">
        <v>209</v>
      </c>
      <c r="B44" s="239" t="s">
        <v>82</v>
      </c>
      <c r="C44" s="239" t="s">
        <v>74</v>
      </c>
      <c r="D44" s="530">
        <v>1</v>
      </c>
      <c r="E44" s="248">
        <f>SUMIF('3-Ruimtestaat'!B:B,A44,'3-Ruimtestaat'!Q:Q)</f>
        <v>903</v>
      </c>
      <c r="F44" s="248" t="e">
        <f>SUMIF('3-Ruimtestaat'!B:B,A44,'3-Ruimtestaat'!R:R)</f>
        <v>#DIV/0!</v>
      </c>
      <c r="G44" s="248" t="e">
        <f>SUMIF('3-Ruimtestaat'!B:B,A44,'3-Ruimtestaat'!S:S)</f>
        <v>#DIV/0!</v>
      </c>
      <c r="H44" s="248" t="e">
        <f>SUMIF('3-Ruimtestaat'!B:B,A44,('3-Ruimtestaat'!T:T))+SUMIF('3-Ruimtestaat'!B:B,A44,('3-Ruimtestaat'!V:V))</f>
        <v>#DIV/0!</v>
      </c>
      <c r="I44" s="248" t="e">
        <f>SUMIF('3-Ruimtestaat'!B:B,A44,('3-Ruimtestaat'!U:U))+SUMIF('3-Ruimtestaat'!B:B,A44,('3-Ruimtestaat'!W:W))</f>
        <v>#DIV/0!</v>
      </c>
      <c r="J44" s="248" t="e">
        <f t="shared" si="4"/>
        <v>#DIV/0!</v>
      </c>
      <c r="K44" s="248" t="e">
        <f>(F44+G44)*'1-Totaal inschrijfbedrag'!$E$17</f>
        <v>#DIV/0!</v>
      </c>
      <c r="L44" s="248" t="e">
        <f>(H44+I44)*'1-Totaal inschrijfbedrag'!$E$25</f>
        <v>#DIV/0!</v>
      </c>
    </row>
    <row r="45" spans="1:12">
      <c r="A45" s="253">
        <v>210</v>
      </c>
      <c r="B45" s="239" t="s">
        <v>83</v>
      </c>
      <c r="C45" s="239" t="s">
        <v>74</v>
      </c>
      <c r="D45" s="530">
        <v>1</v>
      </c>
      <c r="E45" s="248">
        <f>SUMIF('3-Ruimtestaat'!B:B,A45,'3-Ruimtestaat'!Q:Q)</f>
        <v>662</v>
      </c>
      <c r="F45" s="248" t="e">
        <f>SUMIF('3-Ruimtestaat'!B:B,A45,'3-Ruimtestaat'!R:R)</f>
        <v>#DIV/0!</v>
      </c>
      <c r="G45" s="248" t="e">
        <f>SUMIF('3-Ruimtestaat'!B:B,A45,'3-Ruimtestaat'!S:S)</f>
        <v>#DIV/0!</v>
      </c>
      <c r="H45" s="248" t="e">
        <f>SUMIF('3-Ruimtestaat'!B:B,A45,('3-Ruimtestaat'!T:T))+SUMIF('3-Ruimtestaat'!B:B,A45,('3-Ruimtestaat'!V:V))</f>
        <v>#DIV/0!</v>
      </c>
      <c r="I45" s="248" t="e">
        <f>SUMIF('3-Ruimtestaat'!B:B,A45,('3-Ruimtestaat'!U:U))+SUMIF('3-Ruimtestaat'!B:B,A45,('3-Ruimtestaat'!W:W))</f>
        <v>#DIV/0!</v>
      </c>
      <c r="J45" s="248" t="e">
        <f t="shared" si="4"/>
        <v>#DIV/0!</v>
      </c>
      <c r="K45" s="248" t="e">
        <f>(F45+G45)*'1-Totaal inschrijfbedrag'!$E$17</f>
        <v>#DIV/0!</v>
      </c>
      <c r="L45" s="248" t="e">
        <f>(H45+I45)*'1-Totaal inschrijfbedrag'!$E$25</f>
        <v>#DIV/0!</v>
      </c>
    </row>
    <row r="46" spans="1:12">
      <c r="A46" s="253">
        <v>211</v>
      </c>
      <c r="B46" s="239" t="s">
        <v>84</v>
      </c>
      <c r="C46" s="239" t="s">
        <v>74</v>
      </c>
      <c r="D46" s="530">
        <v>1</v>
      </c>
      <c r="E46" s="248">
        <f>SUMIF('3-Ruimtestaat'!B:B,A46,'3-Ruimtestaat'!Q:Q)</f>
        <v>398</v>
      </c>
      <c r="F46" s="248" t="e">
        <f>SUMIF('3-Ruimtestaat'!B:B,A46,'3-Ruimtestaat'!R:R)</f>
        <v>#DIV/0!</v>
      </c>
      <c r="G46" s="248" t="e">
        <f>SUMIF('3-Ruimtestaat'!B:B,A46,'3-Ruimtestaat'!S:S)</f>
        <v>#DIV/0!</v>
      </c>
      <c r="H46" s="248" t="e">
        <f>SUMIF('3-Ruimtestaat'!B:B,A46,('3-Ruimtestaat'!T:T))+SUMIF('3-Ruimtestaat'!B:B,A46,('3-Ruimtestaat'!V:V))</f>
        <v>#DIV/0!</v>
      </c>
      <c r="I46" s="248" t="e">
        <f>SUMIF('3-Ruimtestaat'!B:B,A46,('3-Ruimtestaat'!U:U))+SUMIF('3-Ruimtestaat'!B:B,A46,('3-Ruimtestaat'!W:W))</f>
        <v>#DIV/0!</v>
      </c>
      <c r="J46" s="248" t="e">
        <f t="shared" si="4"/>
        <v>#DIV/0!</v>
      </c>
      <c r="K46" s="248" t="e">
        <f>(F46+G46)*'1-Totaal inschrijfbedrag'!$E$17</f>
        <v>#DIV/0!</v>
      </c>
      <c r="L46" s="248" t="e">
        <f>(H46+I46)*'1-Totaal inschrijfbedrag'!$E$25</f>
        <v>#DIV/0!</v>
      </c>
    </row>
    <row r="47" spans="1:12">
      <c r="A47" s="253">
        <v>212</v>
      </c>
      <c r="B47" s="239" t="s">
        <v>85</v>
      </c>
      <c r="C47" s="239" t="s">
        <v>74</v>
      </c>
      <c r="D47" s="530">
        <v>1</v>
      </c>
      <c r="E47" s="248">
        <f>SUMIF('3-Ruimtestaat'!B:B,A47,'3-Ruimtestaat'!Q:Q)</f>
        <v>378</v>
      </c>
      <c r="F47" s="248" t="e">
        <f>SUMIF('3-Ruimtestaat'!B:B,A47,'3-Ruimtestaat'!R:R)</f>
        <v>#DIV/0!</v>
      </c>
      <c r="G47" s="248" t="e">
        <f>SUMIF('3-Ruimtestaat'!B:B,A47,'3-Ruimtestaat'!S:S)</f>
        <v>#DIV/0!</v>
      </c>
      <c r="H47" s="248" t="e">
        <f>SUMIF('3-Ruimtestaat'!B:B,A47,('3-Ruimtestaat'!T:T))+SUMIF('3-Ruimtestaat'!B:B,A47,('3-Ruimtestaat'!V:V))</f>
        <v>#DIV/0!</v>
      </c>
      <c r="I47" s="248" t="e">
        <f>SUMIF('3-Ruimtestaat'!B:B,A47,('3-Ruimtestaat'!U:U))+SUMIF('3-Ruimtestaat'!B:B,A47,('3-Ruimtestaat'!W:W))</f>
        <v>#DIV/0!</v>
      </c>
      <c r="J47" s="248" t="e">
        <f t="shared" si="4"/>
        <v>#DIV/0!</v>
      </c>
      <c r="K47" s="248" t="e">
        <f>(F47+G47)*'1-Totaal inschrijfbedrag'!$E$17</f>
        <v>#DIV/0!</v>
      </c>
      <c r="L47" s="248" t="e">
        <f>(H47+I47)*'1-Totaal inschrijfbedrag'!$E$25</f>
        <v>#DIV/0!</v>
      </c>
    </row>
    <row r="48" spans="1:12">
      <c r="A48" s="253">
        <v>213</v>
      </c>
      <c r="B48" s="239" t="s">
        <v>86</v>
      </c>
      <c r="C48" s="239" t="s">
        <v>74</v>
      </c>
      <c r="D48" s="530">
        <v>1</v>
      </c>
      <c r="E48" s="248">
        <f>SUMIF('3-Ruimtestaat'!B:B,A48,'3-Ruimtestaat'!Q:Q)</f>
        <v>492</v>
      </c>
      <c r="F48" s="248" t="e">
        <f>SUMIF('3-Ruimtestaat'!B:B,A48,'3-Ruimtestaat'!R:R)</f>
        <v>#DIV/0!</v>
      </c>
      <c r="G48" s="248" t="e">
        <f>SUMIF('3-Ruimtestaat'!B:B,A48,'3-Ruimtestaat'!S:S)</f>
        <v>#DIV/0!</v>
      </c>
      <c r="H48" s="248" t="e">
        <f>SUMIF('3-Ruimtestaat'!B:B,A48,('3-Ruimtestaat'!T:T))+SUMIF('3-Ruimtestaat'!B:B,A48,('3-Ruimtestaat'!V:V))</f>
        <v>#DIV/0!</v>
      </c>
      <c r="I48" s="248" t="e">
        <f>SUMIF('3-Ruimtestaat'!B:B,A48,('3-Ruimtestaat'!U:U))+SUMIF('3-Ruimtestaat'!B:B,A48,('3-Ruimtestaat'!W:W))</f>
        <v>#DIV/0!</v>
      </c>
      <c r="J48" s="248" t="e">
        <f t="shared" si="4"/>
        <v>#DIV/0!</v>
      </c>
      <c r="K48" s="248" t="e">
        <f>(F48+G48)*'1-Totaal inschrijfbedrag'!$E$17</f>
        <v>#DIV/0!</v>
      </c>
      <c r="L48" s="248" t="e">
        <f>(H48+I48)*'1-Totaal inschrijfbedrag'!$E$25</f>
        <v>#DIV/0!</v>
      </c>
    </row>
    <row r="49" spans="1:12">
      <c r="A49" s="253">
        <v>214</v>
      </c>
      <c r="B49" s="239" t="s">
        <v>87</v>
      </c>
      <c r="C49" s="239" t="s">
        <v>74</v>
      </c>
      <c r="D49" s="530">
        <v>1</v>
      </c>
      <c r="E49" s="248">
        <f>SUMIF('3-Ruimtestaat'!B:B,A49,'3-Ruimtestaat'!Q:Q)</f>
        <v>467</v>
      </c>
      <c r="F49" s="248" t="e">
        <f>SUMIF('3-Ruimtestaat'!B:B,A49,'3-Ruimtestaat'!R:R)</f>
        <v>#DIV/0!</v>
      </c>
      <c r="G49" s="248" t="e">
        <f>SUMIF('3-Ruimtestaat'!B:B,A49,'3-Ruimtestaat'!S:S)</f>
        <v>#DIV/0!</v>
      </c>
      <c r="H49" s="248" t="e">
        <f>SUMIF('3-Ruimtestaat'!B:B,A49,('3-Ruimtestaat'!T:T))+SUMIF('3-Ruimtestaat'!B:B,A49,('3-Ruimtestaat'!V:V))</f>
        <v>#DIV/0!</v>
      </c>
      <c r="I49" s="248" t="e">
        <f>SUMIF('3-Ruimtestaat'!B:B,A49,('3-Ruimtestaat'!U:U))+SUMIF('3-Ruimtestaat'!B:B,A49,('3-Ruimtestaat'!W:W))</f>
        <v>#DIV/0!</v>
      </c>
      <c r="J49" s="248" t="e">
        <f t="shared" si="4"/>
        <v>#DIV/0!</v>
      </c>
      <c r="K49" s="248" t="e">
        <f>(F49+G49)*'1-Totaal inschrijfbedrag'!$E$17</f>
        <v>#DIV/0!</v>
      </c>
      <c r="L49" s="248" t="e">
        <f>(H49+I49)*'1-Totaal inschrijfbedrag'!$E$25</f>
        <v>#DIV/0!</v>
      </c>
    </row>
    <row r="50" spans="1:12">
      <c r="A50" s="253">
        <v>215</v>
      </c>
      <c r="B50" s="239" t="s">
        <v>88</v>
      </c>
      <c r="C50" s="239" t="s">
        <v>74</v>
      </c>
      <c r="D50" s="530">
        <v>1</v>
      </c>
      <c r="E50" s="248">
        <f>SUMIF('3-Ruimtestaat'!B:B,A50,'3-Ruimtestaat'!Q:Q)</f>
        <v>510</v>
      </c>
      <c r="F50" s="248" t="e">
        <f>SUMIF('3-Ruimtestaat'!B:B,A50,'3-Ruimtestaat'!R:R)</f>
        <v>#DIV/0!</v>
      </c>
      <c r="G50" s="248" t="e">
        <f>SUMIF('3-Ruimtestaat'!B:B,A50,'3-Ruimtestaat'!S:S)</f>
        <v>#DIV/0!</v>
      </c>
      <c r="H50" s="248" t="e">
        <f>SUMIF('3-Ruimtestaat'!B:B,A50,('3-Ruimtestaat'!T:T))+SUMIF('3-Ruimtestaat'!B:B,A50,('3-Ruimtestaat'!V:V))</f>
        <v>#DIV/0!</v>
      </c>
      <c r="I50" s="248" t="e">
        <f>SUMIF('3-Ruimtestaat'!B:B,A50,('3-Ruimtestaat'!U:U))+SUMIF('3-Ruimtestaat'!B:B,A50,('3-Ruimtestaat'!W:W))</f>
        <v>#DIV/0!</v>
      </c>
      <c r="J50" s="248" t="e">
        <f t="shared" si="4"/>
        <v>#DIV/0!</v>
      </c>
      <c r="K50" s="248" t="e">
        <f>(F50+G50)*'1-Totaal inschrijfbedrag'!$E$17</f>
        <v>#DIV/0!</v>
      </c>
      <c r="L50" s="248" t="e">
        <f>(H50+I50)*'1-Totaal inschrijfbedrag'!$E$25</f>
        <v>#DIV/0!</v>
      </c>
    </row>
    <row r="51" spans="1:12">
      <c r="A51" s="253" t="s">
        <v>89</v>
      </c>
      <c r="B51" s="240" t="s">
        <v>90</v>
      </c>
      <c r="C51" s="239" t="s">
        <v>74</v>
      </c>
      <c r="D51" s="530">
        <v>1</v>
      </c>
      <c r="E51" s="248">
        <f>SUMIF('3-Ruimtestaat'!B:B,A51,'3-Ruimtestaat'!Q:Q)</f>
        <v>348</v>
      </c>
      <c r="F51" s="248" t="e">
        <f>SUMIF('3-Ruimtestaat'!B:B,A51,'3-Ruimtestaat'!R:R)</f>
        <v>#DIV/0!</v>
      </c>
      <c r="G51" s="248" t="e">
        <f>SUMIF('3-Ruimtestaat'!B:B,A51,'3-Ruimtestaat'!S:S)</f>
        <v>#DIV/0!</v>
      </c>
      <c r="H51" s="248" t="e">
        <f>SUMIF('3-Ruimtestaat'!B:B,A51,('3-Ruimtestaat'!T:T))+SUMIF('3-Ruimtestaat'!B:B,A51,('3-Ruimtestaat'!V:V))</f>
        <v>#DIV/0!</v>
      </c>
      <c r="I51" s="248" t="e">
        <f>SUMIF('3-Ruimtestaat'!B:B,A51,('3-Ruimtestaat'!U:U))+SUMIF('3-Ruimtestaat'!B:B,A51,('3-Ruimtestaat'!W:W))</f>
        <v>#DIV/0!</v>
      </c>
      <c r="J51" s="248" t="e">
        <f t="shared" ref="J51:J53" si="5">SUM(F51:I51)</f>
        <v>#DIV/0!</v>
      </c>
      <c r="K51" s="248" t="e">
        <f>(F51+G51)*'1-Totaal inschrijfbedrag'!$E$17</f>
        <v>#DIV/0!</v>
      </c>
      <c r="L51" s="248" t="e">
        <f>(H51+I51)*'1-Totaal inschrijfbedrag'!$E$25</f>
        <v>#DIV/0!</v>
      </c>
    </row>
    <row r="52" spans="1:12">
      <c r="A52" s="253" t="s">
        <v>91</v>
      </c>
      <c r="B52" s="240" t="s">
        <v>92</v>
      </c>
      <c r="C52" s="239" t="s">
        <v>74</v>
      </c>
      <c r="D52" s="530">
        <v>1</v>
      </c>
      <c r="E52" s="248">
        <f>SUMIF('3-Ruimtestaat'!B:B,A52,'3-Ruimtestaat'!Q:Q)</f>
        <v>360</v>
      </c>
      <c r="F52" s="248" t="e">
        <f>SUMIF('3-Ruimtestaat'!B:B,A52,'3-Ruimtestaat'!R:R)</f>
        <v>#DIV/0!</v>
      </c>
      <c r="G52" s="248" t="e">
        <f>SUMIF('3-Ruimtestaat'!B:B,A52,'3-Ruimtestaat'!S:S)</f>
        <v>#DIV/0!</v>
      </c>
      <c r="H52" s="248" t="e">
        <f>SUMIF('3-Ruimtestaat'!B:B,A52,('3-Ruimtestaat'!T:T))+SUMIF('3-Ruimtestaat'!B:B,A52,('3-Ruimtestaat'!V:V))</f>
        <v>#DIV/0!</v>
      </c>
      <c r="I52" s="248" t="e">
        <f>SUMIF('3-Ruimtestaat'!B:B,A52,('3-Ruimtestaat'!U:U))+SUMIF('3-Ruimtestaat'!B:B,A52,('3-Ruimtestaat'!W:W))</f>
        <v>#DIV/0!</v>
      </c>
      <c r="J52" s="248" t="e">
        <f t="shared" si="5"/>
        <v>#DIV/0!</v>
      </c>
      <c r="K52" s="248" t="e">
        <f>(F52+G52)*'1-Totaal inschrijfbedrag'!$E$17</f>
        <v>#DIV/0!</v>
      </c>
      <c r="L52" s="248" t="e">
        <f>(H52+I52)*'1-Totaal inschrijfbedrag'!$E$25</f>
        <v>#DIV/0!</v>
      </c>
    </row>
    <row r="53" spans="1:12">
      <c r="A53" s="253" t="s">
        <v>93</v>
      </c>
      <c r="B53" s="240" t="s">
        <v>94</v>
      </c>
      <c r="C53" s="239" t="s">
        <v>74</v>
      </c>
      <c r="D53" s="530">
        <v>1</v>
      </c>
      <c r="E53" s="248">
        <f>SUMIF('3-Ruimtestaat'!B:B,A53,'3-Ruimtestaat'!Q:Q)</f>
        <v>364</v>
      </c>
      <c r="F53" s="248" t="e">
        <f>SUMIF('3-Ruimtestaat'!B:B,A53,'3-Ruimtestaat'!R:R)</f>
        <v>#DIV/0!</v>
      </c>
      <c r="G53" s="248" t="e">
        <f>SUMIF('3-Ruimtestaat'!B:B,A53,'3-Ruimtestaat'!S:S)</f>
        <v>#DIV/0!</v>
      </c>
      <c r="H53" s="248" t="e">
        <f>SUMIF('3-Ruimtestaat'!B:B,A53,('3-Ruimtestaat'!T:T))+SUMIF('3-Ruimtestaat'!B:B,A53,('3-Ruimtestaat'!V:V))</f>
        <v>#DIV/0!</v>
      </c>
      <c r="I53" s="248" t="e">
        <f>SUMIF('3-Ruimtestaat'!B:B,A53,('3-Ruimtestaat'!U:U))+SUMIF('3-Ruimtestaat'!B:B,A53,('3-Ruimtestaat'!W:W))</f>
        <v>#DIV/0!</v>
      </c>
      <c r="J53" s="248" t="e">
        <f t="shared" si="5"/>
        <v>#DIV/0!</v>
      </c>
      <c r="K53" s="248" t="e">
        <f>(F53+G53)*'1-Totaal inschrijfbedrag'!$E$17</f>
        <v>#DIV/0!</v>
      </c>
      <c r="L53" s="248" t="e">
        <f>(H53+I53)*'1-Totaal inschrijfbedrag'!$E$25</f>
        <v>#DIV/0!</v>
      </c>
    </row>
    <row r="54" spans="1:12">
      <c r="A54" s="253">
        <v>301</v>
      </c>
      <c r="B54" s="239" t="s">
        <v>95</v>
      </c>
      <c r="C54" s="239" t="s">
        <v>96</v>
      </c>
      <c r="D54" s="530">
        <v>1</v>
      </c>
      <c r="E54" s="248">
        <f>SUMIF('3-Ruimtestaat'!B:B,A54,'3-Ruimtestaat'!Q:Q)</f>
        <v>1853</v>
      </c>
      <c r="F54" s="248" t="e">
        <f>SUMIF('3-Ruimtestaat'!B:B,A54,'3-Ruimtestaat'!R:R)</f>
        <v>#DIV/0!</v>
      </c>
      <c r="G54" s="248" t="e">
        <f>SUMIF('3-Ruimtestaat'!B:B,A54,'3-Ruimtestaat'!S:S)</f>
        <v>#DIV/0!</v>
      </c>
      <c r="H54" s="248" t="e">
        <f>SUMIF('3-Ruimtestaat'!B:B,A54,('3-Ruimtestaat'!T:T))+SUMIF('3-Ruimtestaat'!B:B,A54,('3-Ruimtestaat'!V:V))</f>
        <v>#DIV/0!</v>
      </c>
      <c r="I54" s="248" t="e">
        <f>SUMIF('3-Ruimtestaat'!B:B,A54,('3-Ruimtestaat'!U:U))+SUMIF('3-Ruimtestaat'!B:B,A54,('3-Ruimtestaat'!W:W))</f>
        <v>#DIV/0!</v>
      </c>
      <c r="J54" s="248" t="e">
        <f t="shared" si="3"/>
        <v>#DIV/0!</v>
      </c>
      <c r="K54" s="248" t="e">
        <f>(F54+G54)*'1-Totaal inschrijfbedrag'!$E$17</f>
        <v>#DIV/0!</v>
      </c>
      <c r="L54" s="248" t="e">
        <f>(H54+I54)*'1-Totaal inschrijfbedrag'!$E$25</f>
        <v>#DIV/0!</v>
      </c>
    </row>
    <row r="55" spans="1:12">
      <c r="A55" s="253">
        <v>302</v>
      </c>
      <c r="B55" s="239" t="s">
        <v>97</v>
      </c>
      <c r="C55" s="239" t="s">
        <v>96</v>
      </c>
      <c r="D55" s="530">
        <v>1</v>
      </c>
      <c r="E55" s="248">
        <f>SUMIF('3-Ruimtestaat'!B:B,A55,'3-Ruimtestaat'!Q:Q)</f>
        <v>1476</v>
      </c>
      <c r="F55" s="248" t="e">
        <f>SUMIF('3-Ruimtestaat'!B:B,A55,'3-Ruimtestaat'!R:R)</f>
        <v>#DIV/0!</v>
      </c>
      <c r="G55" s="248" t="e">
        <f>SUMIF('3-Ruimtestaat'!B:B,A55,'3-Ruimtestaat'!S:S)</f>
        <v>#DIV/0!</v>
      </c>
      <c r="H55" s="248" t="e">
        <f>SUMIF('3-Ruimtestaat'!B:B,A55,('3-Ruimtestaat'!T:T))+SUMIF('3-Ruimtestaat'!B:B,A55,('3-Ruimtestaat'!V:V))</f>
        <v>#DIV/0!</v>
      </c>
      <c r="I55" s="248" t="e">
        <f>SUMIF('3-Ruimtestaat'!B:B,A55,('3-Ruimtestaat'!U:U))+SUMIF('3-Ruimtestaat'!B:B,A55,('3-Ruimtestaat'!W:W))</f>
        <v>#DIV/0!</v>
      </c>
      <c r="J55" s="248" t="e">
        <f t="shared" si="3"/>
        <v>#DIV/0!</v>
      </c>
      <c r="K55" s="248" t="e">
        <f>(F55+G55)*'1-Totaal inschrijfbedrag'!$E$17</f>
        <v>#DIV/0!</v>
      </c>
      <c r="L55" s="248" t="e">
        <f>(H55+I55)*'1-Totaal inschrijfbedrag'!$E$25</f>
        <v>#DIV/0!</v>
      </c>
    </row>
    <row r="56" spans="1:12">
      <c r="A56" s="253">
        <v>303</v>
      </c>
      <c r="B56" s="239" t="s">
        <v>98</v>
      </c>
      <c r="C56" s="239" t="s">
        <v>96</v>
      </c>
      <c r="D56" s="530">
        <v>1</v>
      </c>
      <c r="E56" s="248">
        <f>SUMIF('3-Ruimtestaat'!B:B,A56,'3-Ruimtestaat'!Q:Q)</f>
        <v>4952</v>
      </c>
      <c r="F56" s="248" t="e">
        <f>SUMIF('3-Ruimtestaat'!B:B,A56,'3-Ruimtestaat'!R:R)</f>
        <v>#DIV/0!</v>
      </c>
      <c r="G56" s="248" t="e">
        <f>SUMIF('3-Ruimtestaat'!B:B,A56,'3-Ruimtestaat'!S:S)</f>
        <v>#DIV/0!</v>
      </c>
      <c r="H56" s="248" t="e">
        <f>SUMIF('3-Ruimtestaat'!B:B,A56,('3-Ruimtestaat'!T:T))+SUMIF('3-Ruimtestaat'!B:B,A56,('3-Ruimtestaat'!V:V))</f>
        <v>#DIV/0!</v>
      </c>
      <c r="I56" s="248" t="e">
        <f>SUMIF('3-Ruimtestaat'!B:B,A56,('3-Ruimtestaat'!U:U))+SUMIF('3-Ruimtestaat'!B:B,A56,('3-Ruimtestaat'!W:W))</f>
        <v>#DIV/0!</v>
      </c>
      <c r="J56" s="248" t="e">
        <f t="shared" si="3"/>
        <v>#DIV/0!</v>
      </c>
      <c r="K56" s="248" t="e">
        <f>(F56+G56)*'1-Totaal inschrijfbedrag'!$E$17</f>
        <v>#DIV/0!</v>
      </c>
      <c r="L56" s="248" t="e">
        <f>(H56+I56)*'1-Totaal inschrijfbedrag'!$E$25</f>
        <v>#DIV/0!</v>
      </c>
    </row>
    <row r="57" spans="1:12">
      <c r="A57" s="253">
        <v>304</v>
      </c>
      <c r="B57" s="239" t="s">
        <v>99</v>
      </c>
      <c r="C57" s="239" t="s">
        <v>96</v>
      </c>
      <c r="D57" s="530">
        <v>1</v>
      </c>
      <c r="E57" s="248">
        <f>SUMIF('3-Ruimtestaat'!B:B,A57,'3-Ruimtestaat'!Q:Q)</f>
        <v>1994</v>
      </c>
      <c r="F57" s="248" t="e">
        <f>SUMIF('3-Ruimtestaat'!B:B,A57,'3-Ruimtestaat'!R:R)</f>
        <v>#DIV/0!</v>
      </c>
      <c r="G57" s="248" t="e">
        <f>SUMIF('3-Ruimtestaat'!B:B,A57,'3-Ruimtestaat'!S:S)</f>
        <v>#DIV/0!</v>
      </c>
      <c r="H57" s="248" t="e">
        <f>SUMIF('3-Ruimtestaat'!B:B,A57,('3-Ruimtestaat'!T:T))+SUMIF('3-Ruimtestaat'!B:B,A57,('3-Ruimtestaat'!V:V))</f>
        <v>#DIV/0!</v>
      </c>
      <c r="I57" s="248" t="e">
        <f>SUMIF('3-Ruimtestaat'!B:B,A57,('3-Ruimtestaat'!U:U))+SUMIF('3-Ruimtestaat'!B:B,A57,('3-Ruimtestaat'!W:W))</f>
        <v>#DIV/0!</v>
      </c>
      <c r="J57" s="248" t="e">
        <f t="shared" si="3"/>
        <v>#DIV/0!</v>
      </c>
      <c r="K57" s="248" t="e">
        <f>(F57+G57)*'1-Totaal inschrijfbedrag'!$E$17</f>
        <v>#DIV/0!</v>
      </c>
      <c r="L57" s="248" t="e">
        <f>(H57+I57)*'1-Totaal inschrijfbedrag'!$E$25</f>
        <v>#DIV/0!</v>
      </c>
    </row>
    <row r="58" spans="1:12">
      <c r="A58" s="253">
        <v>305</v>
      </c>
      <c r="B58" s="239" t="s">
        <v>100</v>
      </c>
      <c r="C58" s="239" t="s">
        <v>96</v>
      </c>
      <c r="D58" s="530">
        <v>1</v>
      </c>
      <c r="E58" s="248">
        <f>SUMIF('3-Ruimtestaat'!B:B,A58,'3-Ruimtestaat'!Q:Q)</f>
        <v>1463</v>
      </c>
      <c r="F58" s="248" t="e">
        <f>SUMIF('3-Ruimtestaat'!B:B,A58,'3-Ruimtestaat'!R:R)</f>
        <v>#DIV/0!</v>
      </c>
      <c r="G58" s="248" t="e">
        <f>SUMIF('3-Ruimtestaat'!B:B,A58,'3-Ruimtestaat'!S:S)</f>
        <v>#DIV/0!</v>
      </c>
      <c r="H58" s="248" t="e">
        <f>SUMIF('3-Ruimtestaat'!B:B,A58,('3-Ruimtestaat'!T:T))+SUMIF('3-Ruimtestaat'!B:B,A58,('3-Ruimtestaat'!V:V))</f>
        <v>#DIV/0!</v>
      </c>
      <c r="I58" s="248" t="e">
        <f>SUMIF('3-Ruimtestaat'!B:B,A58,('3-Ruimtestaat'!U:U))+SUMIF('3-Ruimtestaat'!B:B,A58,('3-Ruimtestaat'!W:W))</f>
        <v>#DIV/0!</v>
      </c>
      <c r="J58" s="248" t="e">
        <f t="shared" si="3"/>
        <v>#DIV/0!</v>
      </c>
      <c r="K58" s="248" t="e">
        <f>(F58+G58)*'1-Totaal inschrijfbedrag'!$E$17</f>
        <v>#DIV/0!</v>
      </c>
      <c r="L58" s="248" t="e">
        <f>(H58+I58)*'1-Totaal inschrijfbedrag'!$E$25</f>
        <v>#DIV/0!</v>
      </c>
    </row>
    <row r="59" spans="1:12">
      <c r="A59" s="253">
        <v>306</v>
      </c>
      <c r="B59" s="239" t="s">
        <v>101</v>
      </c>
      <c r="C59" s="239" t="s">
        <v>96</v>
      </c>
      <c r="D59" s="530">
        <v>1</v>
      </c>
      <c r="E59" s="248">
        <f>SUMIF('3-Ruimtestaat'!B:B,A59,'3-Ruimtestaat'!Q:Q)</f>
        <v>1653</v>
      </c>
      <c r="F59" s="248" t="e">
        <f>SUMIF('3-Ruimtestaat'!B:B,A59,'3-Ruimtestaat'!R:R)</f>
        <v>#DIV/0!</v>
      </c>
      <c r="G59" s="248" t="e">
        <f>SUMIF('3-Ruimtestaat'!B:B,A59,'3-Ruimtestaat'!S:S)</f>
        <v>#DIV/0!</v>
      </c>
      <c r="H59" s="248" t="e">
        <f>SUMIF('3-Ruimtestaat'!B:B,A59,('3-Ruimtestaat'!T:T))+SUMIF('3-Ruimtestaat'!B:B,A59,('3-Ruimtestaat'!V:V))</f>
        <v>#DIV/0!</v>
      </c>
      <c r="I59" s="248" t="e">
        <f>SUMIF('3-Ruimtestaat'!B:B,A59,('3-Ruimtestaat'!U:U))+SUMIF('3-Ruimtestaat'!B:B,A59,('3-Ruimtestaat'!W:W))</f>
        <v>#DIV/0!</v>
      </c>
      <c r="J59" s="248" t="e">
        <f t="shared" si="3"/>
        <v>#DIV/0!</v>
      </c>
      <c r="K59" s="248" t="e">
        <f>(F59+G59)*'1-Totaal inschrijfbedrag'!$E$17</f>
        <v>#DIV/0!</v>
      </c>
      <c r="L59" s="248" t="e">
        <f>(H59+I59)*'1-Totaal inschrijfbedrag'!$E$25</f>
        <v>#DIV/0!</v>
      </c>
    </row>
    <row r="60" spans="1:12">
      <c r="A60" s="253">
        <v>307</v>
      </c>
      <c r="B60" s="239" t="s">
        <v>102</v>
      </c>
      <c r="C60" s="239" t="s">
        <v>96</v>
      </c>
      <c r="D60" s="530">
        <v>1</v>
      </c>
      <c r="E60" s="248">
        <f>SUMIF('3-Ruimtestaat'!B:B,A60,'3-Ruimtestaat'!Q:Q)</f>
        <v>2787.4</v>
      </c>
      <c r="F60" s="248" t="e">
        <f>SUMIF('3-Ruimtestaat'!B:B,A60,'3-Ruimtestaat'!R:R)</f>
        <v>#DIV/0!</v>
      </c>
      <c r="G60" s="248" t="e">
        <f>SUMIF('3-Ruimtestaat'!B:B,A60,'3-Ruimtestaat'!S:S)</f>
        <v>#DIV/0!</v>
      </c>
      <c r="H60" s="248" t="e">
        <f>SUMIF('3-Ruimtestaat'!B:B,A60,('3-Ruimtestaat'!T:T))+SUMIF('3-Ruimtestaat'!B:B,A60,('3-Ruimtestaat'!V:V))</f>
        <v>#DIV/0!</v>
      </c>
      <c r="I60" s="248" t="e">
        <f>SUMIF('3-Ruimtestaat'!B:B,A60,('3-Ruimtestaat'!U:U))+SUMIF('3-Ruimtestaat'!B:B,A60,('3-Ruimtestaat'!W:W))</f>
        <v>#DIV/0!</v>
      </c>
      <c r="J60" s="248" t="e">
        <f t="shared" si="3"/>
        <v>#DIV/0!</v>
      </c>
      <c r="K60" s="248" t="e">
        <f>(F60+G60)*'1-Totaal inschrijfbedrag'!$E$17</f>
        <v>#DIV/0!</v>
      </c>
      <c r="L60" s="248" t="e">
        <f>(H60+I60)*'1-Totaal inschrijfbedrag'!$E$25</f>
        <v>#DIV/0!</v>
      </c>
    </row>
    <row r="61" spans="1:12">
      <c r="A61" s="253">
        <v>308</v>
      </c>
      <c r="B61" s="239" t="s">
        <v>103</v>
      </c>
      <c r="C61" s="239" t="s">
        <v>96</v>
      </c>
      <c r="D61" s="530">
        <v>1</v>
      </c>
      <c r="E61" s="248">
        <f>SUMIF('3-Ruimtestaat'!B:B,A61,'3-Ruimtestaat'!Q:Q)</f>
        <v>1362.41</v>
      </c>
      <c r="F61" s="248" t="e">
        <f>SUMIF('3-Ruimtestaat'!B:B,A61,'3-Ruimtestaat'!R:R)</f>
        <v>#DIV/0!</v>
      </c>
      <c r="G61" s="248" t="e">
        <f>SUMIF('3-Ruimtestaat'!B:B,A61,'3-Ruimtestaat'!S:S)</f>
        <v>#DIV/0!</v>
      </c>
      <c r="H61" s="248" t="e">
        <f>SUMIF('3-Ruimtestaat'!B:B,A61,('3-Ruimtestaat'!T:T))+SUMIF('3-Ruimtestaat'!B:B,A61,('3-Ruimtestaat'!V:V))</f>
        <v>#DIV/0!</v>
      </c>
      <c r="I61" s="248" t="e">
        <f>SUMIF('3-Ruimtestaat'!B:B,A61,('3-Ruimtestaat'!U:U))+SUMIF('3-Ruimtestaat'!B:B,A61,('3-Ruimtestaat'!W:W))</f>
        <v>#DIV/0!</v>
      </c>
      <c r="J61" s="248" t="e">
        <f t="shared" si="3"/>
        <v>#DIV/0!</v>
      </c>
      <c r="K61" s="248" t="e">
        <f>(F61+G61)*'1-Totaal inschrijfbedrag'!$E$17</f>
        <v>#DIV/0!</v>
      </c>
      <c r="L61" s="248" t="e">
        <f>(H61+I61)*'1-Totaal inschrijfbedrag'!$E$25</f>
        <v>#DIV/0!</v>
      </c>
    </row>
    <row r="62" spans="1:12">
      <c r="A62" s="253">
        <v>309</v>
      </c>
      <c r="B62" s="239" t="s">
        <v>104</v>
      </c>
      <c r="C62" s="239" t="s">
        <v>96</v>
      </c>
      <c r="D62" s="530">
        <v>1</v>
      </c>
      <c r="E62" s="248">
        <f>SUMIF('3-Ruimtestaat'!B:B,A62,'3-Ruimtestaat'!Q:Q)</f>
        <v>1344.41</v>
      </c>
      <c r="F62" s="248" t="e">
        <f>SUMIF('3-Ruimtestaat'!B:B,A62,'3-Ruimtestaat'!R:R)</f>
        <v>#DIV/0!</v>
      </c>
      <c r="G62" s="248" t="e">
        <f>SUMIF('3-Ruimtestaat'!B:B,A62,'3-Ruimtestaat'!S:S)</f>
        <v>#DIV/0!</v>
      </c>
      <c r="H62" s="248" t="e">
        <f>SUMIF('3-Ruimtestaat'!B:B,A62,('3-Ruimtestaat'!T:T))+SUMIF('3-Ruimtestaat'!B:B,A62,('3-Ruimtestaat'!V:V))</f>
        <v>#DIV/0!</v>
      </c>
      <c r="I62" s="248" t="e">
        <f>SUMIF('3-Ruimtestaat'!B:B,A62,('3-Ruimtestaat'!U:U))+SUMIF('3-Ruimtestaat'!B:B,A62,('3-Ruimtestaat'!W:W))</f>
        <v>#DIV/0!</v>
      </c>
      <c r="J62" s="248" t="e">
        <f t="shared" si="3"/>
        <v>#DIV/0!</v>
      </c>
      <c r="K62" s="248" t="e">
        <f>(F62+G62)*'1-Totaal inschrijfbedrag'!$E$17</f>
        <v>#DIV/0!</v>
      </c>
      <c r="L62" s="248" t="e">
        <f>(H62+I62)*'1-Totaal inschrijfbedrag'!$E$25</f>
        <v>#DIV/0!</v>
      </c>
    </row>
    <row r="63" spans="1:12">
      <c r="A63" s="253">
        <v>310</v>
      </c>
      <c r="B63" s="239" t="s">
        <v>105</v>
      </c>
      <c r="C63" s="239" t="s">
        <v>96</v>
      </c>
      <c r="D63" s="530">
        <v>1</v>
      </c>
      <c r="E63" s="248">
        <f>SUMIF('3-Ruimtestaat'!B:B,A63,'3-Ruimtestaat'!Q:Q)</f>
        <v>1462.41</v>
      </c>
      <c r="F63" s="248" t="e">
        <f>SUMIF('3-Ruimtestaat'!B:B,A63,'3-Ruimtestaat'!R:R)</f>
        <v>#DIV/0!</v>
      </c>
      <c r="G63" s="248" t="e">
        <f>SUMIF('3-Ruimtestaat'!B:B,A63,'3-Ruimtestaat'!S:S)</f>
        <v>#DIV/0!</v>
      </c>
      <c r="H63" s="248" t="e">
        <f>SUMIF('3-Ruimtestaat'!B:B,A63,('3-Ruimtestaat'!T:T))+SUMIF('3-Ruimtestaat'!B:B,A63,('3-Ruimtestaat'!V:V))</f>
        <v>#DIV/0!</v>
      </c>
      <c r="I63" s="248" t="e">
        <f>SUMIF('3-Ruimtestaat'!B:B,A63,('3-Ruimtestaat'!U:U))+SUMIF('3-Ruimtestaat'!B:B,A63,('3-Ruimtestaat'!W:W))</f>
        <v>#DIV/0!</v>
      </c>
      <c r="J63" s="248" t="e">
        <f t="shared" si="3"/>
        <v>#DIV/0!</v>
      </c>
      <c r="K63" s="248" t="e">
        <f>(F63+G63)*'1-Totaal inschrijfbedrag'!$E$17</f>
        <v>#DIV/0!</v>
      </c>
      <c r="L63" s="248" t="e">
        <f>(H63+I63)*'1-Totaal inschrijfbedrag'!$E$25</f>
        <v>#DIV/0!</v>
      </c>
    </row>
    <row r="64" spans="1:12">
      <c r="A64" s="253">
        <v>311</v>
      </c>
      <c r="B64" s="239" t="s">
        <v>106</v>
      </c>
      <c r="C64" s="239" t="s">
        <v>96</v>
      </c>
      <c r="D64" s="530">
        <v>1</v>
      </c>
      <c r="E64" s="248">
        <f>SUMIF('3-Ruimtestaat'!B:B,A64,'3-Ruimtestaat'!Q:Q)</f>
        <v>2149</v>
      </c>
      <c r="F64" s="248" t="e">
        <f>SUMIF('3-Ruimtestaat'!B:B,A64,'3-Ruimtestaat'!R:R)</f>
        <v>#DIV/0!</v>
      </c>
      <c r="G64" s="248" t="e">
        <f>SUMIF('3-Ruimtestaat'!B:B,A64,'3-Ruimtestaat'!S:S)</f>
        <v>#DIV/0!</v>
      </c>
      <c r="H64" s="248" t="e">
        <f>SUMIF('3-Ruimtestaat'!B:B,A64,('3-Ruimtestaat'!T:T))+SUMIF('3-Ruimtestaat'!B:B,A64,('3-Ruimtestaat'!V:V))</f>
        <v>#DIV/0!</v>
      </c>
      <c r="I64" s="248" t="e">
        <f>SUMIF('3-Ruimtestaat'!B:B,A64,('3-Ruimtestaat'!U:U))+SUMIF('3-Ruimtestaat'!B:B,A64,('3-Ruimtestaat'!W:W))</f>
        <v>#DIV/0!</v>
      </c>
      <c r="J64" s="248" t="e">
        <f t="shared" si="3"/>
        <v>#DIV/0!</v>
      </c>
      <c r="K64" s="248" t="e">
        <f>(F64+G64)*'1-Totaal inschrijfbedrag'!$E$17</f>
        <v>#DIV/0!</v>
      </c>
      <c r="L64" s="248" t="e">
        <f>(H64+I64)*'1-Totaal inschrijfbedrag'!$E$25</f>
        <v>#DIV/0!</v>
      </c>
    </row>
    <row r="65" spans="1:18">
      <c r="A65" s="253">
        <v>312</v>
      </c>
      <c r="B65" s="239" t="s">
        <v>107</v>
      </c>
      <c r="C65" s="239" t="s">
        <v>96</v>
      </c>
      <c r="D65" s="530">
        <v>1</v>
      </c>
      <c r="E65" s="248">
        <f>SUMIF('3-Ruimtestaat'!B:B,A65,'3-Ruimtestaat'!Q:Q)</f>
        <v>1463.41</v>
      </c>
      <c r="F65" s="248" t="e">
        <f>SUMIF('3-Ruimtestaat'!B:B,A65,'3-Ruimtestaat'!R:R)</f>
        <v>#DIV/0!</v>
      </c>
      <c r="G65" s="248" t="e">
        <f>SUMIF('3-Ruimtestaat'!B:B,A65,'3-Ruimtestaat'!S:S)</f>
        <v>#DIV/0!</v>
      </c>
      <c r="H65" s="248" t="e">
        <f>SUMIF('3-Ruimtestaat'!B:B,A65,('3-Ruimtestaat'!T:T))+SUMIF('3-Ruimtestaat'!B:B,A65,('3-Ruimtestaat'!V:V))</f>
        <v>#DIV/0!</v>
      </c>
      <c r="I65" s="248" t="e">
        <f>SUMIF('3-Ruimtestaat'!B:B,A65,('3-Ruimtestaat'!U:U))+SUMIF('3-Ruimtestaat'!B:B,A65,('3-Ruimtestaat'!W:W))</f>
        <v>#DIV/0!</v>
      </c>
      <c r="J65" s="248" t="e">
        <f t="shared" si="3"/>
        <v>#DIV/0!</v>
      </c>
      <c r="K65" s="248" t="e">
        <f>(F65+G65)*'1-Totaal inschrijfbedrag'!$E$17</f>
        <v>#DIV/0!</v>
      </c>
      <c r="L65" s="248" t="e">
        <f>(H65+I65)*'1-Totaal inschrijfbedrag'!$E$25</f>
        <v>#DIV/0!</v>
      </c>
    </row>
    <row r="66" spans="1:18">
      <c r="A66" s="253">
        <v>601</v>
      </c>
      <c r="B66" s="239" t="s">
        <v>108</v>
      </c>
      <c r="C66" s="239" t="s">
        <v>109</v>
      </c>
      <c r="D66" s="530">
        <v>1</v>
      </c>
      <c r="E66" s="248">
        <f>SUMIF('3-Ruimtestaat'!B:B,A66,'3-Ruimtestaat'!Q:Q)</f>
        <v>3509</v>
      </c>
      <c r="F66" s="248" t="e">
        <f>SUMIF('3-Ruimtestaat'!B:B,A66,'3-Ruimtestaat'!R:R)</f>
        <v>#DIV/0!</v>
      </c>
      <c r="G66" s="248" t="e">
        <f>SUMIF('3-Ruimtestaat'!B:B,A66,'3-Ruimtestaat'!S:S)</f>
        <v>#DIV/0!</v>
      </c>
      <c r="H66" s="248" t="e">
        <f>SUMIF('3-Ruimtestaat'!B:B,A66,('3-Ruimtestaat'!T:T))+SUMIF('3-Ruimtestaat'!B:B,A66,('3-Ruimtestaat'!V:V))</f>
        <v>#DIV/0!</v>
      </c>
      <c r="I66" s="248" t="e">
        <f>SUMIF('3-Ruimtestaat'!B:B,A66,('3-Ruimtestaat'!U:U))+SUMIF('3-Ruimtestaat'!B:B,A66,('3-Ruimtestaat'!W:W))</f>
        <v>#DIV/0!</v>
      </c>
      <c r="J66" s="248" t="e">
        <f t="shared" ref="J66:J72" si="6">SUM(F66:I66)</f>
        <v>#DIV/0!</v>
      </c>
      <c r="K66" s="248" t="e">
        <f>(F66+G66)*'1-Totaal inschrijfbedrag'!$E$17</f>
        <v>#DIV/0!</v>
      </c>
      <c r="L66" s="248" t="e">
        <f>(H66+I66)*'1-Totaal inschrijfbedrag'!$E$25</f>
        <v>#DIV/0!</v>
      </c>
    </row>
    <row r="67" spans="1:18">
      <c r="A67" s="253">
        <v>602</v>
      </c>
      <c r="B67" s="239" t="s">
        <v>110</v>
      </c>
      <c r="C67" s="239" t="s">
        <v>109</v>
      </c>
      <c r="D67" s="530">
        <v>1</v>
      </c>
      <c r="E67" s="248">
        <f>SUMIF('3-Ruimtestaat'!B:B,A67,'3-Ruimtestaat'!Q:Q)</f>
        <v>3590.5</v>
      </c>
      <c r="F67" s="248" t="e">
        <f>SUMIF('3-Ruimtestaat'!B:B,A67,'3-Ruimtestaat'!R:R)</f>
        <v>#DIV/0!</v>
      </c>
      <c r="G67" s="248" t="e">
        <f>SUMIF('3-Ruimtestaat'!B:B,A67,'3-Ruimtestaat'!S:S)</f>
        <v>#DIV/0!</v>
      </c>
      <c r="H67" s="248" t="e">
        <f>SUMIF('3-Ruimtestaat'!B:B,A67,('3-Ruimtestaat'!T:T))+SUMIF('3-Ruimtestaat'!B:B,A67,('3-Ruimtestaat'!V:V))</f>
        <v>#DIV/0!</v>
      </c>
      <c r="I67" s="248" t="e">
        <f>SUMIF('3-Ruimtestaat'!B:B,A67,('3-Ruimtestaat'!U:U))+SUMIF('3-Ruimtestaat'!B:B,A67,('3-Ruimtestaat'!W:W))</f>
        <v>#DIV/0!</v>
      </c>
      <c r="J67" s="248" t="e">
        <f t="shared" si="6"/>
        <v>#DIV/0!</v>
      </c>
      <c r="K67" s="248" t="e">
        <f>(F67+G67)*'1-Totaal inschrijfbedrag'!$E$17</f>
        <v>#DIV/0!</v>
      </c>
      <c r="L67" s="248" t="e">
        <f>(H67+I67)*'1-Totaal inschrijfbedrag'!$E$25</f>
        <v>#DIV/0!</v>
      </c>
    </row>
    <row r="68" spans="1:18">
      <c r="A68" s="253">
        <v>603</v>
      </c>
      <c r="B68" s="239" t="s">
        <v>111</v>
      </c>
      <c r="C68" s="239" t="s">
        <v>109</v>
      </c>
      <c r="D68" s="530">
        <v>1</v>
      </c>
      <c r="E68" s="248">
        <f>SUMIF('3-Ruimtestaat'!B:B,A68,'3-Ruimtestaat'!Q:Q)</f>
        <v>2578</v>
      </c>
      <c r="F68" s="248" t="e">
        <f>SUMIF('3-Ruimtestaat'!B:B,A68,'3-Ruimtestaat'!R:R)</f>
        <v>#DIV/0!</v>
      </c>
      <c r="G68" s="248" t="e">
        <f>SUMIF('3-Ruimtestaat'!B:B,A68,'3-Ruimtestaat'!S:S)</f>
        <v>#DIV/0!</v>
      </c>
      <c r="H68" s="248" t="e">
        <f>SUMIF('3-Ruimtestaat'!B:B,A68,('3-Ruimtestaat'!T:T))+SUMIF('3-Ruimtestaat'!B:B,A68,('3-Ruimtestaat'!V:V))</f>
        <v>#DIV/0!</v>
      </c>
      <c r="I68" s="248" t="e">
        <f>SUMIF('3-Ruimtestaat'!B:B,A68,('3-Ruimtestaat'!U:U))+SUMIF('3-Ruimtestaat'!B:B,A68,('3-Ruimtestaat'!W:W))</f>
        <v>#DIV/0!</v>
      </c>
      <c r="J68" s="248" t="e">
        <f t="shared" si="6"/>
        <v>#DIV/0!</v>
      </c>
      <c r="K68" s="248" t="e">
        <f>(F68+G68)*'1-Totaal inschrijfbedrag'!$E$17</f>
        <v>#DIV/0!</v>
      </c>
      <c r="L68" s="248" t="e">
        <f>(H68+I68)*'1-Totaal inschrijfbedrag'!$E$25</f>
        <v>#DIV/0!</v>
      </c>
    </row>
    <row r="69" spans="1:18">
      <c r="A69" s="253">
        <v>604</v>
      </c>
      <c r="B69" s="239" t="s">
        <v>112</v>
      </c>
      <c r="C69" s="239" t="s">
        <v>109</v>
      </c>
      <c r="D69" s="530">
        <v>1</v>
      </c>
      <c r="E69" s="248">
        <f>SUMIF('3-Ruimtestaat'!B:B,A69,'3-Ruimtestaat'!Q:Q)</f>
        <v>3406.4</v>
      </c>
      <c r="F69" s="248" t="e">
        <f>SUMIF('3-Ruimtestaat'!B:B,A69,'3-Ruimtestaat'!R:R)</f>
        <v>#DIV/0!</v>
      </c>
      <c r="G69" s="248" t="e">
        <f>SUMIF('3-Ruimtestaat'!B:B,A69,'3-Ruimtestaat'!S:S)</f>
        <v>#DIV/0!</v>
      </c>
      <c r="H69" s="248" t="e">
        <f>SUMIF('3-Ruimtestaat'!B:B,A69,('3-Ruimtestaat'!T:T))+SUMIF('3-Ruimtestaat'!B:B,A69,('3-Ruimtestaat'!V:V))</f>
        <v>#DIV/0!</v>
      </c>
      <c r="I69" s="248" t="e">
        <f>SUMIF('3-Ruimtestaat'!B:B,A69,('3-Ruimtestaat'!U:U))+SUMIF('3-Ruimtestaat'!B:B,A69,('3-Ruimtestaat'!W:W))</f>
        <v>#DIV/0!</v>
      </c>
      <c r="J69" s="248" t="e">
        <f t="shared" si="6"/>
        <v>#DIV/0!</v>
      </c>
      <c r="K69" s="248" t="e">
        <f>(F69+G69)*'1-Totaal inschrijfbedrag'!$E$17</f>
        <v>#DIV/0!</v>
      </c>
      <c r="L69" s="248" t="e">
        <f>(H69+I69)*'1-Totaal inschrijfbedrag'!$E$25</f>
        <v>#DIV/0!</v>
      </c>
    </row>
    <row r="70" spans="1:18">
      <c r="A70" s="253">
        <v>605</v>
      </c>
      <c r="B70" s="239" t="s">
        <v>113</v>
      </c>
      <c r="C70" s="239" t="s">
        <v>109</v>
      </c>
      <c r="D70" s="530">
        <v>1</v>
      </c>
      <c r="E70" s="248">
        <f>SUMIF('3-Ruimtestaat'!B:B,A70,'3-Ruimtestaat'!Q:Q)</f>
        <v>8630.7309802469135</v>
      </c>
      <c r="F70" s="248" t="e">
        <f>SUMIF('3-Ruimtestaat'!B:B,A70,'3-Ruimtestaat'!R:R)</f>
        <v>#DIV/0!</v>
      </c>
      <c r="G70" s="248" t="e">
        <f>SUMIF('3-Ruimtestaat'!B:B,A70,'3-Ruimtestaat'!S:S)</f>
        <v>#DIV/0!</v>
      </c>
      <c r="H70" s="248" t="e">
        <f>SUMIF('3-Ruimtestaat'!B:B,A70,('3-Ruimtestaat'!T:T))+SUMIF('3-Ruimtestaat'!B:B,A70,('3-Ruimtestaat'!V:V))</f>
        <v>#DIV/0!</v>
      </c>
      <c r="I70" s="248" t="e">
        <f>SUMIF('3-Ruimtestaat'!B:B,A70,('3-Ruimtestaat'!U:U))+SUMIF('3-Ruimtestaat'!B:B,A70,('3-Ruimtestaat'!W:W))</f>
        <v>#DIV/0!</v>
      </c>
      <c r="J70" s="248" t="e">
        <f t="shared" si="6"/>
        <v>#DIV/0!</v>
      </c>
      <c r="K70" s="248" t="e">
        <f>(F70+G70)*'1-Totaal inschrijfbedrag'!$E$17</f>
        <v>#DIV/0!</v>
      </c>
      <c r="L70" s="248" t="e">
        <f>(H70+I70)*'1-Totaal inschrijfbedrag'!$E$25</f>
        <v>#DIV/0!</v>
      </c>
    </row>
    <row r="71" spans="1:18">
      <c r="A71" s="253">
        <v>607</v>
      </c>
      <c r="B71" s="239" t="s">
        <v>114</v>
      </c>
      <c r="C71" s="239" t="s">
        <v>109</v>
      </c>
      <c r="D71" s="530">
        <v>1</v>
      </c>
      <c r="E71" s="248">
        <f>SUMIF('3-Ruimtestaat'!B:B,A71,'3-Ruimtestaat'!Q:Q)</f>
        <v>2042.5</v>
      </c>
      <c r="F71" s="248" t="e">
        <f>SUMIF('3-Ruimtestaat'!B:B,A71,'3-Ruimtestaat'!R:R)</f>
        <v>#DIV/0!</v>
      </c>
      <c r="G71" s="248" t="e">
        <f>SUMIF('3-Ruimtestaat'!B:B,A71,'3-Ruimtestaat'!S:S)</f>
        <v>#DIV/0!</v>
      </c>
      <c r="H71" s="248" t="e">
        <f>SUMIF('3-Ruimtestaat'!B:B,A71,('3-Ruimtestaat'!T:T))+SUMIF('3-Ruimtestaat'!B:B,A71,('3-Ruimtestaat'!V:V))</f>
        <v>#DIV/0!</v>
      </c>
      <c r="I71" s="248" t="e">
        <f>SUMIF('3-Ruimtestaat'!B:B,A71,('3-Ruimtestaat'!U:U))+SUMIF('3-Ruimtestaat'!B:B,A71,('3-Ruimtestaat'!W:W))</f>
        <v>#DIV/0!</v>
      </c>
      <c r="J71" s="248" t="e">
        <f t="shared" si="6"/>
        <v>#DIV/0!</v>
      </c>
      <c r="K71" s="248" t="e">
        <f>(F71+G71)*'1-Totaal inschrijfbedrag'!$E$17</f>
        <v>#DIV/0!</v>
      </c>
      <c r="L71" s="248" t="e">
        <f>(H71+I71)*'1-Totaal inschrijfbedrag'!$E$25</f>
        <v>#DIV/0!</v>
      </c>
    </row>
    <row r="72" spans="1:18">
      <c r="A72" s="253">
        <v>608</v>
      </c>
      <c r="B72" s="239" t="s">
        <v>115</v>
      </c>
      <c r="C72" s="239" t="s">
        <v>109</v>
      </c>
      <c r="D72" s="530">
        <v>1</v>
      </c>
      <c r="E72" s="248">
        <f>SUMIF('3-Ruimtestaat'!B:B,A72,'3-Ruimtestaat'!Q:Q)</f>
        <v>4950.6000000000004</v>
      </c>
      <c r="F72" s="248" t="e">
        <f>SUMIF('3-Ruimtestaat'!B:B,A72,'3-Ruimtestaat'!R:R)</f>
        <v>#DIV/0!</v>
      </c>
      <c r="G72" s="248" t="e">
        <f>SUMIF('3-Ruimtestaat'!B:B,A72,'3-Ruimtestaat'!S:S)</f>
        <v>#DIV/0!</v>
      </c>
      <c r="H72" s="248" t="e">
        <f>SUMIF('3-Ruimtestaat'!B:B,A72,('3-Ruimtestaat'!T:T))+SUMIF('3-Ruimtestaat'!B:B,A72,('3-Ruimtestaat'!V:V))</f>
        <v>#DIV/0!</v>
      </c>
      <c r="I72" s="248" t="e">
        <f>SUMIF('3-Ruimtestaat'!B:B,A72,('3-Ruimtestaat'!U:U))+SUMIF('3-Ruimtestaat'!B:B,A72,('3-Ruimtestaat'!W:W))</f>
        <v>#DIV/0!</v>
      </c>
      <c r="J72" s="248" t="e">
        <f t="shared" si="6"/>
        <v>#DIV/0!</v>
      </c>
      <c r="K72" s="248" t="e">
        <f>(F72+G72)*'1-Totaal inschrijfbedrag'!$E$17</f>
        <v>#DIV/0!</v>
      </c>
      <c r="L72" s="248" t="e">
        <f>(H72+I72)*'1-Totaal inschrijfbedrag'!$E$25</f>
        <v>#DIV/0!</v>
      </c>
    </row>
    <row r="73" spans="1:18">
      <c r="A73" s="253">
        <v>1001</v>
      </c>
      <c r="B73" s="239" t="s">
        <v>116</v>
      </c>
      <c r="C73" s="239" t="s">
        <v>117</v>
      </c>
      <c r="D73" s="530">
        <v>1</v>
      </c>
      <c r="E73" s="248">
        <f>SUMIF('3-Ruimtestaat'!B:B,A73,'3-Ruimtestaat'!Q:Q)</f>
        <v>452</v>
      </c>
      <c r="F73" s="248" t="e">
        <f>SUMIF('3-Ruimtestaat'!B:B,A73,'3-Ruimtestaat'!R:R)</f>
        <v>#DIV/0!</v>
      </c>
      <c r="G73" s="248" t="e">
        <f>SUMIF('3-Ruimtestaat'!B:B,A73,'3-Ruimtestaat'!S:S)</f>
        <v>#DIV/0!</v>
      </c>
      <c r="H73" s="248" t="e">
        <f>SUMIF('3-Ruimtestaat'!B:B,A73,('3-Ruimtestaat'!T:T))+SUMIF('3-Ruimtestaat'!B:B,A73,('3-Ruimtestaat'!V:V))</f>
        <v>#DIV/0!</v>
      </c>
      <c r="I73" s="248" t="e">
        <f>SUMIF('3-Ruimtestaat'!B:B,A73,('3-Ruimtestaat'!U:U))+SUMIF('3-Ruimtestaat'!B:B,A73,('3-Ruimtestaat'!W:W))</f>
        <v>#DIV/0!</v>
      </c>
      <c r="J73" s="248" t="e">
        <f>SUM(F73:I73)</f>
        <v>#DIV/0!</v>
      </c>
      <c r="K73" s="248" t="e">
        <f>(F73+G73)*'1-Totaal inschrijfbedrag'!$E$17</f>
        <v>#DIV/0!</v>
      </c>
      <c r="L73" s="248" t="e">
        <f>(H73+I73)*'1-Totaal inschrijfbedrag'!$E$25</f>
        <v>#DIV/0!</v>
      </c>
    </row>
    <row r="74" spans="1:18">
      <c r="A74" s="253">
        <v>1002</v>
      </c>
      <c r="B74" s="239" t="s">
        <v>118</v>
      </c>
      <c r="C74" s="239" t="s">
        <v>117</v>
      </c>
      <c r="D74" s="530">
        <v>1</v>
      </c>
      <c r="E74" s="248">
        <f>SUMIF('3-Ruimtestaat'!B:B,A74,'3-Ruimtestaat'!Q:Q)</f>
        <v>1967.52</v>
      </c>
      <c r="F74" s="248" t="e">
        <f>SUMIF('3-Ruimtestaat'!B:B,A74,'3-Ruimtestaat'!R:R)</f>
        <v>#DIV/0!</v>
      </c>
      <c r="G74" s="248" t="e">
        <f>SUMIF('3-Ruimtestaat'!B:B,A74,'3-Ruimtestaat'!S:S)</f>
        <v>#DIV/0!</v>
      </c>
      <c r="H74" s="248" t="e">
        <f>SUMIF('3-Ruimtestaat'!B:B,A74,('3-Ruimtestaat'!T:T))+SUMIF('3-Ruimtestaat'!B:B,A74,('3-Ruimtestaat'!V:V))</f>
        <v>#DIV/0!</v>
      </c>
      <c r="I74" s="248" t="e">
        <f>SUMIF('3-Ruimtestaat'!B:B,A74,('3-Ruimtestaat'!U:U))+SUMIF('3-Ruimtestaat'!B:B,A74,('3-Ruimtestaat'!W:W))</f>
        <v>#DIV/0!</v>
      </c>
      <c r="J74" s="248" t="e">
        <f t="shared" ref="J74" si="7">SUM(F74:I74)</f>
        <v>#DIV/0!</v>
      </c>
      <c r="K74" s="248" t="e">
        <f>(F74+G74)*'1-Totaal inschrijfbedrag'!$E$17</f>
        <v>#DIV/0!</v>
      </c>
      <c r="L74" s="248" t="e">
        <f>(H74+I74)*'1-Totaal inschrijfbedrag'!$E$25</f>
        <v>#DIV/0!</v>
      </c>
    </row>
    <row r="75" spans="1:18" ht="13.8" thickBot="1">
      <c r="E75" s="250"/>
      <c r="F75" s="250"/>
      <c r="G75" s="250"/>
      <c r="H75" s="250"/>
      <c r="I75" s="250"/>
      <c r="J75" s="251"/>
      <c r="K75" s="78"/>
      <c r="L75" s="78"/>
    </row>
    <row r="76" spans="1:18" ht="13.8" thickBot="1">
      <c r="A76" s="243"/>
      <c r="B76" s="244" t="s">
        <v>119</v>
      </c>
      <c r="C76" s="245"/>
      <c r="D76" s="245"/>
      <c r="E76" s="252">
        <f>SUM(E15:E74)</f>
        <v>115486.56962431471</v>
      </c>
      <c r="F76" s="252" t="e">
        <f t="shared" ref="F76:J76" si="8">SUM(F15:F74)</f>
        <v>#DIV/0!</v>
      </c>
      <c r="G76" s="252" t="e">
        <f t="shared" si="8"/>
        <v>#DIV/0!</v>
      </c>
      <c r="H76" s="252" t="e">
        <f t="shared" si="8"/>
        <v>#DIV/0!</v>
      </c>
      <c r="I76" s="252" t="e">
        <f t="shared" si="8"/>
        <v>#DIV/0!</v>
      </c>
      <c r="J76" s="252" t="e">
        <f t="shared" si="8"/>
        <v>#DIV/0!</v>
      </c>
      <c r="K76" s="252" t="e">
        <f t="shared" ref="K76:L76" si="9">SUM(K15:K74)</f>
        <v>#DIV/0!</v>
      </c>
      <c r="L76" s="252" t="e">
        <f t="shared" si="9"/>
        <v>#DIV/0!</v>
      </c>
    </row>
    <row r="77" spans="1:18">
      <c r="A77" s="246"/>
      <c r="B77" s="247"/>
      <c r="C77" s="247"/>
      <c r="D77" s="247"/>
      <c r="E77" s="247"/>
      <c r="F77" s="247"/>
      <c r="G77" s="247"/>
      <c r="H77" s="247"/>
      <c r="I77" s="247"/>
      <c r="J77" s="247"/>
      <c r="K77" s="247"/>
      <c r="L77" s="247"/>
      <c r="M77" s="247"/>
      <c r="N77" s="247"/>
      <c r="O77" s="247"/>
      <c r="P77" s="247"/>
    </row>
    <row r="78" spans="1:18">
      <c r="A78" s="246"/>
      <c r="B78" s="246"/>
      <c r="C78" s="246"/>
      <c r="D78" s="246"/>
      <c r="E78" s="246"/>
      <c r="F78" s="246"/>
      <c r="G78" s="246"/>
      <c r="H78" s="246"/>
      <c r="I78" s="246"/>
      <c r="J78" s="246"/>
      <c r="K78" s="246"/>
      <c r="L78" s="246"/>
      <c r="M78" s="246"/>
      <c r="N78" s="246"/>
      <c r="O78" s="246"/>
      <c r="P78" s="246"/>
      <c r="Q78" s="246"/>
      <c r="R78" s="246"/>
    </row>
    <row r="79" spans="1:18">
      <c r="E79" s="41"/>
      <c r="F79" s="41"/>
      <c r="G79" s="41"/>
      <c r="H79" s="41"/>
      <c r="I79" s="41"/>
      <c r="J79" s="41"/>
    </row>
    <row r="80" spans="1:18">
      <c r="E80" s="41"/>
      <c r="F80" s="41"/>
      <c r="G80" s="41"/>
      <c r="H80" s="41"/>
      <c r="I80" s="41"/>
      <c r="J80" s="41"/>
    </row>
    <row r="81" spans="5:12">
      <c r="E81" s="41"/>
      <c r="F81" s="41"/>
      <c r="G81" s="41"/>
      <c r="H81" s="41"/>
      <c r="I81" s="41"/>
      <c r="J81" s="41"/>
    </row>
    <row r="82" spans="5:12">
      <c r="E82" s="250"/>
      <c r="F82" s="250"/>
      <c r="G82" s="250"/>
      <c r="H82" s="250"/>
      <c r="I82" s="250"/>
      <c r="J82" s="251"/>
      <c r="K82" s="78"/>
      <c r="L82" s="78"/>
    </row>
  </sheetData>
  <autoFilter ref="A14:L76" xr:uid="{E7F9568E-A4F1-428F-9CA5-9F24B7932071}"/>
  <pageMargins left="0.70866141732283472" right="0.70866141732283472" top="0.74803149606299213" bottom="0.74803149606299213" header="0.31496062992125984" footer="0.31496062992125984"/>
  <pageSetup paperSize="9" scale="4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0B17F-0724-4D29-812B-825C31AD92BA}">
  <sheetPr>
    <tabColor theme="0" tint="-4.9989318521683403E-2"/>
  </sheetPr>
  <dimension ref="A1:N87"/>
  <sheetViews>
    <sheetView showGridLines="0" zoomScale="80" zoomScaleNormal="80" zoomScaleSheetLayoutView="80" workbookViewId="0">
      <selection activeCell="N18" sqref="N18"/>
    </sheetView>
  </sheetViews>
  <sheetFormatPr defaultColWidth="9.109375" defaultRowHeight="13.2"/>
  <cols>
    <col min="1" max="1" width="8.44140625" style="41" customWidth="1"/>
    <col min="2" max="2" width="20.33203125" style="41" customWidth="1"/>
    <col min="3" max="3" width="22.88671875" style="41" customWidth="1"/>
    <col min="4" max="4" width="13.33203125" style="241" customWidth="1"/>
    <col min="5" max="6" width="13.109375" style="241" customWidth="1"/>
    <col min="7" max="7" width="14.5546875" style="241" customWidth="1"/>
    <col min="8" max="8" width="14.88671875" style="241" customWidth="1"/>
    <col min="9" max="9" width="17.6640625" style="41" customWidth="1"/>
    <col min="10" max="10" width="17.5546875" style="41" customWidth="1"/>
    <col min="11" max="11" width="14.33203125" style="41" customWidth="1"/>
    <col min="12" max="12" width="18.6640625" style="41" customWidth="1"/>
    <col min="13" max="13" width="17" style="41" customWidth="1"/>
    <col min="14" max="14" width="17.33203125" style="41" customWidth="1"/>
    <col min="15" max="15" width="12.88671875" style="41" customWidth="1"/>
    <col min="16" max="16384" width="9.109375" style="41"/>
  </cols>
  <sheetData>
    <row r="1" spans="1:14" s="178" customFormat="1">
      <c r="A1" s="192"/>
      <c r="C1" s="192"/>
      <c r="D1" s="222"/>
      <c r="E1" s="222"/>
      <c r="F1" s="222"/>
      <c r="G1" s="222"/>
      <c r="H1" s="222"/>
    </row>
    <row r="2" spans="1:14" s="183" customFormat="1" ht="15.6">
      <c r="A2" s="180" t="str">
        <f>'1-Totaal inschrijfbedrag'!A3</f>
        <v>Naam opdrachtgever</v>
      </c>
      <c r="B2" s="224"/>
      <c r="C2" s="184" t="str">
        <f>'1-Totaal inschrijfbedrag'!B3</f>
        <v>GVB operatie Metro</v>
      </c>
      <c r="D2" s="225"/>
      <c r="E2" s="226"/>
      <c r="F2" s="222"/>
      <c r="G2" s="222"/>
      <c r="H2" s="222"/>
      <c r="I2" s="181"/>
      <c r="J2" s="181"/>
      <c r="K2" s="181"/>
      <c r="L2" s="181"/>
      <c r="M2" s="181"/>
    </row>
    <row r="3" spans="1:14" s="183" customFormat="1" ht="15.6">
      <c r="A3" s="180" t="str">
        <f>'1-Totaal inschrijfbedrag'!A4</f>
        <v>Calculatie onderdeel</v>
      </c>
      <c r="B3" s="224"/>
      <c r="C3" s="184" t="str">
        <f ca="1">MID(CELL("bestandsnaam",$C$6),SEARCH("]",CELL("bestandsnaam",$C$6),1)+1,256)</f>
        <v>2a-Kosten per locatie</v>
      </c>
      <c r="D3" s="225"/>
      <c r="E3" s="226"/>
      <c r="F3" s="222"/>
      <c r="G3" s="222"/>
      <c r="H3" s="222"/>
      <c r="I3" s="181"/>
      <c r="J3" s="181"/>
      <c r="K3" s="181"/>
      <c r="L3" s="181"/>
      <c r="M3" s="181"/>
    </row>
    <row r="4" spans="1:14" s="183" customFormat="1" ht="18.75" customHeight="1">
      <c r="A4" s="180" t="str">
        <f>'1-Totaal inschrijfbedrag'!A5</f>
        <v>Gebouw/plaats</v>
      </c>
      <c r="B4" s="224"/>
      <c r="C4" s="184" t="str">
        <f>'1-Totaal inschrijfbedrag'!B5</f>
        <v>Amsterdam</v>
      </c>
      <c r="D4" s="225"/>
      <c r="E4" s="226"/>
      <c r="F4" s="222"/>
      <c r="G4" s="222"/>
      <c r="H4" s="222"/>
      <c r="I4" s="181"/>
      <c r="J4" s="181"/>
      <c r="K4" s="181"/>
      <c r="L4" s="181"/>
      <c r="M4" s="181"/>
    </row>
    <row r="5" spans="1:14" s="183" customFormat="1" ht="15.6">
      <c r="A5" s="180" t="str">
        <f>'1-Totaal inschrijfbedrag'!A6</f>
        <v>Referentienummer</v>
      </c>
      <c r="B5" s="224"/>
      <c r="C5" s="184" t="str">
        <f>'1-Totaal inschrijfbedrag'!B6</f>
        <v>2024-62</v>
      </c>
      <c r="D5" s="225"/>
      <c r="E5" s="226"/>
      <c r="F5" s="222"/>
      <c r="G5" s="222"/>
      <c r="H5" s="222"/>
      <c r="I5" s="181"/>
      <c r="J5" s="181"/>
      <c r="K5" s="181"/>
      <c r="L5" s="181"/>
      <c r="M5" s="181"/>
    </row>
    <row r="6" spans="1:14" s="183" customFormat="1" ht="15.6">
      <c r="A6" s="180" t="str">
        <f>'1-Totaal inschrijfbedrag'!A7</f>
        <v>Naam dienstverlener</v>
      </c>
      <c r="B6" s="224"/>
      <c r="C6" s="184">
        <f>'1-Totaal inschrijfbedrag'!B7</f>
        <v>0</v>
      </c>
      <c r="D6" s="224"/>
      <c r="E6" s="227"/>
      <c r="F6" s="222"/>
      <c r="G6" s="222"/>
      <c r="H6" s="222"/>
      <c r="I6" s="182"/>
      <c r="J6" s="182"/>
      <c r="K6" s="182"/>
      <c r="L6" s="182"/>
      <c r="M6" s="182"/>
    </row>
    <row r="7" spans="1:14" s="183" customFormat="1" ht="15.6">
      <c r="A7" s="180" t="str">
        <f>'1-Totaal inschrijfbedrag'!A8</f>
        <v>Prijspeil</v>
      </c>
      <c r="C7" s="228" t="str">
        <f>'1-Totaal inschrijfbedrag'!B8</f>
        <v>1 juli 2025</v>
      </c>
      <c r="D7" s="226"/>
      <c r="E7" s="226"/>
      <c r="F7" s="222"/>
      <c r="G7" s="222"/>
      <c r="H7" s="222"/>
      <c r="I7" s="181"/>
      <c r="J7" s="181"/>
      <c r="K7" s="181"/>
      <c r="L7" s="181"/>
      <c r="M7" s="181"/>
    </row>
    <row r="8" spans="1:14" s="183" customFormat="1" ht="15.6">
      <c r="A8" s="180" t="str">
        <f>'1-Totaal inschrijfbedrag'!A9</f>
        <v>Perceel deel</v>
      </c>
      <c r="C8" s="526" t="str">
        <f>'1-Totaal inschrijfbedrag'!B9</f>
        <v>Comfort schoonmaak</v>
      </c>
      <c r="D8" s="226"/>
      <c r="E8" s="226"/>
      <c r="F8" s="222"/>
      <c r="G8" s="222"/>
      <c r="H8" s="222"/>
      <c r="I8" s="181"/>
      <c r="J8" s="181"/>
      <c r="K8" s="181"/>
      <c r="L8" s="181"/>
      <c r="M8" s="181"/>
    </row>
    <row r="9" spans="1:14" s="183" customFormat="1" ht="15.6">
      <c r="A9" s="180" t="str">
        <f>'1-Totaal inschrijfbedrag'!A10</f>
        <v>Versie</v>
      </c>
      <c r="C9" s="230" t="str">
        <f>'1-Totaal inschrijfbedrag'!B10</f>
        <v>NVI 3</v>
      </c>
      <c r="D9" s="226"/>
      <c r="E9" s="226"/>
      <c r="F9" s="226"/>
      <c r="G9" s="226"/>
      <c r="H9" s="226"/>
      <c r="I9" s="232"/>
      <c r="J9" s="232"/>
      <c r="K9" s="232"/>
      <c r="L9" s="232"/>
      <c r="M9" s="181"/>
    </row>
    <row r="10" spans="1:14" s="183" customFormat="1" ht="15.6">
      <c r="A10" s="231"/>
      <c r="C10" s="231"/>
      <c r="D10" s="227"/>
      <c r="E10" s="227"/>
      <c r="F10" s="227"/>
      <c r="G10" s="227"/>
      <c r="H10" s="227"/>
      <c r="I10" s="234"/>
      <c r="J10" s="234"/>
      <c r="K10" s="234"/>
      <c r="L10" s="234"/>
      <c r="M10" s="234"/>
    </row>
    <row r="11" spans="1:14" s="183" customFormat="1" ht="15.6">
      <c r="A11" s="235" t="s">
        <v>120</v>
      </c>
      <c r="B11" s="220"/>
      <c r="C11" s="236" t="s">
        <v>36</v>
      </c>
      <c r="D11" s="220"/>
      <c r="E11" s="220"/>
      <c r="F11" s="220"/>
      <c r="G11" s="220"/>
      <c r="H11" s="220"/>
      <c r="I11" s="220"/>
      <c r="J11" s="220"/>
      <c r="K11" s="220"/>
      <c r="L11" s="220"/>
      <c r="M11" s="221"/>
    </row>
    <row r="12" spans="1:14" s="178" customFormat="1">
      <c r="D12" s="222"/>
      <c r="E12" s="222"/>
      <c r="F12" s="222"/>
      <c r="G12" s="222"/>
      <c r="H12" s="223"/>
    </row>
    <row r="13" spans="1:14" s="238" customFormat="1" ht="52.8">
      <c r="A13" s="237" t="s">
        <v>37</v>
      </c>
      <c r="B13" s="237" t="s">
        <v>38</v>
      </c>
      <c r="C13" s="237" t="s">
        <v>39</v>
      </c>
      <c r="D13" s="237" t="s">
        <v>121</v>
      </c>
      <c r="E13" s="237" t="s">
        <v>122</v>
      </c>
      <c r="F13" s="237" t="s">
        <v>123</v>
      </c>
      <c r="G13" s="237" t="s">
        <v>124</v>
      </c>
      <c r="H13" s="237" t="s">
        <v>125</v>
      </c>
      <c r="I13" s="237" t="s">
        <v>126</v>
      </c>
      <c r="J13" s="237" t="s">
        <v>127</v>
      </c>
      <c r="K13" s="237" t="s">
        <v>128</v>
      </c>
      <c r="L13" s="237" t="s">
        <v>129</v>
      </c>
      <c r="M13" s="237" t="s">
        <v>130</v>
      </c>
    </row>
    <row r="14" spans="1:14">
      <c r="A14" s="253">
        <v>101</v>
      </c>
      <c r="B14" s="240" t="s">
        <v>49</v>
      </c>
      <c r="C14" s="239" t="s">
        <v>50</v>
      </c>
      <c r="D14" s="249" t="e">
        <f>'2-Uren per locatie'!F15*'1-Totaal inschrijfbedrag'!$G$15</f>
        <v>#DIV/0!</v>
      </c>
      <c r="E14" s="249" t="e">
        <f>'2-Uren per locatie'!G15*'1-Totaal inschrijfbedrag'!$G$15</f>
        <v>#DIV/0!</v>
      </c>
      <c r="F14" s="249" t="e">
        <f>'2-Uren per locatie'!H15*'1-Totaal inschrijfbedrag'!$G$21</f>
        <v>#DIV/0!</v>
      </c>
      <c r="G14" s="249" t="e">
        <f>'2-Uren per locatie'!I15*'1-Totaal inschrijfbedrag'!$G$21</f>
        <v>#DIV/0!</v>
      </c>
      <c r="H14" s="249" t="e">
        <f t="shared" ref="H14" si="0">SUM(D14:G14)</f>
        <v>#DIV/0!</v>
      </c>
      <c r="I14" s="249" t="e">
        <f>'2-Uren per locatie'!K15*'1-Totaal inschrijfbedrag'!$G$17</f>
        <v>#DIV/0!</v>
      </c>
      <c r="J14" s="249" t="e">
        <f>'2-Uren per locatie'!L15*'1-Totaal inschrijfbedrag'!$G$25</f>
        <v>#DIV/0!</v>
      </c>
      <c r="K14" s="249" t="e">
        <f>SUM(I14:J14)</f>
        <v>#DIV/0!</v>
      </c>
      <c r="L14" s="249">
        <f>SUMIF('5-Aanvullend'!A:A,A14,'5-Aanvullend'!M:M)</f>
        <v>0</v>
      </c>
      <c r="M14" s="249" t="e">
        <f>L14+K14+H14</f>
        <v>#DIV/0!</v>
      </c>
      <c r="N14" s="238"/>
    </row>
    <row r="15" spans="1:14">
      <c r="A15" s="253">
        <v>102</v>
      </c>
      <c r="B15" s="239" t="s">
        <v>51</v>
      </c>
      <c r="C15" s="239" t="s">
        <v>50</v>
      </c>
      <c r="D15" s="249" t="e">
        <f>'2-Uren per locatie'!F16*'1-Totaal inschrijfbedrag'!$G$15</f>
        <v>#DIV/0!</v>
      </c>
      <c r="E15" s="249" t="e">
        <f>'2-Uren per locatie'!G16*'1-Totaal inschrijfbedrag'!$G$15</f>
        <v>#DIV/0!</v>
      </c>
      <c r="F15" s="249" t="e">
        <f>'2-Uren per locatie'!H16*'1-Totaal inschrijfbedrag'!$G$21</f>
        <v>#DIV/0!</v>
      </c>
      <c r="G15" s="249" t="e">
        <f>'2-Uren per locatie'!I16*'1-Totaal inschrijfbedrag'!$G$21</f>
        <v>#DIV/0!</v>
      </c>
      <c r="H15" s="249" t="e">
        <f t="shared" ref="H15" si="1">SUM(D15:G15)</f>
        <v>#DIV/0!</v>
      </c>
      <c r="I15" s="249" t="e">
        <f>'2-Uren per locatie'!K16*'1-Totaal inschrijfbedrag'!$G$17</f>
        <v>#DIV/0!</v>
      </c>
      <c r="J15" s="249" t="e">
        <f>'2-Uren per locatie'!L16*'1-Totaal inschrijfbedrag'!$G$25</f>
        <v>#DIV/0!</v>
      </c>
      <c r="K15" s="249" t="e">
        <f t="shared" ref="K15:K73" si="2">SUM(I15:J15)</f>
        <v>#DIV/0!</v>
      </c>
      <c r="L15" s="249">
        <f>SUMIF('5-Aanvullend'!A:A,A15,'5-Aanvullend'!M:M)</f>
        <v>0</v>
      </c>
      <c r="M15" s="249" t="e">
        <f t="shared" ref="M15:M73" si="3">L15+K15+H15</f>
        <v>#DIV/0!</v>
      </c>
    </row>
    <row r="16" spans="1:14">
      <c r="A16" s="253">
        <v>103</v>
      </c>
      <c r="B16" s="239" t="s">
        <v>52</v>
      </c>
      <c r="C16" s="239" t="s">
        <v>50</v>
      </c>
      <c r="D16" s="249" t="e">
        <f>'2-Uren per locatie'!F17*'1-Totaal inschrijfbedrag'!$G$15</f>
        <v>#DIV/0!</v>
      </c>
      <c r="E16" s="249" t="e">
        <f>'2-Uren per locatie'!G17*'1-Totaal inschrijfbedrag'!$G$15</f>
        <v>#DIV/0!</v>
      </c>
      <c r="F16" s="249" t="e">
        <f>'2-Uren per locatie'!H17*'1-Totaal inschrijfbedrag'!$G$21</f>
        <v>#DIV/0!</v>
      </c>
      <c r="G16" s="249" t="e">
        <f>'2-Uren per locatie'!I17*'1-Totaal inschrijfbedrag'!$G$21</f>
        <v>#DIV/0!</v>
      </c>
      <c r="H16" s="249" t="e">
        <f t="shared" ref="H16:H34" si="4">SUM(D16:G16)</f>
        <v>#DIV/0!</v>
      </c>
      <c r="I16" s="249" t="e">
        <f>'2-Uren per locatie'!K17*'1-Totaal inschrijfbedrag'!$G$17</f>
        <v>#DIV/0!</v>
      </c>
      <c r="J16" s="249" t="e">
        <f>'2-Uren per locatie'!L17*'1-Totaal inschrijfbedrag'!$G$25</f>
        <v>#DIV/0!</v>
      </c>
      <c r="K16" s="249" t="e">
        <f t="shared" si="2"/>
        <v>#DIV/0!</v>
      </c>
      <c r="L16" s="249">
        <f>SUMIF('5-Aanvullend'!A:A,A16,'5-Aanvullend'!M:M)</f>
        <v>0</v>
      </c>
      <c r="M16" s="249" t="e">
        <f t="shared" si="3"/>
        <v>#DIV/0!</v>
      </c>
    </row>
    <row r="17" spans="1:13">
      <c r="A17" s="253">
        <v>104</v>
      </c>
      <c r="B17" s="239" t="s">
        <v>53</v>
      </c>
      <c r="C17" s="239" t="s">
        <v>50</v>
      </c>
      <c r="D17" s="249" t="e">
        <f>'2-Uren per locatie'!F18*'1-Totaal inschrijfbedrag'!$G$15</f>
        <v>#DIV/0!</v>
      </c>
      <c r="E17" s="249" t="e">
        <f>'2-Uren per locatie'!G18*'1-Totaal inschrijfbedrag'!$G$15</f>
        <v>#DIV/0!</v>
      </c>
      <c r="F17" s="249" t="e">
        <f>'2-Uren per locatie'!H18*'1-Totaal inschrijfbedrag'!$G$21</f>
        <v>#DIV/0!</v>
      </c>
      <c r="G17" s="249" t="e">
        <f>'2-Uren per locatie'!I18*'1-Totaal inschrijfbedrag'!$G$21</f>
        <v>#DIV/0!</v>
      </c>
      <c r="H17" s="249" t="e">
        <f t="shared" si="4"/>
        <v>#DIV/0!</v>
      </c>
      <c r="I17" s="249" t="e">
        <f>'2-Uren per locatie'!K18*'1-Totaal inschrijfbedrag'!$G$17</f>
        <v>#DIV/0!</v>
      </c>
      <c r="J17" s="249" t="e">
        <f>'2-Uren per locatie'!L18*'1-Totaal inschrijfbedrag'!$G$25</f>
        <v>#DIV/0!</v>
      </c>
      <c r="K17" s="249" t="e">
        <f t="shared" si="2"/>
        <v>#DIV/0!</v>
      </c>
      <c r="L17" s="249">
        <f>SUMIF('5-Aanvullend'!A:A,A17,'5-Aanvullend'!M:M)</f>
        <v>0</v>
      </c>
      <c r="M17" s="249" t="e">
        <f t="shared" si="3"/>
        <v>#DIV/0!</v>
      </c>
    </row>
    <row r="18" spans="1:13">
      <c r="A18" s="253">
        <v>105</v>
      </c>
      <c r="B18" s="239" t="s">
        <v>54</v>
      </c>
      <c r="C18" s="239" t="s">
        <v>50</v>
      </c>
      <c r="D18" s="249" t="e">
        <f>'2-Uren per locatie'!F19*'1-Totaal inschrijfbedrag'!$G$15</f>
        <v>#DIV/0!</v>
      </c>
      <c r="E18" s="249" t="e">
        <f>'2-Uren per locatie'!G19*'1-Totaal inschrijfbedrag'!$G$15</f>
        <v>#DIV/0!</v>
      </c>
      <c r="F18" s="249" t="e">
        <f>'2-Uren per locatie'!H19*'1-Totaal inschrijfbedrag'!$G$21</f>
        <v>#DIV/0!</v>
      </c>
      <c r="G18" s="249" t="e">
        <f>'2-Uren per locatie'!I19*'1-Totaal inschrijfbedrag'!$G$21</f>
        <v>#DIV/0!</v>
      </c>
      <c r="H18" s="249" t="e">
        <f t="shared" si="4"/>
        <v>#DIV/0!</v>
      </c>
      <c r="I18" s="249" t="e">
        <f>'2-Uren per locatie'!K19*'1-Totaal inschrijfbedrag'!$G$17</f>
        <v>#DIV/0!</v>
      </c>
      <c r="J18" s="249" t="e">
        <f>'2-Uren per locatie'!L19*'1-Totaal inschrijfbedrag'!$G$25</f>
        <v>#DIV/0!</v>
      </c>
      <c r="K18" s="249" t="e">
        <f t="shared" si="2"/>
        <v>#DIV/0!</v>
      </c>
      <c r="L18" s="249">
        <f>SUMIF('5-Aanvullend'!A:A,A18,'5-Aanvullend'!M:M)</f>
        <v>0</v>
      </c>
      <c r="M18" s="249" t="e">
        <f t="shared" si="3"/>
        <v>#DIV/0!</v>
      </c>
    </row>
    <row r="19" spans="1:13">
      <c r="A19" s="253">
        <v>106</v>
      </c>
      <c r="B19" s="239" t="s">
        <v>55</v>
      </c>
      <c r="C19" s="239" t="s">
        <v>56</v>
      </c>
      <c r="D19" s="249" t="e">
        <f>'2-Uren per locatie'!F20*'1-Totaal inschrijfbedrag'!$G$15</f>
        <v>#DIV/0!</v>
      </c>
      <c r="E19" s="249" t="e">
        <f>'2-Uren per locatie'!G20*'1-Totaal inschrijfbedrag'!$G$15</f>
        <v>#DIV/0!</v>
      </c>
      <c r="F19" s="249" t="e">
        <f>'2-Uren per locatie'!H20*'1-Totaal inschrijfbedrag'!$G$21</f>
        <v>#DIV/0!</v>
      </c>
      <c r="G19" s="249" t="e">
        <f>'2-Uren per locatie'!I20*'1-Totaal inschrijfbedrag'!$G$21</f>
        <v>#DIV/0!</v>
      </c>
      <c r="H19" s="249" t="e">
        <f t="shared" si="4"/>
        <v>#DIV/0!</v>
      </c>
      <c r="I19" s="249" t="e">
        <f>'2-Uren per locatie'!K20*'1-Totaal inschrijfbedrag'!$G$17</f>
        <v>#DIV/0!</v>
      </c>
      <c r="J19" s="249" t="e">
        <f>'2-Uren per locatie'!L20*'1-Totaal inschrijfbedrag'!$G$25</f>
        <v>#DIV/0!</v>
      </c>
      <c r="K19" s="249" t="e">
        <f t="shared" si="2"/>
        <v>#DIV/0!</v>
      </c>
      <c r="L19" s="249">
        <f>SUMIF('5-Aanvullend'!A:A,A19,'5-Aanvullend'!M:M)</f>
        <v>0</v>
      </c>
      <c r="M19" s="249" t="e">
        <f t="shared" si="3"/>
        <v>#DIV/0!</v>
      </c>
    </row>
    <row r="20" spans="1:13">
      <c r="A20" s="253">
        <v>107</v>
      </c>
      <c r="B20" s="239" t="s">
        <v>57</v>
      </c>
      <c r="C20" s="239" t="s">
        <v>56</v>
      </c>
      <c r="D20" s="249" t="e">
        <f>'2-Uren per locatie'!F21*'1-Totaal inschrijfbedrag'!$G$15</f>
        <v>#DIV/0!</v>
      </c>
      <c r="E20" s="249" t="e">
        <f>'2-Uren per locatie'!G21*'1-Totaal inschrijfbedrag'!$G$15</f>
        <v>#DIV/0!</v>
      </c>
      <c r="F20" s="249" t="e">
        <f>'2-Uren per locatie'!H21*'1-Totaal inschrijfbedrag'!$G$21</f>
        <v>#DIV/0!</v>
      </c>
      <c r="G20" s="249" t="e">
        <f>'2-Uren per locatie'!I21*'1-Totaal inschrijfbedrag'!$G$21</f>
        <v>#DIV/0!</v>
      </c>
      <c r="H20" s="249" t="e">
        <f t="shared" si="4"/>
        <v>#DIV/0!</v>
      </c>
      <c r="I20" s="249" t="e">
        <f>'2-Uren per locatie'!K21*'1-Totaal inschrijfbedrag'!$G$17</f>
        <v>#DIV/0!</v>
      </c>
      <c r="J20" s="249" t="e">
        <f>'2-Uren per locatie'!L21*'1-Totaal inschrijfbedrag'!$G$25</f>
        <v>#DIV/0!</v>
      </c>
      <c r="K20" s="249" t="e">
        <f t="shared" si="2"/>
        <v>#DIV/0!</v>
      </c>
      <c r="L20" s="249">
        <f>SUMIF('5-Aanvullend'!A:A,A20,'5-Aanvullend'!M:M)</f>
        <v>0</v>
      </c>
      <c r="M20" s="249" t="e">
        <f t="shared" si="3"/>
        <v>#DIV/0!</v>
      </c>
    </row>
    <row r="21" spans="1:13">
      <c r="A21" s="253">
        <v>108</v>
      </c>
      <c r="B21" s="239" t="s">
        <v>58</v>
      </c>
      <c r="C21" s="239" t="s">
        <v>56</v>
      </c>
      <c r="D21" s="249" t="e">
        <f>'2-Uren per locatie'!F22*'1-Totaal inschrijfbedrag'!$G$15</f>
        <v>#DIV/0!</v>
      </c>
      <c r="E21" s="249" t="e">
        <f>'2-Uren per locatie'!G22*'1-Totaal inschrijfbedrag'!$G$15</f>
        <v>#DIV/0!</v>
      </c>
      <c r="F21" s="249" t="e">
        <f>'2-Uren per locatie'!H22*'1-Totaal inschrijfbedrag'!$G$21</f>
        <v>#DIV/0!</v>
      </c>
      <c r="G21" s="249" t="e">
        <f>'2-Uren per locatie'!I22*'1-Totaal inschrijfbedrag'!$G$21</f>
        <v>#DIV/0!</v>
      </c>
      <c r="H21" s="249" t="e">
        <f t="shared" si="4"/>
        <v>#DIV/0!</v>
      </c>
      <c r="I21" s="249" t="e">
        <f>'2-Uren per locatie'!K22*'1-Totaal inschrijfbedrag'!$G$17</f>
        <v>#DIV/0!</v>
      </c>
      <c r="J21" s="249" t="e">
        <f>'2-Uren per locatie'!L22*'1-Totaal inschrijfbedrag'!$G$25</f>
        <v>#DIV/0!</v>
      </c>
      <c r="K21" s="249" t="e">
        <f t="shared" si="2"/>
        <v>#DIV/0!</v>
      </c>
      <c r="L21" s="249">
        <f>SUMIF('5-Aanvullend'!A:A,A21,'5-Aanvullend'!M:M)</f>
        <v>0</v>
      </c>
      <c r="M21" s="249" t="e">
        <f t="shared" si="3"/>
        <v>#DIV/0!</v>
      </c>
    </row>
    <row r="22" spans="1:13">
      <c r="A22" s="253">
        <v>109</v>
      </c>
      <c r="B22" s="239" t="s">
        <v>59</v>
      </c>
      <c r="C22" s="239" t="s">
        <v>56</v>
      </c>
      <c r="D22" s="249" t="e">
        <f>'2-Uren per locatie'!F23*'1-Totaal inschrijfbedrag'!$G$15</f>
        <v>#DIV/0!</v>
      </c>
      <c r="E22" s="249" t="e">
        <f>'2-Uren per locatie'!G23*'1-Totaal inschrijfbedrag'!$G$15</f>
        <v>#DIV/0!</v>
      </c>
      <c r="F22" s="249" t="e">
        <f>'2-Uren per locatie'!H23*'1-Totaal inschrijfbedrag'!$G$21</f>
        <v>#DIV/0!</v>
      </c>
      <c r="G22" s="249" t="e">
        <f>'2-Uren per locatie'!I23*'1-Totaal inschrijfbedrag'!$G$21</f>
        <v>#DIV/0!</v>
      </c>
      <c r="H22" s="249" t="e">
        <f t="shared" si="4"/>
        <v>#DIV/0!</v>
      </c>
      <c r="I22" s="249" t="e">
        <f>'2-Uren per locatie'!K23*'1-Totaal inschrijfbedrag'!$G$17</f>
        <v>#DIV/0!</v>
      </c>
      <c r="J22" s="249" t="e">
        <f>'2-Uren per locatie'!L23*'1-Totaal inschrijfbedrag'!$G$25</f>
        <v>#DIV/0!</v>
      </c>
      <c r="K22" s="249" t="e">
        <f t="shared" si="2"/>
        <v>#DIV/0!</v>
      </c>
      <c r="L22" s="249">
        <f>SUMIF('5-Aanvullend'!A:A,A22,'5-Aanvullend'!M:M)</f>
        <v>0</v>
      </c>
      <c r="M22" s="249" t="e">
        <f t="shared" si="3"/>
        <v>#DIV/0!</v>
      </c>
    </row>
    <row r="23" spans="1:13">
      <c r="A23" s="253">
        <v>110</v>
      </c>
      <c r="B23" s="239" t="s">
        <v>60</v>
      </c>
      <c r="C23" s="239" t="s">
        <v>56</v>
      </c>
      <c r="D23" s="249" t="e">
        <f>'2-Uren per locatie'!F24*'1-Totaal inschrijfbedrag'!$G$15</f>
        <v>#DIV/0!</v>
      </c>
      <c r="E23" s="249" t="e">
        <f>'2-Uren per locatie'!G24*'1-Totaal inschrijfbedrag'!$G$15</f>
        <v>#DIV/0!</v>
      </c>
      <c r="F23" s="249" t="e">
        <f>'2-Uren per locatie'!H24*'1-Totaal inschrijfbedrag'!$G$21</f>
        <v>#DIV/0!</v>
      </c>
      <c r="G23" s="249" t="e">
        <f>'2-Uren per locatie'!I24*'1-Totaal inschrijfbedrag'!$G$21</f>
        <v>#DIV/0!</v>
      </c>
      <c r="H23" s="249" t="e">
        <f t="shared" si="4"/>
        <v>#DIV/0!</v>
      </c>
      <c r="I23" s="249" t="e">
        <f>'2-Uren per locatie'!K24*'1-Totaal inschrijfbedrag'!$G$17</f>
        <v>#DIV/0!</v>
      </c>
      <c r="J23" s="249" t="e">
        <f>'2-Uren per locatie'!L24*'1-Totaal inschrijfbedrag'!$G$25</f>
        <v>#DIV/0!</v>
      </c>
      <c r="K23" s="249" t="e">
        <f t="shared" si="2"/>
        <v>#DIV/0!</v>
      </c>
      <c r="L23" s="249">
        <f>SUMIF('5-Aanvullend'!A:A,A23,'5-Aanvullend'!M:M)</f>
        <v>0</v>
      </c>
      <c r="M23" s="249" t="e">
        <f t="shared" si="3"/>
        <v>#DIV/0!</v>
      </c>
    </row>
    <row r="24" spans="1:13">
      <c r="A24" s="253">
        <v>111</v>
      </c>
      <c r="B24" s="239" t="s">
        <v>61</v>
      </c>
      <c r="C24" s="239" t="s">
        <v>56</v>
      </c>
      <c r="D24" s="249" t="e">
        <f>'2-Uren per locatie'!F25*'1-Totaal inschrijfbedrag'!$G$15</f>
        <v>#DIV/0!</v>
      </c>
      <c r="E24" s="249" t="e">
        <f>'2-Uren per locatie'!G25*'1-Totaal inschrijfbedrag'!$G$15</f>
        <v>#DIV/0!</v>
      </c>
      <c r="F24" s="249" t="e">
        <f>'2-Uren per locatie'!H25*'1-Totaal inschrijfbedrag'!$G$21</f>
        <v>#DIV/0!</v>
      </c>
      <c r="G24" s="249" t="e">
        <f>'2-Uren per locatie'!I25*'1-Totaal inschrijfbedrag'!$G$21</f>
        <v>#DIV/0!</v>
      </c>
      <c r="H24" s="249" t="e">
        <f t="shared" si="4"/>
        <v>#DIV/0!</v>
      </c>
      <c r="I24" s="249" t="e">
        <f>'2-Uren per locatie'!K25*'1-Totaal inschrijfbedrag'!$G$17</f>
        <v>#DIV/0!</v>
      </c>
      <c r="J24" s="249" t="e">
        <f>'2-Uren per locatie'!L25*'1-Totaal inschrijfbedrag'!$G$25</f>
        <v>#DIV/0!</v>
      </c>
      <c r="K24" s="249" t="e">
        <f t="shared" si="2"/>
        <v>#DIV/0!</v>
      </c>
      <c r="L24" s="249">
        <f>SUMIF('5-Aanvullend'!A:A,A24,'5-Aanvullend'!M:M)</f>
        <v>0</v>
      </c>
      <c r="M24" s="249" t="e">
        <f t="shared" si="3"/>
        <v>#DIV/0!</v>
      </c>
    </row>
    <row r="25" spans="1:13">
      <c r="A25" s="253">
        <v>112</v>
      </c>
      <c r="B25" s="239" t="s">
        <v>62</v>
      </c>
      <c r="C25" s="239" t="s">
        <v>56</v>
      </c>
      <c r="D25" s="249" t="e">
        <f>'2-Uren per locatie'!F26*'1-Totaal inschrijfbedrag'!$G$15</f>
        <v>#DIV/0!</v>
      </c>
      <c r="E25" s="249" t="e">
        <f>'2-Uren per locatie'!G26*'1-Totaal inschrijfbedrag'!$G$15</f>
        <v>#DIV/0!</v>
      </c>
      <c r="F25" s="249" t="e">
        <f>'2-Uren per locatie'!H26*'1-Totaal inschrijfbedrag'!$G$21</f>
        <v>#DIV/0!</v>
      </c>
      <c r="G25" s="249" t="e">
        <f>'2-Uren per locatie'!I26*'1-Totaal inschrijfbedrag'!$G$21</f>
        <v>#DIV/0!</v>
      </c>
      <c r="H25" s="249" t="e">
        <f t="shared" si="4"/>
        <v>#DIV/0!</v>
      </c>
      <c r="I25" s="249" t="e">
        <f>'2-Uren per locatie'!K26*'1-Totaal inschrijfbedrag'!$G$17</f>
        <v>#DIV/0!</v>
      </c>
      <c r="J25" s="249" t="e">
        <f>'2-Uren per locatie'!L26*'1-Totaal inschrijfbedrag'!$G$25</f>
        <v>#DIV/0!</v>
      </c>
      <c r="K25" s="249" t="e">
        <f t="shared" si="2"/>
        <v>#DIV/0!</v>
      </c>
      <c r="L25" s="249">
        <f>SUMIF('5-Aanvullend'!A:A,A25,'5-Aanvullend'!M:M)</f>
        <v>0</v>
      </c>
      <c r="M25" s="249" t="e">
        <f t="shared" si="3"/>
        <v>#DIV/0!</v>
      </c>
    </row>
    <row r="26" spans="1:13">
      <c r="A26" s="253">
        <v>113</v>
      </c>
      <c r="B26" s="239" t="s">
        <v>63</v>
      </c>
      <c r="C26" s="239" t="s">
        <v>56</v>
      </c>
      <c r="D26" s="249" t="e">
        <f>'2-Uren per locatie'!F27*'1-Totaal inschrijfbedrag'!$G$15</f>
        <v>#DIV/0!</v>
      </c>
      <c r="E26" s="249" t="e">
        <f>'2-Uren per locatie'!G27*'1-Totaal inschrijfbedrag'!$G$15</f>
        <v>#DIV/0!</v>
      </c>
      <c r="F26" s="249" t="e">
        <f>'2-Uren per locatie'!H27*'1-Totaal inschrijfbedrag'!$G$21</f>
        <v>#DIV/0!</v>
      </c>
      <c r="G26" s="249" t="e">
        <f>'2-Uren per locatie'!I27*'1-Totaal inschrijfbedrag'!$G$21</f>
        <v>#DIV/0!</v>
      </c>
      <c r="H26" s="249" t="e">
        <f t="shared" si="4"/>
        <v>#DIV/0!</v>
      </c>
      <c r="I26" s="249" t="e">
        <f>'2-Uren per locatie'!K27*'1-Totaal inschrijfbedrag'!$G$17</f>
        <v>#DIV/0!</v>
      </c>
      <c r="J26" s="249" t="e">
        <f>'2-Uren per locatie'!L27*'1-Totaal inschrijfbedrag'!$G$25</f>
        <v>#DIV/0!</v>
      </c>
      <c r="K26" s="249" t="e">
        <f t="shared" si="2"/>
        <v>#DIV/0!</v>
      </c>
      <c r="L26" s="249">
        <f>SUMIF('5-Aanvullend'!A:A,A26,'5-Aanvullend'!M:M)</f>
        <v>0</v>
      </c>
      <c r="M26" s="249" t="e">
        <f t="shared" si="3"/>
        <v>#DIV/0!</v>
      </c>
    </row>
    <row r="27" spans="1:13">
      <c r="A27" s="253">
        <v>114</v>
      </c>
      <c r="B27" s="239" t="s">
        <v>64</v>
      </c>
      <c r="C27" s="239" t="s">
        <v>56</v>
      </c>
      <c r="D27" s="249" t="e">
        <f>'2-Uren per locatie'!F28*'1-Totaal inschrijfbedrag'!$G$15</f>
        <v>#DIV/0!</v>
      </c>
      <c r="E27" s="249" t="e">
        <f>'2-Uren per locatie'!G28*'1-Totaal inschrijfbedrag'!$G$15</f>
        <v>#DIV/0!</v>
      </c>
      <c r="F27" s="249" t="e">
        <f>'2-Uren per locatie'!H28*'1-Totaal inschrijfbedrag'!$G$21</f>
        <v>#DIV/0!</v>
      </c>
      <c r="G27" s="249" t="e">
        <f>'2-Uren per locatie'!I28*'1-Totaal inschrijfbedrag'!$G$21</f>
        <v>#DIV/0!</v>
      </c>
      <c r="H27" s="249" t="e">
        <f t="shared" si="4"/>
        <v>#DIV/0!</v>
      </c>
      <c r="I27" s="249" t="e">
        <f>'2-Uren per locatie'!K28*'1-Totaal inschrijfbedrag'!$G$17</f>
        <v>#DIV/0!</v>
      </c>
      <c r="J27" s="249" t="e">
        <f>'2-Uren per locatie'!L28*'1-Totaal inschrijfbedrag'!$G$25</f>
        <v>#DIV/0!</v>
      </c>
      <c r="K27" s="249" t="e">
        <f t="shared" si="2"/>
        <v>#DIV/0!</v>
      </c>
      <c r="L27" s="249">
        <f>SUMIF('5-Aanvullend'!A:A,A27,'5-Aanvullend'!M:M)</f>
        <v>0</v>
      </c>
      <c r="M27" s="249" t="e">
        <f t="shared" si="3"/>
        <v>#DIV/0!</v>
      </c>
    </row>
    <row r="28" spans="1:13">
      <c r="A28" s="253">
        <v>115</v>
      </c>
      <c r="B28" s="239" t="s">
        <v>65</v>
      </c>
      <c r="C28" s="239" t="s">
        <v>66</v>
      </c>
      <c r="D28" s="249" t="e">
        <f>'2-Uren per locatie'!F29*'1-Totaal inschrijfbedrag'!$G$15</f>
        <v>#DIV/0!</v>
      </c>
      <c r="E28" s="249" t="e">
        <f>'2-Uren per locatie'!G29*'1-Totaal inschrijfbedrag'!$G$15</f>
        <v>#DIV/0!</v>
      </c>
      <c r="F28" s="249" t="e">
        <f>'2-Uren per locatie'!H29*'1-Totaal inschrijfbedrag'!$G$21</f>
        <v>#DIV/0!</v>
      </c>
      <c r="G28" s="249" t="e">
        <f>'2-Uren per locatie'!I29*'1-Totaal inschrijfbedrag'!$G$21</f>
        <v>#DIV/0!</v>
      </c>
      <c r="H28" s="249" t="e">
        <f t="shared" si="4"/>
        <v>#DIV/0!</v>
      </c>
      <c r="I28" s="249" t="e">
        <f>'2-Uren per locatie'!K29*'1-Totaal inschrijfbedrag'!$G$17</f>
        <v>#DIV/0!</v>
      </c>
      <c r="J28" s="249" t="e">
        <f>'2-Uren per locatie'!L29*'1-Totaal inschrijfbedrag'!$G$25</f>
        <v>#DIV/0!</v>
      </c>
      <c r="K28" s="249" t="e">
        <f t="shared" si="2"/>
        <v>#DIV/0!</v>
      </c>
      <c r="L28" s="249">
        <f>SUMIF('5-Aanvullend'!A:A,A28,'5-Aanvullend'!M:M)</f>
        <v>0</v>
      </c>
      <c r="M28" s="249" t="e">
        <f t="shared" si="3"/>
        <v>#DIV/0!</v>
      </c>
    </row>
    <row r="29" spans="1:13">
      <c r="A29" s="253">
        <v>116</v>
      </c>
      <c r="B29" s="239" t="s">
        <v>67</v>
      </c>
      <c r="C29" s="239" t="s">
        <v>56</v>
      </c>
      <c r="D29" s="249" t="e">
        <f>'2-Uren per locatie'!F30*'1-Totaal inschrijfbedrag'!$G$15</f>
        <v>#DIV/0!</v>
      </c>
      <c r="E29" s="249" t="e">
        <f>'2-Uren per locatie'!G30*'1-Totaal inschrijfbedrag'!$G$15</f>
        <v>#DIV/0!</v>
      </c>
      <c r="F29" s="249" t="e">
        <f>'2-Uren per locatie'!H30*'1-Totaal inschrijfbedrag'!$G$21</f>
        <v>#DIV/0!</v>
      </c>
      <c r="G29" s="249" t="e">
        <f>'2-Uren per locatie'!I30*'1-Totaal inschrijfbedrag'!$G$21</f>
        <v>#DIV/0!</v>
      </c>
      <c r="H29" s="249" t="e">
        <f t="shared" si="4"/>
        <v>#DIV/0!</v>
      </c>
      <c r="I29" s="249" t="e">
        <f>'2-Uren per locatie'!K30*'1-Totaal inschrijfbedrag'!$G$17</f>
        <v>#DIV/0!</v>
      </c>
      <c r="J29" s="249" t="e">
        <f>'2-Uren per locatie'!L30*'1-Totaal inschrijfbedrag'!$G$25</f>
        <v>#DIV/0!</v>
      </c>
      <c r="K29" s="249" t="e">
        <f t="shared" si="2"/>
        <v>#DIV/0!</v>
      </c>
      <c r="L29" s="249">
        <f>SUMIF('5-Aanvullend'!A:A,A29,'5-Aanvullend'!M:M)</f>
        <v>0</v>
      </c>
      <c r="M29" s="249" t="e">
        <f t="shared" si="3"/>
        <v>#DIV/0!</v>
      </c>
    </row>
    <row r="30" spans="1:13">
      <c r="A30" s="253">
        <v>117</v>
      </c>
      <c r="B30" s="239" t="s">
        <v>68</v>
      </c>
      <c r="C30" s="239" t="s">
        <v>56</v>
      </c>
      <c r="D30" s="249" t="e">
        <f>'2-Uren per locatie'!F31*'1-Totaal inschrijfbedrag'!$G$15</f>
        <v>#DIV/0!</v>
      </c>
      <c r="E30" s="249" t="e">
        <f>'2-Uren per locatie'!G31*'1-Totaal inschrijfbedrag'!$G$15</f>
        <v>#DIV/0!</v>
      </c>
      <c r="F30" s="249" t="e">
        <f>'2-Uren per locatie'!H31*'1-Totaal inschrijfbedrag'!$G$21</f>
        <v>#DIV/0!</v>
      </c>
      <c r="G30" s="249" t="e">
        <f>'2-Uren per locatie'!I31*'1-Totaal inschrijfbedrag'!$G$21</f>
        <v>#DIV/0!</v>
      </c>
      <c r="H30" s="249" t="e">
        <f t="shared" si="4"/>
        <v>#DIV/0!</v>
      </c>
      <c r="I30" s="249" t="e">
        <f>'2-Uren per locatie'!K31*'1-Totaal inschrijfbedrag'!$G$17</f>
        <v>#DIV/0!</v>
      </c>
      <c r="J30" s="249" t="e">
        <f>'2-Uren per locatie'!L31*'1-Totaal inschrijfbedrag'!$G$25</f>
        <v>#DIV/0!</v>
      </c>
      <c r="K30" s="249" t="e">
        <f t="shared" si="2"/>
        <v>#DIV/0!</v>
      </c>
      <c r="L30" s="249">
        <f>SUMIF('5-Aanvullend'!A:A,A30,'5-Aanvullend'!M:M)</f>
        <v>0</v>
      </c>
      <c r="M30" s="249" t="e">
        <f t="shared" si="3"/>
        <v>#DIV/0!</v>
      </c>
    </row>
    <row r="31" spans="1:13">
      <c r="A31" s="253">
        <v>118</v>
      </c>
      <c r="B31" s="239" t="s">
        <v>69</v>
      </c>
      <c r="C31" s="239" t="s">
        <v>56</v>
      </c>
      <c r="D31" s="249" t="e">
        <f>'2-Uren per locatie'!F32*'1-Totaal inschrijfbedrag'!$G$15</f>
        <v>#DIV/0!</v>
      </c>
      <c r="E31" s="249" t="e">
        <f>'2-Uren per locatie'!G32*'1-Totaal inschrijfbedrag'!$G$15</f>
        <v>#DIV/0!</v>
      </c>
      <c r="F31" s="249" t="e">
        <f>'2-Uren per locatie'!H32*'1-Totaal inschrijfbedrag'!$G$21</f>
        <v>#DIV/0!</v>
      </c>
      <c r="G31" s="249" t="e">
        <f>'2-Uren per locatie'!I32*'1-Totaal inschrijfbedrag'!$G$21</f>
        <v>#DIV/0!</v>
      </c>
      <c r="H31" s="249" t="e">
        <f t="shared" si="4"/>
        <v>#DIV/0!</v>
      </c>
      <c r="I31" s="249" t="e">
        <f>'2-Uren per locatie'!K32*'1-Totaal inschrijfbedrag'!$G$17</f>
        <v>#DIV/0!</v>
      </c>
      <c r="J31" s="249" t="e">
        <f>'2-Uren per locatie'!L32*'1-Totaal inschrijfbedrag'!$G$25</f>
        <v>#DIV/0!</v>
      </c>
      <c r="K31" s="249" t="e">
        <f t="shared" si="2"/>
        <v>#DIV/0!</v>
      </c>
      <c r="L31" s="249">
        <f>SUMIF('5-Aanvullend'!A:A,A31,'5-Aanvullend'!M:M)</f>
        <v>0</v>
      </c>
      <c r="M31" s="249" t="e">
        <f t="shared" si="3"/>
        <v>#DIV/0!</v>
      </c>
    </row>
    <row r="32" spans="1:13">
      <c r="A32" s="253">
        <v>119</v>
      </c>
      <c r="B32" s="239" t="s">
        <v>70</v>
      </c>
      <c r="C32" s="239" t="s">
        <v>56</v>
      </c>
      <c r="D32" s="249" t="e">
        <f>'2-Uren per locatie'!F33*'1-Totaal inschrijfbedrag'!$G$15</f>
        <v>#DIV/0!</v>
      </c>
      <c r="E32" s="249" t="e">
        <f>'2-Uren per locatie'!G33*'1-Totaal inschrijfbedrag'!$G$15</f>
        <v>#DIV/0!</v>
      </c>
      <c r="F32" s="249" t="e">
        <f>'2-Uren per locatie'!H33*'1-Totaal inschrijfbedrag'!$G$21</f>
        <v>#DIV/0!</v>
      </c>
      <c r="G32" s="249" t="e">
        <f>'2-Uren per locatie'!I33*'1-Totaal inschrijfbedrag'!$G$21</f>
        <v>#DIV/0!</v>
      </c>
      <c r="H32" s="249" t="e">
        <f t="shared" si="4"/>
        <v>#DIV/0!</v>
      </c>
      <c r="I32" s="249" t="e">
        <f>'2-Uren per locatie'!K33*'1-Totaal inschrijfbedrag'!$G$17</f>
        <v>#DIV/0!</v>
      </c>
      <c r="J32" s="249" t="e">
        <f>'2-Uren per locatie'!L33*'1-Totaal inschrijfbedrag'!$G$25</f>
        <v>#DIV/0!</v>
      </c>
      <c r="K32" s="249" t="e">
        <f t="shared" si="2"/>
        <v>#DIV/0!</v>
      </c>
      <c r="L32" s="249">
        <f>SUMIF('5-Aanvullend'!A:A,A32,'5-Aanvullend'!M:M)</f>
        <v>0</v>
      </c>
      <c r="M32" s="249" t="e">
        <f t="shared" si="3"/>
        <v>#DIV/0!</v>
      </c>
    </row>
    <row r="33" spans="1:13">
      <c r="A33" s="253">
        <v>120</v>
      </c>
      <c r="B33" s="239" t="s">
        <v>71</v>
      </c>
      <c r="C33" s="239" t="s">
        <v>56</v>
      </c>
      <c r="D33" s="249" t="e">
        <f>'2-Uren per locatie'!F34*'1-Totaal inschrijfbedrag'!$G$15</f>
        <v>#DIV/0!</v>
      </c>
      <c r="E33" s="249" t="e">
        <f>'2-Uren per locatie'!G34*'1-Totaal inschrijfbedrag'!$G$15</f>
        <v>#DIV/0!</v>
      </c>
      <c r="F33" s="249" t="e">
        <f>'2-Uren per locatie'!H34*'1-Totaal inschrijfbedrag'!$G$21</f>
        <v>#DIV/0!</v>
      </c>
      <c r="G33" s="249" t="e">
        <f>'2-Uren per locatie'!I34*'1-Totaal inschrijfbedrag'!$G$21</f>
        <v>#DIV/0!</v>
      </c>
      <c r="H33" s="249" t="e">
        <f t="shared" si="4"/>
        <v>#DIV/0!</v>
      </c>
      <c r="I33" s="249" t="e">
        <f>'2-Uren per locatie'!K34*'1-Totaal inschrijfbedrag'!$G$17</f>
        <v>#DIV/0!</v>
      </c>
      <c r="J33" s="249" t="e">
        <f>'2-Uren per locatie'!L34*'1-Totaal inschrijfbedrag'!$G$25</f>
        <v>#DIV/0!</v>
      </c>
      <c r="K33" s="249" t="e">
        <f t="shared" si="2"/>
        <v>#DIV/0!</v>
      </c>
      <c r="L33" s="249">
        <f>SUMIF('5-Aanvullend'!A:A,A33,'5-Aanvullend'!M:M)</f>
        <v>0</v>
      </c>
      <c r="M33" s="249" t="e">
        <f t="shared" si="3"/>
        <v>#DIV/0!</v>
      </c>
    </row>
    <row r="34" spans="1:13">
      <c r="A34" s="253">
        <v>121</v>
      </c>
      <c r="B34" s="239" t="s">
        <v>72</v>
      </c>
      <c r="C34" s="239" t="s">
        <v>56</v>
      </c>
      <c r="D34" s="249" t="e">
        <f>'2-Uren per locatie'!F35*'1-Totaal inschrijfbedrag'!$G$15</f>
        <v>#DIV/0!</v>
      </c>
      <c r="E34" s="249" t="e">
        <f>'2-Uren per locatie'!G35*'1-Totaal inschrijfbedrag'!$G$15</f>
        <v>#DIV/0!</v>
      </c>
      <c r="F34" s="249" t="e">
        <f>'2-Uren per locatie'!H35*'1-Totaal inschrijfbedrag'!$G$21</f>
        <v>#DIV/0!</v>
      </c>
      <c r="G34" s="249" t="e">
        <f>'2-Uren per locatie'!I35*'1-Totaal inschrijfbedrag'!$G$21</f>
        <v>#DIV/0!</v>
      </c>
      <c r="H34" s="249" t="e">
        <f t="shared" si="4"/>
        <v>#DIV/0!</v>
      </c>
      <c r="I34" s="249" t="e">
        <f>'2-Uren per locatie'!K35*'1-Totaal inschrijfbedrag'!$G$17</f>
        <v>#DIV/0!</v>
      </c>
      <c r="J34" s="249" t="e">
        <f>'2-Uren per locatie'!L35*'1-Totaal inschrijfbedrag'!$G$25</f>
        <v>#DIV/0!</v>
      </c>
      <c r="K34" s="249" t="e">
        <f t="shared" si="2"/>
        <v>#DIV/0!</v>
      </c>
      <c r="L34" s="249">
        <f>SUMIF('5-Aanvullend'!A:A,A34,'5-Aanvullend'!M:M)</f>
        <v>0</v>
      </c>
      <c r="M34" s="249" t="e">
        <f t="shared" si="3"/>
        <v>#DIV/0!</v>
      </c>
    </row>
    <row r="35" spans="1:13">
      <c r="A35" s="253">
        <v>201</v>
      </c>
      <c r="B35" s="239" t="s">
        <v>73</v>
      </c>
      <c r="C35" s="239" t="s">
        <v>74</v>
      </c>
      <c r="D35" s="249" t="e">
        <f>'2-Uren per locatie'!F36*'1-Totaal inschrijfbedrag'!$G$15</f>
        <v>#DIV/0!</v>
      </c>
      <c r="E35" s="249" t="e">
        <f>'2-Uren per locatie'!G36*'1-Totaal inschrijfbedrag'!$G$15</f>
        <v>#DIV/0!</v>
      </c>
      <c r="F35" s="249" t="e">
        <f>'2-Uren per locatie'!H36*'1-Totaal inschrijfbedrag'!$G$21</f>
        <v>#DIV/0!</v>
      </c>
      <c r="G35" s="249" t="e">
        <f>'2-Uren per locatie'!I36*'1-Totaal inschrijfbedrag'!$G$21</f>
        <v>#DIV/0!</v>
      </c>
      <c r="H35" s="249" t="e">
        <f t="shared" ref="H35:H64" si="5">SUM(D35:G35)</f>
        <v>#DIV/0!</v>
      </c>
      <c r="I35" s="249" t="e">
        <f>'2-Uren per locatie'!K36*'1-Totaal inschrijfbedrag'!$G$17</f>
        <v>#DIV/0!</v>
      </c>
      <c r="J35" s="249" t="e">
        <f>'2-Uren per locatie'!L36*'1-Totaal inschrijfbedrag'!$G$25</f>
        <v>#DIV/0!</v>
      </c>
      <c r="K35" s="249" t="e">
        <f t="shared" si="2"/>
        <v>#DIV/0!</v>
      </c>
      <c r="L35" s="249">
        <f>SUMIF('5-Aanvullend'!A:A,A35,'5-Aanvullend'!M:M)</f>
        <v>0</v>
      </c>
      <c r="M35" s="249" t="e">
        <f t="shared" si="3"/>
        <v>#DIV/0!</v>
      </c>
    </row>
    <row r="36" spans="1:13">
      <c r="A36" s="253">
        <v>202</v>
      </c>
      <c r="B36" s="239" t="s">
        <v>75</v>
      </c>
      <c r="C36" s="239" t="s">
        <v>74</v>
      </c>
      <c r="D36" s="249" t="e">
        <f>'2-Uren per locatie'!F37*'1-Totaal inschrijfbedrag'!$G$15</f>
        <v>#DIV/0!</v>
      </c>
      <c r="E36" s="249" t="e">
        <f>'2-Uren per locatie'!G37*'1-Totaal inschrijfbedrag'!$G$15</f>
        <v>#DIV/0!</v>
      </c>
      <c r="F36" s="249" t="e">
        <f>'2-Uren per locatie'!H37*'1-Totaal inschrijfbedrag'!$G$21</f>
        <v>#DIV/0!</v>
      </c>
      <c r="G36" s="249" t="e">
        <f>'2-Uren per locatie'!I37*'1-Totaal inschrijfbedrag'!$G$21</f>
        <v>#DIV/0!</v>
      </c>
      <c r="H36" s="249" t="e">
        <f t="shared" si="5"/>
        <v>#DIV/0!</v>
      </c>
      <c r="I36" s="249" t="e">
        <f>'2-Uren per locatie'!K37*'1-Totaal inschrijfbedrag'!$G$17</f>
        <v>#DIV/0!</v>
      </c>
      <c r="J36" s="249" t="e">
        <f>'2-Uren per locatie'!L37*'1-Totaal inschrijfbedrag'!$G$25</f>
        <v>#DIV/0!</v>
      </c>
      <c r="K36" s="249" t="e">
        <f t="shared" si="2"/>
        <v>#DIV/0!</v>
      </c>
      <c r="L36" s="249">
        <f>SUMIF('5-Aanvullend'!A:A,A36,'5-Aanvullend'!M:M)</f>
        <v>0</v>
      </c>
      <c r="M36" s="249" t="e">
        <f t="shared" si="3"/>
        <v>#DIV/0!</v>
      </c>
    </row>
    <row r="37" spans="1:13">
      <c r="A37" s="253">
        <v>203</v>
      </c>
      <c r="B37" s="239" t="s">
        <v>76</v>
      </c>
      <c r="C37" s="239" t="s">
        <v>74</v>
      </c>
      <c r="D37" s="249" t="e">
        <f>'2-Uren per locatie'!F38*'1-Totaal inschrijfbedrag'!$G$15</f>
        <v>#DIV/0!</v>
      </c>
      <c r="E37" s="249" t="e">
        <f>'2-Uren per locatie'!G38*'1-Totaal inschrijfbedrag'!$G$15</f>
        <v>#DIV/0!</v>
      </c>
      <c r="F37" s="249" t="e">
        <f>'2-Uren per locatie'!H38*'1-Totaal inschrijfbedrag'!$G$21</f>
        <v>#DIV/0!</v>
      </c>
      <c r="G37" s="249" t="e">
        <f>'2-Uren per locatie'!I38*'1-Totaal inschrijfbedrag'!$G$21</f>
        <v>#DIV/0!</v>
      </c>
      <c r="H37" s="249" t="e">
        <f t="shared" si="5"/>
        <v>#DIV/0!</v>
      </c>
      <c r="I37" s="249" t="e">
        <f>'2-Uren per locatie'!K38*'1-Totaal inschrijfbedrag'!$G$17</f>
        <v>#DIV/0!</v>
      </c>
      <c r="J37" s="249" t="e">
        <f>'2-Uren per locatie'!L38*'1-Totaal inschrijfbedrag'!$G$25</f>
        <v>#DIV/0!</v>
      </c>
      <c r="K37" s="249" t="e">
        <f t="shared" si="2"/>
        <v>#DIV/0!</v>
      </c>
      <c r="L37" s="249">
        <f>SUMIF('5-Aanvullend'!A:A,A37,'5-Aanvullend'!M:M)</f>
        <v>0</v>
      </c>
      <c r="M37" s="249" t="e">
        <f t="shared" si="3"/>
        <v>#DIV/0!</v>
      </c>
    </row>
    <row r="38" spans="1:13">
      <c r="A38" s="253">
        <v>204</v>
      </c>
      <c r="B38" s="239" t="s">
        <v>77</v>
      </c>
      <c r="C38" s="239" t="s">
        <v>74</v>
      </c>
      <c r="D38" s="249" t="e">
        <f>'2-Uren per locatie'!F39*'1-Totaal inschrijfbedrag'!$G$15</f>
        <v>#DIV/0!</v>
      </c>
      <c r="E38" s="249" t="e">
        <f>'2-Uren per locatie'!G39*'1-Totaal inschrijfbedrag'!$G$15</f>
        <v>#DIV/0!</v>
      </c>
      <c r="F38" s="249" t="e">
        <f>'2-Uren per locatie'!H39*'1-Totaal inschrijfbedrag'!$G$21</f>
        <v>#DIV/0!</v>
      </c>
      <c r="G38" s="249" t="e">
        <f>'2-Uren per locatie'!I39*'1-Totaal inschrijfbedrag'!$G$21</f>
        <v>#DIV/0!</v>
      </c>
      <c r="H38" s="249" t="e">
        <f t="shared" si="5"/>
        <v>#DIV/0!</v>
      </c>
      <c r="I38" s="249" t="e">
        <f>'2-Uren per locatie'!K39*'1-Totaal inschrijfbedrag'!$G$17</f>
        <v>#DIV/0!</v>
      </c>
      <c r="J38" s="249" t="e">
        <f>'2-Uren per locatie'!L39*'1-Totaal inschrijfbedrag'!$G$25</f>
        <v>#DIV/0!</v>
      </c>
      <c r="K38" s="249" t="e">
        <f t="shared" si="2"/>
        <v>#DIV/0!</v>
      </c>
      <c r="L38" s="249">
        <f>SUMIF('5-Aanvullend'!A:A,A38,'5-Aanvullend'!M:M)</f>
        <v>0</v>
      </c>
      <c r="M38" s="249" t="e">
        <f t="shared" si="3"/>
        <v>#DIV/0!</v>
      </c>
    </row>
    <row r="39" spans="1:13">
      <c r="A39" s="253">
        <v>205</v>
      </c>
      <c r="B39" s="239" t="s">
        <v>78</v>
      </c>
      <c r="C39" s="239" t="s">
        <v>74</v>
      </c>
      <c r="D39" s="249" t="e">
        <f>'2-Uren per locatie'!F40*'1-Totaal inschrijfbedrag'!$G$15</f>
        <v>#DIV/0!</v>
      </c>
      <c r="E39" s="249" t="e">
        <f>'2-Uren per locatie'!G40*'1-Totaal inschrijfbedrag'!$G$15</f>
        <v>#DIV/0!</v>
      </c>
      <c r="F39" s="249" t="e">
        <f>'2-Uren per locatie'!H40*'1-Totaal inschrijfbedrag'!$G$21</f>
        <v>#DIV/0!</v>
      </c>
      <c r="G39" s="249" t="e">
        <f>'2-Uren per locatie'!I40*'1-Totaal inschrijfbedrag'!$G$21</f>
        <v>#DIV/0!</v>
      </c>
      <c r="H39" s="249" t="e">
        <f t="shared" si="5"/>
        <v>#DIV/0!</v>
      </c>
      <c r="I39" s="249" t="e">
        <f>'2-Uren per locatie'!K40*'1-Totaal inschrijfbedrag'!$G$17</f>
        <v>#DIV/0!</v>
      </c>
      <c r="J39" s="249" t="e">
        <f>'2-Uren per locatie'!L40*'1-Totaal inschrijfbedrag'!$G$25</f>
        <v>#DIV/0!</v>
      </c>
      <c r="K39" s="249" t="e">
        <f t="shared" si="2"/>
        <v>#DIV/0!</v>
      </c>
      <c r="L39" s="249">
        <f>SUMIF('5-Aanvullend'!A:A,A39,'5-Aanvullend'!M:M)</f>
        <v>0</v>
      </c>
      <c r="M39" s="249" t="e">
        <f t="shared" si="3"/>
        <v>#DIV/0!</v>
      </c>
    </row>
    <row r="40" spans="1:13">
      <c r="A40" s="253">
        <v>206</v>
      </c>
      <c r="B40" s="239" t="s">
        <v>79</v>
      </c>
      <c r="C40" s="239" t="s">
        <v>74</v>
      </c>
      <c r="D40" s="249" t="e">
        <f>'2-Uren per locatie'!F41*'1-Totaal inschrijfbedrag'!$G$15</f>
        <v>#DIV/0!</v>
      </c>
      <c r="E40" s="249" t="e">
        <f>'2-Uren per locatie'!G41*'1-Totaal inschrijfbedrag'!$G$15</f>
        <v>#DIV/0!</v>
      </c>
      <c r="F40" s="249" t="e">
        <f>'2-Uren per locatie'!H41*'1-Totaal inschrijfbedrag'!$G$21</f>
        <v>#DIV/0!</v>
      </c>
      <c r="G40" s="249" t="e">
        <f>'2-Uren per locatie'!I41*'1-Totaal inschrijfbedrag'!$G$21</f>
        <v>#DIV/0!</v>
      </c>
      <c r="H40" s="249" t="e">
        <f t="shared" si="5"/>
        <v>#DIV/0!</v>
      </c>
      <c r="I40" s="249" t="e">
        <f>'2-Uren per locatie'!K41*'1-Totaal inschrijfbedrag'!$G$17</f>
        <v>#DIV/0!</v>
      </c>
      <c r="J40" s="249" t="e">
        <f>'2-Uren per locatie'!L41*'1-Totaal inschrijfbedrag'!$G$25</f>
        <v>#DIV/0!</v>
      </c>
      <c r="K40" s="249" t="e">
        <f t="shared" si="2"/>
        <v>#DIV/0!</v>
      </c>
      <c r="L40" s="249">
        <f>SUMIF('5-Aanvullend'!A:A,A40,'5-Aanvullend'!M:M)</f>
        <v>0</v>
      </c>
      <c r="M40" s="249" t="e">
        <f t="shared" si="3"/>
        <v>#DIV/0!</v>
      </c>
    </row>
    <row r="41" spans="1:13">
      <c r="A41" s="253">
        <v>207</v>
      </c>
      <c r="B41" s="239" t="s">
        <v>80</v>
      </c>
      <c r="C41" s="239" t="s">
        <v>74</v>
      </c>
      <c r="D41" s="249" t="e">
        <f>'2-Uren per locatie'!F42*'1-Totaal inschrijfbedrag'!$G$15</f>
        <v>#DIV/0!</v>
      </c>
      <c r="E41" s="249" t="e">
        <f>'2-Uren per locatie'!G42*'1-Totaal inschrijfbedrag'!$G$15</f>
        <v>#DIV/0!</v>
      </c>
      <c r="F41" s="249" t="e">
        <f>'2-Uren per locatie'!H42*'1-Totaal inschrijfbedrag'!$G$21</f>
        <v>#DIV/0!</v>
      </c>
      <c r="G41" s="249" t="e">
        <f>'2-Uren per locatie'!I42*'1-Totaal inschrijfbedrag'!$G$21</f>
        <v>#DIV/0!</v>
      </c>
      <c r="H41" s="249" t="e">
        <f t="shared" si="5"/>
        <v>#DIV/0!</v>
      </c>
      <c r="I41" s="249" t="e">
        <f>'2-Uren per locatie'!K42*'1-Totaal inschrijfbedrag'!$G$17</f>
        <v>#DIV/0!</v>
      </c>
      <c r="J41" s="249" t="e">
        <f>'2-Uren per locatie'!L42*'1-Totaal inschrijfbedrag'!$G$25</f>
        <v>#DIV/0!</v>
      </c>
      <c r="K41" s="249" t="e">
        <f t="shared" si="2"/>
        <v>#DIV/0!</v>
      </c>
      <c r="L41" s="249">
        <f>SUMIF('5-Aanvullend'!A:A,A41,'5-Aanvullend'!M:M)</f>
        <v>0</v>
      </c>
      <c r="M41" s="249" t="e">
        <f t="shared" si="3"/>
        <v>#DIV/0!</v>
      </c>
    </row>
    <row r="42" spans="1:13">
      <c r="A42" s="253">
        <v>208</v>
      </c>
      <c r="B42" s="239" t="s">
        <v>81</v>
      </c>
      <c r="C42" s="239" t="s">
        <v>74</v>
      </c>
      <c r="D42" s="249" t="e">
        <f>'2-Uren per locatie'!F43*'1-Totaal inschrijfbedrag'!$G$15</f>
        <v>#DIV/0!</v>
      </c>
      <c r="E42" s="249" t="e">
        <f>'2-Uren per locatie'!G43*'1-Totaal inschrijfbedrag'!$G$15</f>
        <v>#DIV/0!</v>
      </c>
      <c r="F42" s="249" t="e">
        <f>'2-Uren per locatie'!H43*'1-Totaal inschrijfbedrag'!$G$21</f>
        <v>#DIV/0!</v>
      </c>
      <c r="G42" s="249" t="e">
        <f>'2-Uren per locatie'!I43*'1-Totaal inschrijfbedrag'!$G$21</f>
        <v>#DIV/0!</v>
      </c>
      <c r="H42" s="249" t="e">
        <f t="shared" ref="H42:H49" si="6">SUM(D42:G42)</f>
        <v>#DIV/0!</v>
      </c>
      <c r="I42" s="249" t="e">
        <f>'2-Uren per locatie'!K43*'1-Totaal inschrijfbedrag'!$G$17</f>
        <v>#DIV/0!</v>
      </c>
      <c r="J42" s="249" t="e">
        <f>'2-Uren per locatie'!L43*'1-Totaal inschrijfbedrag'!$G$25</f>
        <v>#DIV/0!</v>
      </c>
      <c r="K42" s="249" t="e">
        <f t="shared" si="2"/>
        <v>#DIV/0!</v>
      </c>
      <c r="L42" s="249">
        <f>SUMIF('5-Aanvullend'!A:A,A42,'5-Aanvullend'!M:M)</f>
        <v>0</v>
      </c>
      <c r="M42" s="249" t="e">
        <f t="shared" si="3"/>
        <v>#DIV/0!</v>
      </c>
    </row>
    <row r="43" spans="1:13">
      <c r="A43" s="253">
        <v>209</v>
      </c>
      <c r="B43" s="239" t="s">
        <v>82</v>
      </c>
      <c r="C43" s="239" t="s">
        <v>74</v>
      </c>
      <c r="D43" s="249" t="e">
        <f>'2-Uren per locatie'!F44*'1-Totaal inschrijfbedrag'!$G$15</f>
        <v>#DIV/0!</v>
      </c>
      <c r="E43" s="249" t="e">
        <f>'2-Uren per locatie'!G44*'1-Totaal inschrijfbedrag'!$G$15</f>
        <v>#DIV/0!</v>
      </c>
      <c r="F43" s="249" t="e">
        <f>'2-Uren per locatie'!H44*'1-Totaal inschrijfbedrag'!$G$21</f>
        <v>#DIV/0!</v>
      </c>
      <c r="G43" s="249" t="e">
        <f>'2-Uren per locatie'!I44*'1-Totaal inschrijfbedrag'!$G$21</f>
        <v>#DIV/0!</v>
      </c>
      <c r="H43" s="249" t="e">
        <f t="shared" si="6"/>
        <v>#DIV/0!</v>
      </c>
      <c r="I43" s="249" t="e">
        <f>'2-Uren per locatie'!K44*'1-Totaal inschrijfbedrag'!$G$17</f>
        <v>#DIV/0!</v>
      </c>
      <c r="J43" s="249" t="e">
        <f>'2-Uren per locatie'!L44*'1-Totaal inschrijfbedrag'!$G$25</f>
        <v>#DIV/0!</v>
      </c>
      <c r="K43" s="249" t="e">
        <f t="shared" si="2"/>
        <v>#DIV/0!</v>
      </c>
      <c r="L43" s="249">
        <f>SUMIF('5-Aanvullend'!A:A,A43,'5-Aanvullend'!M:M)</f>
        <v>0</v>
      </c>
      <c r="M43" s="249" t="e">
        <f t="shared" si="3"/>
        <v>#DIV/0!</v>
      </c>
    </row>
    <row r="44" spans="1:13">
      <c r="A44" s="253">
        <v>210</v>
      </c>
      <c r="B44" s="239" t="s">
        <v>83</v>
      </c>
      <c r="C44" s="239" t="s">
        <v>74</v>
      </c>
      <c r="D44" s="249" t="e">
        <f>'2-Uren per locatie'!F45*'1-Totaal inschrijfbedrag'!$G$15</f>
        <v>#DIV/0!</v>
      </c>
      <c r="E44" s="249" t="e">
        <f>'2-Uren per locatie'!G45*'1-Totaal inschrijfbedrag'!$G$15</f>
        <v>#DIV/0!</v>
      </c>
      <c r="F44" s="249" t="e">
        <f>'2-Uren per locatie'!H45*'1-Totaal inschrijfbedrag'!$G$21</f>
        <v>#DIV/0!</v>
      </c>
      <c r="G44" s="249" t="e">
        <f>'2-Uren per locatie'!I45*'1-Totaal inschrijfbedrag'!$G$21</f>
        <v>#DIV/0!</v>
      </c>
      <c r="H44" s="249" t="e">
        <f t="shared" si="6"/>
        <v>#DIV/0!</v>
      </c>
      <c r="I44" s="249" t="e">
        <f>'2-Uren per locatie'!K45*'1-Totaal inschrijfbedrag'!$G$17</f>
        <v>#DIV/0!</v>
      </c>
      <c r="J44" s="249" t="e">
        <f>'2-Uren per locatie'!L45*'1-Totaal inschrijfbedrag'!$G$25</f>
        <v>#DIV/0!</v>
      </c>
      <c r="K44" s="249" t="e">
        <f t="shared" si="2"/>
        <v>#DIV/0!</v>
      </c>
      <c r="L44" s="249">
        <f>SUMIF('5-Aanvullend'!A:A,A44,'5-Aanvullend'!M:M)</f>
        <v>0</v>
      </c>
      <c r="M44" s="249" t="e">
        <f t="shared" si="3"/>
        <v>#DIV/0!</v>
      </c>
    </row>
    <row r="45" spans="1:13">
      <c r="A45" s="253">
        <v>211</v>
      </c>
      <c r="B45" s="239" t="s">
        <v>84</v>
      </c>
      <c r="C45" s="239" t="s">
        <v>74</v>
      </c>
      <c r="D45" s="249" t="e">
        <f>'2-Uren per locatie'!F46*'1-Totaal inschrijfbedrag'!$G$15</f>
        <v>#DIV/0!</v>
      </c>
      <c r="E45" s="249" t="e">
        <f>'2-Uren per locatie'!G46*'1-Totaal inschrijfbedrag'!$G$15</f>
        <v>#DIV/0!</v>
      </c>
      <c r="F45" s="249" t="e">
        <f>'2-Uren per locatie'!H46*'1-Totaal inschrijfbedrag'!$G$21</f>
        <v>#DIV/0!</v>
      </c>
      <c r="G45" s="249" t="e">
        <f>'2-Uren per locatie'!I46*'1-Totaal inschrijfbedrag'!$G$21</f>
        <v>#DIV/0!</v>
      </c>
      <c r="H45" s="249" t="e">
        <f t="shared" si="6"/>
        <v>#DIV/0!</v>
      </c>
      <c r="I45" s="249" t="e">
        <f>'2-Uren per locatie'!K46*'1-Totaal inschrijfbedrag'!$G$17</f>
        <v>#DIV/0!</v>
      </c>
      <c r="J45" s="249" t="e">
        <f>'2-Uren per locatie'!L46*'1-Totaal inschrijfbedrag'!$G$25</f>
        <v>#DIV/0!</v>
      </c>
      <c r="K45" s="249" t="e">
        <f t="shared" si="2"/>
        <v>#DIV/0!</v>
      </c>
      <c r="L45" s="249">
        <f>SUMIF('5-Aanvullend'!A:A,A45,'5-Aanvullend'!M:M)</f>
        <v>0</v>
      </c>
      <c r="M45" s="249" t="e">
        <f t="shared" si="3"/>
        <v>#DIV/0!</v>
      </c>
    </row>
    <row r="46" spans="1:13">
      <c r="A46" s="253">
        <v>212</v>
      </c>
      <c r="B46" s="239" t="s">
        <v>85</v>
      </c>
      <c r="C46" s="239" t="s">
        <v>74</v>
      </c>
      <c r="D46" s="249" t="e">
        <f>'2-Uren per locatie'!F47*'1-Totaal inschrijfbedrag'!$G$15</f>
        <v>#DIV/0!</v>
      </c>
      <c r="E46" s="249" t="e">
        <f>'2-Uren per locatie'!G47*'1-Totaal inschrijfbedrag'!$G$15</f>
        <v>#DIV/0!</v>
      </c>
      <c r="F46" s="249" t="e">
        <f>'2-Uren per locatie'!H47*'1-Totaal inschrijfbedrag'!$G$21</f>
        <v>#DIV/0!</v>
      </c>
      <c r="G46" s="249" t="e">
        <f>'2-Uren per locatie'!I47*'1-Totaal inschrijfbedrag'!$G$21</f>
        <v>#DIV/0!</v>
      </c>
      <c r="H46" s="249" t="e">
        <f t="shared" si="6"/>
        <v>#DIV/0!</v>
      </c>
      <c r="I46" s="249" t="e">
        <f>'2-Uren per locatie'!K47*'1-Totaal inschrijfbedrag'!$G$17</f>
        <v>#DIV/0!</v>
      </c>
      <c r="J46" s="249" t="e">
        <f>'2-Uren per locatie'!L47*'1-Totaal inschrijfbedrag'!$G$25</f>
        <v>#DIV/0!</v>
      </c>
      <c r="K46" s="249" t="e">
        <f t="shared" si="2"/>
        <v>#DIV/0!</v>
      </c>
      <c r="L46" s="249">
        <f>SUMIF('5-Aanvullend'!A:A,A46,'5-Aanvullend'!M:M)</f>
        <v>0</v>
      </c>
      <c r="M46" s="249" t="e">
        <f t="shared" si="3"/>
        <v>#DIV/0!</v>
      </c>
    </row>
    <row r="47" spans="1:13">
      <c r="A47" s="253">
        <v>213</v>
      </c>
      <c r="B47" s="239" t="s">
        <v>86</v>
      </c>
      <c r="C47" s="239" t="s">
        <v>74</v>
      </c>
      <c r="D47" s="249" t="e">
        <f>'2-Uren per locatie'!F48*'1-Totaal inschrijfbedrag'!$G$15</f>
        <v>#DIV/0!</v>
      </c>
      <c r="E47" s="249" t="e">
        <f>'2-Uren per locatie'!G48*'1-Totaal inschrijfbedrag'!$G$15</f>
        <v>#DIV/0!</v>
      </c>
      <c r="F47" s="249" t="e">
        <f>'2-Uren per locatie'!H48*'1-Totaal inschrijfbedrag'!$G$21</f>
        <v>#DIV/0!</v>
      </c>
      <c r="G47" s="249" t="e">
        <f>'2-Uren per locatie'!I48*'1-Totaal inschrijfbedrag'!$G$21</f>
        <v>#DIV/0!</v>
      </c>
      <c r="H47" s="249" t="e">
        <f t="shared" si="6"/>
        <v>#DIV/0!</v>
      </c>
      <c r="I47" s="249" t="e">
        <f>'2-Uren per locatie'!K48*'1-Totaal inschrijfbedrag'!$G$17</f>
        <v>#DIV/0!</v>
      </c>
      <c r="J47" s="249" t="e">
        <f>'2-Uren per locatie'!L48*'1-Totaal inschrijfbedrag'!$G$25</f>
        <v>#DIV/0!</v>
      </c>
      <c r="K47" s="249" t="e">
        <f t="shared" si="2"/>
        <v>#DIV/0!</v>
      </c>
      <c r="L47" s="249">
        <f>SUMIF('5-Aanvullend'!A:A,A47,'5-Aanvullend'!M:M)</f>
        <v>0</v>
      </c>
      <c r="M47" s="249" t="e">
        <f t="shared" si="3"/>
        <v>#DIV/0!</v>
      </c>
    </row>
    <row r="48" spans="1:13">
      <c r="A48" s="253">
        <v>214</v>
      </c>
      <c r="B48" s="239" t="s">
        <v>87</v>
      </c>
      <c r="C48" s="239" t="s">
        <v>74</v>
      </c>
      <c r="D48" s="249" t="e">
        <f>'2-Uren per locatie'!F49*'1-Totaal inschrijfbedrag'!$G$15</f>
        <v>#DIV/0!</v>
      </c>
      <c r="E48" s="249" t="e">
        <f>'2-Uren per locatie'!G49*'1-Totaal inschrijfbedrag'!$G$15</f>
        <v>#DIV/0!</v>
      </c>
      <c r="F48" s="249" t="e">
        <f>'2-Uren per locatie'!H49*'1-Totaal inschrijfbedrag'!$G$21</f>
        <v>#DIV/0!</v>
      </c>
      <c r="G48" s="249" t="e">
        <f>'2-Uren per locatie'!I49*'1-Totaal inschrijfbedrag'!$G$21</f>
        <v>#DIV/0!</v>
      </c>
      <c r="H48" s="249" t="e">
        <f t="shared" si="6"/>
        <v>#DIV/0!</v>
      </c>
      <c r="I48" s="249" t="e">
        <f>'2-Uren per locatie'!K49*'1-Totaal inschrijfbedrag'!$G$17</f>
        <v>#DIV/0!</v>
      </c>
      <c r="J48" s="249" t="e">
        <f>'2-Uren per locatie'!L49*'1-Totaal inschrijfbedrag'!$G$25</f>
        <v>#DIV/0!</v>
      </c>
      <c r="K48" s="249" t="e">
        <f t="shared" si="2"/>
        <v>#DIV/0!</v>
      </c>
      <c r="L48" s="249">
        <f>SUMIF('5-Aanvullend'!A:A,A48,'5-Aanvullend'!M:M)</f>
        <v>0</v>
      </c>
      <c r="M48" s="249" t="e">
        <f t="shared" si="3"/>
        <v>#DIV/0!</v>
      </c>
    </row>
    <row r="49" spans="1:13">
      <c r="A49" s="253">
        <v>215</v>
      </c>
      <c r="B49" s="239" t="s">
        <v>88</v>
      </c>
      <c r="C49" s="239" t="s">
        <v>74</v>
      </c>
      <c r="D49" s="249" t="e">
        <f>'2-Uren per locatie'!F50*'1-Totaal inschrijfbedrag'!$G$15</f>
        <v>#DIV/0!</v>
      </c>
      <c r="E49" s="249" t="e">
        <f>'2-Uren per locatie'!G50*'1-Totaal inschrijfbedrag'!$G$15</f>
        <v>#DIV/0!</v>
      </c>
      <c r="F49" s="249" t="e">
        <f>'2-Uren per locatie'!H50*'1-Totaal inschrijfbedrag'!$G$21</f>
        <v>#DIV/0!</v>
      </c>
      <c r="G49" s="249" t="e">
        <f>'2-Uren per locatie'!I50*'1-Totaal inschrijfbedrag'!$G$21</f>
        <v>#DIV/0!</v>
      </c>
      <c r="H49" s="249" t="e">
        <f t="shared" si="6"/>
        <v>#DIV/0!</v>
      </c>
      <c r="I49" s="249" t="e">
        <f>'2-Uren per locatie'!K50*'1-Totaal inschrijfbedrag'!$G$17</f>
        <v>#DIV/0!</v>
      </c>
      <c r="J49" s="249" t="e">
        <f>'2-Uren per locatie'!L50*'1-Totaal inschrijfbedrag'!$G$25</f>
        <v>#DIV/0!</v>
      </c>
      <c r="K49" s="249" t="e">
        <f t="shared" si="2"/>
        <v>#DIV/0!</v>
      </c>
      <c r="L49" s="249">
        <f>SUMIF('5-Aanvullend'!A:A,A49,'5-Aanvullend'!M:M)</f>
        <v>0</v>
      </c>
      <c r="M49" s="249" t="e">
        <f t="shared" si="3"/>
        <v>#DIV/0!</v>
      </c>
    </row>
    <row r="50" spans="1:13">
      <c r="A50" s="253" t="s">
        <v>89</v>
      </c>
      <c r="B50" s="240" t="s">
        <v>90</v>
      </c>
      <c r="C50" s="239" t="s">
        <v>74</v>
      </c>
      <c r="D50" s="249" t="e">
        <f>'2-Uren per locatie'!F51*'1-Totaal inschrijfbedrag'!$G$15</f>
        <v>#DIV/0!</v>
      </c>
      <c r="E50" s="249" t="e">
        <f>'2-Uren per locatie'!G51*'1-Totaal inschrijfbedrag'!$G$15</f>
        <v>#DIV/0!</v>
      </c>
      <c r="F50" s="249" t="e">
        <f>'2-Uren per locatie'!H51*'1-Totaal inschrijfbedrag'!$G$21</f>
        <v>#DIV/0!</v>
      </c>
      <c r="G50" s="249" t="e">
        <f>'2-Uren per locatie'!I51*'1-Totaal inschrijfbedrag'!$G$21</f>
        <v>#DIV/0!</v>
      </c>
      <c r="H50" s="249" t="e">
        <f t="shared" ref="H50:H52" si="7">SUM(D50:G50)</f>
        <v>#DIV/0!</v>
      </c>
      <c r="I50" s="249" t="e">
        <f>'2-Uren per locatie'!K51*'1-Totaal inschrijfbedrag'!$G$17</f>
        <v>#DIV/0!</v>
      </c>
      <c r="J50" s="249" t="e">
        <f>'2-Uren per locatie'!L51*'1-Totaal inschrijfbedrag'!$G$25</f>
        <v>#DIV/0!</v>
      </c>
      <c r="K50" s="249" t="e">
        <f t="shared" si="2"/>
        <v>#DIV/0!</v>
      </c>
      <c r="L50" s="249">
        <f>SUMIF('5-Aanvullend'!A:A,A50,'5-Aanvullend'!M:M)</f>
        <v>0</v>
      </c>
      <c r="M50" s="249" t="e">
        <f t="shared" si="3"/>
        <v>#DIV/0!</v>
      </c>
    </row>
    <row r="51" spans="1:13">
      <c r="A51" s="253" t="s">
        <v>91</v>
      </c>
      <c r="B51" s="240" t="s">
        <v>92</v>
      </c>
      <c r="C51" s="239" t="s">
        <v>74</v>
      </c>
      <c r="D51" s="249" t="e">
        <f>'2-Uren per locatie'!F52*'1-Totaal inschrijfbedrag'!$G$15</f>
        <v>#DIV/0!</v>
      </c>
      <c r="E51" s="249" t="e">
        <f>'2-Uren per locatie'!G52*'1-Totaal inschrijfbedrag'!$G$15</f>
        <v>#DIV/0!</v>
      </c>
      <c r="F51" s="249" t="e">
        <f>'2-Uren per locatie'!H52*'1-Totaal inschrijfbedrag'!$G$21</f>
        <v>#DIV/0!</v>
      </c>
      <c r="G51" s="249" t="e">
        <f>'2-Uren per locatie'!I52*'1-Totaal inschrijfbedrag'!$G$21</f>
        <v>#DIV/0!</v>
      </c>
      <c r="H51" s="249" t="e">
        <f t="shared" si="7"/>
        <v>#DIV/0!</v>
      </c>
      <c r="I51" s="249" t="e">
        <f>'2-Uren per locatie'!K52*'1-Totaal inschrijfbedrag'!$G$17</f>
        <v>#DIV/0!</v>
      </c>
      <c r="J51" s="249" t="e">
        <f>'2-Uren per locatie'!L52*'1-Totaal inschrijfbedrag'!$G$25</f>
        <v>#DIV/0!</v>
      </c>
      <c r="K51" s="249" t="e">
        <f t="shared" si="2"/>
        <v>#DIV/0!</v>
      </c>
      <c r="L51" s="249">
        <f>SUMIF('5-Aanvullend'!A:A,A51,'5-Aanvullend'!M:M)</f>
        <v>0</v>
      </c>
      <c r="M51" s="249" t="e">
        <f t="shared" si="3"/>
        <v>#DIV/0!</v>
      </c>
    </row>
    <row r="52" spans="1:13">
      <c r="A52" s="253" t="s">
        <v>93</v>
      </c>
      <c r="B52" s="240" t="s">
        <v>94</v>
      </c>
      <c r="C52" s="239" t="s">
        <v>74</v>
      </c>
      <c r="D52" s="249" t="e">
        <f>'2-Uren per locatie'!F53*'1-Totaal inschrijfbedrag'!$G$15</f>
        <v>#DIV/0!</v>
      </c>
      <c r="E52" s="249" t="e">
        <f>'2-Uren per locatie'!G53*'1-Totaal inschrijfbedrag'!$G$15</f>
        <v>#DIV/0!</v>
      </c>
      <c r="F52" s="249" t="e">
        <f>'2-Uren per locatie'!H53*'1-Totaal inschrijfbedrag'!$G$21</f>
        <v>#DIV/0!</v>
      </c>
      <c r="G52" s="249" t="e">
        <f>'2-Uren per locatie'!I53*'1-Totaal inschrijfbedrag'!$G$21</f>
        <v>#DIV/0!</v>
      </c>
      <c r="H52" s="249" t="e">
        <f t="shared" si="7"/>
        <v>#DIV/0!</v>
      </c>
      <c r="I52" s="249" t="e">
        <f>'2-Uren per locatie'!K53*'1-Totaal inschrijfbedrag'!$G$17</f>
        <v>#DIV/0!</v>
      </c>
      <c r="J52" s="249" t="e">
        <f>'2-Uren per locatie'!L53*'1-Totaal inschrijfbedrag'!$G$25</f>
        <v>#DIV/0!</v>
      </c>
      <c r="K52" s="249" t="e">
        <f t="shared" si="2"/>
        <v>#DIV/0!</v>
      </c>
      <c r="L52" s="249">
        <f>SUMIF('5-Aanvullend'!A:A,A52,'5-Aanvullend'!M:M)</f>
        <v>0</v>
      </c>
      <c r="M52" s="249" t="e">
        <f t="shared" si="3"/>
        <v>#DIV/0!</v>
      </c>
    </row>
    <row r="53" spans="1:13">
      <c r="A53" s="253">
        <v>301</v>
      </c>
      <c r="B53" s="239" t="s">
        <v>95</v>
      </c>
      <c r="C53" s="239" t="s">
        <v>96</v>
      </c>
      <c r="D53" s="249" t="e">
        <f>'2-Uren per locatie'!F54*'1-Totaal inschrijfbedrag'!$G$15</f>
        <v>#DIV/0!</v>
      </c>
      <c r="E53" s="249" t="e">
        <f>'2-Uren per locatie'!G54*'1-Totaal inschrijfbedrag'!$G$15</f>
        <v>#DIV/0!</v>
      </c>
      <c r="F53" s="249" t="e">
        <f>'2-Uren per locatie'!H54*'1-Totaal inschrijfbedrag'!$G$21</f>
        <v>#DIV/0!</v>
      </c>
      <c r="G53" s="249" t="e">
        <f>'2-Uren per locatie'!I54*'1-Totaal inschrijfbedrag'!$G$21</f>
        <v>#DIV/0!</v>
      </c>
      <c r="H53" s="249" t="e">
        <f t="shared" si="5"/>
        <v>#DIV/0!</v>
      </c>
      <c r="I53" s="249" t="e">
        <f>'2-Uren per locatie'!K54*'1-Totaal inschrijfbedrag'!$G$17</f>
        <v>#DIV/0!</v>
      </c>
      <c r="J53" s="249" t="e">
        <f>'2-Uren per locatie'!L54*'1-Totaal inschrijfbedrag'!$G$25</f>
        <v>#DIV/0!</v>
      </c>
      <c r="K53" s="249" t="e">
        <f t="shared" si="2"/>
        <v>#DIV/0!</v>
      </c>
      <c r="L53" s="249">
        <f>SUMIF('5-Aanvullend'!A:A,A53,'5-Aanvullend'!M:M)</f>
        <v>0</v>
      </c>
      <c r="M53" s="249" t="e">
        <f t="shared" si="3"/>
        <v>#DIV/0!</v>
      </c>
    </row>
    <row r="54" spans="1:13">
      <c r="A54" s="253">
        <v>302</v>
      </c>
      <c r="B54" s="239" t="s">
        <v>97</v>
      </c>
      <c r="C54" s="239" t="s">
        <v>96</v>
      </c>
      <c r="D54" s="249" t="e">
        <f>'2-Uren per locatie'!F55*'1-Totaal inschrijfbedrag'!$G$15</f>
        <v>#DIV/0!</v>
      </c>
      <c r="E54" s="249" t="e">
        <f>'2-Uren per locatie'!G55*'1-Totaal inschrijfbedrag'!$G$15</f>
        <v>#DIV/0!</v>
      </c>
      <c r="F54" s="249" t="e">
        <f>'2-Uren per locatie'!H55*'1-Totaal inschrijfbedrag'!$G$21</f>
        <v>#DIV/0!</v>
      </c>
      <c r="G54" s="249" t="e">
        <f>'2-Uren per locatie'!I55*'1-Totaal inschrijfbedrag'!$G$21</f>
        <v>#DIV/0!</v>
      </c>
      <c r="H54" s="249" t="e">
        <f t="shared" si="5"/>
        <v>#DIV/0!</v>
      </c>
      <c r="I54" s="249" t="e">
        <f>'2-Uren per locatie'!K55*'1-Totaal inschrijfbedrag'!$G$17</f>
        <v>#DIV/0!</v>
      </c>
      <c r="J54" s="249" t="e">
        <f>'2-Uren per locatie'!L55*'1-Totaal inschrijfbedrag'!$G$25</f>
        <v>#DIV/0!</v>
      </c>
      <c r="K54" s="249" t="e">
        <f t="shared" si="2"/>
        <v>#DIV/0!</v>
      </c>
      <c r="L54" s="249">
        <f>SUMIF('5-Aanvullend'!A:A,A54,'5-Aanvullend'!M:M)</f>
        <v>0</v>
      </c>
      <c r="M54" s="249" t="e">
        <f t="shared" si="3"/>
        <v>#DIV/0!</v>
      </c>
    </row>
    <row r="55" spans="1:13">
      <c r="A55" s="253">
        <v>303</v>
      </c>
      <c r="B55" s="239" t="s">
        <v>98</v>
      </c>
      <c r="C55" s="239" t="s">
        <v>96</v>
      </c>
      <c r="D55" s="249" t="e">
        <f>'2-Uren per locatie'!F56*'1-Totaal inschrijfbedrag'!$G$15</f>
        <v>#DIV/0!</v>
      </c>
      <c r="E55" s="249" t="e">
        <f>'2-Uren per locatie'!G56*'1-Totaal inschrijfbedrag'!$G$15</f>
        <v>#DIV/0!</v>
      </c>
      <c r="F55" s="249" t="e">
        <f>'2-Uren per locatie'!H56*'1-Totaal inschrijfbedrag'!$G$21</f>
        <v>#DIV/0!</v>
      </c>
      <c r="G55" s="249" t="e">
        <f>'2-Uren per locatie'!I56*'1-Totaal inschrijfbedrag'!$G$21</f>
        <v>#DIV/0!</v>
      </c>
      <c r="H55" s="249" t="e">
        <f t="shared" si="5"/>
        <v>#DIV/0!</v>
      </c>
      <c r="I55" s="249" t="e">
        <f>'2-Uren per locatie'!K56*'1-Totaal inschrijfbedrag'!$G$17</f>
        <v>#DIV/0!</v>
      </c>
      <c r="J55" s="249" t="e">
        <f>'2-Uren per locatie'!L56*'1-Totaal inschrijfbedrag'!$G$25</f>
        <v>#DIV/0!</v>
      </c>
      <c r="K55" s="249" t="e">
        <f t="shared" si="2"/>
        <v>#DIV/0!</v>
      </c>
      <c r="L55" s="249">
        <f>SUMIF('5-Aanvullend'!A:A,A55,'5-Aanvullend'!M:M)</f>
        <v>0</v>
      </c>
      <c r="M55" s="249" t="e">
        <f t="shared" si="3"/>
        <v>#DIV/0!</v>
      </c>
    </row>
    <row r="56" spans="1:13">
      <c r="A56" s="253">
        <v>304</v>
      </c>
      <c r="B56" s="239" t="s">
        <v>99</v>
      </c>
      <c r="C56" s="239" t="s">
        <v>96</v>
      </c>
      <c r="D56" s="249" t="e">
        <f>'2-Uren per locatie'!F57*'1-Totaal inschrijfbedrag'!$G$15</f>
        <v>#DIV/0!</v>
      </c>
      <c r="E56" s="249" t="e">
        <f>'2-Uren per locatie'!G57*'1-Totaal inschrijfbedrag'!$G$15</f>
        <v>#DIV/0!</v>
      </c>
      <c r="F56" s="249" t="e">
        <f>'2-Uren per locatie'!H57*'1-Totaal inschrijfbedrag'!$G$21</f>
        <v>#DIV/0!</v>
      </c>
      <c r="G56" s="249" t="e">
        <f>'2-Uren per locatie'!I57*'1-Totaal inschrijfbedrag'!$G$21</f>
        <v>#DIV/0!</v>
      </c>
      <c r="H56" s="249" t="e">
        <f t="shared" si="5"/>
        <v>#DIV/0!</v>
      </c>
      <c r="I56" s="249" t="e">
        <f>'2-Uren per locatie'!K57*'1-Totaal inschrijfbedrag'!$G$17</f>
        <v>#DIV/0!</v>
      </c>
      <c r="J56" s="249" t="e">
        <f>'2-Uren per locatie'!L57*'1-Totaal inschrijfbedrag'!$G$25</f>
        <v>#DIV/0!</v>
      </c>
      <c r="K56" s="249" t="e">
        <f t="shared" si="2"/>
        <v>#DIV/0!</v>
      </c>
      <c r="L56" s="249">
        <f>SUMIF('5-Aanvullend'!A:A,A56,'5-Aanvullend'!M:M)</f>
        <v>0</v>
      </c>
      <c r="M56" s="249" t="e">
        <f t="shared" si="3"/>
        <v>#DIV/0!</v>
      </c>
    </row>
    <row r="57" spans="1:13">
      <c r="A57" s="253">
        <v>305</v>
      </c>
      <c r="B57" s="239" t="s">
        <v>100</v>
      </c>
      <c r="C57" s="239" t="s">
        <v>96</v>
      </c>
      <c r="D57" s="249" t="e">
        <f>'2-Uren per locatie'!F58*'1-Totaal inschrijfbedrag'!$G$15</f>
        <v>#DIV/0!</v>
      </c>
      <c r="E57" s="249" t="e">
        <f>'2-Uren per locatie'!G58*'1-Totaal inschrijfbedrag'!$G$15</f>
        <v>#DIV/0!</v>
      </c>
      <c r="F57" s="249" t="e">
        <f>'2-Uren per locatie'!H58*'1-Totaal inschrijfbedrag'!$G$21</f>
        <v>#DIV/0!</v>
      </c>
      <c r="G57" s="249" t="e">
        <f>'2-Uren per locatie'!I58*'1-Totaal inschrijfbedrag'!$G$21</f>
        <v>#DIV/0!</v>
      </c>
      <c r="H57" s="249" t="e">
        <f t="shared" si="5"/>
        <v>#DIV/0!</v>
      </c>
      <c r="I57" s="249" t="e">
        <f>'2-Uren per locatie'!K58*'1-Totaal inschrijfbedrag'!$G$17</f>
        <v>#DIV/0!</v>
      </c>
      <c r="J57" s="249" t="e">
        <f>'2-Uren per locatie'!L58*'1-Totaal inschrijfbedrag'!$G$25</f>
        <v>#DIV/0!</v>
      </c>
      <c r="K57" s="249" t="e">
        <f t="shared" si="2"/>
        <v>#DIV/0!</v>
      </c>
      <c r="L57" s="249">
        <f>SUMIF('5-Aanvullend'!A:A,A57,'5-Aanvullend'!M:M)</f>
        <v>0</v>
      </c>
      <c r="M57" s="249" t="e">
        <f t="shared" si="3"/>
        <v>#DIV/0!</v>
      </c>
    </row>
    <row r="58" spans="1:13">
      <c r="A58" s="253">
        <v>306</v>
      </c>
      <c r="B58" s="239" t="s">
        <v>101</v>
      </c>
      <c r="C58" s="239" t="s">
        <v>96</v>
      </c>
      <c r="D58" s="249" t="e">
        <f>'2-Uren per locatie'!F59*'1-Totaal inschrijfbedrag'!$G$15</f>
        <v>#DIV/0!</v>
      </c>
      <c r="E58" s="249" t="e">
        <f>'2-Uren per locatie'!G59*'1-Totaal inschrijfbedrag'!$G$15</f>
        <v>#DIV/0!</v>
      </c>
      <c r="F58" s="249" t="e">
        <f>'2-Uren per locatie'!H59*'1-Totaal inschrijfbedrag'!$G$21</f>
        <v>#DIV/0!</v>
      </c>
      <c r="G58" s="249" t="e">
        <f>'2-Uren per locatie'!I59*'1-Totaal inschrijfbedrag'!$G$21</f>
        <v>#DIV/0!</v>
      </c>
      <c r="H58" s="249" t="e">
        <f t="shared" si="5"/>
        <v>#DIV/0!</v>
      </c>
      <c r="I58" s="249" t="e">
        <f>'2-Uren per locatie'!K59*'1-Totaal inschrijfbedrag'!$G$17</f>
        <v>#DIV/0!</v>
      </c>
      <c r="J58" s="249" t="e">
        <f>'2-Uren per locatie'!L59*'1-Totaal inschrijfbedrag'!$G$25</f>
        <v>#DIV/0!</v>
      </c>
      <c r="K58" s="249" t="e">
        <f t="shared" si="2"/>
        <v>#DIV/0!</v>
      </c>
      <c r="L58" s="249">
        <f>SUMIF('5-Aanvullend'!A:A,A58,'5-Aanvullend'!M:M)</f>
        <v>0</v>
      </c>
      <c r="M58" s="249" t="e">
        <f t="shared" si="3"/>
        <v>#DIV/0!</v>
      </c>
    </row>
    <row r="59" spans="1:13">
      <c r="A59" s="253">
        <v>307</v>
      </c>
      <c r="B59" s="239" t="s">
        <v>102</v>
      </c>
      <c r="C59" s="239" t="s">
        <v>96</v>
      </c>
      <c r="D59" s="249" t="e">
        <f>'2-Uren per locatie'!F60*'1-Totaal inschrijfbedrag'!$G$15</f>
        <v>#DIV/0!</v>
      </c>
      <c r="E59" s="249" t="e">
        <f>'2-Uren per locatie'!G60*'1-Totaal inschrijfbedrag'!$G$15</f>
        <v>#DIV/0!</v>
      </c>
      <c r="F59" s="249" t="e">
        <f>'2-Uren per locatie'!H60*'1-Totaal inschrijfbedrag'!$G$21</f>
        <v>#DIV/0!</v>
      </c>
      <c r="G59" s="249" t="e">
        <f>'2-Uren per locatie'!I60*'1-Totaal inschrijfbedrag'!$G$21</f>
        <v>#DIV/0!</v>
      </c>
      <c r="H59" s="249" t="e">
        <f t="shared" si="5"/>
        <v>#DIV/0!</v>
      </c>
      <c r="I59" s="249" t="e">
        <f>'2-Uren per locatie'!K60*'1-Totaal inschrijfbedrag'!$G$17</f>
        <v>#DIV/0!</v>
      </c>
      <c r="J59" s="249" t="e">
        <f>'2-Uren per locatie'!L60*'1-Totaal inschrijfbedrag'!$G$25</f>
        <v>#DIV/0!</v>
      </c>
      <c r="K59" s="249" t="e">
        <f t="shared" si="2"/>
        <v>#DIV/0!</v>
      </c>
      <c r="L59" s="249">
        <f>SUMIF('5-Aanvullend'!A:A,A59,'5-Aanvullend'!M:M)</f>
        <v>0</v>
      </c>
      <c r="M59" s="249" t="e">
        <f t="shared" si="3"/>
        <v>#DIV/0!</v>
      </c>
    </row>
    <row r="60" spans="1:13">
      <c r="A60" s="253">
        <v>308</v>
      </c>
      <c r="B60" s="239" t="s">
        <v>103</v>
      </c>
      <c r="C60" s="239" t="s">
        <v>96</v>
      </c>
      <c r="D60" s="249" t="e">
        <f>'2-Uren per locatie'!F61*'1-Totaal inschrijfbedrag'!$G$15</f>
        <v>#DIV/0!</v>
      </c>
      <c r="E60" s="249" t="e">
        <f>'2-Uren per locatie'!G61*'1-Totaal inschrijfbedrag'!$G$15</f>
        <v>#DIV/0!</v>
      </c>
      <c r="F60" s="249" t="e">
        <f>'2-Uren per locatie'!H61*'1-Totaal inschrijfbedrag'!$G$21</f>
        <v>#DIV/0!</v>
      </c>
      <c r="G60" s="249" t="e">
        <f>'2-Uren per locatie'!I61*'1-Totaal inschrijfbedrag'!$G$21</f>
        <v>#DIV/0!</v>
      </c>
      <c r="H60" s="249" t="e">
        <f t="shared" si="5"/>
        <v>#DIV/0!</v>
      </c>
      <c r="I60" s="249" t="e">
        <f>'2-Uren per locatie'!K61*'1-Totaal inschrijfbedrag'!$G$17</f>
        <v>#DIV/0!</v>
      </c>
      <c r="J60" s="249" t="e">
        <f>'2-Uren per locatie'!L61*'1-Totaal inschrijfbedrag'!$G$25</f>
        <v>#DIV/0!</v>
      </c>
      <c r="K60" s="249" t="e">
        <f t="shared" si="2"/>
        <v>#DIV/0!</v>
      </c>
      <c r="L60" s="249">
        <f>SUMIF('5-Aanvullend'!A:A,A60,'5-Aanvullend'!M:M)</f>
        <v>0</v>
      </c>
      <c r="M60" s="249" t="e">
        <f t="shared" si="3"/>
        <v>#DIV/0!</v>
      </c>
    </row>
    <row r="61" spans="1:13">
      <c r="A61" s="253">
        <v>309</v>
      </c>
      <c r="B61" s="239" t="s">
        <v>104</v>
      </c>
      <c r="C61" s="239" t="s">
        <v>96</v>
      </c>
      <c r="D61" s="249" t="e">
        <f>'2-Uren per locatie'!F62*'1-Totaal inschrijfbedrag'!$G$15</f>
        <v>#DIV/0!</v>
      </c>
      <c r="E61" s="249" t="e">
        <f>'2-Uren per locatie'!G62*'1-Totaal inschrijfbedrag'!$G$15</f>
        <v>#DIV/0!</v>
      </c>
      <c r="F61" s="249" t="e">
        <f>'2-Uren per locatie'!H62*'1-Totaal inschrijfbedrag'!$G$21</f>
        <v>#DIV/0!</v>
      </c>
      <c r="G61" s="249" t="e">
        <f>'2-Uren per locatie'!I62*'1-Totaal inschrijfbedrag'!$G$21</f>
        <v>#DIV/0!</v>
      </c>
      <c r="H61" s="249" t="e">
        <f t="shared" si="5"/>
        <v>#DIV/0!</v>
      </c>
      <c r="I61" s="249" t="e">
        <f>'2-Uren per locatie'!K62*'1-Totaal inschrijfbedrag'!$G$17</f>
        <v>#DIV/0!</v>
      </c>
      <c r="J61" s="249" t="e">
        <f>'2-Uren per locatie'!L62*'1-Totaal inschrijfbedrag'!$G$25</f>
        <v>#DIV/0!</v>
      </c>
      <c r="K61" s="249" t="e">
        <f t="shared" si="2"/>
        <v>#DIV/0!</v>
      </c>
      <c r="L61" s="249">
        <f>SUMIF('5-Aanvullend'!A:A,A61,'5-Aanvullend'!M:M)</f>
        <v>0</v>
      </c>
      <c r="M61" s="249" t="e">
        <f t="shared" si="3"/>
        <v>#DIV/0!</v>
      </c>
    </row>
    <row r="62" spans="1:13">
      <c r="A62" s="253">
        <v>310</v>
      </c>
      <c r="B62" s="239" t="s">
        <v>105</v>
      </c>
      <c r="C62" s="239" t="s">
        <v>96</v>
      </c>
      <c r="D62" s="249" t="e">
        <f>'2-Uren per locatie'!F63*'1-Totaal inschrijfbedrag'!$G$15</f>
        <v>#DIV/0!</v>
      </c>
      <c r="E62" s="249" t="e">
        <f>'2-Uren per locatie'!G63*'1-Totaal inschrijfbedrag'!$G$15</f>
        <v>#DIV/0!</v>
      </c>
      <c r="F62" s="249" t="e">
        <f>'2-Uren per locatie'!H63*'1-Totaal inschrijfbedrag'!$G$21</f>
        <v>#DIV/0!</v>
      </c>
      <c r="G62" s="249" t="e">
        <f>'2-Uren per locatie'!I63*'1-Totaal inschrijfbedrag'!$G$21</f>
        <v>#DIV/0!</v>
      </c>
      <c r="H62" s="249" t="e">
        <f t="shared" si="5"/>
        <v>#DIV/0!</v>
      </c>
      <c r="I62" s="249" t="e">
        <f>'2-Uren per locatie'!K63*'1-Totaal inschrijfbedrag'!$G$17</f>
        <v>#DIV/0!</v>
      </c>
      <c r="J62" s="249" t="e">
        <f>'2-Uren per locatie'!L63*'1-Totaal inschrijfbedrag'!$G$25</f>
        <v>#DIV/0!</v>
      </c>
      <c r="K62" s="249" t="e">
        <f t="shared" si="2"/>
        <v>#DIV/0!</v>
      </c>
      <c r="L62" s="249">
        <f>SUMIF('5-Aanvullend'!A:A,A62,'5-Aanvullend'!M:M)</f>
        <v>0</v>
      </c>
      <c r="M62" s="249" t="e">
        <f t="shared" si="3"/>
        <v>#DIV/0!</v>
      </c>
    </row>
    <row r="63" spans="1:13">
      <c r="A63" s="253">
        <v>311</v>
      </c>
      <c r="B63" s="239" t="s">
        <v>106</v>
      </c>
      <c r="C63" s="239" t="s">
        <v>96</v>
      </c>
      <c r="D63" s="249" t="e">
        <f>'2-Uren per locatie'!F64*'1-Totaal inschrijfbedrag'!$G$15</f>
        <v>#DIV/0!</v>
      </c>
      <c r="E63" s="249" t="e">
        <f>'2-Uren per locatie'!G64*'1-Totaal inschrijfbedrag'!$G$15</f>
        <v>#DIV/0!</v>
      </c>
      <c r="F63" s="249" t="e">
        <f>'2-Uren per locatie'!H64*'1-Totaal inschrijfbedrag'!$G$21</f>
        <v>#DIV/0!</v>
      </c>
      <c r="G63" s="249" t="e">
        <f>'2-Uren per locatie'!I64*'1-Totaal inschrijfbedrag'!$G$21</f>
        <v>#DIV/0!</v>
      </c>
      <c r="H63" s="249" t="e">
        <f t="shared" si="5"/>
        <v>#DIV/0!</v>
      </c>
      <c r="I63" s="249" t="e">
        <f>'2-Uren per locatie'!K64*'1-Totaal inschrijfbedrag'!$G$17</f>
        <v>#DIV/0!</v>
      </c>
      <c r="J63" s="249" t="e">
        <f>'2-Uren per locatie'!L64*'1-Totaal inschrijfbedrag'!$G$25</f>
        <v>#DIV/0!</v>
      </c>
      <c r="K63" s="249" t="e">
        <f t="shared" si="2"/>
        <v>#DIV/0!</v>
      </c>
      <c r="L63" s="249">
        <f>SUMIF('5-Aanvullend'!A:A,A63,'5-Aanvullend'!M:M)</f>
        <v>0</v>
      </c>
      <c r="M63" s="249" t="e">
        <f t="shared" si="3"/>
        <v>#DIV/0!</v>
      </c>
    </row>
    <row r="64" spans="1:13">
      <c r="A64" s="253">
        <v>312</v>
      </c>
      <c r="B64" s="239" t="s">
        <v>107</v>
      </c>
      <c r="C64" s="239" t="s">
        <v>96</v>
      </c>
      <c r="D64" s="249" t="e">
        <f>'2-Uren per locatie'!F65*'1-Totaal inschrijfbedrag'!$G$15</f>
        <v>#DIV/0!</v>
      </c>
      <c r="E64" s="249" t="e">
        <f>'2-Uren per locatie'!G65*'1-Totaal inschrijfbedrag'!$G$15</f>
        <v>#DIV/0!</v>
      </c>
      <c r="F64" s="249" t="e">
        <f>'2-Uren per locatie'!H65*'1-Totaal inschrijfbedrag'!$G$21</f>
        <v>#DIV/0!</v>
      </c>
      <c r="G64" s="249" t="e">
        <f>'2-Uren per locatie'!I65*'1-Totaal inschrijfbedrag'!$G$21</f>
        <v>#DIV/0!</v>
      </c>
      <c r="H64" s="249" t="e">
        <f t="shared" si="5"/>
        <v>#DIV/0!</v>
      </c>
      <c r="I64" s="249" t="e">
        <f>'2-Uren per locatie'!K65*'1-Totaal inschrijfbedrag'!$G$17</f>
        <v>#DIV/0!</v>
      </c>
      <c r="J64" s="249" t="e">
        <f>'2-Uren per locatie'!L65*'1-Totaal inschrijfbedrag'!$G$25</f>
        <v>#DIV/0!</v>
      </c>
      <c r="K64" s="249" t="e">
        <f t="shared" si="2"/>
        <v>#DIV/0!</v>
      </c>
      <c r="L64" s="249">
        <f>SUMIF('5-Aanvullend'!A:A,A64,'5-Aanvullend'!M:M)</f>
        <v>0</v>
      </c>
      <c r="M64" s="249" t="e">
        <f t="shared" si="3"/>
        <v>#DIV/0!</v>
      </c>
    </row>
    <row r="65" spans="1:14">
      <c r="A65" s="253">
        <v>601</v>
      </c>
      <c r="B65" s="239" t="s">
        <v>108</v>
      </c>
      <c r="C65" s="239" t="s">
        <v>109</v>
      </c>
      <c r="D65" s="249" t="e">
        <f>'2-Uren per locatie'!F66*'1-Totaal inschrijfbedrag'!$G$15</f>
        <v>#DIV/0!</v>
      </c>
      <c r="E65" s="249" t="e">
        <f>'2-Uren per locatie'!G66*'1-Totaal inschrijfbedrag'!$G$15</f>
        <v>#DIV/0!</v>
      </c>
      <c r="F65" s="249" t="e">
        <f>'2-Uren per locatie'!H66*'1-Totaal inschrijfbedrag'!$G$21</f>
        <v>#DIV/0!</v>
      </c>
      <c r="G65" s="249" t="e">
        <f>'2-Uren per locatie'!I66*'1-Totaal inschrijfbedrag'!$G$21</f>
        <v>#DIV/0!</v>
      </c>
      <c r="H65" s="249" t="e">
        <f t="shared" ref="H65:H71" si="8">SUM(D65:G65)</f>
        <v>#DIV/0!</v>
      </c>
      <c r="I65" s="249" t="e">
        <f>'2-Uren per locatie'!K66*'1-Totaal inschrijfbedrag'!$G$17</f>
        <v>#DIV/0!</v>
      </c>
      <c r="J65" s="249" t="e">
        <f>'2-Uren per locatie'!L66*'1-Totaal inschrijfbedrag'!$G$25</f>
        <v>#DIV/0!</v>
      </c>
      <c r="K65" s="249" t="e">
        <f t="shared" si="2"/>
        <v>#DIV/0!</v>
      </c>
      <c r="L65" s="249">
        <f>SUMIF('5-Aanvullend'!A:A,A65,'5-Aanvullend'!M:M)</f>
        <v>0</v>
      </c>
      <c r="M65" s="249" t="e">
        <f t="shared" si="3"/>
        <v>#DIV/0!</v>
      </c>
    </row>
    <row r="66" spans="1:14">
      <c r="A66" s="253">
        <v>602</v>
      </c>
      <c r="B66" s="239" t="s">
        <v>110</v>
      </c>
      <c r="C66" s="239" t="s">
        <v>109</v>
      </c>
      <c r="D66" s="249" t="e">
        <f>'2-Uren per locatie'!F67*'1-Totaal inschrijfbedrag'!$G$15</f>
        <v>#DIV/0!</v>
      </c>
      <c r="E66" s="249" t="e">
        <f>'2-Uren per locatie'!G67*'1-Totaal inschrijfbedrag'!$G$15</f>
        <v>#DIV/0!</v>
      </c>
      <c r="F66" s="249" t="e">
        <f>'2-Uren per locatie'!H67*'1-Totaal inschrijfbedrag'!$G$21</f>
        <v>#DIV/0!</v>
      </c>
      <c r="G66" s="249" t="e">
        <f>'2-Uren per locatie'!I67*'1-Totaal inschrijfbedrag'!$G$21</f>
        <v>#DIV/0!</v>
      </c>
      <c r="H66" s="249" t="e">
        <f t="shared" si="8"/>
        <v>#DIV/0!</v>
      </c>
      <c r="I66" s="249" t="e">
        <f>'2-Uren per locatie'!K67*'1-Totaal inschrijfbedrag'!$G$17</f>
        <v>#DIV/0!</v>
      </c>
      <c r="J66" s="249" t="e">
        <f>'2-Uren per locatie'!L67*'1-Totaal inschrijfbedrag'!$G$25</f>
        <v>#DIV/0!</v>
      </c>
      <c r="K66" s="249" t="e">
        <f t="shared" si="2"/>
        <v>#DIV/0!</v>
      </c>
      <c r="L66" s="249">
        <f>SUMIF('5-Aanvullend'!A:A,A66,'5-Aanvullend'!M:M)</f>
        <v>0</v>
      </c>
      <c r="M66" s="249" t="e">
        <f t="shared" si="3"/>
        <v>#DIV/0!</v>
      </c>
    </row>
    <row r="67" spans="1:14">
      <c r="A67" s="253">
        <v>603</v>
      </c>
      <c r="B67" s="239" t="s">
        <v>111</v>
      </c>
      <c r="C67" s="239" t="s">
        <v>109</v>
      </c>
      <c r="D67" s="249" t="e">
        <f>'2-Uren per locatie'!F68*'1-Totaal inschrijfbedrag'!$G$15</f>
        <v>#DIV/0!</v>
      </c>
      <c r="E67" s="249" t="e">
        <f>'2-Uren per locatie'!G68*'1-Totaal inschrijfbedrag'!$G$15</f>
        <v>#DIV/0!</v>
      </c>
      <c r="F67" s="249" t="e">
        <f>'2-Uren per locatie'!H68*'1-Totaal inschrijfbedrag'!$G$21</f>
        <v>#DIV/0!</v>
      </c>
      <c r="G67" s="249" t="e">
        <f>'2-Uren per locatie'!I68*'1-Totaal inschrijfbedrag'!$G$21</f>
        <v>#DIV/0!</v>
      </c>
      <c r="H67" s="249" t="e">
        <f t="shared" si="8"/>
        <v>#DIV/0!</v>
      </c>
      <c r="I67" s="249" t="e">
        <f>'2-Uren per locatie'!K68*'1-Totaal inschrijfbedrag'!$G$17</f>
        <v>#DIV/0!</v>
      </c>
      <c r="J67" s="249" t="e">
        <f>'2-Uren per locatie'!L68*'1-Totaal inschrijfbedrag'!$G$25</f>
        <v>#DIV/0!</v>
      </c>
      <c r="K67" s="249" t="e">
        <f t="shared" si="2"/>
        <v>#DIV/0!</v>
      </c>
      <c r="L67" s="249">
        <f>SUMIF('5-Aanvullend'!A:A,A67,'5-Aanvullend'!M:M)</f>
        <v>0</v>
      </c>
      <c r="M67" s="249" t="e">
        <f t="shared" si="3"/>
        <v>#DIV/0!</v>
      </c>
    </row>
    <row r="68" spans="1:14">
      <c r="A68" s="253">
        <v>604</v>
      </c>
      <c r="B68" s="239" t="s">
        <v>112</v>
      </c>
      <c r="C68" s="239" t="s">
        <v>109</v>
      </c>
      <c r="D68" s="249" t="e">
        <f>'2-Uren per locatie'!F69*'1-Totaal inschrijfbedrag'!$G$15</f>
        <v>#DIV/0!</v>
      </c>
      <c r="E68" s="249" t="e">
        <f>'2-Uren per locatie'!G69*'1-Totaal inschrijfbedrag'!$G$15</f>
        <v>#DIV/0!</v>
      </c>
      <c r="F68" s="249" t="e">
        <f>'2-Uren per locatie'!H69*'1-Totaal inschrijfbedrag'!$G$21</f>
        <v>#DIV/0!</v>
      </c>
      <c r="G68" s="249" t="e">
        <f>'2-Uren per locatie'!I69*'1-Totaal inschrijfbedrag'!$G$21</f>
        <v>#DIV/0!</v>
      </c>
      <c r="H68" s="249" t="e">
        <f t="shared" si="8"/>
        <v>#DIV/0!</v>
      </c>
      <c r="I68" s="249" t="e">
        <f>'2-Uren per locatie'!K69*'1-Totaal inschrijfbedrag'!$G$17</f>
        <v>#DIV/0!</v>
      </c>
      <c r="J68" s="249" t="e">
        <f>'2-Uren per locatie'!L69*'1-Totaal inschrijfbedrag'!$G$25</f>
        <v>#DIV/0!</v>
      </c>
      <c r="K68" s="249" t="e">
        <f t="shared" si="2"/>
        <v>#DIV/0!</v>
      </c>
      <c r="L68" s="249">
        <f>SUMIF('5-Aanvullend'!A:A,A68,'5-Aanvullend'!M:M)</f>
        <v>0</v>
      </c>
      <c r="M68" s="249" t="e">
        <f t="shared" si="3"/>
        <v>#DIV/0!</v>
      </c>
    </row>
    <row r="69" spans="1:14">
      <c r="A69" s="253">
        <v>605</v>
      </c>
      <c r="B69" s="239" t="s">
        <v>113</v>
      </c>
      <c r="C69" s="239" t="s">
        <v>109</v>
      </c>
      <c r="D69" s="249" t="e">
        <f>'2-Uren per locatie'!F70*'1-Totaal inschrijfbedrag'!$G$15</f>
        <v>#DIV/0!</v>
      </c>
      <c r="E69" s="249" t="e">
        <f>'2-Uren per locatie'!G70*'1-Totaal inschrijfbedrag'!$G$15</f>
        <v>#DIV/0!</v>
      </c>
      <c r="F69" s="249" t="e">
        <f>'2-Uren per locatie'!H70*'1-Totaal inschrijfbedrag'!$G$21</f>
        <v>#DIV/0!</v>
      </c>
      <c r="G69" s="249" t="e">
        <f>'2-Uren per locatie'!I70*'1-Totaal inschrijfbedrag'!$G$21</f>
        <v>#DIV/0!</v>
      </c>
      <c r="H69" s="249" t="e">
        <f t="shared" si="8"/>
        <v>#DIV/0!</v>
      </c>
      <c r="I69" s="249" t="e">
        <f>'2-Uren per locatie'!K70*'1-Totaal inschrijfbedrag'!$G$17</f>
        <v>#DIV/0!</v>
      </c>
      <c r="J69" s="249" t="e">
        <f>'2-Uren per locatie'!L70*'1-Totaal inschrijfbedrag'!$G$25</f>
        <v>#DIV/0!</v>
      </c>
      <c r="K69" s="249" t="e">
        <f t="shared" si="2"/>
        <v>#DIV/0!</v>
      </c>
      <c r="L69" s="249">
        <f>SUMIF('5-Aanvullend'!A:A,A69,'5-Aanvullend'!M:M)</f>
        <v>0</v>
      </c>
      <c r="M69" s="249" t="e">
        <f t="shared" si="3"/>
        <v>#DIV/0!</v>
      </c>
    </row>
    <row r="70" spans="1:14">
      <c r="A70" s="253">
        <v>607</v>
      </c>
      <c r="B70" s="239" t="s">
        <v>114</v>
      </c>
      <c r="C70" s="239" t="s">
        <v>109</v>
      </c>
      <c r="D70" s="249" t="e">
        <f>'2-Uren per locatie'!F71*'1-Totaal inschrijfbedrag'!$G$15</f>
        <v>#DIV/0!</v>
      </c>
      <c r="E70" s="249" t="e">
        <f>'2-Uren per locatie'!G71*'1-Totaal inschrijfbedrag'!$G$15</f>
        <v>#DIV/0!</v>
      </c>
      <c r="F70" s="249" t="e">
        <f>'2-Uren per locatie'!H71*'1-Totaal inschrijfbedrag'!$G$21</f>
        <v>#DIV/0!</v>
      </c>
      <c r="G70" s="249" t="e">
        <f>'2-Uren per locatie'!I71*'1-Totaal inschrijfbedrag'!$G$21</f>
        <v>#DIV/0!</v>
      </c>
      <c r="H70" s="249" t="e">
        <f t="shared" si="8"/>
        <v>#DIV/0!</v>
      </c>
      <c r="I70" s="249" t="e">
        <f>'2-Uren per locatie'!K71*'1-Totaal inschrijfbedrag'!$G$17</f>
        <v>#DIV/0!</v>
      </c>
      <c r="J70" s="249" t="e">
        <f>'2-Uren per locatie'!L71*'1-Totaal inschrijfbedrag'!$G$25</f>
        <v>#DIV/0!</v>
      </c>
      <c r="K70" s="249" t="e">
        <f t="shared" si="2"/>
        <v>#DIV/0!</v>
      </c>
      <c r="L70" s="249">
        <f>SUMIF('5-Aanvullend'!A:A,A70,'5-Aanvullend'!M:M)</f>
        <v>0</v>
      </c>
      <c r="M70" s="249" t="e">
        <f t="shared" si="3"/>
        <v>#DIV/0!</v>
      </c>
    </row>
    <row r="71" spans="1:14">
      <c r="A71" s="253">
        <v>608</v>
      </c>
      <c r="B71" s="239" t="s">
        <v>115</v>
      </c>
      <c r="C71" s="239" t="s">
        <v>109</v>
      </c>
      <c r="D71" s="249" t="e">
        <f>'2-Uren per locatie'!F72*'1-Totaal inschrijfbedrag'!$G$15</f>
        <v>#DIV/0!</v>
      </c>
      <c r="E71" s="249" t="e">
        <f>'2-Uren per locatie'!G72*'1-Totaal inschrijfbedrag'!$G$15</f>
        <v>#DIV/0!</v>
      </c>
      <c r="F71" s="249" t="e">
        <f>'2-Uren per locatie'!H72*'1-Totaal inschrijfbedrag'!$G$21</f>
        <v>#DIV/0!</v>
      </c>
      <c r="G71" s="249" t="e">
        <f>'2-Uren per locatie'!I72*'1-Totaal inschrijfbedrag'!$G$21</f>
        <v>#DIV/0!</v>
      </c>
      <c r="H71" s="249" t="e">
        <f t="shared" si="8"/>
        <v>#DIV/0!</v>
      </c>
      <c r="I71" s="249" t="e">
        <f>'2-Uren per locatie'!K72*'1-Totaal inschrijfbedrag'!$G$17</f>
        <v>#DIV/0!</v>
      </c>
      <c r="J71" s="249" t="e">
        <f>'2-Uren per locatie'!L72*'1-Totaal inschrijfbedrag'!$G$25</f>
        <v>#DIV/0!</v>
      </c>
      <c r="K71" s="249" t="e">
        <f t="shared" si="2"/>
        <v>#DIV/0!</v>
      </c>
      <c r="L71" s="249">
        <f>SUMIF('5-Aanvullend'!A:A,A71,'5-Aanvullend'!M:M)</f>
        <v>0</v>
      </c>
      <c r="M71" s="249" t="e">
        <f t="shared" si="3"/>
        <v>#DIV/0!</v>
      </c>
    </row>
    <row r="72" spans="1:14">
      <c r="A72" s="253">
        <v>1001</v>
      </c>
      <c r="B72" s="239" t="s">
        <v>116</v>
      </c>
      <c r="C72" s="239" t="s">
        <v>117</v>
      </c>
      <c r="D72" s="249" t="e">
        <f>'2-Uren per locatie'!F73*'1-Totaal inschrijfbedrag'!$G$15</f>
        <v>#DIV/0!</v>
      </c>
      <c r="E72" s="249" t="e">
        <f>'2-Uren per locatie'!G73*'1-Totaal inschrijfbedrag'!$G$15</f>
        <v>#DIV/0!</v>
      </c>
      <c r="F72" s="249" t="e">
        <f>'2-Uren per locatie'!H73*'1-Totaal inschrijfbedrag'!$G$21</f>
        <v>#DIV/0!</v>
      </c>
      <c r="G72" s="249" t="e">
        <f>'2-Uren per locatie'!I73*'1-Totaal inschrijfbedrag'!$G$21</f>
        <v>#DIV/0!</v>
      </c>
      <c r="H72" s="249" t="e">
        <f>SUM(D72:G72)</f>
        <v>#DIV/0!</v>
      </c>
      <c r="I72" s="249" t="e">
        <f>'2-Uren per locatie'!K73*'1-Totaal inschrijfbedrag'!$G$17</f>
        <v>#DIV/0!</v>
      </c>
      <c r="J72" s="249" t="e">
        <f>'2-Uren per locatie'!L73*'1-Totaal inschrijfbedrag'!$G$25</f>
        <v>#DIV/0!</v>
      </c>
      <c r="K72" s="249" t="e">
        <f t="shared" si="2"/>
        <v>#DIV/0!</v>
      </c>
      <c r="L72" s="249">
        <f>SUMIF('5-Aanvullend'!A:A,A72,'5-Aanvullend'!M:M)</f>
        <v>0</v>
      </c>
      <c r="M72" s="249" t="e">
        <f t="shared" si="3"/>
        <v>#DIV/0!</v>
      </c>
    </row>
    <row r="73" spans="1:14">
      <c r="A73" s="253">
        <v>1002</v>
      </c>
      <c r="B73" s="239" t="s">
        <v>118</v>
      </c>
      <c r="C73" s="239" t="s">
        <v>117</v>
      </c>
      <c r="D73" s="249" t="e">
        <f>'2-Uren per locatie'!F74*'1-Totaal inschrijfbedrag'!$G$15</f>
        <v>#DIV/0!</v>
      </c>
      <c r="E73" s="249" t="e">
        <f>'2-Uren per locatie'!G74*'1-Totaal inschrijfbedrag'!$G$15</f>
        <v>#DIV/0!</v>
      </c>
      <c r="F73" s="249" t="e">
        <f>'2-Uren per locatie'!H74*'1-Totaal inschrijfbedrag'!$G$21</f>
        <v>#DIV/0!</v>
      </c>
      <c r="G73" s="249" t="e">
        <f>'2-Uren per locatie'!I74*'1-Totaal inschrijfbedrag'!$G$21</f>
        <v>#DIV/0!</v>
      </c>
      <c r="H73" s="249" t="e">
        <f t="shared" ref="H73" si="9">SUM(D73:G73)</f>
        <v>#DIV/0!</v>
      </c>
      <c r="I73" s="249" t="e">
        <f>'2-Uren per locatie'!K74*'1-Totaal inschrijfbedrag'!$G$17</f>
        <v>#DIV/0!</v>
      </c>
      <c r="J73" s="249" t="e">
        <f>'2-Uren per locatie'!L74*'1-Totaal inschrijfbedrag'!$G$25</f>
        <v>#DIV/0!</v>
      </c>
      <c r="K73" s="249" t="e">
        <f t="shared" si="2"/>
        <v>#DIV/0!</v>
      </c>
      <c r="L73" s="249">
        <f>SUMIF('5-Aanvullend'!A:A,A73,'5-Aanvullend'!M:M)</f>
        <v>0</v>
      </c>
      <c r="M73" s="249" t="e">
        <f t="shared" si="3"/>
        <v>#DIV/0!</v>
      </c>
    </row>
    <row r="74" spans="1:14" ht="13.8" thickBot="1">
      <c r="D74" s="251"/>
      <c r="E74" s="251"/>
      <c r="F74" s="251"/>
      <c r="G74" s="251"/>
      <c r="H74" s="251"/>
      <c r="I74" s="251"/>
      <c r="J74" s="251"/>
      <c r="K74" s="251"/>
      <c r="L74" s="249"/>
      <c r="M74" s="251"/>
    </row>
    <row r="75" spans="1:14" ht="13.8" thickBot="1">
      <c r="A75" s="243"/>
      <c r="B75" s="244" t="s">
        <v>119</v>
      </c>
      <c r="C75" s="245"/>
      <c r="D75" s="487" t="e">
        <f t="shared" ref="D75:H75" si="10">SUM(D14:D73)</f>
        <v>#DIV/0!</v>
      </c>
      <c r="E75" s="487" t="e">
        <f t="shared" si="10"/>
        <v>#DIV/0!</v>
      </c>
      <c r="F75" s="487" t="e">
        <f t="shared" si="10"/>
        <v>#DIV/0!</v>
      </c>
      <c r="G75" s="487" t="e">
        <f t="shared" si="10"/>
        <v>#DIV/0!</v>
      </c>
      <c r="H75" s="487" t="e">
        <f t="shared" si="10"/>
        <v>#DIV/0!</v>
      </c>
      <c r="I75" s="487" t="e">
        <f t="shared" ref="I75:M75" si="11">SUM(I14:I73)</f>
        <v>#DIV/0!</v>
      </c>
      <c r="J75" s="487" t="e">
        <f t="shared" si="11"/>
        <v>#DIV/0!</v>
      </c>
      <c r="K75" s="487" t="e">
        <f t="shared" si="11"/>
        <v>#DIV/0!</v>
      </c>
      <c r="L75" s="487">
        <f t="shared" si="11"/>
        <v>0</v>
      </c>
      <c r="M75" s="487" t="e">
        <f t="shared" si="11"/>
        <v>#DIV/0!</v>
      </c>
    </row>
    <row r="76" spans="1:14">
      <c r="A76" s="246"/>
      <c r="B76" s="247"/>
      <c r="C76" s="247"/>
      <c r="D76" s="247"/>
      <c r="E76" s="247"/>
      <c r="F76" s="247"/>
      <c r="G76" s="247"/>
      <c r="H76" s="247"/>
      <c r="I76" s="247"/>
      <c r="J76" s="247"/>
      <c r="K76" s="247"/>
      <c r="L76" s="247"/>
      <c r="M76" s="247"/>
      <c r="N76" s="247"/>
    </row>
    <row r="77" spans="1:14">
      <c r="A77" s="246"/>
      <c r="B77" s="246"/>
      <c r="C77" s="246"/>
      <c r="D77" s="246"/>
      <c r="E77" s="246"/>
      <c r="F77" s="246"/>
      <c r="G77" s="246"/>
      <c r="H77" s="246"/>
      <c r="I77" s="246"/>
      <c r="J77" s="246"/>
      <c r="K77" s="246"/>
      <c r="L77" s="246"/>
      <c r="M77" s="246"/>
      <c r="N77" s="246"/>
    </row>
    <row r="78" spans="1:14">
      <c r="D78" s="41"/>
      <c r="E78" s="41"/>
      <c r="F78" s="41"/>
      <c r="G78" s="41"/>
      <c r="H78" s="41"/>
    </row>
    <row r="79" spans="1:14">
      <c r="D79" s="41"/>
      <c r="E79" s="41"/>
      <c r="F79" s="41"/>
      <c r="G79" s="41"/>
      <c r="H79" s="41"/>
    </row>
    <row r="80" spans="1:14">
      <c r="D80" s="41"/>
      <c r="E80" s="41"/>
      <c r="F80" s="41"/>
      <c r="G80" s="41"/>
      <c r="H80" s="41"/>
    </row>
    <row r="81" spans="4:10">
      <c r="D81" s="41"/>
      <c r="E81" s="41"/>
      <c r="F81" s="41"/>
      <c r="G81" s="41"/>
      <c r="H81" s="41"/>
    </row>
    <row r="82" spans="4:10">
      <c r="D82" s="41"/>
      <c r="E82" s="41"/>
      <c r="F82" s="41"/>
      <c r="G82" s="41"/>
      <c r="H82" s="41"/>
    </row>
    <row r="83" spans="4:10">
      <c r="D83" s="41"/>
      <c r="E83" s="41"/>
      <c r="F83" s="41"/>
      <c r="G83" s="41"/>
      <c r="H83" s="41"/>
    </row>
    <row r="87" spans="4:10">
      <c r="I87" s="241"/>
      <c r="J87" s="241"/>
    </row>
  </sheetData>
  <autoFilter ref="A13:N75" xr:uid="{E7F9568E-A4F1-428F-9CA5-9F24B7932071}"/>
  <pageMargins left="0.70866141732283472" right="0.70866141732283472" top="0.74803149606299213" bottom="0.74803149606299213" header="0.31496062992125984" footer="0.31496062992125984"/>
  <pageSetup paperSize="9"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30B2A-B697-4C13-B525-5D7F546767C5}">
  <sheetPr>
    <tabColor theme="0" tint="-4.9989318521683403E-2"/>
  </sheetPr>
  <dimension ref="A1:N34"/>
  <sheetViews>
    <sheetView showGridLines="0" zoomScale="85" zoomScaleNormal="85" workbookViewId="0">
      <pane ySplit="9" topLeftCell="A10" activePane="bottomLeft" state="frozen"/>
      <selection activeCell="B1" sqref="B1"/>
      <selection pane="bottomLeft" activeCell="E16" sqref="E16"/>
    </sheetView>
  </sheetViews>
  <sheetFormatPr defaultColWidth="9.109375" defaultRowHeight="13.2"/>
  <cols>
    <col min="1" max="1" width="29.6640625" style="41" customWidth="1"/>
    <col min="2" max="2" width="9.109375" style="41" customWidth="1"/>
    <col min="3" max="4" width="9.109375" style="41"/>
    <col min="5" max="5" width="17.33203125" style="41" bestFit="1" customWidth="1"/>
    <col min="6" max="6" width="9.109375" style="41"/>
    <col min="7" max="7" width="2.109375" style="41" customWidth="1"/>
    <col min="8" max="8" width="10.109375" style="41" customWidth="1"/>
    <col min="9" max="9" width="11.6640625" style="41" customWidth="1"/>
    <col min="10" max="10" width="11" style="41" customWidth="1"/>
    <col min="11" max="11" width="3" style="41" customWidth="1"/>
    <col min="12" max="12" width="10.6640625" style="445" customWidth="1"/>
    <col min="13" max="13" width="2.33203125" style="445" customWidth="1"/>
    <col min="14" max="14" width="9.109375" style="445"/>
    <col min="15" max="15" width="9.109375" style="1"/>
    <col min="16" max="16" width="9.6640625" style="1" customWidth="1"/>
    <col min="17" max="16384" width="9.109375" style="1"/>
  </cols>
  <sheetData>
    <row r="1" spans="1:14" ht="16.2">
      <c r="A1" s="444" t="s">
        <v>0</v>
      </c>
    </row>
    <row r="2" spans="1:14" ht="16.2">
      <c r="A2" s="446"/>
    </row>
    <row r="3" spans="1:14" ht="15.6">
      <c r="A3" s="6" t="str">
        <f>'1-Totaal inschrijfbedrag'!A3</f>
        <v>Naam opdrachtgever</v>
      </c>
      <c r="B3" s="4" t="str">
        <f>'1-Totaal inschrijfbedrag'!B3</f>
        <v>GVB operatie Metro</v>
      </c>
      <c r="C3" s="447"/>
    </row>
    <row r="4" spans="1:14" ht="15.6">
      <c r="A4" s="6" t="str">
        <f>'1-Totaal inschrijfbedrag'!A4</f>
        <v>Calculatie onderdeel</v>
      </c>
      <c r="B4" s="4" t="str">
        <f ca="1">MID(CELL("bestandsnaam",$B$7),SEARCH("]",CELL("bestandsnaam",$B$7),1)+1,256)</f>
        <v>3-Productie normen</v>
      </c>
      <c r="C4" s="4"/>
    </row>
    <row r="5" spans="1:14" ht="15.6">
      <c r="A5" s="6" t="str">
        <f>'1-Totaal inschrijfbedrag'!A5</f>
        <v>Gebouw/plaats</v>
      </c>
      <c r="B5" s="4" t="str">
        <f>'1-Totaal inschrijfbedrag'!B5</f>
        <v>Amsterdam</v>
      </c>
      <c r="C5" s="4"/>
    </row>
    <row r="6" spans="1:14" ht="15.6">
      <c r="A6" s="6" t="str">
        <f>'1-Totaal inschrijfbedrag'!A6</f>
        <v>Referentienummer</v>
      </c>
      <c r="B6" s="4" t="str">
        <f>'1-Totaal inschrijfbedrag'!B6</f>
        <v>2024-62</v>
      </c>
      <c r="C6" s="4"/>
      <c r="D6" s="448" t="s">
        <v>131</v>
      </c>
      <c r="E6" s="32"/>
      <c r="F6" s="449" t="e">
        <f>SUM('3-Ruimtestaat'!AD:AD)/SUM('3-Ruimtestaat'!R:U)</f>
        <v>#DIV/0!</v>
      </c>
      <c r="G6" s="32"/>
      <c r="H6" s="450" t="s">
        <v>132</v>
      </c>
    </row>
    <row r="7" spans="1:14">
      <c r="A7" s="451"/>
      <c r="B7" s="303"/>
      <c r="C7" s="303"/>
      <c r="D7" s="452"/>
      <c r="E7" s="453"/>
      <c r="F7" s="454"/>
      <c r="G7" s="455"/>
      <c r="H7" s="456"/>
      <c r="I7" s="456"/>
      <c r="J7" s="455"/>
      <c r="K7" s="455"/>
    </row>
    <row r="8" spans="1:14" ht="27.75" customHeight="1">
      <c r="A8" s="457" t="s">
        <v>133</v>
      </c>
      <c r="B8" s="458">
        <v>12</v>
      </c>
      <c r="C8" s="458">
        <v>102</v>
      </c>
      <c r="D8" s="458">
        <v>127</v>
      </c>
      <c r="E8" s="458">
        <v>156</v>
      </c>
      <c r="F8" s="458">
        <v>255</v>
      </c>
      <c r="G8" s="455"/>
      <c r="H8" s="459"/>
      <c r="I8" s="459"/>
      <c r="J8" s="459"/>
      <c r="K8" s="459"/>
      <c r="L8" s="459"/>
    </row>
    <row r="9" spans="1:14" ht="69" customHeight="1">
      <c r="A9" s="461" t="s">
        <v>134</v>
      </c>
      <c r="B9" s="538" t="s">
        <v>135</v>
      </c>
      <c r="C9" s="539"/>
      <c r="D9" s="539"/>
      <c r="E9" s="539"/>
      <c r="F9" s="540"/>
      <c r="G9" s="455"/>
      <c r="H9" s="462" t="s">
        <v>136</v>
      </c>
      <c r="I9" s="462" t="s">
        <v>137</v>
      </c>
      <c r="J9" s="462" t="s">
        <v>138</v>
      </c>
      <c r="K9" s="460"/>
      <c r="L9" s="462" t="s">
        <v>139</v>
      </c>
      <c r="N9" s="462" t="s">
        <v>140</v>
      </c>
    </row>
    <row r="10" spans="1:14">
      <c r="A10" s="463" t="s">
        <v>141</v>
      </c>
      <c r="B10" s="480"/>
      <c r="C10" s="528"/>
      <c r="D10" s="480"/>
      <c r="E10" s="480"/>
      <c r="F10" s="480"/>
      <c r="G10" s="464"/>
      <c r="H10" s="481"/>
      <c r="I10" s="481"/>
      <c r="J10" s="481"/>
      <c r="K10" s="455"/>
      <c r="L10" s="465">
        <f>SUMIF('3-Ruimtestaat'!H:H,'3-Productie normen'!A10,'3-Ruimtestaat'!Q:Q)</f>
        <v>19.899999999999999</v>
      </c>
      <c r="N10" s="466" t="s">
        <v>142</v>
      </c>
    </row>
    <row r="11" spans="1:14">
      <c r="A11" s="463" t="s">
        <v>143</v>
      </c>
      <c r="B11" s="528"/>
      <c r="C11" s="528"/>
      <c r="D11" s="528"/>
      <c r="E11" s="480"/>
      <c r="F11" s="480"/>
      <c r="G11" s="464"/>
      <c r="H11" s="481"/>
      <c r="I11" s="481"/>
      <c r="J11" s="481"/>
      <c r="K11" s="455"/>
      <c r="L11" s="465">
        <f>SUMIF('3-Ruimtestaat'!H:H,'3-Productie normen'!A11,'3-Ruimtestaat'!Q:Q)</f>
        <v>1299.2300000000002</v>
      </c>
      <c r="N11" s="466" t="s">
        <v>142</v>
      </c>
    </row>
    <row r="12" spans="1:14">
      <c r="A12" s="463" t="s">
        <v>144</v>
      </c>
      <c r="B12" s="480"/>
      <c r="C12" s="528"/>
      <c r="D12" s="528"/>
      <c r="E12" s="528"/>
      <c r="F12" s="528"/>
      <c r="G12" s="464"/>
      <c r="H12" s="481"/>
      <c r="I12" s="481"/>
      <c r="J12" s="481"/>
      <c r="L12" s="465">
        <f>SUMIF('3-Ruimtestaat'!H:H,'3-Productie normen'!A12,'3-Ruimtestaat'!Q:Q)</f>
        <v>208.2059679012346</v>
      </c>
      <c r="N12" s="466" t="s">
        <v>142</v>
      </c>
    </row>
    <row r="13" spans="1:14">
      <c r="A13" s="463" t="s">
        <v>145</v>
      </c>
      <c r="B13" s="480"/>
      <c r="C13" s="528"/>
      <c r="D13" s="528"/>
      <c r="E13" s="480"/>
      <c r="F13" s="528"/>
      <c r="G13" s="464"/>
      <c r="H13" s="481"/>
      <c r="I13" s="481"/>
      <c r="J13" s="481"/>
      <c r="L13" s="465">
        <f>SUMIF('3-Ruimtestaat'!H:H,'3-Productie normen'!A13,'3-Ruimtestaat'!Q:Q)</f>
        <v>25866.176644067797</v>
      </c>
      <c r="N13" s="466" t="s">
        <v>142</v>
      </c>
    </row>
    <row r="14" spans="1:14">
      <c r="A14" s="467" t="s">
        <v>146</v>
      </c>
      <c r="B14" s="480"/>
      <c r="C14" s="480"/>
      <c r="D14" s="528"/>
      <c r="E14" s="528"/>
      <c r="F14" s="528"/>
      <c r="G14" s="464"/>
      <c r="H14" s="481"/>
      <c r="I14" s="481"/>
      <c r="J14" s="481"/>
      <c r="L14" s="465">
        <f>SUMIF('3-Ruimtestaat'!H:H,'3-Productie normen'!A14,'3-Ruimtestaat'!Q:Q)</f>
        <v>528.85525185185179</v>
      </c>
      <c r="N14" s="466" t="s">
        <v>147</v>
      </c>
    </row>
    <row r="15" spans="1:14">
      <c r="A15" s="463" t="s">
        <v>148</v>
      </c>
      <c r="B15" s="480"/>
      <c r="C15" s="480"/>
      <c r="D15" s="528"/>
      <c r="E15" s="480"/>
      <c r="F15" s="528"/>
      <c r="G15" s="464"/>
      <c r="H15" s="481"/>
      <c r="I15" s="481"/>
      <c r="J15" s="481"/>
      <c r="L15" s="465">
        <f>SUMIF('3-Ruimtestaat'!H:H,'3-Productie normen'!A15,'3-Ruimtestaat'!Q:Q)</f>
        <v>23.364651851851853</v>
      </c>
      <c r="N15" s="466" t="s">
        <v>142</v>
      </c>
    </row>
    <row r="16" spans="1:14">
      <c r="A16" s="463" t="s">
        <v>149</v>
      </c>
      <c r="B16" s="480"/>
      <c r="C16" s="528"/>
      <c r="D16" s="528"/>
      <c r="E16" s="480"/>
      <c r="F16" s="528"/>
      <c r="G16" s="464"/>
      <c r="H16" s="481"/>
      <c r="I16" s="481"/>
      <c r="J16" s="481"/>
      <c r="L16" s="465">
        <f>SUMIF('3-Ruimtestaat'!H:H,'3-Productie normen'!A16,'3-Ruimtestaat'!Q:Q)</f>
        <v>382.04524999999995</v>
      </c>
      <c r="N16" s="466" t="s">
        <v>142</v>
      </c>
    </row>
    <row r="17" spans="1:14">
      <c r="A17" s="463" t="s">
        <v>150</v>
      </c>
      <c r="B17" s="480"/>
      <c r="C17" s="480"/>
      <c r="D17" s="528"/>
      <c r="E17" s="480"/>
      <c r="F17" s="528"/>
      <c r="G17" s="464"/>
      <c r="H17" s="481"/>
      <c r="I17" s="481"/>
      <c r="J17" s="481"/>
      <c r="L17" s="465">
        <f>SUMIF('3-Ruimtestaat'!H:H,'3-Productie normen'!A17,'3-Ruimtestaat'!Q:Q)</f>
        <v>353.30253086419754</v>
      </c>
      <c r="N17" s="466" t="s">
        <v>142</v>
      </c>
    </row>
    <row r="18" spans="1:14">
      <c r="A18" s="463" t="s">
        <v>151</v>
      </c>
      <c r="B18" s="480"/>
      <c r="C18" s="528"/>
      <c r="D18" s="528"/>
      <c r="E18" s="480"/>
      <c r="F18" s="528"/>
      <c r="G18" s="464"/>
      <c r="H18" s="481"/>
      <c r="I18" s="481"/>
      <c r="J18" s="481"/>
      <c r="L18" s="465">
        <f>SUMIF('3-Ruimtestaat'!H:H,'3-Productie normen'!A18,'3-Ruimtestaat'!Q:Q)</f>
        <v>75307.3655</v>
      </c>
      <c r="N18" s="466" t="s">
        <v>142</v>
      </c>
    </row>
    <row r="19" spans="1:14">
      <c r="A19" s="467" t="s">
        <v>152</v>
      </c>
      <c r="B19" s="480"/>
      <c r="C19" s="528"/>
      <c r="D19" s="528"/>
      <c r="E19" s="480"/>
      <c r="F19" s="528"/>
      <c r="G19" s="464"/>
      <c r="H19" s="481"/>
      <c r="I19" s="481"/>
      <c r="J19" s="481"/>
      <c r="L19" s="465">
        <f>SUMIF('3-Ruimtestaat'!H:H,'3-Productie normen'!A19,'3-Ruimtestaat'!Q:Q)</f>
        <v>5230.46</v>
      </c>
      <c r="N19" s="466" t="s">
        <v>142</v>
      </c>
    </row>
    <row r="20" spans="1:14">
      <c r="A20" s="467" t="s">
        <v>153</v>
      </c>
      <c r="B20" s="480"/>
      <c r="C20" s="480"/>
      <c r="D20" s="528"/>
      <c r="E20" s="480"/>
      <c r="F20" s="528"/>
      <c r="G20" s="464"/>
      <c r="H20" s="481"/>
      <c r="I20" s="481"/>
      <c r="J20" s="481"/>
      <c r="L20" s="465">
        <f>SUMIF('3-Ruimtestaat'!H:H,'3-Productie normen'!A20,'3-Ruimtestaat'!Q:Q)</f>
        <v>355.2833277777778</v>
      </c>
      <c r="N20" s="466" t="s">
        <v>154</v>
      </c>
    </row>
    <row r="21" spans="1:14">
      <c r="A21" s="467" t="s">
        <v>155</v>
      </c>
      <c r="B21" s="480"/>
      <c r="C21" s="528"/>
      <c r="D21" s="528"/>
      <c r="E21" s="480"/>
      <c r="F21" s="528"/>
      <c r="G21" s="464"/>
      <c r="H21" s="481"/>
      <c r="I21" s="481"/>
      <c r="J21" s="481"/>
      <c r="L21" s="465">
        <f>SUMIF('3-Ruimtestaat'!H:H,'3-Productie normen'!A21,'3-Ruimtestaat'!Q:Q)</f>
        <v>5894.3804999999993</v>
      </c>
      <c r="N21" s="466" t="s">
        <v>142</v>
      </c>
    </row>
    <row r="22" spans="1:14">
      <c r="A22" s="467"/>
      <c r="B22" s="480"/>
      <c r="C22" s="480"/>
      <c r="D22" s="480"/>
      <c r="E22" s="480"/>
      <c r="F22" s="480"/>
      <c r="G22" s="464"/>
      <c r="J22" s="455"/>
      <c r="L22" s="465">
        <f>SUMIF('3-Ruimtestaat'!H:H,'3-Productie normen'!A22,'3-Ruimtestaat'!Q:Q)</f>
        <v>0</v>
      </c>
      <c r="N22" s="466"/>
    </row>
    <row r="23" spans="1:14">
      <c r="A23" s="463" t="s">
        <v>156</v>
      </c>
      <c r="B23" s="480"/>
      <c r="C23" s="480"/>
      <c r="D23" s="480"/>
      <c r="E23" s="480"/>
      <c r="F23" s="480"/>
      <c r="G23" s="464"/>
      <c r="J23" s="455"/>
      <c r="L23" s="465">
        <f>SUMIF('3-Ruimtestaat'!H:H,'3-Productie normen'!A23,'3-Ruimtestaat'!Q:Q)</f>
        <v>18</v>
      </c>
      <c r="N23" s="466"/>
    </row>
    <row r="24" spans="1:14">
      <c r="A24" s="467"/>
      <c r="B24" s="468"/>
      <c r="C24" s="468"/>
      <c r="D24" s="468"/>
      <c r="E24" s="468"/>
      <c r="F24" s="469"/>
      <c r="G24" s="464"/>
      <c r="J24" s="455"/>
      <c r="K24" s="470"/>
      <c r="L24" s="465"/>
      <c r="N24" s="466"/>
    </row>
    <row r="25" spans="1:14">
      <c r="A25" s="471" t="s">
        <v>26</v>
      </c>
      <c r="B25" s="472"/>
      <c r="C25" s="472"/>
      <c r="D25" s="472"/>
      <c r="E25" s="472"/>
      <c r="F25" s="473"/>
      <c r="G25" s="464"/>
      <c r="J25" s="455"/>
      <c r="K25" s="455"/>
      <c r="L25" s="474">
        <f>SUM(L10:L24)</f>
        <v>115486.56962431472</v>
      </c>
      <c r="N25" s="475"/>
    </row>
    <row r="26" spans="1:14">
      <c r="G26" s="464"/>
      <c r="J26" s="455"/>
      <c r="K26" s="455"/>
      <c r="L26" s="41"/>
      <c r="N26" s="41"/>
    </row>
    <row r="27" spans="1:14" ht="16.2">
      <c r="A27" s="476" t="s">
        <v>157</v>
      </c>
      <c r="B27" s="477">
        <v>2</v>
      </c>
      <c r="C27" s="477">
        <v>3</v>
      </c>
      <c r="D27" s="477">
        <v>4</v>
      </c>
      <c r="E27" s="477">
        <v>5</v>
      </c>
      <c r="F27" s="477">
        <v>6</v>
      </c>
      <c r="G27" s="464"/>
      <c r="J27" s="455"/>
    </row>
    <row r="28" spans="1:14">
      <c r="G28" s="464"/>
      <c r="J28" s="455"/>
    </row>
    <row r="29" spans="1:14">
      <c r="A29" s="478" t="s">
        <v>158</v>
      </c>
      <c r="B29" s="478" t="s">
        <v>159</v>
      </c>
      <c r="C29" s="479" t="s">
        <v>160</v>
      </c>
      <c r="J29" s="455"/>
    </row>
    <row r="30" spans="1:14">
      <c r="A30" s="239" t="s">
        <v>161</v>
      </c>
      <c r="B30" s="497">
        <v>12</v>
      </c>
      <c r="C30" s="498">
        <v>2</v>
      </c>
    </row>
    <row r="31" spans="1:14">
      <c r="A31" s="239" t="s">
        <v>162</v>
      </c>
      <c r="B31" s="497">
        <v>102</v>
      </c>
      <c r="C31" s="498">
        <v>3</v>
      </c>
    </row>
    <row r="32" spans="1:14">
      <c r="A32" s="239" t="s">
        <v>162</v>
      </c>
      <c r="B32" s="497">
        <v>127</v>
      </c>
      <c r="C32" s="498">
        <v>4</v>
      </c>
    </row>
    <row r="33" spans="1:3">
      <c r="A33" s="239" t="s">
        <v>163</v>
      </c>
      <c r="B33" s="499">
        <v>156</v>
      </c>
      <c r="C33" s="498">
        <v>5</v>
      </c>
    </row>
    <row r="34" spans="1:3">
      <c r="A34" s="239" t="s">
        <v>164</v>
      </c>
      <c r="B34" s="499">
        <v>255</v>
      </c>
      <c r="C34" s="498">
        <v>6</v>
      </c>
    </row>
  </sheetData>
  <sortState xmlns:xlrd2="http://schemas.microsoft.com/office/spreadsheetml/2017/richdata2" ref="A11:R22">
    <sortCondition ref="A11:A22"/>
  </sortState>
  <mergeCells count="1">
    <mergeCell ref="B9:F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AO654"/>
  <sheetViews>
    <sheetView showGridLines="0" tabSelected="1" zoomScale="93" zoomScaleNormal="93" zoomScaleSheetLayoutView="98" workbookViewId="0">
      <pane xSplit="2" ySplit="11" topLeftCell="N631" activePane="bottomRight" state="frozen"/>
      <selection pane="topRight" activeCell="A3" sqref="A3:B8"/>
      <selection pane="bottomLeft" activeCell="A3" sqref="A3:B8"/>
      <selection pane="bottomRight" activeCell="Y649" sqref="Y649"/>
    </sheetView>
  </sheetViews>
  <sheetFormatPr defaultColWidth="9.109375" defaultRowHeight="15" customHeight="1"/>
  <cols>
    <col min="1" max="1" width="8.5546875" style="41" bestFit="1" customWidth="1"/>
    <col min="2" max="2" width="13.6640625" style="293" customWidth="1"/>
    <col min="3" max="3" width="22.44140625" style="255" customWidth="1"/>
    <col min="4" max="4" width="21.5546875" style="41" customWidth="1"/>
    <col min="5" max="5" width="21.5546875" style="256" customWidth="1"/>
    <col min="6" max="6" width="43.6640625" style="41" customWidth="1"/>
    <col min="7" max="7" width="15.33203125" style="41" customWidth="1"/>
    <col min="8" max="8" width="34.5546875" style="257" customWidth="1"/>
    <col min="9" max="9" width="23.6640625" style="41" customWidth="1"/>
    <col min="10" max="10" width="12.6640625" style="41" customWidth="1"/>
    <col min="11" max="16" width="11.33203125" style="41" customWidth="1"/>
    <col min="17" max="17" width="12.109375" style="272" customWidth="1"/>
    <col min="18" max="23" width="13.88671875" style="259" customWidth="1"/>
    <col min="24" max="24" width="13.6640625" style="260" customWidth="1"/>
    <col min="25" max="27" width="12.109375" style="260" customWidth="1"/>
    <col min="28" max="28" width="12.109375" style="257" customWidth="1"/>
    <col min="29" max="29" width="2.33203125" style="41" customWidth="1"/>
    <col min="30" max="30" width="12.6640625" style="261" customWidth="1"/>
    <col min="31" max="31" width="2.5546875" style="41" customWidth="1"/>
    <col min="32" max="32" width="10.33203125" style="41" customWidth="1"/>
    <col min="33" max="40" width="9.33203125" style="41" bestFit="1" customWidth="1"/>
    <col min="41" max="41" width="32.6640625" style="41" customWidth="1"/>
    <col min="42" max="16384" width="9.109375" style="41"/>
  </cols>
  <sheetData>
    <row r="1" spans="1:41" ht="12.75" customHeight="1">
      <c r="A1" s="254">
        <v>1</v>
      </c>
      <c r="B1" s="209" t="s">
        <v>0</v>
      </c>
      <c r="D1" s="255"/>
      <c r="Q1" s="258"/>
      <c r="AB1" s="259"/>
    </row>
    <row r="2" spans="1:41" ht="12.75" customHeight="1">
      <c r="A2" s="254">
        <v>2</v>
      </c>
      <c r="B2" s="262"/>
      <c r="D2" s="263"/>
      <c r="E2" s="264"/>
      <c r="F2" s="262"/>
      <c r="H2" s="41"/>
      <c r="I2" s="266"/>
      <c r="J2" s="266"/>
      <c r="K2" s="266"/>
      <c r="L2" s="266"/>
      <c r="M2" s="266"/>
      <c r="N2" s="266"/>
      <c r="O2" s="266"/>
      <c r="P2" s="266"/>
      <c r="Q2" s="267"/>
      <c r="R2" s="268"/>
      <c r="S2" s="268"/>
      <c r="T2" s="268"/>
      <c r="U2" s="268"/>
      <c r="V2" s="268"/>
      <c r="W2" s="268"/>
      <c r="X2" s="269"/>
      <c r="Y2" s="269"/>
      <c r="Z2" s="269"/>
      <c r="AA2" s="269"/>
      <c r="AB2" s="268"/>
      <c r="AD2" s="270"/>
    </row>
    <row r="3" spans="1:41" ht="15.6">
      <c r="A3" s="254">
        <v>3</v>
      </c>
      <c r="B3" s="229" t="str">
        <f>'1-Totaal inschrijfbedrag'!A3</f>
        <v>Naam opdrachtgever</v>
      </c>
      <c r="D3" s="184" t="str">
        <f>'1-Totaal inschrijfbedrag'!B3</f>
        <v>GVB operatie Metro</v>
      </c>
      <c r="E3" s="264"/>
      <c r="H3" s="41"/>
      <c r="I3" s="266"/>
      <c r="J3" s="266"/>
      <c r="K3" s="266"/>
      <c r="L3" s="266"/>
      <c r="M3" s="266"/>
      <c r="N3" s="266"/>
      <c r="O3" s="266"/>
      <c r="P3" s="266"/>
      <c r="Q3" s="271"/>
      <c r="R3" s="268"/>
      <c r="S3" s="268"/>
      <c r="T3" s="268"/>
      <c r="U3" s="268"/>
      <c r="V3" s="268"/>
      <c r="W3" s="268"/>
      <c r="X3" s="269"/>
      <c r="Y3" s="269"/>
      <c r="Z3" s="269"/>
      <c r="AA3" s="269"/>
      <c r="AB3" s="268"/>
      <c r="AD3" s="270"/>
    </row>
    <row r="4" spans="1:41" ht="15.6">
      <c r="A4" s="254">
        <v>4</v>
      </c>
      <c r="B4" s="229" t="str">
        <f>'1-Totaal inschrijfbedrag'!A4</f>
        <v>Calculatie onderdeel</v>
      </c>
      <c r="D4" s="184" t="str">
        <f ca="1">MID(CELL("bestandsnaam",$C$9),SEARCH("]",CELL("bestandsnaam",$C$9),1)+1,256)</f>
        <v>3-Ruimtestaat</v>
      </c>
      <c r="E4" s="264"/>
      <c r="H4" s="41"/>
      <c r="R4" s="268"/>
      <c r="S4" s="268"/>
      <c r="T4" s="268"/>
      <c r="U4" s="268"/>
      <c r="V4" s="268"/>
      <c r="W4" s="268"/>
      <c r="X4" s="269"/>
      <c r="Y4" s="269"/>
      <c r="Z4" s="269"/>
      <c r="AA4" s="269"/>
      <c r="AB4" s="268"/>
      <c r="AD4" s="270"/>
    </row>
    <row r="5" spans="1:41" ht="15.6">
      <c r="A5" s="254">
        <v>5</v>
      </c>
      <c r="B5" s="229" t="str">
        <f>'1-Totaal inschrijfbedrag'!A5</f>
        <v>Gebouw/plaats</v>
      </c>
      <c r="D5" s="184" t="str">
        <f>'1-Totaal inschrijfbedrag'!B5</f>
        <v>Amsterdam</v>
      </c>
      <c r="E5" s="264"/>
      <c r="R5" s="268"/>
      <c r="S5" s="268"/>
      <c r="T5" s="268"/>
      <c r="U5" s="268"/>
      <c r="V5" s="268"/>
      <c r="W5" s="268"/>
      <c r="X5" s="269"/>
      <c r="Y5" s="269"/>
      <c r="Z5" s="269"/>
      <c r="AA5" s="269"/>
      <c r="AB5" s="268"/>
      <c r="AD5" s="270"/>
    </row>
    <row r="6" spans="1:41" ht="15.6">
      <c r="A6" s="254">
        <v>6</v>
      </c>
      <c r="B6" s="229" t="str">
        <f>'1-Totaal inschrijfbedrag'!A6</f>
        <v>Referentienummer</v>
      </c>
      <c r="D6" s="184" t="str">
        <f>'1-Totaal inschrijfbedrag'!B6</f>
        <v>2024-62</v>
      </c>
      <c r="E6" s="264"/>
      <c r="I6" s="266"/>
      <c r="J6" s="266"/>
      <c r="K6" s="266"/>
      <c r="L6" s="266"/>
      <c r="M6" s="266"/>
      <c r="N6" s="266"/>
      <c r="O6" s="266"/>
      <c r="P6" s="266"/>
      <c r="R6" s="268"/>
      <c r="S6" s="268"/>
      <c r="T6" s="268"/>
      <c r="U6" s="268"/>
      <c r="V6" s="268"/>
      <c r="W6" s="268"/>
      <c r="X6" s="269"/>
      <c r="Y6" s="269"/>
      <c r="Z6" s="269"/>
      <c r="AA6" s="269"/>
      <c r="AB6" s="268"/>
      <c r="AD6" s="270"/>
    </row>
    <row r="7" spans="1:41" ht="15.6">
      <c r="A7" s="254">
        <v>7</v>
      </c>
      <c r="B7" s="229" t="str">
        <f>'1-Totaal inschrijfbedrag'!A7</f>
        <v>Naam dienstverlener</v>
      </c>
      <c r="D7" s="184">
        <f>'1-Totaal inschrijfbedrag'!B7</f>
        <v>0</v>
      </c>
      <c r="E7" s="264"/>
      <c r="I7" s="266"/>
      <c r="J7" s="266"/>
      <c r="K7" s="266"/>
      <c r="L7" s="266"/>
      <c r="M7" s="266"/>
      <c r="N7" s="266"/>
      <c r="O7" s="266"/>
      <c r="P7" s="266"/>
      <c r="R7" s="268"/>
      <c r="S7" s="268"/>
      <c r="T7" s="268"/>
      <c r="U7" s="268"/>
      <c r="V7" s="268"/>
      <c r="W7" s="268"/>
      <c r="X7" s="268"/>
      <c r="Y7" s="268"/>
      <c r="Z7" s="268"/>
      <c r="AA7" s="269"/>
      <c r="AB7" s="268"/>
      <c r="AD7" s="270"/>
    </row>
    <row r="8" spans="1:41" ht="15.6">
      <c r="A8" s="254">
        <v>8</v>
      </c>
      <c r="B8" s="229" t="str">
        <f>'1-Totaal inschrijfbedrag'!A8</f>
        <v>Prijspeil</v>
      </c>
      <c r="D8" s="228" t="str">
        <f>'1-Totaal inschrijfbedrag'!B8</f>
        <v>1 juli 2025</v>
      </c>
      <c r="E8" s="264"/>
      <c r="I8" s="266"/>
      <c r="J8" s="266"/>
      <c r="K8" s="266"/>
      <c r="L8" s="266"/>
      <c r="M8" s="266"/>
      <c r="N8" s="266"/>
      <c r="O8" s="266"/>
      <c r="P8" s="266"/>
      <c r="R8" s="268"/>
      <c r="S8" s="268"/>
      <c r="T8" s="268"/>
      <c r="U8" s="268"/>
      <c r="V8" s="268"/>
      <c r="W8" s="268"/>
      <c r="X8" s="268"/>
      <c r="Y8" s="268"/>
      <c r="Z8" s="268"/>
      <c r="AA8" s="269"/>
      <c r="AB8" s="268"/>
      <c r="AD8" s="270"/>
    </row>
    <row r="9" spans="1:41" ht="15.6">
      <c r="A9" s="254">
        <v>9</v>
      </c>
      <c r="B9" s="229" t="str">
        <f>'1-Totaal inschrijfbedrag'!A9</f>
        <v>Perceel deel</v>
      </c>
      <c r="D9" s="184" t="str">
        <f>'1-Totaal inschrijfbedrag'!B9</f>
        <v>Comfort schoonmaak</v>
      </c>
      <c r="E9" s="273"/>
      <c r="I9" s="266"/>
      <c r="J9" s="266"/>
      <c r="K9" s="266"/>
      <c r="L9" s="266"/>
      <c r="M9" s="266"/>
      <c r="N9" s="266"/>
      <c r="O9" s="266"/>
      <c r="P9" s="266"/>
      <c r="R9" s="268"/>
      <c r="S9" s="268"/>
      <c r="T9" s="268"/>
      <c r="U9" s="268"/>
      <c r="V9" s="268"/>
      <c r="W9" s="268"/>
      <c r="X9" s="269"/>
      <c r="Y9" s="269"/>
      <c r="Z9" s="269"/>
      <c r="AA9" s="269"/>
      <c r="AB9" s="268"/>
      <c r="AD9" s="270"/>
    </row>
    <row r="10" spans="1:41" s="47" customFormat="1" ht="13.2">
      <c r="A10" s="254">
        <v>10</v>
      </c>
      <c r="B10" s="274"/>
      <c r="C10" s="275"/>
      <c r="D10" s="41"/>
      <c r="E10" s="276"/>
      <c r="F10" s="41"/>
      <c r="G10" s="275"/>
      <c r="H10" s="277"/>
      <c r="I10" s="278"/>
      <c r="J10" s="278"/>
      <c r="K10" s="278"/>
      <c r="L10" s="278"/>
      <c r="M10" s="278"/>
      <c r="N10" s="278"/>
      <c r="O10" s="278"/>
      <c r="P10" s="278"/>
      <c r="Q10" s="277"/>
      <c r="R10" s="279"/>
      <c r="S10" s="279"/>
      <c r="T10" s="279"/>
      <c r="U10" s="279"/>
      <c r="V10" s="279"/>
      <c r="W10" s="279"/>
      <c r="X10" s="280"/>
      <c r="Y10" s="280"/>
      <c r="Z10" s="280"/>
      <c r="AA10" s="280"/>
      <c r="AB10" s="279"/>
      <c r="AD10" s="281"/>
    </row>
    <row r="11" spans="1:41" ht="56.4" customHeight="1">
      <c r="A11" s="254">
        <v>11</v>
      </c>
      <c r="B11" s="282" t="s">
        <v>37</v>
      </c>
      <c r="C11" s="282" t="s">
        <v>38</v>
      </c>
      <c r="D11" s="282" t="s">
        <v>39</v>
      </c>
      <c r="E11" s="282" t="s">
        <v>165</v>
      </c>
      <c r="F11" s="282" t="s">
        <v>166</v>
      </c>
      <c r="G11" s="282" t="s">
        <v>167</v>
      </c>
      <c r="H11" s="283" t="s">
        <v>168</v>
      </c>
      <c r="I11" s="282" t="s">
        <v>169</v>
      </c>
      <c r="J11" s="422" t="s">
        <v>170</v>
      </c>
      <c r="K11" s="423" t="s">
        <v>171</v>
      </c>
      <c r="L11" s="423" t="s">
        <v>172</v>
      </c>
      <c r="M11" s="423" t="s">
        <v>173</v>
      </c>
      <c r="N11" s="423" t="s">
        <v>174</v>
      </c>
      <c r="O11" s="423" t="s">
        <v>175</v>
      </c>
      <c r="P11" s="423" t="s">
        <v>176</v>
      </c>
      <c r="Q11" s="282" t="s">
        <v>177</v>
      </c>
      <c r="R11" s="284" t="s">
        <v>178</v>
      </c>
      <c r="S11" s="284" t="s">
        <v>179</v>
      </c>
      <c r="T11" s="284" t="s">
        <v>180</v>
      </c>
      <c r="U11" s="284" t="s">
        <v>181</v>
      </c>
      <c r="V11" s="284" t="s">
        <v>182</v>
      </c>
      <c r="W11" s="284" t="s">
        <v>183</v>
      </c>
      <c r="X11" s="284" t="s">
        <v>184</v>
      </c>
      <c r="Y11" s="284" t="s">
        <v>185</v>
      </c>
      <c r="Z11" s="284" t="s">
        <v>186</v>
      </c>
      <c r="AA11" s="284" t="s">
        <v>187</v>
      </c>
      <c r="AB11" s="284" t="s">
        <v>188</v>
      </c>
      <c r="AD11" s="284" t="s">
        <v>189</v>
      </c>
      <c r="AF11" s="285" t="s">
        <v>190</v>
      </c>
      <c r="AG11" s="285" t="s">
        <v>191</v>
      </c>
      <c r="AH11" s="285" t="s">
        <v>192</v>
      </c>
      <c r="AI11" s="285" t="s">
        <v>193</v>
      </c>
      <c r="AJ11" s="286" t="s">
        <v>194</v>
      </c>
      <c r="AK11" s="286" t="s">
        <v>195</v>
      </c>
      <c r="AL11" s="286" t="s">
        <v>196</v>
      </c>
      <c r="AM11" s="286" t="s">
        <v>197</v>
      </c>
      <c r="AN11" s="286" t="s">
        <v>198</v>
      </c>
      <c r="AO11" s="287" t="s">
        <v>199</v>
      </c>
    </row>
    <row r="12" spans="1:41" ht="15" customHeight="1">
      <c r="A12" s="254">
        <v>12</v>
      </c>
      <c r="B12" s="253">
        <v>101</v>
      </c>
      <c r="C12" s="240" t="s">
        <v>49</v>
      </c>
      <c r="D12" s="288" t="s">
        <v>49</v>
      </c>
      <c r="E12" s="289" t="s">
        <v>200</v>
      </c>
      <c r="F12" s="239" t="s">
        <v>201</v>
      </c>
      <c r="G12" s="290" t="s">
        <v>202</v>
      </c>
      <c r="H12" s="291" t="s">
        <v>145</v>
      </c>
      <c r="I12" s="239" t="s">
        <v>203</v>
      </c>
      <c r="J12" s="424">
        <f t="shared" ref="J12:J75" si="0">SUM(K12:P12)</f>
        <v>365</v>
      </c>
      <c r="K12" s="425">
        <v>255</v>
      </c>
      <c r="L12" s="425"/>
      <c r="M12" s="425">
        <v>102</v>
      </c>
      <c r="N12" s="425"/>
      <c r="O12" s="425">
        <v>8</v>
      </c>
      <c r="P12" s="425"/>
      <c r="Q12" s="294">
        <v>28.6</v>
      </c>
      <c r="R12" s="295" t="e">
        <f>IF(K12="nio",0,(K12*Q12)/X12)*VLOOKUP(C12,'2-Uren per locatie'!$B$15:$D$74,3,FALSE)</f>
        <v>#DIV/0!</v>
      </c>
      <c r="S12" s="295" t="e">
        <f>IF(K12="nio",0,(L12*Q12)/Y12)*VLOOKUP(C12,'2-Uren per locatie'!$B$15:$D$74,3,FALSE)</f>
        <v>#DIV/0!</v>
      </c>
      <c r="T12" s="295" t="e">
        <f>IF(K12="nio",0,(M12*Q12)/Z12)*VLOOKUP(C12,'2-Uren per locatie'!$B$15:$D$74,3,FALSE)</f>
        <v>#DIV/0!</v>
      </c>
      <c r="U12" s="295" t="e">
        <f>IF(K12="nio",0,(N12*Q12)/AA12)*VLOOKUP(C12,'2-Uren per locatie'!$B$15:$D$74,3,FALSE)</f>
        <v>#DIV/0!</v>
      </c>
      <c r="V12" s="295" t="e">
        <f>IF(K12="nio",0,(O12*Q12)/Z12)*VLOOKUP(C12,'2-Uren per locatie'!$B$15:$D$74,3,FALSE)</f>
        <v>#DIV/0!</v>
      </c>
      <c r="W12" s="295" t="e">
        <f>IF(K12="nio",0,(P12*Q12)/AA12)*VLOOKUP(C12,'2-Uren per locatie'!$B$15:$D$74,3,FALSE)</f>
        <v>#DIV/0!</v>
      </c>
      <c r="X12" s="485">
        <f>IF(K12="nio",0,IF(K12&gt;0,VLOOKUP(H12,'3-Productie normen'!A:F,VLOOKUP(K12,'3-Productie normen'!$B$29:$C$34,2,FALSE),FALSE)))</f>
        <v>0</v>
      </c>
      <c r="Y12" s="485">
        <f>VLOOKUP(H12,'3-Productie normen'!$A$10:$J$24,8,FALSE)*'3-Ruimtestaat'!X12</f>
        <v>0</v>
      </c>
      <c r="Z12" s="485">
        <f>VLOOKUP(H12,'3-Productie normen'!$A$10:$J$24,9,FALSE)*'3-Ruimtestaat'!X12</f>
        <v>0</v>
      </c>
      <c r="AA12" s="485">
        <f>VLOOKUP(H12,'3-Productie normen'!$A$10:$J$24,10,FALSE)*'3-Ruimtestaat'!X12</f>
        <v>0</v>
      </c>
      <c r="AB12" s="292" t="str">
        <f>IF(H12="",0,VLOOKUP(H12,'3-Productie normen'!$A$10:$N$23,14,FALSE))</f>
        <v>V</v>
      </c>
      <c r="AD12" s="296">
        <f t="shared" ref="AD12:AD75" si="1">Q12*J12</f>
        <v>10439</v>
      </c>
      <c r="AE12" s="78"/>
      <c r="AF12" s="253"/>
      <c r="AG12" s="253"/>
      <c r="AH12" s="253"/>
      <c r="AI12" s="253"/>
      <c r="AJ12" s="253"/>
      <c r="AK12" s="253"/>
      <c r="AL12" s="253"/>
      <c r="AM12" s="253"/>
      <c r="AN12" s="253"/>
      <c r="AO12" s="253"/>
    </row>
    <row r="13" spans="1:41" ht="15" customHeight="1">
      <c r="A13" s="254">
        <v>13</v>
      </c>
      <c r="B13" s="253">
        <v>101</v>
      </c>
      <c r="C13" s="240" t="s">
        <v>49</v>
      </c>
      <c r="D13" s="288" t="s">
        <v>49</v>
      </c>
      <c r="E13" s="289" t="s">
        <v>200</v>
      </c>
      <c r="F13" s="239" t="s">
        <v>204</v>
      </c>
      <c r="G13" s="290" t="s">
        <v>205</v>
      </c>
      <c r="H13" s="291" t="s">
        <v>155</v>
      </c>
      <c r="I13" s="239" t="s">
        <v>206</v>
      </c>
      <c r="J13" s="424">
        <f t="shared" si="0"/>
        <v>365</v>
      </c>
      <c r="K13" s="425">
        <v>255</v>
      </c>
      <c r="L13" s="425"/>
      <c r="M13" s="425">
        <v>102</v>
      </c>
      <c r="N13" s="425"/>
      <c r="O13" s="425">
        <v>8</v>
      </c>
      <c r="P13" s="425"/>
      <c r="Q13" s="294">
        <v>14.3</v>
      </c>
      <c r="R13" s="295" t="e">
        <f>IF(K13="nio",0,(K13*Q13)/X13)*VLOOKUP(C13,'2-Uren per locatie'!$B$15:$D$74,3,FALSE)</f>
        <v>#DIV/0!</v>
      </c>
      <c r="S13" s="295" t="e">
        <f>IF(K13="nio",0,(L13*Q13)/Y13)*VLOOKUP(C13,'2-Uren per locatie'!$B$15:$D$74,3,FALSE)</f>
        <v>#DIV/0!</v>
      </c>
      <c r="T13" s="295" t="e">
        <f>IF(K13="nio",0,(M13*Q13)/Z13)*VLOOKUP(C13,'2-Uren per locatie'!$B$15:$D$74,3,FALSE)</f>
        <v>#DIV/0!</v>
      </c>
      <c r="U13" s="295" t="e">
        <f>IF(K13="nio",0,(N13*Q13)/AA13)*VLOOKUP(C13,'2-Uren per locatie'!$B$15:$D$74,3,FALSE)</f>
        <v>#DIV/0!</v>
      </c>
      <c r="V13" s="295" t="e">
        <f>IF(K13="nio",0,(O13*Q13)/Z13)*VLOOKUP(C13,'2-Uren per locatie'!$B$15:$D$74,3,FALSE)</f>
        <v>#DIV/0!</v>
      </c>
      <c r="W13" s="295" t="e">
        <f>IF(K13="nio",0,(P13*Q13)/AA13)*VLOOKUP(C13,'2-Uren per locatie'!$B$15:$D$74,3,FALSE)</f>
        <v>#DIV/0!</v>
      </c>
      <c r="X13" s="485">
        <f>IF(K13="nio",0,IF(K13&gt;0,VLOOKUP(H13,'3-Productie normen'!A:F,VLOOKUP(K13,'3-Productie normen'!$B$29:$C$34,2,FALSE),FALSE)))</f>
        <v>0</v>
      </c>
      <c r="Y13" s="485">
        <f>VLOOKUP(H13,'3-Productie normen'!$A$10:$J$24,8,FALSE)*'3-Ruimtestaat'!X13</f>
        <v>0</v>
      </c>
      <c r="Z13" s="485">
        <f>VLOOKUP(H13,'3-Productie normen'!$A$10:$J$24,9,FALSE)*'3-Ruimtestaat'!X13</f>
        <v>0</v>
      </c>
      <c r="AA13" s="485">
        <f>VLOOKUP(H13,'3-Productie normen'!$A$10:$J$24,10,FALSE)*'3-Ruimtestaat'!X13</f>
        <v>0</v>
      </c>
      <c r="AB13" s="292" t="str">
        <f>IF(H13="",0,VLOOKUP(H13,'3-Productie normen'!$A$10:$N$23,14,FALSE))</f>
        <v>V</v>
      </c>
      <c r="AD13" s="296">
        <f t="shared" si="1"/>
        <v>5219.5</v>
      </c>
      <c r="AE13" s="78"/>
      <c r="AF13" s="253"/>
      <c r="AG13" s="253"/>
      <c r="AH13" s="253"/>
      <c r="AI13" s="253"/>
      <c r="AJ13" s="253"/>
      <c r="AK13" s="253"/>
      <c r="AL13" s="253"/>
      <c r="AM13" s="253"/>
      <c r="AN13" s="253"/>
      <c r="AO13" s="253"/>
    </row>
    <row r="14" spans="1:41" ht="15" customHeight="1">
      <c r="A14" s="254">
        <v>14</v>
      </c>
      <c r="B14" s="253">
        <v>101</v>
      </c>
      <c r="C14" s="240" t="s">
        <v>49</v>
      </c>
      <c r="D14" s="288" t="s">
        <v>49</v>
      </c>
      <c r="E14" s="289" t="s">
        <v>207</v>
      </c>
      <c r="F14" s="239" t="s">
        <v>204</v>
      </c>
      <c r="G14" s="290" t="s">
        <v>208</v>
      </c>
      <c r="H14" s="291" t="s">
        <v>155</v>
      </c>
      <c r="I14" s="239" t="s">
        <v>209</v>
      </c>
      <c r="J14" s="424">
        <f t="shared" si="0"/>
        <v>365</v>
      </c>
      <c r="K14" s="425">
        <v>255</v>
      </c>
      <c r="L14" s="425"/>
      <c r="M14" s="425">
        <v>102</v>
      </c>
      <c r="N14" s="425"/>
      <c r="O14" s="425">
        <v>8</v>
      </c>
      <c r="P14" s="425"/>
      <c r="Q14" s="294">
        <v>0</v>
      </c>
      <c r="R14" s="295" t="e">
        <f>IF(K14="nio",0,(K14*Q14)/X14)*VLOOKUP(C14,'2-Uren per locatie'!$B$15:$D$74,3,FALSE)</f>
        <v>#DIV/0!</v>
      </c>
      <c r="S14" s="295" t="e">
        <f>IF(K14="nio",0,(L14*Q14)/Y14)*VLOOKUP(C14,'2-Uren per locatie'!$B$15:$D$74,3,FALSE)</f>
        <v>#DIV/0!</v>
      </c>
      <c r="T14" s="295" t="e">
        <f>IF(K14="nio",0,(M14*Q14)/Z14)*VLOOKUP(C14,'2-Uren per locatie'!$B$15:$D$74,3,FALSE)</f>
        <v>#DIV/0!</v>
      </c>
      <c r="U14" s="295" t="e">
        <f>IF(K14="nio",0,(N14*Q14)/AA14)*VLOOKUP(C14,'2-Uren per locatie'!$B$15:$D$74,3,FALSE)</f>
        <v>#DIV/0!</v>
      </c>
      <c r="V14" s="295" t="e">
        <f>IF(K14="nio",0,(O14*Q14)/Z14)*VLOOKUP(C14,'2-Uren per locatie'!$B$15:$D$74,3,FALSE)</f>
        <v>#DIV/0!</v>
      </c>
      <c r="W14" s="295" t="e">
        <f>IF(K14="nio",0,(P14*Q14)/AA14)*VLOOKUP(C14,'2-Uren per locatie'!$B$15:$D$74,3,FALSE)</f>
        <v>#DIV/0!</v>
      </c>
      <c r="X14" s="485">
        <f>IF(K14="nio",0,IF(K14&gt;0,VLOOKUP(H14,'3-Productie normen'!A:F,VLOOKUP(K14,'3-Productie normen'!$B$29:$C$34,2,FALSE),FALSE)))</f>
        <v>0</v>
      </c>
      <c r="Y14" s="485">
        <f>VLOOKUP(H14,'3-Productie normen'!$A$10:$J$24,8,FALSE)*'3-Ruimtestaat'!X14</f>
        <v>0</v>
      </c>
      <c r="Z14" s="485">
        <f>VLOOKUP(H14,'3-Productie normen'!$A$10:$J$24,9,FALSE)*'3-Ruimtestaat'!X14</f>
        <v>0</v>
      </c>
      <c r="AA14" s="485">
        <f>VLOOKUP(H14,'3-Productie normen'!$A$10:$J$24,10,FALSE)*'3-Ruimtestaat'!X14</f>
        <v>0</v>
      </c>
      <c r="AB14" s="292" t="str">
        <f>IF(H14="",0,VLOOKUP(H14,'3-Productie normen'!$A$10:$N$23,14,FALSE))</f>
        <v>V</v>
      </c>
      <c r="AD14" s="296">
        <f t="shared" si="1"/>
        <v>0</v>
      </c>
      <c r="AE14" s="78"/>
      <c r="AF14" s="253"/>
      <c r="AG14" s="253"/>
      <c r="AH14" s="253"/>
      <c r="AI14" s="253"/>
      <c r="AJ14" s="253"/>
      <c r="AK14" s="253"/>
      <c r="AL14" s="253"/>
      <c r="AM14" s="253"/>
      <c r="AN14" s="253"/>
      <c r="AO14" s="253"/>
    </row>
    <row r="15" spans="1:41" ht="15" customHeight="1">
      <c r="A15" s="254">
        <v>15</v>
      </c>
      <c r="B15" s="253">
        <v>101</v>
      </c>
      <c r="C15" s="240" t="s">
        <v>49</v>
      </c>
      <c r="D15" s="288" t="s">
        <v>49</v>
      </c>
      <c r="E15" s="289" t="s">
        <v>207</v>
      </c>
      <c r="F15" s="239" t="s">
        <v>210</v>
      </c>
      <c r="G15" s="290" t="s">
        <v>211</v>
      </c>
      <c r="H15" s="291" t="s">
        <v>145</v>
      </c>
      <c r="I15" s="239" t="s">
        <v>203</v>
      </c>
      <c r="J15" s="424">
        <f t="shared" si="0"/>
        <v>365</v>
      </c>
      <c r="K15" s="425">
        <v>255</v>
      </c>
      <c r="L15" s="425"/>
      <c r="M15" s="425">
        <v>102</v>
      </c>
      <c r="N15" s="425"/>
      <c r="O15" s="425">
        <v>8</v>
      </c>
      <c r="P15" s="425"/>
      <c r="Q15" s="294">
        <v>453.7</v>
      </c>
      <c r="R15" s="295" t="e">
        <f>IF(K15="nio",0,(K15*Q15)/X15)*VLOOKUP(C15,'2-Uren per locatie'!$B$15:$D$74,3,FALSE)</f>
        <v>#DIV/0!</v>
      </c>
      <c r="S15" s="295" t="e">
        <f>IF(K15="nio",0,(L15*Q15)/Y15)*VLOOKUP(C15,'2-Uren per locatie'!$B$15:$D$74,3,FALSE)</f>
        <v>#DIV/0!</v>
      </c>
      <c r="T15" s="295" t="e">
        <f>IF(K15="nio",0,(M15*Q15)/Z15)*VLOOKUP(C15,'2-Uren per locatie'!$B$15:$D$74,3,FALSE)</f>
        <v>#DIV/0!</v>
      </c>
      <c r="U15" s="295" t="e">
        <f>IF(K15="nio",0,(N15*Q15)/AA15)*VLOOKUP(C15,'2-Uren per locatie'!$B$15:$D$74,3,FALSE)</f>
        <v>#DIV/0!</v>
      </c>
      <c r="V15" s="295" t="e">
        <f>IF(K15="nio",0,(O15*Q15)/Z15)*VLOOKUP(C15,'2-Uren per locatie'!$B$15:$D$74,3,FALSE)</f>
        <v>#DIV/0!</v>
      </c>
      <c r="W15" s="295" t="e">
        <f>IF(K15="nio",0,(P15*Q15)/AA15)*VLOOKUP(C15,'2-Uren per locatie'!$B$15:$D$74,3,FALSE)</f>
        <v>#DIV/0!</v>
      </c>
      <c r="X15" s="485">
        <f>IF(K15="nio",0,IF(K15&gt;0,VLOOKUP(H15,'3-Productie normen'!A:F,VLOOKUP(K15,'3-Productie normen'!$B$29:$C$34,2,FALSE),FALSE)))</f>
        <v>0</v>
      </c>
      <c r="Y15" s="485">
        <f>VLOOKUP(H15,'3-Productie normen'!$A$10:$J$24,8,FALSE)*'3-Ruimtestaat'!X15</f>
        <v>0</v>
      </c>
      <c r="Z15" s="485">
        <f>VLOOKUP(H15,'3-Productie normen'!$A$10:$J$24,9,FALSE)*'3-Ruimtestaat'!X15</f>
        <v>0</v>
      </c>
      <c r="AA15" s="485">
        <f>VLOOKUP(H15,'3-Productie normen'!$A$10:$J$24,10,FALSE)*'3-Ruimtestaat'!X15</f>
        <v>0</v>
      </c>
      <c r="AB15" s="292" t="str">
        <f>IF(H15="",0,VLOOKUP(H15,'3-Productie normen'!$A$10:$N$23,14,FALSE))</f>
        <v>V</v>
      </c>
      <c r="AD15" s="296">
        <f t="shared" si="1"/>
        <v>165600.5</v>
      </c>
      <c r="AE15" s="78"/>
      <c r="AF15" s="253"/>
      <c r="AG15" s="253"/>
      <c r="AH15" s="253"/>
      <c r="AI15" s="253"/>
      <c r="AJ15" s="253"/>
      <c r="AK15" s="253"/>
      <c r="AL15" s="253"/>
      <c r="AM15" s="253"/>
      <c r="AN15" s="253"/>
      <c r="AO15" s="253"/>
    </row>
    <row r="16" spans="1:41" ht="15" customHeight="1">
      <c r="A16" s="254">
        <v>16</v>
      </c>
      <c r="B16" s="253">
        <v>101</v>
      </c>
      <c r="C16" s="240" t="s">
        <v>49</v>
      </c>
      <c r="D16" s="288" t="s">
        <v>49</v>
      </c>
      <c r="E16" s="289" t="s">
        <v>207</v>
      </c>
      <c r="F16" s="239" t="s">
        <v>212</v>
      </c>
      <c r="G16" s="290" t="s">
        <v>213</v>
      </c>
      <c r="H16" s="291" t="s">
        <v>155</v>
      </c>
      <c r="I16" s="239" t="s">
        <v>206</v>
      </c>
      <c r="J16" s="424">
        <f t="shared" si="0"/>
        <v>365</v>
      </c>
      <c r="K16" s="425">
        <v>255</v>
      </c>
      <c r="L16" s="425"/>
      <c r="M16" s="425">
        <v>102</v>
      </c>
      <c r="N16" s="425"/>
      <c r="O16" s="425">
        <v>8</v>
      </c>
      <c r="P16" s="425"/>
      <c r="Q16" s="294">
        <v>42.9</v>
      </c>
      <c r="R16" s="295" t="e">
        <f>IF(K16="nio",0,(K16*Q16)/X16)*VLOOKUP(C16,'2-Uren per locatie'!$B$15:$D$74,3,FALSE)</f>
        <v>#DIV/0!</v>
      </c>
      <c r="S16" s="295" t="e">
        <f>IF(K16="nio",0,(L16*Q16)/Y16)*VLOOKUP(C16,'2-Uren per locatie'!$B$15:$D$74,3,FALSE)</f>
        <v>#DIV/0!</v>
      </c>
      <c r="T16" s="295" t="e">
        <f>IF(K16="nio",0,(M16*Q16)/Z16)*VLOOKUP(C16,'2-Uren per locatie'!$B$15:$D$74,3,FALSE)</f>
        <v>#DIV/0!</v>
      </c>
      <c r="U16" s="295" t="e">
        <f>IF(K16="nio",0,(N16*Q16)/AA16)*VLOOKUP(C16,'2-Uren per locatie'!$B$15:$D$74,3,FALSE)</f>
        <v>#DIV/0!</v>
      </c>
      <c r="V16" s="295" t="e">
        <f>IF(K16="nio",0,(O16*Q16)/Z16)*VLOOKUP(C16,'2-Uren per locatie'!$B$15:$D$74,3,FALSE)</f>
        <v>#DIV/0!</v>
      </c>
      <c r="W16" s="295" t="e">
        <f>IF(K16="nio",0,(P16*Q16)/AA16)*VLOOKUP(C16,'2-Uren per locatie'!$B$15:$D$74,3,FALSE)</f>
        <v>#DIV/0!</v>
      </c>
      <c r="X16" s="485">
        <f>IF(K16="nio",0,IF(K16&gt;0,VLOOKUP(H16,'3-Productie normen'!A:F,VLOOKUP(K16,'3-Productie normen'!$B$29:$C$34,2,FALSE),FALSE)))</f>
        <v>0</v>
      </c>
      <c r="Y16" s="485">
        <f>VLOOKUP(H16,'3-Productie normen'!$A$10:$J$24,8,FALSE)*'3-Ruimtestaat'!X16</f>
        <v>0</v>
      </c>
      <c r="Z16" s="485">
        <f>VLOOKUP(H16,'3-Productie normen'!$A$10:$J$24,9,FALSE)*'3-Ruimtestaat'!X16</f>
        <v>0</v>
      </c>
      <c r="AA16" s="485">
        <f>VLOOKUP(H16,'3-Productie normen'!$A$10:$J$24,10,FALSE)*'3-Ruimtestaat'!X16</f>
        <v>0</v>
      </c>
      <c r="AB16" s="292" t="str">
        <f>IF(H16="",0,VLOOKUP(H16,'3-Productie normen'!$A$10:$N$23,14,FALSE))</f>
        <v>V</v>
      </c>
      <c r="AD16" s="296">
        <f t="shared" si="1"/>
        <v>15658.5</v>
      </c>
      <c r="AE16" s="78"/>
      <c r="AF16" s="253"/>
      <c r="AG16" s="253"/>
      <c r="AH16" s="253"/>
      <c r="AI16" s="253"/>
      <c r="AJ16" s="253"/>
      <c r="AK16" s="253"/>
      <c r="AL16" s="253"/>
      <c r="AM16" s="253"/>
      <c r="AN16" s="253"/>
      <c r="AO16" s="253"/>
    </row>
    <row r="17" spans="1:41" ht="15" customHeight="1">
      <c r="A17" s="254">
        <v>17</v>
      </c>
      <c r="B17" s="253">
        <v>101</v>
      </c>
      <c r="C17" s="240" t="s">
        <v>49</v>
      </c>
      <c r="D17" s="288" t="s">
        <v>49</v>
      </c>
      <c r="E17" s="289" t="s">
        <v>207</v>
      </c>
      <c r="F17" s="239" t="s">
        <v>214</v>
      </c>
      <c r="G17" s="290" t="s">
        <v>215</v>
      </c>
      <c r="H17" s="291" t="s">
        <v>152</v>
      </c>
      <c r="I17" s="239" t="s">
        <v>216</v>
      </c>
      <c r="J17" s="424">
        <f t="shared" si="0"/>
        <v>365</v>
      </c>
      <c r="K17" s="425">
        <v>255</v>
      </c>
      <c r="L17" s="425"/>
      <c r="M17" s="425">
        <v>102</v>
      </c>
      <c r="N17" s="425"/>
      <c r="O17" s="425">
        <v>8</v>
      </c>
      <c r="P17" s="425"/>
      <c r="Q17" s="294">
        <v>0</v>
      </c>
      <c r="R17" s="295" t="e">
        <f>IF(K17="nio",0,(K17*Q17)/X17)*VLOOKUP(C17,'2-Uren per locatie'!$B$15:$D$74,3,FALSE)</f>
        <v>#DIV/0!</v>
      </c>
      <c r="S17" s="295" t="e">
        <f>IF(K17="nio",0,(L17*Q17)/Y17)*VLOOKUP(C17,'2-Uren per locatie'!$B$15:$D$74,3,FALSE)</f>
        <v>#DIV/0!</v>
      </c>
      <c r="T17" s="295" t="e">
        <f>IF(K17="nio",0,(M17*Q17)/Z17)*VLOOKUP(C17,'2-Uren per locatie'!$B$15:$D$74,3,FALSE)</f>
        <v>#DIV/0!</v>
      </c>
      <c r="U17" s="295" t="e">
        <f>IF(K17="nio",0,(N17*Q17)/AA17)*VLOOKUP(C17,'2-Uren per locatie'!$B$15:$D$74,3,FALSE)</f>
        <v>#DIV/0!</v>
      </c>
      <c r="V17" s="295" t="e">
        <f>IF(K17="nio",0,(O17*Q17)/Z17)*VLOOKUP(C17,'2-Uren per locatie'!$B$15:$D$74,3,FALSE)</f>
        <v>#DIV/0!</v>
      </c>
      <c r="W17" s="295" t="e">
        <f>IF(K17="nio",0,(P17*Q17)/AA17)*VLOOKUP(C17,'2-Uren per locatie'!$B$15:$D$74,3,FALSE)</f>
        <v>#DIV/0!</v>
      </c>
      <c r="X17" s="485">
        <f>IF(K17="nio",0,IF(K17&gt;0,VLOOKUP(H17,'3-Productie normen'!A:F,VLOOKUP(K17,'3-Productie normen'!$B$29:$C$34,2,FALSE),FALSE)))</f>
        <v>0</v>
      </c>
      <c r="Y17" s="485">
        <f>VLOOKUP(H17,'3-Productie normen'!$A$10:$J$24,8,FALSE)*'3-Ruimtestaat'!X17</f>
        <v>0</v>
      </c>
      <c r="Z17" s="485">
        <f>VLOOKUP(H17,'3-Productie normen'!$A$10:$J$24,9,FALSE)*'3-Ruimtestaat'!X17</f>
        <v>0</v>
      </c>
      <c r="AA17" s="485">
        <f>VLOOKUP(H17,'3-Productie normen'!$A$10:$J$24,10,FALSE)*'3-Ruimtestaat'!X17</f>
        <v>0</v>
      </c>
      <c r="AB17" s="292" t="str">
        <f>IF(H17="",0,VLOOKUP(H17,'3-Productie normen'!$A$10:$N$23,14,FALSE))</f>
        <v>V</v>
      </c>
      <c r="AD17" s="296">
        <f t="shared" si="1"/>
        <v>0</v>
      </c>
      <c r="AE17" s="78"/>
      <c r="AF17" s="253"/>
      <c r="AG17" s="253"/>
      <c r="AH17" s="253"/>
      <c r="AI17" s="253"/>
      <c r="AJ17" s="253"/>
      <c r="AK17" s="253"/>
      <c r="AL17" s="253"/>
      <c r="AM17" s="253"/>
      <c r="AN17" s="253"/>
      <c r="AO17" s="253"/>
    </row>
    <row r="18" spans="1:41" ht="15" customHeight="1">
      <c r="A18" s="254">
        <v>18</v>
      </c>
      <c r="B18" s="253">
        <v>101</v>
      </c>
      <c r="C18" s="240" t="s">
        <v>49</v>
      </c>
      <c r="D18" s="288" t="s">
        <v>49</v>
      </c>
      <c r="E18" s="289" t="s">
        <v>207</v>
      </c>
      <c r="F18" s="239" t="s">
        <v>214</v>
      </c>
      <c r="G18" s="290" t="s">
        <v>217</v>
      </c>
      <c r="H18" s="291" t="s">
        <v>152</v>
      </c>
      <c r="I18" s="239" t="s">
        <v>216</v>
      </c>
      <c r="J18" s="424">
        <f t="shared" si="0"/>
        <v>365</v>
      </c>
      <c r="K18" s="425">
        <v>255</v>
      </c>
      <c r="L18" s="425"/>
      <c r="M18" s="425">
        <v>102</v>
      </c>
      <c r="N18" s="425"/>
      <c r="O18" s="425">
        <v>8</v>
      </c>
      <c r="P18" s="425"/>
      <c r="Q18" s="294">
        <v>0</v>
      </c>
      <c r="R18" s="295" t="e">
        <f>IF(K18="nio",0,(K18*Q18)/X18)*VLOOKUP(C18,'2-Uren per locatie'!$B$15:$D$74,3,FALSE)</f>
        <v>#DIV/0!</v>
      </c>
      <c r="S18" s="295" t="e">
        <f>IF(K18="nio",0,(L18*Q18)/Y18)*VLOOKUP(C18,'2-Uren per locatie'!$B$15:$D$74,3,FALSE)</f>
        <v>#DIV/0!</v>
      </c>
      <c r="T18" s="295" t="e">
        <f>IF(K18="nio",0,(M18*Q18)/Z18)*VLOOKUP(C18,'2-Uren per locatie'!$B$15:$D$74,3,FALSE)</f>
        <v>#DIV/0!</v>
      </c>
      <c r="U18" s="295" t="e">
        <f>IF(K18="nio",0,(N18*Q18)/AA18)*VLOOKUP(C18,'2-Uren per locatie'!$B$15:$D$74,3,FALSE)</f>
        <v>#DIV/0!</v>
      </c>
      <c r="V18" s="295" t="e">
        <f>IF(K18="nio",0,(O18*Q18)/Z18)*VLOOKUP(C18,'2-Uren per locatie'!$B$15:$D$74,3,FALSE)</f>
        <v>#DIV/0!</v>
      </c>
      <c r="W18" s="295" t="e">
        <f>IF(K18="nio",0,(P18*Q18)/AA18)*VLOOKUP(C18,'2-Uren per locatie'!$B$15:$D$74,3,FALSE)</f>
        <v>#DIV/0!</v>
      </c>
      <c r="X18" s="485">
        <f>IF(K18="nio",0,IF(K18&gt;0,VLOOKUP(H18,'3-Productie normen'!A:F,VLOOKUP(K18,'3-Productie normen'!$B$29:$C$34,2,FALSE),FALSE)))</f>
        <v>0</v>
      </c>
      <c r="Y18" s="485">
        <f>VLOOKUP(H18,'3-Productie normen'!$A$10:$J$24,8,FALSE)*'3-Ruimtestaat'!X18</f>
        <v>0</v>
      </c>
      <c r="Z18" s="485">
        <f>VLOOKUP(H18,'3-Productie normen'!$A$10:$J$24,9,FALSE)*'3-Ruimtestaat'!X18</f>
        <v>0</v>
      </c>
      <c r="AA18" s="485">
        <f>VLOOKUP(H18,'3-Productie normen'!$A$10:$J$24,10,FALSE)*'3-Ruimtestaat'!X18</f>
        <v>0</v>
      </c>
      <c r="AB18" s="292" t="str">
        <f>IF(H18="",0,VLOOKUP(H18,'3-Productie normen'!$A$10:$N$23,14,FALSE))</f>
        <v>V</v>
      </c>
      <c r="AD18" s="296">
        <f t="shared" si="1"/>
        <v>0</v>
      </c>
      <c r="AE18" s="78"/>
      <c r="AF18" s="253"/>
      <c r="AG18" s="253"/>
      <c r="AH18" s="253"/>
      <c r="AI18" s="253"/>
      <c r="AJ18" s="253"/>
      <c r="AK18" s="253"/>
      <c r="AL18" s="253"/>
      <c r="AM18" s="253"/>
      <c r="AN18" s="253"/>
      <c r="AO18" s="253"/>
    </row>
    <row r="19" spans="1:41" ht="15" customHeight="1">
      <c r="A19" s="254">
        <v>19</v>
      </c>
      <c r="B19" s="253">
        <v>101</v>
      </c>
      <c r="C19" s="240" t="s">
        <v>49</v>
      </c>
      <c r="D19" s="288" t="s">
        <v>49</v>
      </c>
      <c r="E19" s="289" t="s">
        <v>207</v>
      </c>
      <c r="F19" s="239" t="s">
        <v>214</v>
      </c>
      <c r="G19" s="290" t="s">
        <v>218</v>
      </c>
      <c r="H19" s="291" t="s">
        <v>152</v>
      </c>
      <c r="I19" s="239" t="s">
        <v>216</v>
      </c>
      <c r="J19" s="424">
        <f t="shared" si="0"/>
        <v>365</v>
      </c>
      <c r="K19" s="425">
        <v>255</v>
      </c>
      <c r="L19" s="425"/>
      <c r="M19" s="425">
        <v>102</v>
      </c>
      <c r="N19" s="425"/>
      <c r="O19" s="425">
        <v>8</v>
      </c>
      <c r="P19" s="425"/>
      <c r="Q19" s="294">
        <v>0</v>
      </c>
      <c r="R19" s="295" t="e">
        <f>IF(K19="nio",0,(K19*Q19)/X19)*VLOOKUP(C19,'2-Uren per locatie'!$B$15:$D$74,3,FALSE)</f>
        <v>#DIV/0!</v>
      </c>
      <c r="S19" s="295" t="e">
        <f>IF(K19="nio",0,(L19*Q19)/Y19)*VLOOKUP(C19,'2-Uren per locatie'!$B$15:$D$74,3,FALSE)</f>
        <v>#DIV/0!</v>
      </c>
      <c r="T19" s="295" t="e">
        <f>IF(K19="nio",0,(M19*Q19)/Z19)*VLOOKUP(C19,'2-Uren per locatie'!$B$15:$D$74,3,FALSE)</f>
        <v>#DIV/0!</v>
      </c>
      <c r="U19" s="295" t="e">
        <f>IF(K19="nio",0,(N19*Q19)/AA19)*VLOOKUP(C19,'2-Uren per locatie'!$B$15:$D$74,3,FALSE)</f>
        <v>#DIV/0!</v>
      </c>
      <c r="V19" s="295" t="e">
        <f>IF(K19="nio",0,(O19*Q19)/Z19)*VLOOKUP(C19,'2-Uren per locatie'!$B$15:$D$74,3,FALSE)</f>
        <v>#DIV/0!</v>
      </c>
      <c r="W19" s="295" t="e">
        <f>IF(K19="nio",0,(P19*Q19)/AA19)*VLOOKUP(C19,'2-Uren per locatie'!$B$15:$D$74,3,FALSE)</f>
        <v>#DIV/0!</v>
      </c>
      <c r="X19" s="485">
        <f>IF(K19="nio",0,IF(K19&gt;0,VLOOKUP(H19,'3-Productie normen'!A:F,VLOOKUP(K19,'3-Productie normen'!$B$29:$C$34,2,FALSE),FALSE)))</f>
        <v>0</v>
      </c>
      <c r="Y19" s="485">
        <f>VLOOKUP(H19,'3-Productie normen'!$A$10:$J$24,8,FALSE)*'3-Ruimtestaat'!X19</f>
        <v>0</v>
      </c>
      <c r="Z19" s="485">
        <f>VLOOKUP(H19,'3-Productie normen'!$A$10:$J$24,9,FALSE)*'3-Ruimtestaat'!X19</f>
        <v>0</v>
      </c>
      <c r="AA19" s="485">
        <f>VLOOKUP(H19,'3-Productie normen'!$A$10:$J$24,10,FALSE)*'3-Ruimtestaat'!X19</f>
        <v>0</v>
      </c>
      <c r="AB19" s="292" t="str">
        <f>IF(H19="",0,VLOOKUP(H19,'3-Productie normen'!$A$10:$N$23,14,FALSE))</f>
        <v>V</v>
      </c>
      <c r="AD19" s="296">
        <f t="shared" si="1"/>
        <v>0</v>
      </c>
      <c r="AE19" s="78"/>
      <c r="AF19" s="253"/>
      <c r="AG19" s="253"/>
      <c r="AH19" s="253"/>
      <c r="AI19" s="253"/>
      <c r="AJ19" s="253"/>
      <c r="AK19" s="253"/>
      <c r="AL19" s="253"/>
      <c r="AM19" s="253"/>
      <c r="AN19" s="253"/>
      <c r="AO19" s="253"/>
    </row>
    <row r="20" spans="1:41" ht="15" customHeight="1">
      <c r="A20" s="254">
        <v>20</v>
      </c>
      <c r="B20" s="253">
        <v>101</v>
      </c>
      <c r="C20" s="240" t="s">
        <v>49</v>
      </c>
      <c r="D20" s="288" t="s">
        <v>49</v>
      </c>
      <c r="E20" s="289" t="s">
        <v>207</v>
      </c>
      <c r="F20" s="239" t="s">
        <v>212</v>
      </c>
      <c r="G20" s="290" t="s">
        <v>219</v>
      </c>
      <c r="H20" s="291" t="s">
        <v>155</v>
      </c>
      <c r="I20" s="239" t="s">
        <v>206</v>
      </c>
      <c r="J20" s="424">
        <f t="shared" si="0"/>
        <v>365</v>
      </c>
      <c r="K20" s="425">
        <v>255</v>
      </c>
      <c r="L20" s="425"/>
      <c r="M20" s="425">
        <v>102</v>
      </c>
      <c r="N20" s="425"/>
      <c r="O20" s="425">
        <v>8</v>
      </c>
      <c r="P20" s="425"/>
      <c r="Q20" s="294">
        <v>46.800000000000004</v>
      </c>
      <c r="R20" s="295" t="e">
        <f>IF(K20="nio",0,(K20*Q20)/X20)*VLOOKUP(C20,'2-Uren per locatie'!$B$15:$D$74,3,FALSE)</f>
        <v>#DIV/0!</v>
      </c>
      <c r="S20" s="295" t="e">
        <f>IF(K20="nio",0,(L20*Q20)/Y20)*VLOOKUP(C20,'2-Uren per locatie'!$B$15:$D$74,3,FALSE)</f>
        <v>#DIV/0!</v>
      </c>
      <c r="T20" s="295" t="e">
        <f>IF(K20="nio",0,(M20*Q20)/Z20)*VLOOKUP(C20,'2-Uren per locatie'!$B$15:$D$74,3,FALSE)</f>
        <v>#DIV/0!</v>
      </c>
      <c r="U20" s="295" t="e">
        <f>IF(K20="nio",0,(N20*Q20)/AA20)*VLOOKUP(C20,'2-Uren per locatie'!$B$15:$D$74,3,FALSE)</f>
        <v>#DIV/0!</v>
      </c>
      <c r="V20" s="295" t="e">
        <f>IF(K20="nio",0,(O20*Q20)/Z20)*VLOOKUP(C20,'2-Uren per locatie'!$B$15:$D$74,3,FALSE)</f>
        <v>#DIV/0!</v>
      </c>
      <c r="W20" s="295" t="e">
        <f>IF(K20="nio",0,(P20*Q20)/AA20)*VLOOKUP(C20,'2-Uren per locatie'!$B$15:$D$74,3,FALSE)</f>
        <v>#DIV/0!</v>
      </c>
      <c r="X20" s="485">
        <f>IF(K20="nio",0,IF(K20&gt;0,VLOOKUP(H20,'3-Productie normen'!A:F,VLOOKUP(K20,'3-Productie normen'!$B$29:$C$34,2,FALSE),FALSE)))</f>
        <v>0</v>
      </c>
      <c r="Y20" s="485">
        <f>VLOOKUP(H20,'3-Productie normen'!$A$10:$J$24,8,FALSE)*'3-Ruimtestaat'!X20</f>
        <v>0</v>
      </c>
      <c r="Z20" s="485">
        <f>VLOOKUP(H20,'3-Productie normen'!$A$10:$J$24,9,FALSE)*'3-Ruimtestaat'!X20</f>
        <v>0</v>
      </c>
      <c r="AA20" s="485">
        <f>VLOOKUP(H20,'3-Productie normen'!$A$10:$J$24,10,FALSE)*'3-Ruimtestaat'!X20</f>
        <v>0</v>
      </c>
      <c r="AB20" s="292" t="str">
        <f>IF(H20="",0,VLOOKUP(H20,'3-Productie normen'!$A$10:$N$23,14,FALSE))</f>
        <v>V</v>
      </c>
      <c r="AD20" s="296">
        <f t="shared" si="1"/>
        <v>17082</v>
      </c>
      <c r="AE20" s="78"/>
      <c r="AF20" s="253"/>
      <c r="AG20" s="253"/>
      <c r="AH20" s="253"/>
      <c r="AI20" s="253"/>
      <c r="AJ20" s="253"/>
      <c r="AK20" s="253"/>
      <c r="AL20" s="253"/>
      <c r="AM20" s="253"/>
      <c r="AN20" s="253"/>
      <c r="AO20" s="253"/>
    </row>
    <row r="21" spans="1:41" ht="15" customHeight="1">
      <c r="A21" s="254">
        <v>21</v>
      </c>
      <c r="B21" s="253">
        <v>101</v>
      </c>
      <c r="C21" s="240" t="s">
        <v>49</v>
      </c>
      <c r="D21" s="288" t="s">
        <v>49</v>
      </c>
      <c r="E21" s="289" t="s">
        <v>207</v>
      </c>
      <c r="F21" s="239" t="s">
        <v>212</v>
      </c>
      <c r="G21" s="290" t="s">
        <v>220</v>
      </c>
      <c r="H21" s="291" t="s">
        <v>155</v>
      </c>
      <c r="I21" s="239" t="s">
        <v>206</v>
      </c>
      <c r="J21" s="424">
        <f t="shared" si="0"/>
        <v>365</v>
      </c>
      <c r="K21" s="425">
        <v>255</v>
      </c>
      <c r="L21" s="425"/>
      <c r="M21" s="425">
        <v>102</v>
      </c>
      <c r="N21" s="425"/>
      <c r="O21" s="425">
        <v>8</v>
      </c>
      <c r="P21" s="425"/>
      <c r="Q21" s="294">
        <v>105.3</v>
      </c>
      <c r="R21" s="295" t="e">
        <f>IF(K21="nio",0,(K21*Q21)/X21)*VLOOKUP(C21,'2-Uren per locatie'!$B$15:$D$74,3,FALSE)</f>
        <v>#DIV/0!</v>
      </c>
      <c r="S21" s="295" t="e">
        <f>IF(K21="nio",0,(L21*Q21)/Y21)*VLOOKUP(C21,'2-Uren per locatie'!$B$15:$D$74,3,FALSE)</f>
        <v>#DIV/0!</v>
      </c>
      <c r="T21" s="295" t="e">
        <f>IF(K21="nio",0,(M21*Q21)/Z21)*VLOOKUP(C21,'2-Uren per locatie'!$B$15:$D$74,3,FALSE)</f>
        <v>#DIV/0!</v>
      </c>
      <c r="U21" s="295" t="e">
        <f>IF(K21="nio",0,(N21*Q21)/AA21)*VLOOKUP(C21,'2-Uren per locatie'!$B$15:$D$74,3,FALSE)</f>
        <v>#DIV/0!</v>
      </c>
      <c r="V21" s="295" t="e">
        <f>IF(K21="nio",0,(O21*Q21)/Z21)*VLOOKUP(C21,'2-Uren per locatie'!$B$15:$D$74,3,FALSE)</f>
        <v>#DIV/0!</v>
      </c>
      <c r="W21" s="295" t="e">
        <f>IF(K21="nio",0,(P21*Q21)/AA21)*VLOOKUP(C21,'2-Uren per locatie'!$B$15:$D$74,3,FALSE)</f>
        <v>#DIV/0!</v>
      </c>
      <c r="X21" s="485">
        <f>IF(K21="nio",0,IF(K21&gt;0,VLOOKUP(H21,'3-Productie normen'!A:F,VLOOKUP(K21,'3-Productie normen'!$B$29:$C$34,2,FALSE),FALSE)))</f>
        <v>0</v>
      </c>
      <c r="Y21" s="485">
        <f>VLOOKUP(H21,'3-Productie normen'!$A$10:$J$24,8,FALSE)*'3-Ruimtestaat'!X21</f>
        <v>0</v>
      </c>
      <c r="Z21" s="485">
        <f>VLOOKUP(H21,'3-Productie normen'!$A$10:$J$24,9,FALSE)*'3-Ruimtestaat'!X21</f>
        <v>0</v>
      </c>
      <c r="AA21" s="485">
        <f>VLOOKUP(H21,'3-Productie normen'!$A$10:$J$24,10,FALSE)*'3-Ruimtestaat'!X21</f>
        <v>0</v>
      </c>
      <c r="AB21" s="292" t="str">
        <f>IF(H21="",0,VLOOKUP(H21,'3-Productie normen'!$A$10:$N$23,14,FALSE))</f>
        <v>V</v>
      </c>
      <c r="AD21" s="296">
        <f t="shared" si="1"/>
        <v>38434.5</v>
      </c>
      <c r="AE21" s="78"/>
      <c r="AF21" s="253"/>
      <c r="AG21" s="253"/>
      <c r="AH21" s="253"/>
      <c r="AI21" s="253"/>
      <c r="AJ21" s="253"/>
      <c r="AK21" s="253"/>
      <c r="AL21" s="253"/>
      <c r="AM21" s="253"/>
      <c r="AN21" s="253"/>
      <c r="AO21" s="253"/>
    </row>
    <row r="22" spans="1:41" ht="15" customHeight="1">
      <c r="A22" s="254">
        <v>22</v>
      </c>
      <c r="B22" s="253">
        <v>101</v>
      </c>
      <c r="C22" s="240" t="s">
        <v>49</v>
      </c>
      <c r="D22" s="288" t="s">
        <v>49</v>
      </c>
      <c r="E22" s="289" t="s">
        <v>207</v>
      </c>
      <c r="F22" s="239" t="s">
        <v>210</v>
      </c>
      <c r="G22" s="290" t="s">
        <v>221</v>
      </c>
      <c r="H22" s="291" t="s">
        <v>145</v>
      </c>
      <c r="I22" s="239" t="s">
        <v>203</v>
      </c>
      <c r="J22" s="424">
        <f t="shared" si="0"/>
        <v>365</v>
      </c>
      <c r="K22" s="425">
        <v>255</v>
      </c>
      <c r="L22" s="425"/>
      <c r="M22" s="425">
        <v>102</v>
      </c>
      <c r="N22" s="425"/>
      <c r="O22" s="425">
        <v>8</v>
      </c>
      <c r="P22" s="425"/>
      <c r="Q22" s="294">
        <v>900.79600000000016</v>
      </c>
      <c r="R22" s="295" t="e">
        <f>IF(K22="nio",0,(K22*Q22)/X22)*VLOOKUP(C22,'2-Uren per locatie'!$B$15:$D$74,3,FALSE)</f>
        <v>#DIV/0!</v>
      </c>
      <c r="S22" s="295" t="e">
        <f>IF(K22="nio",0,(L22*Q22)/Y22)*VLOOKUP(C22,'2-Uren per locatie'!$B$15:$D$74,3,FALSE)</f>
        <v>#DIV/0!</v>
      </c>
      <c r="T22" s="295" t="e">
        <f>IF(K22="nio",0,(M22*Q22)/Z22)*VLOOKUP(C22,'2-Uren per locatie'!$B$15:$D$74,3,FALSE)</f>
        <v>#DIV/0!</v>
      </c>
      <c r="U22" s="295" t="e">
        <f>IF(K22="nio",0,(N22*Q22)/AA22)*VLOOKUP(C22,'2-Uren per locatie'!$B$15:$D$74,3,FALSE)</f>
        <v>#DIV/0!</v>
      </c>
      <c r="V22" s="295" t="e">
        <f>IF(K22="nio",0,(O22*Q22)/Z22)*VLOOKUP(C22,'2-Uren per locatie'!$B$15:$D$74,3,FALSE)</f>
        <v>#DIV/0!</v>
      </c>
      <c r="W22" s="295" t="e">
        <f>IF(K22="nio",0,(P22*Q22)/AA22)*VLOOKUP(C22,'2-Uren per locatie'!$B$15:$D$74,3,FALSE)</f>
        <v>#DIV/0!</v>
      </c>
      <c r="X22" s="485">
        <f>IF(K22="nio",0,IF(K22&gt;0,VLOOKUP(H22,'3-Productie normen'!A:F,VLOOKUP(K22,'3-Productie normen'!$B$29:$C$34,2,FALSE),FALSE)))</f>
        <v>0</v>
      </c>
      <c r="Y22" s="485">
        <f>VLOOKUP(H22,'3-Productie normen'!$A$10:$J$24,8,FALSE)*'3-Ruimtestaat'!X22</f>
        <v>0</v>
      </c>
      <c r="Z22" s="485">
        <f>VLOOKUP(H22,'3-Productie normen'!$A$10:$J$24,9,FALSE)*'3-Ruimtestaat'!X22</f>
        <v>0</v>
      </c>
      <c r="AA22" s="485">
        <f>VLOOKUP(H22,'3-Productie normen'!$A$10:$J$24,10,FALSE)*'3-Ruimtestaat'!X22</f>
        <v>0</v>
      </c>
      <c r="AB22" s="292" t="str">
        <f>IF(H22="",0,VLOOKUP(H22,'3-Productie normen'!$A$10:$N$23,14,FALSE))</f>
        <v>V</v>
      </c>
      <c r="AD22" s="296">
        <f t="shared" si="1"/>
        <v>328790.54000000004</v>
      </c>
      <c r="AE22" s="78"/>
      <c r="AF22" s="253"/>
      <c r="AG22" s="253"/>
      <c r="AH22" s="253"/>
      <c r="AI22" s="253"/>
      <c r="AJ22" s="253"/>
      <c r="AK22" s="253"/>
      <c r="AL22" s="253"/>
      <c r="AM22" s="253"/>
      <c r="AN22" s="253"/>
      <c r="AO22" s="253"/>
    </row>
    <row r="23" spans="1:41" ht="15" customHeight="1">
      <c r="A23" s="254">
        <v>23</v>
      </c>
      <c r="B23" s="253">
        <v>101</v>
      </c>
      <c r="C23" s="240" t="s">
        <v>49</v>
      </c>
      <c r="D23" s="288" t="s">
        <v>49</v>
      </c>
      <c r="E23" s="289" t="s">
        <v>207</v>
      </c>
      <c r="F23" s="239" t="s">
        <v>222</v>
      </c>
      <c r="G23" s="290" t="s">
        <v>223</v>
      </c>
      <c r="H23" s="291" t="s">
        <v>155</v>
      </c>
      <c r="I23" s="239" t="s">
        <v>206</v>
      </c>
      <c r="J23" s="424">
        <f t="shared" si="0"/>
        <v>365</v>
      </c>
      <c r="K23" s="425">
        <v>255</v>
      </c>
      <c r="L23" s="425"/>
      <c r="M23" s="425">
        <v>102</v>
      </c>
      <c r="N23" s="425"/>
      <c r="O23" s="425">
        <v>8</v>
      </c>
      <c r="P23" s="425"/>
      <c r="Q23" s="294">
        <v>19.5</v>
      </c>
      <c r="R23" s="295" t="e">
        <f>IF(K23="nio",0,(K23*Q23)/X23)*VLOOKUP(C23,'2-Uren per locatie'!$B$15:$D$74,3,FALSE)</f>
        <v>#DIV/0!</v>
      </c>
      <c r="S23" s="295" t="e">
        <f>IF(K23="nio",0,(L23*Q23)/Y23)*VLOOKUP(C23,'2-Uren per locatie'!$B$15:$D$74,3,FALSE)</f>
        <v>#DIV/0!</v>
      </c>
      <c r="T23" s="295" t="e">
        <f>IF(K23="nio",0,(M23*Q23)/Z23)*VLOOKUP(C23,'2-Uren per locatie'!$B$15:$D$74,3,FALSE)</f>
        <v>#DIV/0!</v>
      </c>
      <c r="U23" s="295" t="e">
        <f>IF(K23="nio",0,(N23*Q23)/AA23)*VLOOKUP(C23,'2-Uren per locatie'!$B$15:$D$74,3,FALSE)</f>
        <v>#DIV/0!</v>
      </c>
      <c r="V23" s="295" t="e">
        <f>IF(K23="nio",0,(O23*Q23)/Z23)*VLOOKUP(C23,'2-Uren per locatie'!$B$15:$D$74,3,FALSE)</f>
        <v>#DIV/0!</v>
      </c>
      <c r="W23" s="295" t="e">
        <f>IF(K23="nio",0,(P23*Q23)/AA23)*VLOOKUP(C23,'2-Uren per locatie'!$B$15:$D$74,3,FALSE)</f>
        <v>#DIV/0!</v>
      </c>
      <c r="X23" s="485">
        <f>IF(K23="nio",0,IF(K23&gt;0,VLOOKUP(H23,'3-Productie normen'!A:F,VLOOKUP(K23,'3-Productie normen'!$B$29:$C$34,2,FALSE),FALSE)))</f>
        <v>0</v>
      </c>
      <c r="Y23" s="485">
        <f>VLOOKUP(H23,'3-Productie normen'!$A$10:$J$24,8,FALSE)*'3-Ruimtestaat'!X23</f>
        <v>0</v>
      </c>
      <c r="Z23" s="485">
        <f>VLOOKUP(H23,'3-Productie normen'!$A$10:$J$24,9,FALSE)*'3-Ruimtestaat'!X23</f>
        <v>0</v>
      </c>
      <c r="AA23" s="485">
        <f>VLOOKUP(H23,'3-Productie normen'!$A$10:$J$24,10,FALSE)*'3-Ruimtestaat'!X23</f>
        <v>0</v>
      </c>
      <c r="AB23" s="292" t="str">
        <f>IF(H23="",0,VLOOKUP(H23,'3-Productie normen'!$A$10:$N$23,14,FALSE))</f>
        <v>V</v>
      </c>
      <c r="AD23" s="296">
        <f t="shared" si="1"/>
        <v>7117.5</v>
      </c>
      <c r="AE23" s="78"/>
      <c r="AF23" s="253"/>
      <c r="AG23" s="253"/>
      <c r="AH23" s="253"/>
      <c r="AI23" s="253"/>
      <c r="AJ23" s="253"/>
      <c r="AK23" s="253"/>
      <c r="AL23" s="253"/>
      <c r="AM23" s="253"/>
      <c r="AN23" s="253"/>
      <c r="AO23" s="253"/>
    </row>
    <row r="24" spans="1:41" ht="15" customHeight="1">
      <c r="A24" s="254">
        <v>24</v>
      </c>
      <c r="B24" s="253">
        <v>101</v>
      </c>
      <c r="C24" s="240" t="s">
        <v>49</v>
      </c>
      <c r="D24" s="288" t="s">
        <v>49</v>
      </c>
      <c r="E24" s="289" t="s">
        <v>207</v>
      </c>
      <c r="F24" s="239" t="s">
        <v>224</v>
      </c>
      <c r="G24" s="290" t="s">
        <v>225</v>
      </c>
      <c r="H24" s="291" t="s">
        <v>155</v>
      </c>
      <c r="I24" s="239" t="s">
        <v>206</v>
      </c>
      <c r="J24" s="424">
        <f t="shared" si="0"/>
        <v>365</v>
      </c>
      <c r="K24" s="425">
        <v>255</v>
      </c>
      <c r="L24" s="425"/>
      <c r="M24" s="425">
        <v>102</v>
      </c>
      <c r="N24" s="425"/>
      <c r="O24" s="425">
        <v>8</v>
      </c>
      <c r="P24" s="425"/>
      <c r="Q24" s="294">
        <v>35.1</v>
      </c>
      <c r="R24" s="295" t="e">
        <f>IF(K24="nio",0,(K24*Q24)/X24)*VLOOKUP(C24,'2-Uren per locatie'!$B$15:$D$74,3,FALSE)</f>
        <v>#DIV/0!</v>
      </c>
      <c r="S24" s="295" t="e">
        <f>IF(K24="nio",0,(L24*Q24)/Y24)*VLOOKUP(C24,'2-Uren per locatie'!$B$15:$D$74,3,FALSE)</f>
        <v>#DIV/0!</v>
      </c>
      <c r="T24" s="295" t="e">
        <f>IF(K24="nio",0,(M24*Q24)/Z24)*VLOOKUP(C24,'2-Uren per locatie'!$B$15:$D$74,3,FALSE)</f>
        <v>#DIV/0!</v>
      </c>
      <c r="U24" s="295" t="e">
        <f>IF(K24="nio",0,(N24*Q24)/AA24)*VLOOKUP(C24,'2-Uren per locatie'!$B$15:$D$74,3,FALSE)</f>
        <v>#DIV/0!</v>
      </c>
      <c r="V24" s="295" t="e">
        <f>IF(K24="nio",0,(O24*Q24)/Z24)*VLOOKUP(C24,'2-Uren per locatie'!$B$15:$D$74,3,FALSE)</f>
        <v>#DIV/0!</v>
      </c>
      <c r="W24" s="295" t="e">
        <f>IF(K24="nio",0,(P24*Q24)/AA24)*VLOOKUP(C24,'2-Uren per locatie'!$B$15:$D$74,3,FALSE)</f>
        <v>#DIV/0!</v>
      </c>
      <c r="X24" s="485">
        <f>IF(K24="nio",0,IF(K24&gt;0,VLOOKUP(H24,'3-Productie normen'!A:F,VLOOKUP(K24,'3-Productie normen'!$B$29:$C$34,2,FALSE),FALSE)))</f>
        <v>0</v>
      </c>
      <c r="Y24" s="485">
        <f>VLOOKUP(H24,'3-Productie normen'!$A$10:$J$24,8,FALSE)*'3-Ruimtestaat'!X24</f>
        <v>0</v>
      </c>
      <c r="Z24" s="485">
        <f>VLOOKUP(H24,'3-Productie normen'!$A$10:$J$24,9,FALSE)*'3-Ruimtestaat'!X24</f>
        <v>0</v>
      </c>
      <c r="AA24" s="485">
        <f>VLOOKUP(H24,'3-Productie normen'!$A$10:$J$24,10,FALSE)*'3-Ruimtestaat'!X24</f>
        <v>0</v>
      </c>
      <c r="AB24" s="292" t="str">
        <f>IF(H24="",0,VLOOKUP(H24,'3-Productie normen'!$A$10:$N$23,14,FALSE))</f>
        <v>V</v>
      </c>
      <c r="AD24" s="296">
        <f t="shared" si="1"/>
        <v>12811.5</v>
      </c>
      <c r="AE24" s="78"/>
      <c r="AF24" s="253"/>
      <c r="AG24" s="253"/>
      <c r="AH24" s="253"/>
      <c r="AI24" s="253"/>
      <c r="AJ24" s="253"/>
      <c r="AK24" s="253"/>
      <c r="AL24" s="253"/>
      <c r="AM24" s="253"/>
      <c r="AN24" s="253"/>
      <c r="AO24" s="253"/>
    </row>
    <row r="25" spans="1:41" ht="15" customHeight="1">
      <c r="A25" s="254">
        <v>25</v>
      </c>
      <c r="B25" s="253">
        <v>101</v>
      </c>
      <c r="C25" s="240" t="s">
        <v>49</v>
      </c>
      <c r="D25" s="288" t="s">
        <v>49</v>
      </c>
      <c r="E25" s="289" t="s">
        <v>207</v>
      </c>
      <c r="F25" s="239" t="s">
        <v>226</v>
      </c>
      <c r="G25" s="290" t="s">
        <v>227</v>
      </c>
      <c r="H25" s="291" t="s">
        <v>155</v>
      </c>
      <c r="I25" s="239" t="s">
        <v>206</v>
      </c>
      <c r="J25" s="424">
        <f t="shared" si="0"/>
        <v>365</v>
      </c>
      <c r="K25" s="425">
        <v>255</v>
      </c>
      <c r="L25" s="425"/>
      <c r="M25" s="425">
        <v>102</v>
      </c>
      <c r="N25" s="425"/>
      <c r="O25" s="425">
        <v>8</v>
      </c>
      <c r="P25" s="425"/>
      <c r="Q25" s="294">
        <v>42.9</v>
      </c>
      <c r="R25" s="295" t="e">
        <f>IF(K25="nio",0,(K25*Q25)/X25)*VLOOKUP(C25,'2-Uren per locatie'!$B$15:$D$74,3,FALSE)</f>
        <v>#DIV/0!</v>
      </c>
      <c r="S25" s="295" t="e">
        <f>IF(K25="nio",0,(L25*Q25)/Y25)*VLOOKUP(C25,'2-Uren per locatie'!$B$15:$D$74,3,FALSE)</f>
        <v>#DIV/0!</v>
      </c>
      <c r="T25" s="295" t="e">
        <f>IF(K25="nio",0,(M25*Q25)/Z25)*VLOOKUP(C25,'2-Uren per locatie'!$B$15:$D$74,3,FALSE)</f>
        <v>#DIV/0!</v>
      </c>
      <c r="U25" s="295" t="e">
        <f>IF(K25="nio",0,(N25*Q25)/AA25)*VLOOKUP(C25,'2-Uren per locatie'!$B$15:$D$74,3,FALSE)</f>
        <v>#DIV/0!</v>
      </c>
      <c r="V25" s="295" t="e">
        <f>IF(K25="nio",0,(O25*Q25)/Z25)*VLOOKUP(C25,'2-Uren per locatie'!$B$15:$D$74,3,FALSE)</f>
        <v>#DIV/0!</v>
      </c>
      <c r="W25" s="295" t="e">
        <f>IF(K25="nio",0,(P25*Q25)/AA25)*VLOOKUP(C25,'2-Uren per locatie'!$B$15:$D$74,3,FALSE)</f>
        <v>#DIV/0!</v>
      </c>
      <c r="X25" s="485">
        <f>IF(K25="nio",0,IF(K25&gt;0,VLOOKUP(H25,'3-Productie normen'!A:F,VLOOKUP(K25,'3-Productie normen'!$B$29:$C$34,2,FALSE),FALSE)))</f>
        <v>0</v>
      </c>
      <c r="Y25" s="485">
        <f>VLOOKUP(H25,'3-Productie normen'!$A$10:$J$24,8,FALSE)*'3-Ruimtestaat'!X25</f>
        <v>0</v>
      </c>
      <c r="Z25" s="485">
        <f>VLOOKUP(H25,'3-Productie normen'!$A$10:$J$24,9,FALSE)*'3-Ruimtestaat'!X25</f>
        <v>0</v>
      </c>
      <c r="AA25" s="485">
        <f>VLOOKUP(H25,'3-Productie normen'!$A$10:$J$24,10,FALSE)*'3-Ruimtestaat'!X25</f>
        <v>0</v>
      </c>
      <c r="AB25" s="292" t="str">
        <f>IF(H25="",0,VLOOKUP(H25,'3-Productie normen'!$A$10:$N$23,14,FALSE))</f>
        <v>V</v>
      </c>
      <c r="AD25" s="296">
        <f t="shared" si="1"/>
        <v>15658.5</v>
      </c>
      <c r="AE25" s="78"/>
      <c r="AF25" s="253"/>
      <c r="AG25" s="253"/>
      <c r="AH25" s="253"/>
      <c r="AI25" s="253"/>
      <c r="AJ25" s="253"/>
      <c r="AK25" s="253"/>
      <c r="AL25" s="253"/>
      <c r="AM25" s="253"/>
      <c r="AN25" s="253"/>
      <c r="AO25" s="253"/>
    </row>
    <row r="26" spans="1:41" ht="15" customHeight="1">
      <c r="A26" s="254">
        <v>26</v>
      </c>
      <c r="B26" s="253">
        <v>101</v>
      </c>
      <c r="C26" s="240" t="s">
        <v>49</v>
      </c>
      <c r="D26" s="288" t="s">
        <v>49</v>
      </c>
      <c r="E26" s="289" t="s">
        <v>207</v>
      </c>
      <c r="F26" s="239" t="s">
        <v>226</v>
      </c>
      <c r="G26" s="290" t="s">
        <v>228</v>
      </c>
      <c r="H26" s="291" t="s">
        <v>155</v>
      </c>
      <c r="I26" s="239" t="s">
        <v>209</v>
      </c>
      <c r="J26" s="424">
        <f t="shared" si="0"/>
        <v>365</v>
      </c>
      <c r="K26" s="425">
        <v>255</v>
      </c>
      <c r="L26" s="425"/>
      <c r="M26" s="425">
        <v>102</v>
      </c>
      <c r="N26" s="425"/>
      <c r="O26" s="425">
        <v>8</v>
      </c>
      <c r="P26" s="425"/>
      <c r="Q26" s="294">
        <v>0</v>
      </c>
      <c r="R26" s="295" t="e">
        <f>IF(K26="nio",0,(K26*Q26)/X26)*VLOOKUP(C26,'2-Uren per locatie'!$B$15:$D$74,3,FALSE)</f>
        <v>#DIV/0!</v>
      </c>
      <c r="S26" s="295" t="e">
        <f>IF(K26="nio",0,(L26*Q26)/Y26)*VLOOKUP(C26,'2-Uren per locatie'!$B$15:$D$74,3,FALSE)</f>
        <v>#DIV/0!</v>
      </c>
      <c r="T26" s="295" t="e">
        <f>IF(K26="nio",0,(M26*Q26)/Z26)*VLOOKUP(C26,'2-Uren per locatie'!$B$15:$D$74,3,FALSE)</f>
        <v>#DIV/0!</v>
      </c>
      <c r="U26" s="295" t="e">
        <f>IF(K26="nio",0,(N26*Q26)/AA26)*VLOOKUP(C26,'2-Uren per locatie'!$B$15:$D$74,3,FALSE)</f>
        <v>#DIV/0!</v>
      </c>
      <c r="V26" s="295" t="e">
        <f>IF(K26="nio",0,(O26*Q26)/Z26)*VLOOKUP(C26,'2-Uren per locatie'!$B$15:$D$74,3,FALSE)</f>
        <v>#DIV/0!</v>
      </c>
      <c r="W26" s="295" t="e">
        <f>IF(K26="nio",0,(P26*Q26)/AA26)*VLOOKUP(C26,'2-Uren per locatie'!$B$15:$D$74,3,FALSE)</f>
        <v>#DIV/0!</v>
      </c>
      <c r="X26" s="485">
        <f>IF(K26="nio",0,IF(K26&gt;0,VLOOKUP(H26,'3-Productie normen'!A:F,VLOOKUP(K26,'3-Productie normen'!$B$29:$C$34,2,FALSE),FALSE)))</f>
        <v>0</v>
      </c>
      <c r="Y26" s="485">
        <f>VLOOKUP(H26,'3-Productie normen'!$A$10:$J$24,8,FALSE)*'3-Ruimtestaat'!X26</f>
        <v>0</v>
      </c>
      <c r="Z26" s="485">
        <f>VLOOKUP(H26,'3-Productie normen'!$A$10:$J$24,9,FALSE)*'3-Ruimtestaat'!X26</f>
        <v>0</v>
      </c>
      <c r="AA26" s="485">
        <f>VLOOKUP(H26,'3-Productie normen'!$A$10:$J$24,10,FALSE)*'3-Ruimtestaat'!X26</f>
        <v>0</v>
      </c>
      <c r="AB26" s="292" t="str">
        <f>IF(H26="",0,VLOOKUP(H26,'3-Productie normen'!$A$10:$N$23,14,FALSE))</f>
        <v>V</v>
      </c>
      <c r="AD26" s="296">
        <f t="shared" si="1"/>
        <v>0</v>
      </c>
      <c r="AE26" s="78"/>
      <c r="AF26" s="253"/>
      <c r="AG26" s="253"/>
      <c r="AH26" s="253"/>
      <c r="AI26" s="253"/>
      <c r="AJ26" s="253"/>
      <c r="AK26" s="253"/>
      <c r="AL26" s="253"/>
      <c r="AM26" s="253"/>
      <c r="AN26" s="253"/>
      <c r="AO26" s="253"/>
    </row>
    <row r="27" spans="1:41" ht="15" customHeight="1">
      <c r="A27" s="254">
        <v>27</v>
      </c>
      <c r="B27" s="253">
        <v>101</v>
      </c>
      <c r="C27" s="240" t="s">
        <v>49</v>
      </c>
      <c r="D27" s="288" t="s">
        <v>49</v>
      </c>
      <c r="E27" s="289" t="s">
        <v>207</v>
      </c>
      <c r="F27" s="239" t="s">
        <v>229</v>
      </c>
      <c r="G27" s="290" t="s">
        <v>230</v>
      </c>
      <c r="H27" s="291" t="s">
        <v>155</v>
      </c>
      <c r="I27" s="239" t="s">
        <v>206</v>
      </c>
      <c r="J27" s="424">
        <f t="shared" si="0"/>
        <v>365</v>
      </c>
      <c r="K27" s="425">
        <v>255</v>
      </c>
      <c r="L27" s="425"/>
      <c r="M27" s="425">
        <v>102</v>
      </c>
      <c r="N27" s="425"/>
      <c r="O27" s="425">
        <v>8</v>
      </c>
      <c r="P27" s="425"/>
      <c r="Q27" s="294">
        <v>57.2</v>
      </c>
      <c r="R27" s="295" t="e">
        <f>IF(K27="nio",0,(K27*Q27)/X27)*VLOOKUP(C27,'2-Uren per locatie'!$B$15:$D$74,3,FALSE)</f>
        <v>#DIV/0!</v>
      </c>
      <c r="S27" s="295" t="e">
        <f>IF(K27="nio",0,(L27*Q27)/Y27)*VLOOKUP(C27,'2-Uren per locatie'!$B$15:$D$74,3,FALSE)</f>
        <v>#DIV/0!</v>
      </c>
      <c r="T27" s="295" t="e">
        <f>IF(K27="nio",0,(M27*Q27)/Z27)*VLOOKUP(C27,'2-Uren per locatie'!$B$15:$D$74,3,FALSE)</f>
        <v>#DIV/0!</v>
      </c>
      <c r="U27" s="295" t="e">
        <f>IF(K27="nio",0,(N27*Q27)/AA27)*VLOOKUP(C27,'2-Uren per locatie'!$B$15:$D$74,3,FALSE)</f>
        <v>#DIV/0!</v>
      </c>
      <c r="V27" s="295" t="e">
        <f>IF(K27="nio",0,(O27*Q27)/Z27)*VLOOKUP(C27,'2-Uren per locatie'!$B$15:$D$74,3,FALSE)</f>
        <v>#DIV/0!</v>
      </c>
      <c r="W27" s="295" t="e">
        <f>IF(K27="nio",0,(P27*Q27)/AA27)*VLOOKUP(C27,'2-Uren per locatie'!$B$15:$D$74,3,FALSE)</f>
        <v>#DIV/0!</v>
      </c>
      <c r="X27" s="485">
        <f>IF(K27="nio",0,IF(K27&gt;0,VLOOKUP(H27,'3-Productie normen'!A:F,VLOOKUP(K27,'3-Productie normen'!$B$29:$C$34,2,FALSE),FALSE)))</f>
        <v>0</v>
      </c>
      <c r="Y27" s="485">
        <f>VLOOKUP(H27,'3-Productie normen'!$A$10:$J$24,8,FALSE)*'3-Ruimtestaat'!X27</f>
        <v>0</v>
      </c>
      <c r="Z27" s="485">
        <f>VLOOKUP(H27,'3-Productie normen'!$A$10:$J$24,9,FALSE)*'3-Ruimtestaat'!X27</f>
        <v>0</v>
      </c>
      <c r="AA27" s="485">
        <f>VLOOKUP(H27,'3-Productie normen'!$A$10:$J$24,10,FALSE)*'3-Ruimtestaat'!X27</f>
        <v>0</v>
      </c>
      <c r="AB27" s="292" t="str">
        <f>IF(H27="",0,VLOOKUP(H27,'3-Productie normen'!$A$10:$N$23,14,FALSE))</f>
        <v>V</v>
      </c>
      <c r="AD27" s="296">
        <f t="shared" si="1"/>
        <v>20878</v>
      </c>
      <c r="AE27" s="78"/>
      <c r="AF27" s="253"/>
      <c r="AG27" s="253"/>
      <c r="AH27" s="253"/>
      <c r="AI27" s="253"/>
      <c r="AJ27" s="253"/>
      <c r="AK27" s="253"/>
      <c r="AL27" s="253"/>
      <c r="AM27" s="253"/>
      <c r="AN27" s="253"/>
      <c r="AO27" s="253"/>
    </row>
    <row r="28" spans="1:41" ht="15" customHeight="1">
      <c r="A28" s="254">
        <v>28</v>
      </c>
      <c r="B28" s="253">
        <v>101</v>
      </c>
      <c r="C28" s="240" t="s">
        <v>49</v>
      </c>
      <c r="D28" s="288" t="s">
        <v>49</v>
      </c>
      <c r="E28" s="289" t="s">
        <v>207</v>
      </c>
      <c r="F28" s="239" t="s">
        <v>231</v>
      </c>
      <c r="G28" s="290" t="s">
        <v>232</v>
      </c>
      <c r="H28" s="291" t="s">
        <v>153</v>
      </c>
      <c r="I28" s="239" t="s">
        <v>233</v>
      </c>
      <c r="J28" s="424">
        <f t="shared" si="0"/>
        <v>365</v>
      </c>
      <c r="K28" s="425">
        <v>255</v>
      </c>
      <c r="L28" s="425"/>
      <c r="M28" s="425">
        <v>102</v>
      </c>
      <c r="N28" s="425"/>
      <c r="O28" s="425">
        <v>8</v>
      </c>
      <c r="P28" s="425"/>
      <c r="Q28" s="294">
        <v>0</v>
      </c>
      <c r="R28" s="295" t="e">
        <f>IF(K28="nio",0,(K28*Q28)/X28)*VLOOKUP(C28,'2-Uren per locatie'!$B$15:$D$74,3,FALSE)</f>
        <v>#DIV/0!</v>
      </c>
      <c r="S28" s="295" t="e">
        <f>IF(K28="nio",0,(L28*Q28)/Y28)*VLOOKUP(C28,'2-Uren per locatie'!$B$15:$D$74,3,FALSE)</f>
        <v>#DIV/0!</v>
      </c>
      <c r="T28" s="295" t="e">
        <f>IF(K28="nio",0,(M28*Q28)/Z28)*VLOOKUP(C28,'2-Uren per locatie'!$B$15:$D$74,3,FALSE)</f>
        <v>#DIV/0!</v>
      </c>
      <c r="U28" s="295" t="e">
        <f>IF(K28="nio",0,(N28*Q28)/AA28)*VLOOKUP(C28,'2-Uren per locatie'!$B$15:$D$74,3,FALSE)</f>
        <v>#DIV/0!</v>
      </c>
      <c r="V28" s="295" t="e">
        <f>IF(K28="nio",0,(O28*Q28)/Z28)*VLOOKUP(C28,'2-Uren per locatie'!$B$15:$D$74,3,FALSE)</f>
        <v>#DIV/0!</v>
      </c>
      <c r="W28" s="295" t="e">
        <f>IF(K28="nio",0,(P28*Q28)/AA28)*VLOOKUP(C28,'2-Uren per locatie'!$B$15:$D$74,3,FALSE)</f>
        <v>#DIV/0!</v>
      </c>
      <c r="X28" s="485">
        <f>IF(K28="nio",0,IF(K28&gt;0,VLOOKUP(H28,'3-Productie normen'!A:F,VLOOKUP(K28,'3-Productie normen'!$B$29:$C$34,2,FALSE),FALSE)))</f>
        <v>0</v>
      </c>
      <c r="Y28" s="485">
        <f>VLOOKUP(H28,'3-Productie normen'!$A$10:$J$24,8,FALSE)*'3-Ruimtestaat'!X28</f>
        <v>0</v>
      </c>
      <c r="Z28" s="485">
        <f>VLOOKUP(H28,'3-Productie normen'!$A$10:$J$24,9,FALSE)*'3-Ruimtestaat'!X28</f>
        <v>0</v>
      </c>
      <c r="AA28" s="485">
        <f>VLOOKUP(H28,'3-Productie normen'!$A$10:$J$24,10,FALSE)*'3-Ruimtestaat'!X28</f>
        <v>0</v>
      </c>
      <c r="AB28" s="292" t="str">
        <f>IF(H28="",0,VLOOKUP(H28,'3-Productie normen'!$A$10:$N$23,14,FALSE))</f>
        <v>S</v>
      </c>
      <c r="AD28" s="296">
        <f t="shared" si="1"/>
        <v>0</v>
      </c>
      <c r="AE28" s="78"/>
      <c r="AF28" s="253"/>
      <c r="AG28" s="253"/>
      <c r="AH28" s="253"/>
      <c r="AI28" s="253"/>
      <c r="AJ28" s="253"/>
      <c r="AK28" s="253"/>
      <c r="AL28" s="253"/>
      <c r="AM28" s="253"/>
      <c r="AN28" s="253"/>
      <c r="AO28" s="253"/>
    </row>
    <row r="29" spans="1:41" ht="15" customHeight="1">
      <c r="A29" s="254">
        <v>29</v>
      </c>
      <c r="B29" s="253">
        <v>101</v>
      </c>
      <c r="C29" s="240" t="s">
        <v>49</v>
      </c>
      <c r="D29" s="288" t="s">
        <v>49</v>
      </c>
      <c r="E29" s="289" t="s">
        <v>207</v>
      </c>
      <c r="F29" s="239" t="s">
        <v>231</v>
      </c>
      <c r="G29" s="290" t="s">
        <v>234</v>
      </c>
      <c r="H29" s="291" t="s">
        <v>153</v>
      </c>
      <c r="I29" s="239" t="s">
        <v>203</v>
      </c>
      <c r="J29" s="424">
        <f t="shared" si="0"/>
        <v>365</v>
      </c>
      <c r="K29" s="425">
        <v>255</v>
      </c>
      <c r="L29" s="425"/>
      <c r="M29" s="425">
        <v>102</v>
      </c>
      <c r="N29" s="425"/>
      <c r="O29" s="425">
        <v>8</v>
      </c>
      <c r="P29" s="425"/>
      <c r="Q29" s="294">
        <v>1.3</v>
      </c>
      <c r="R29" s="295" t="e">
        <f>IF(K29="nio",0,(K29*Q29)/X29)*VLOOKUP(C29,'2-Uren per locatie'!$B$15:$D$74,3,FALSE)</f>
        <v>#DIV/0!</v>
      </c>
      <c r="S29" s="295" t="e">
        <f>IF(K29="nio",0,(L29*Q29)/Y29)*VLOOKUP(C29,'2-Uren per locatie'!$B$15:$D$74,3,FALSE)</f>
        <v>#DIV/0!</v>
      </c>
      <c r="T29" s="295" t="e">
        <f>IF(K29="nio",0,(M29*Q29)/Z29)*VLOOKUP(C29,'2-Uren per locatie'!$B$15:$D$74,3,FALSE)</f>
        <v>#DIV/0!</v>
      </c>
      <c r="U29" s="295" t="e">
        <f>IF(K29="nio",0,(N29*Q29)/AA29)*VLOOKUP(C29,'2-Uren per locatie'!$B$15:$D$74,3,FALSE)</f>
        <v>#DIV/0!</v>
      </c>
      <c r="V29" s="295" t="e">
        <f>IF(K29="nio",0,(O29*Q29)/Z29)*VLOOKUP(C29,'2-Uren per locatie'!$B$15:$D$74,3,FALSE)</f>
        <v>#DIV/0!</v>
      </c>
      <c r="W29" s="295" t="e">
        <f>IF(K29="nio",0,(P29*Q29)/AA29)*VLOOKUP(C29,'2-Uren per locatie'!$B$15:$D$74,3,FALSE)</f>
        <v>#DIV/0!</v>
      </c>
      <c r="X29" s="485">
        <f>IF(K29="nio",0,IF(K29&gt;0,VLOOKUP(H29,'3-Productie normen'!A:F,VLOOKUP(K29,'3-Productie normen'!$B$29:$C$34,2,FALSE),FALSE)))</f>
        <v>0</v>
      </c>
      <c r="Y29" s="485">
        <f>VLOOKUP(H29,'3-Productie normen'!$A$10:$J$24,8,FALSE)*'3-Ruimtestaat'!X29</f>
        <v>0</v>
      </c>
      <c r="Z29" s="485">
        <f>VLOOKUP(H29,'3-Productie normen'!$A$10:$J$24,9,FALSE)*'3-Ruimtestaat'!X29</f>
        <v>0</v>
      </c>
      <c r="AA29" s="485">
        <f>VLOOKUP(H29,'3-Productie normen'!$A$10:$J$24,10,FALSE)*'3-Ruimtestaat'!X29</f>
        <v>0</v>
      </c>
      <c r="AB29" s="292" t="str">
        <f>IF(H29="",0,VLOOKUP(H29,'3-Productie normen'!$A$10:$N$23,14,FALSE))</f>
        <v>S</v>
      </c>
      <c r="AD29" s="296">
        <f t="shared" si="1"/>
        <v>474.5</v>
      </c>
      <c r="AE29" s="78"/>
      <c r="AF29" s="253"/>
      <c r="AG29" s="253"/>
      <c r="AH29" s="253"/>
      <c r="AI29" s="253"/>
      <c r="AJ29" s="253"/>
      <c r="AK29" s="253"/>
      <c r="AL29" s="253"/>
      <c r="AM29" s="253"/>
      <c r="AN29" s="253"/>
      <c r="AO29" s="253"/>
    </row>
    <row r="30" spans="1:41" ht="15" customHeight="1">
      <c r="A30" s="254">
        <v>30</v>
      </c>
      <c r="B30" s="253">
        <v>101</v>
      </c>
      <c r="C30" s="240" t="s">
        <v>49</v>
      </c>
      <c r="D30" s="288" t="s">
        <v>49</v>
      </c>
      <c r="E30" s="289" t="s">
        <v>207</v>
      </c>
      <c r="F30" s="239" t="s">
        <v>231</v>
      </c>
      <c r="G30" s="290" t="s">
        <v>235</v>
      </c>
      <c r="H30" s="291" t="s">
        <v>153</v>
      </c>
      <c r="I30" s="239" t="s">
        <v>203</v>
      </c>
      <c r="J30" s="424">
        <f t="shared" si="0"/>
        <v>365</v>
      </c>
      <c r="K30" s="425">
        <v>255</v>
      </c>
      <c r="L30" s="425"/>
      <c r="M30" s="425">
        <v>102</v>
      </c>
      <c r="N30" s="425"/>
      <c r="O30" s="425">
        <v>8</v>
      </c>
      <c r="P30" s="425"/>
      <c r="Q30" s="294">
        <v>1.3</v>
      </c>
      <c r="R30" s="295" t="e">
        <f>IF(K30="nio",0,(K30*Q30)/X30)*VLOOKUP(C30,'2-Uren per locatie'!$B$15:$D$74,3,FALSE)</f>
        <v>#DIV/0!</v>
      </c>
      <c r="S30" s="295" t="e">
        <f>IF(K30="nio",0,(L30*Q30)/Y30)*VLOOKUP(C30,'2-Uren per locatie'!$B$15:$D$74,3,FALSE)</f>
        <v>#DIV/0!</v>
      </c>
      <c r="T30" s="295" t="e">
        <f>IF(K30="nio",0,(M30*Q30)/Z30)*VLOOKUP(C30,'2-Uren per locatie'!$B$15:$D$74,3,FALSE)</f>
        <v>#DIV/0!</v>
      </c>
      <c r="U30" s="295" t="e">
        <f>IF(K30="nio",0,(N30*Q30)/AA30)*VLOOKUP(C30,'2-Uren per locatie'!$B$15:$D$74,3,FALSE)</f>
        <v>#DIV/0!</v>
      </c>
      <c r="V30" s="295" t="e">
        <f>IF(K30="nio",0,(O30*Q30)/Z30)*VLOOKUP(C30,'2-Uren per locatie'!$B$15:$D$74,3,FALSE)</f>
        <v>#DIV/0!</v>
      </c>
      <c r="W30" s="295" t="e">
        <f>IF(K30="nio",0,(P30*Q30)/AA30)*VLOOKUP(C30,'2-Uren per locatie'!$B$15:$D$74,3,FALSE)</f>
        <v>#DIV/0!</v>
      </c>
      <c r="X30" s="485">
        <f>IF(K30="nio",0,IF(K30&gt;0,VLOOKUP(H30,'3-Productie normen'!A:F,VLOOKUP(K30,'3-Productie normen'!$B$29:$C$34,2,FALSE),FALSE)))</f>
        <v>0</v>
      </c>
      <c r="Y30" s="485">
        <f>VLOOKUP(H30,'3-Productie normen'!$A$10:$J$24,8,FALSE)*'3-Ruimtestaat'!X30</f>
        <v>0</v>
      </c>
      <c r="Z30" s="485">
        <f>VLOOKUP(H30,'3-Productie normen'!$A$10:$J$24,9,FALSE)*'3-Ruimtestaat'!X30</f>
        <v>0</v>
      </c>
      <c r="AA30" s="485">
        <f>VLOOKUP(H30,'3-Productie normen'!$A$10:$J$24,10,FALSE)*'3-Ruimtestaat'!X30</f>
        <v>0</v>
      </c>
      <c r="AB30" s="292" t="str">
        <f>IF(H30="",0,VLOOKUP(H30,'3-Productie normen'!$A$10:$N$23,14,FALSE))</f>
        <v>S</v>
      </c>
      <c r="AD30" s="296">
        <f t="shared" si="1"/>
        <v>474.5</v>
      </c>
      <c r="AE30" s="78"/>
      <c r="AF30" s="253"/>
      <c r="AG30" s="253"/>
      <c r="AH30" s="253"/>
      <c r="AI30" s="253"/>
      <c r="AJ30" s="253"/>
      <c r="AK30" s="253"/>
      <c r="AL30" s="253"/>
      <c r="AM30" s="253"/>
      <c r="AN30" s="253"/>
      <c r="AO30" s="253"/>
    </row>
    <row r="31" spans="1:41" ht="15" customHeight="1">
      <c r="A31" s="254">
        <v>31</v>
      </c>
      <c r="B31" s="253">
        <v>101</v>
      </c>
      <c r="C31" s="240" t="s">
        <v>49</v>
      </c>
      <c r="D31" s="288" t="s">
        <v>49</v>
      </c>
      <c r="E31" s="289" t="s">
        <v>207</v>
      </c>
      <c r="F31" s="239" t="s">
        <v>236</v>
      </c>
      <c r="G31" s="290" t="s">
        <v>237</v>
      </c>
      <c r="H31" s="291" t="s">
        <v>153</v>
      </c>
      <c r="I31" s="239" t="s">
        <v>203</v>
      </c>
      <c r="J31" s="424">
        <f t="shared" si="0"/>
        <v>365</v>
      </c>
      <c r="K31" s="425">
        <v>255</v>
      </c>
      <c r="L31" s="425"/>
      <c r="M31" s="425">
        <v>102</v>
      </c>
      <c r="N31" s="425"/>
      <c r="O31" s="425">
        <v>8</v>
      </c>
      <c r="P31" s="425"/>
      <c r="Q31" s="294">
        <v>3</v>
      </c>
      <c r="R31" s="295" t="e">
        <f>IF(K31="nio",0,(K31*Q31)/X31)*VLOOKUP(C31,'2-Uren per locatie'!$B$15:$D$74,3,FALSE)</f>
        <v>#DIV/0!</v>
      </c>
      <c r="S31" s="295" t="e">
        <f>IF(K31="nio",0,(L31*Q31)/Y31)*VLOOKUP(C31,'2-Uren per locatie'!$B$15:$D$74,3,FALSE)</f>
        <v>#DIV/0!</v>
      </c>
      <c r="T31" s="295" t="e">
        <f>IF(K31="nio",0,(M31*Q31)/Z31)*VLOOKUP(C31,'2-Uren per locatie'!$B$15:$D$74,3,FALSE)</f>
        <v>#DIV/0!</v>
      </c>
      <c r="U31" s="295" t="e">
        <f>IF(K31="nio",0,(N31*Q31)/AA31)*VLOOKUP(C31,'2-Uren per locatie'!$B$15:$D$74,3,FALSE)</f>
        <v>#DIV/0!</v>
      </c>
      <c r="V31" s="295" t="e">
        <f>IF(K31="nio",0,(O31*Q31)/Z31)*VLOOKUP(C31,'2-Uren per locatie'!$B$15:$D$74,3,FALSE)</f>
        <v>#DIV/0!</v>
      </c>
      <c r="W31" s="295" t="e">
        <f>IF(K31="nio",0,(P31*Q31)/AA31)*VLOOKUP(C31,'2-Uren per locatie'!$B$15:$D$74,3,FALSE)</f>
        <v>#DIV/0!</v>
      </c>
      <c r="X31" s="485">
        <f>IF(K31="nio",0,IF(K31&gt;0,VLOOKUP(H31,'3-Productie normen'!A:F,VLOOKUP(K31,'3-Productie normen'!$B$29:$C$34,2,FALSE),FALSE)))</f>
        <v>0</v>
      </c>
      <c r="Y31" s="485">
        <f>VLOOKUP(H31,'3-Productie normen'!$A$10:$J$24,8,FALSE)*'3-Ruimtestaat'!X31</f>
        <v>0</v>
      </c>
      <c r="Z31" s="485">
        <f>VLOOKUP(H31,'3-Productie normen'!$A$10:$J$24,9,FALSE)*'3-Ruimtestaat'!X31</f>
        <v>0</v>
      </c>
      <c r="AA31" s="485">
        <f>VLOOKUP(H31,'3-Productie normen'!$A$10:$J$24,10,FALSE)*'3-Ruimtestaat'!X31</f>
        <v>0</v>
      </c>
      <c r="AB31" s="292" t="str">
        <f>IF(H31="",0,VLOOKUP(H31,'3-Productie normen'!$A$10:$N$23,14,FALSE))</f>
        <v>S</v>
      </c>
      <c r="AD31" s="296">
        <f t="shared" si="1"/>
        <v>1095</v>
      </c>
      <c r="AE31" s="78"/>
      <c r="AF31" s="253"/>
      <c r="AG31" s="253"/>
      <c r="AH31" s="253"/>
      <c r="AI31" s="253"/>
      <c r="AJ31" s="253"/>
      <c r="AK31" s="253"/>
      <c r="AL31" s="253"/>
      <c r="AM31" s="253"/>
      <c r="AN31" s="253"/>
      <c r="AO31" s="253"/>
    </row>
    <row r="32" spans="1:41" ht="15" customHeight="1">
      <c r="A32" s="254">
        <v>32</v>
      </c>
      <c r="B32" s="253">
        <v>101</v>
      </c>
      <c r="C32" s="240" t="s">
        <v>49</v>
      </c>
      <c r="D32" s="288" t="s">
        <v>49</v>
      </c>
      <c r="E32" s="289" t="s">
        <v>207</v>
      </c>
      <c r="F32" s="239" t="s">
        <v>238</v>
      </c>
      <c r="G32" s="290" t="s">
        <v>239</v>
      </c>
      <c r="H32" s="291" t="s">
        <v>150</v>
      </c>
      <c r="I32" s="239" t="s">
        <v>240</v>
      </c>
      <c r="J32" s="424">
        <f t="shared" si="0"/>
        <v>365</v>
      </c>
      <c r="K32" s="425">
        <v>255</v>
      </c>
      <c r="L32" s="425"/>
      <c r="M32" s="425">
        <v>102</v>
      </c>
      <c r="N32" s="425"/>
      <c r="O32" s="425">
        <v>8</v>
      </c>
      <c r="P32" s="425"/>
      <c r="Q32" s="294">
        <v>10</v>
      </c>
      <c r="R32" s="295" t="e">
        <f>IF(K32="nio",0,(K32*Q32)/X32)*VLOOKUP(C32,'2-Uren per locatie'!$B$15:$D$74,3,FALSE)</f>
        <v>#DIV/0!</v>
      </c>
      <c r="S32" s="295" t="e">
        <f>IF(K32="nio",0,(L32*Q32)/Y32)*VLOOKUP(C32,'2-Uren per locatie'!$B$15:$D$74,3,FALSE)</f>
        <v>#DIV/0!</v>
      </c>
      <c r="T32" s="295" t="e">
        <f>IF(K32="nio",0,(M32*Q32)/Z32)*VLOOKUP(C32,'2-Uren per locatie'!$B$15:$D$74,3,FALSE)</f>
        <v>#DIV/0!</v>
      </c>
      <c r="U32" s="295" t="e">
        <f>IF(K32="nio",0,(N32*Q32)/AA32)*VLOOKUP(C32,'2-Uren per locatie'!$B$15:$D$74,3,FALSE)</f>
        <v>#DIV/0!</v>
      </c>
      <c r="V32" s="295" t="e">
        <f>IF(K32="nio",0,(O32*Q32)/Z32)*VLOOKUP(C32,'2-Uren per locatie'!$B$15:$D$74,3,FALSE)</f>
        <v>#DIV/0!</v>
      </c>
      <c r="W32" s="295" t="e">
        <f>IF(K32="nio",0,(P32*Q32)/AA32)*VLOOKUP(C32,'2-Uren per locatie'!$B$15:$D$74,3,FALSE)</f>
        <v>#DIV/0!</v>
      </c>
      <c r="X32" s="485">
        <f>IF(K32="nio",0,IF(K32&gt;0,VLOOKUP(H32,'3-Productie normen'!A:F,VLOOKUP(K32,'3-Productie normen'!$B$29:$C$34,2,FALSE),FALSE)))</f>
        <v>0</v>
      </c>
      <c r="Y32" s="485">
        <f>VLOOKUP(H32,'3-Productie normen'!$A$10:$J$24,8,FALSE)*'3-Ruimtestaat'!X32</f>
        <v>0</v>
      </c>
      <c r="Z32" s="485">
        <f>VLOOKUP(H32,'3-Productie normen'!$A$10:$J$24,9,FALSE)*'3-Ruimtestaat'!X32</f>
        <v>0</v>
      </c>
      <c r="AA32" s="485">
        <f>VLOOKUP(H32,'3-Productie normen'!$A$10:$J$24,10,FALSE)*'3-Ruimtestaat'!X32</f>
        <v>0</v>
      </c>
      <c r="AB32" s="292" t="str">
        <f>IF(H32="",0,VLOOKUP(H32,'3-Productie normen'!$A$10:$N$23,14,FALSE))</f>
        <v>V</v>
      </c>
      <c r="AD32" s="296">
        <f t="shared" si="1"/>
        <v>3650</v>
      </c>
      <c r="AE32" s="78"/>
      <c r="AF32" s="253"/>
      <c r="AG32" s="253"/>
      <c r="AH32" s="253"/>
      <c r="AI32" s="253"/>
      <c r="AJ32" s="253"/>
      <c r="AK32" s="253"/>
      <c r="AL32" s="253"/>
      <c r="AM32" s="253"/>
      <c r="AN32" s="253"/>
      <c r="AO32" s="253"/>
    </row>
    <row r="33" spans="1:41" ht="15" customHeight="1">
      <c r="A33" s="254">
        <v>33</v>
      </c>
      <c r="B33" s="253">
        <v>101</v>
      </c>
      <c r="C33" s="240" t="s">
        <v>49</v>
      </c>
      <c r="D33" s="288" t="s">
        <v>49</v>
      </c>
      <c r="E33" s="289" t="s">
        <v>200</v>
      </c>
      <c r="F33" s="239" t="s">
        <v>212</v>
      </c>
      <c r="G33" s="290" t="s">
        <v>241</v>
      </c>
      <c r="H33" s="291" t="s">
        <v>155</v>
      </c>
      <c r="I33" s="239" t="s">
        <v>209</v>
      </c>
      <c r="J33" s="424">
        <f t="shared" si="0"/>
        <v>365</v>
      </c>
      <c r="K33" s="425">
        <v>255</v>
      </c>
      <c r="L33" s="425"/>
      <c r="M33" s="425">
        <v>102</v>
      </c>
      <c r="N33" s="425"/>
      <c r="O33" s="425">
        <v>8</v>
      </c>
      <c r="P33" s="425"/>
      <c r="Q33" s="294">
        <v>0</v>
      </c>
      <c r="R33" s="295" t="e">
        <f>IF(K33="nio",0,(K33*Q33)/X33)*VLOOKUP(C33,'2-Uren per locatie'!$B$15:$D$74,3,FALSE)</f>
        <v>#DIV/0!</v>
      </c>
      <c r="S33" s="295" t="e">
        <f>IF(K33="nio",0,(L33*Q33)/Y33)*VLOOKUP(C33,'2-Uren per locatie'!$B$15:$D$74,3,FALSE)</f>
        <v>#DIV/0!</v>
      </c>
      <c r="T33" s="295" t="e">
        <f>IF(K33="nio",0,(M33*Q33)/Z33)*VLOOKUP(C33,'2-Uren per locatie'!$B$15:$D$74,3,FALSE)</f>
        <v>#DIV/0!</v>
      </c>
      <c r="U33" s="295" t="e">
        <f>IF(K33="nio",0,(N33*Q33)/AA33)*VLOOKUP(C33,'2-Uren per locatie'!$B$15:$D$74,3,FALSE)</f>
        <v>#DIV/0!</v>
      </c>
      <c r="V33" s="295" t="e">
        <f>IF(K33="nio",0,(O33*Q33)/Z33)*VLOOKUP(C33,'2-Uren per locatie'!$B$15:$D$74,3,FALSE)</f>
        <v>#DIV/0!</v>
      </c>
      <c r="W33" s="295" t="e">
        <f>IF(K33="nio",0,(P33*Q33)/AA33)*VLOOKUP(C33,'2-Uren per locatie'!$B$15:$D$74,3,FALSE)</f>
        <v>#DIV/0!</v>
      </c>
      <c r="X33" s="485">
        <f>IF(K33="nio",0,IF(K33&gt;0,VLOOKUP(H33,'3-Productie normen'!A:F,VLOOKUP(K33,'3-Productie normen'!$B$29:$C$34,2,FALSE),FALSE)))</f>
        <v>0</v>
      </c>
      <c r="Y33" s="485">
        <f>VLOOKUP(H33,'3-Productie normen'!$A$10:$J$24,8,FALSE)*'3-Ruimtestaat'!X33</f>
        <v>0</v>
      </c>
      <c r="Z33" s="485">
        <f>VLOOKUP(H33,'3-Productie normen'!$A$10:$J$24,9,FALSE)*'3-Ruimtestaat'!X33</f>
        <v>0</v>
      </c>
      <c r="AA33" s="485">
        <f>VLOOKUP(H33,'3-Productie normen'!$A$10:$J$24,10,FALSE)*'3-Ruimtestaat'!X33</f>
        <v>0</v>
      </c>
      <c r="AB33" s="292" t="str">
        <f>IF(H33="",0,VLOOKUP(H33,'3-Productie normen'!$A$10:$N$23,14,FALSE))</f>
        <v>V</v>
      </c>
      <c r="AD33" s="296">
        <f t="shared" si="1"/>
        <v>0</v>
      </c>
      <c r="AE33" s="78"/>
      <c r="AF33" s="253"/>
      <c r="AG33" s="253"/>
      <c r="AH33" s="253"/>
      <c r="AI33" s="253"/>
      <c r="AJ33" s="253"/>
      <c r="AK33" s="253"/>
      <c r="AL33" s="253"/>
      <c r="AM33" s="253"/>
      <c r="AN33" s="253"/>
      <c r="AO33" s="253"/>
    </row>
    <row r="34" spans="1:41" ht="15" customHeight="1">
      <c r="A34" s="254">
        <v>34</v>
      </c>
      <c r="B34" s="253">
        <v>101</v>
      </c>
      <c r="C34" s="240" t="s">
        <v>49</v>
      </c>
      <c r="D34" s="288" t="s">
        <v>49</v>
      </c>
      <c r="E34" s="428" t="s">
        <v>242</v>
      </c>
      <c r="F34" s="429" t="s">
        <v>243</v>
      </c>
      <c r="G34" s="430" t="s">
        <v>244</v>
      </c>
      <c r="H34" s="426" t="s">
        <v>149</v>
      </c>
      <c r="I34" s="429" t="s">
        <v>245</v>
      </c>
      <c r="J34" s="424">
        <f t="shared" si="0"/>
        <v>365</v>
      </c>
      <c r="K34" s="425">
        <v>255</v>
      </c>
      <c r="L34" s="425"/>
      <c r="M34" s="425">
        <v>102</v>
      </c>
      <c r="N34" s="425"/>
      <c r="O34" s="425">
        <v>8</v>
      </c>
      <c r="P34" s="425"/>
      <c r="Q34" s="294">
        <v>7.8000000000000007</v>
      </c>
      <c r="R34" s="295" t="e">
        <f>IF(K34="nio",0,(K34*Q34)/X34)*VLOOKUP(C34,'2-Uren per locatie'!$B$15:$D$74,3,FALSE)</f>
        <v>#DIV/0!</v>
      </c>
      <c r="S34" s="295" t="e">
        <f>IF(K34="nio",0,(L34*Q34)/Y34)*VLOOKUP(C34,'2-Uren per locatie'!$B$15:$D$74,3,FALSE)</f>
        <v>#DIV/0!</v>
      </c>
      <c r="T34" s="295" t="e">
        <f>IF(K34="nio",0,(M34*Q34)/Z34)*VLOOKUP(C34,'2-Uren per locatie'!$B$15:$D$74,3,FALSE)</f>
        <v>#DIV/0!</v>
      </c>
      <c r="U34" s="295" t="e">
        <f>IF(K34="nio",0,(N34*Q34)/AA34)*VLOOKUP(C34,'2-Uren per locatie'!$B$15:$D$74,3,FALSE)</f>
        <v>#DIV/0!</v>
      </c>
      <c r="V34" s="295" t="e">
        <f>IF(K34="nio",0,(O34*Q34)/Z34)*VLOOKUP(C34,'2-Uren per locatie'!$B$15:$D$74,3,FALSE)</f>
        <v>#DIV/0!</v>
      </c>
      <c r="W34" s="295" t="e">
        <f>IF(K34="nio",0,(P34*Q34)/AA34)*VLOOKUP(C34,'2-Uren per locatie'!$B$15:$D$74,3,FALSE)</f>
        <v>#DIV/0!</v>
      </c>
      <c r="X34" s="485">
        <f>IF(K34="nio",0,IF(K34&gt;0,VLOOKUP(H34,'3-Productie normen'!A:F,VLOOKUP(K34,'3-Productie normen'!$B$29:$C$34,2,FALSE),FALSE)))</f>
        <v>0</v>
      </c>
      <c r="Y34" s="485">
        <f>VLOOKUP(H34,'3-Productie normen'!$A$10:$J$24,8,FALSE)*'3-Ruimtestaat'!X34</f>
        <v>0</v>
      </c>
      <c r="Z34" s="485">
        <f>VLOOKUP(H34,'3-Productie normen'!$A$10:$J$24,9,FALSE)*'3-Ruimtestaat'!X34</f>
        <v>0</v>
      </c>
      <c r="AA34" s="485">
        <f>VLOOKUP(H34,'3-Productie normen'!$A$10:$J$24,10,FALSE)*'3-Ruimtestaat'!X34</f>
        <v>0</v>
      </c>
      <c r="AB34" s="292" t="str">
        <f>IF(H34="",0,VLOOKUP(H34,'3-Productie normen'!$A$10:$N$23,14,FALSE))</f>
        <v>V</v>
      </c>
      <c r="AD34" s="296">
        <f t="shared" si="1"/>
        <v>2847.0000000000005</v>
      </c>
      <c r="AE34" s="78"/>
      <c r="AF34" s="297"/>
      <c r="AG34" s="297">
        <v>58</v>
      </c>
      <c r="AH34" s="297"/>
      <c r="AI34" s="297"/>
      <c r="AJ34" s="297"/>
      <c r="AK34" s="298"/>
      <c r="AL34" s="298"/>
      <c r="AM34" s="298"/>
      <c r="AN34" s="298"/>
      <c r="AO34" s="299" t="s">
        <v>246</v>
      </c>
    </row>
    <row r="35" spans="1:41" ht="15" customHeight="1">
      <c r="A35" s="254">
        <v>35</v>
      </c>
      <c r="B35" s="253">
        <v>101</v>
      </c>
      <c r="C35" s="240" t="s">
        <v>49</v>
      </c>
      <c r="D35" s="288" t="s">
        <v>49</v>
      </c>
      <c r="E35" s="428" t="s">
        <v>242</v>
      </c>
      <c r="F35" s="429" t="s">
        <v>247</v>
      </c>
      <c r="G35" s="430" t="s">
        <v>248</v>
      </c>
      <c r="H35" s="426" t="s">
        <v>149</v>
      </c>
      <c r="I35" s="429" t="s">
        <v>245</v>
      </c>
      <c r="J35" s="424">
        <f t="shared" si="0"/>
        <v>365</v>
      </c>
      <c r="K35" s="425">
        <v>255</v>
      </c>
      <c r="L35" s="425"/>
      <c r="M35" s="425">
        <v>102</v>
      </c>
      <c r="N35" s="425"/>
      <c r="O35" s="425">
        <v>8</v>
      </c>
      <c r="P35" s="425"/>
      <c r="Q35" s="294">
        <v>7.8000000000000007</v>
      </c>
      <c r="R35" s="295" t="e">
        <f>IF(K35="nio",0,(K35*Q35)/X35)*VLOOKUP(C35,'2-Uren per locatie'!$B$15:$D$74,3,FALSE)</f>
        <v>#DIV/0!</v>
      </c>
      <c r="S35" s="295" t="e">
        <f>IF(K35="nio",0,(L35*Q35)/Y35)*VLOOKUP(C35,'2-Uren per locatie'!$B$15:$D$74,3,FALSE)</f>
        <v>#DIV/0!</v>
      </c>
      <c r="T35" s="295" t="e">
        <f>IF(K35="nio",0,(M35*Q35)/Z35)*VLOOKUP(C35,'2-Uren per locatie'!$B$15:$D$74,3,FALSE)</f>
        <v>#DIV/0!</v>
      </c>
      <c r="U35" s="295" t="e">
        <f>IF(K35="nio",0,(N35*Q35)/AA35)*VLOOKUP(C35,'2-Uren per locatie'!$B$15:$D$74,3,FALSE)</f>
        <v>#DIV/0!</v>
      </c>
      <c r="V35" s="295" t="e">
        <f>IF(K35="nio",0,(O35*Q35)/Z35)*VLOOKUP(C35,'2-Uren per locatie'!$B$15:$D$74,3,FALSE)</f>
        <v>#DIV/0!</v>
      </c>
      <c r="W35" s="295" t="e">
        <f>IF(K35="nio",0,(P35*Q35)/AA35)*VLOOKUP(C35,'2-Uren per locatie'!$B$15:$D$74,3,FALSE)</f>
        <v>#DIV/0!</v>
      </c>
      <c r="X35" s="485">
        <f>IF(K35="nio",0,IF(K35&gt;0,VLOOKUP(H35,'3-Productie normen'!A:F,VLOOKUP(K35,'3-Productie normen'!$B$29:$C$34,2,FALSE),FALSE)))</f>
        <v>0</v>
      </c>
      <c r="Y35" s="485">
        <f>VLOOKUP(H35,'3-Productie normen'!$A$10:$J$24,8,FALSE)*'3-Ruimtestaat'!X35</f>
        <v>0</v>
      </c>
      <c r="Z35" s="485">
        <f>VLOOKUP(H35,'3-Productie normen'!$A$10:$J$24,9,FALSE)*'3-Ruimtestaat'!X35</f>
        <v>0</v>
      </c>
      <c r="AA35" s="485">
        <f>VLOOKUP(H35,'3-Productie normen'!$A$10:$J$24,10,FALSE)*'3-Ruimtestaat'!X35</f>
        <v>0</v>
      </c>
      <c r="AB35" s="292" t="str">
        <f>IF(H35="",0,VLOOKUP(H35,'3-Productie normen'!$A$10:$N$23,14,FALSE))</f>
        <v>V</v>
      </c>
      <c r="AD35" s="296">
        <f t="shared" si="1"/>
        <v>2847.0000000000005</v>
      </c>
      <c r="AE35" s="78"/>
      <c r="AF35" s="297"/>
      <c r="AG35" s="297">
        <v>58</v>
      </c>
      <c r="AH35" s="297"/>
      <c r="AI35" s="297"/>
      <c r="AJ35" s="297"/>
      <c r="AK35" s="298"/>
      <c r="AL35" s="298"/>
      <c r="AM35" s="298"/>
      <c r="AN35" s="298"/>
      <c r="AO35" s="299" t="s">
        <v>246</v>
      </c>
    </row>
    <row r="36" spans="1:41" ht="15" customHeight="1">
      <c r="A36" s="254">
        <v>36</v>
      </c>
      <c r="B36" s="253">
        <v>101</v>
      </c>
      <c r="C36" s="240" t="s">
        <v>49</v>
      </c>
      <c r="D36" s="288" t="s">
        <v>49</v>
      </c>
      <c r="E36" s="289" t="s">
        <v>249</v>
      </c>
      <c r="F36" s="239" t="s">
        <v>250</v>
      </c>
      <c r="G36" s="290" t="s">
        <v>251</v>
      </c>
      <c r="H36" s="291" t="s">
        <v>149</v>
      </c>
      <c r="I36" s="239" t="s">
        <v>245</v>
      </c>
      <c r="J36" s="424">
        <f t="shared" si="0"/>
        <v>365</v>
      </c>
      <c r="K36" s="425">
        <v>255</v>
      </c>
      <c r="L36" s="425"/>
      <c r="M36" s="425">
        <v>102</v>
      </c>
      <c r="N36" s="425"/>
      <c r="O36" s="425">
        <v>8</v>
      </c>
      <c r="P36" s="425"/>
      <c r="Q36" s="294">
        <v>7.8000000000000007</v>
      </c>
      <c r="R36" s="295" t="e">
        <f>IF(K36="nio",0,(K36*Q36)/X36)*VLOOKUP(C36,'2-Uren per locatie'!$B$15:$D$74,3,FALSE)</f>
        <v>#DIV/0!</v>
      </c>
      <c r="S36" s="295" t="e">
        <f>IF(K36="nio",0,(L36*Q36)/Y36)*VLOOKUP(C36,'2-Uren per locatie'!$B$15:$D$74,3,FALSE)</f>
        <v>#DIV/0!</v>
      </c>
      <c r="T36" s="295" t="e">
        <f>IF(K36="nio",0,(M36*Q36)/Z36)*VLOOKUP(C36,'2-Uren per locatie'!$B$15:$D$74,3,FALSE)</f>
        <v>#DIV/0!</v>
      </c>
      <c r="U36" s="295" t="e">
        <f>IF(K36="nio",0,(N36*Q36)/AA36)*VLOOKUP(C36,'2-Uren per locatie'!$B$15:$D$74,3,FALSE)</f>
        <v>#DIV/0!</v>
      </c>
      <c r="V36" s="295" t="e">
        <f>IF(K36="nio",0,(O36*Q36)/Z36)*VLOOKUP(C36,'2-Uren per locatie'!$B$15:$D$74,3,FALSE)</f>
        <v>#DIV/0!</v>
      </c>
      <c r="W36" s="295" t="e">
        <f>IF(K36="nio",0,(P36*Q36)/AA36)*VLOOKUP(C36,'2-Uren per locatie'!$B$15:$D$74,3,FALSE)</f>
        <v>#DIV/0!</v>
      </c>
      <c r="X36" s="485">
        <f>IF(K36="nio",0,IF(K36&gt;0,VLOOKUP(H36,'3-Productie normen'!A:F,VLOOKUP(K36,'3-Productie normen'!$B$29:$C$34,2,FALSE),FALSE)))</f>
        <v>0</v>
      </c>
      <c r="Y36" s="485">
        <f>VLOOKUP(H36,'3-Productie normen'!$A$10:$J$24,8,FALSE)*'3-Ruimtestaat'!X36</f>
        <v>0</v>
      </c>
      <c r="Z36" s="485">
        <f>VLOOKUP(H36,'3-Productie normen'!$A$10:$J$24,9,FALSE)*'3-Ruimtestaat'!X36</f>
        <v>0</v>
      </c>
      <c r="AA36" s="485">
        <f>VLOOKUP(H36,'3-Productie normen'!$A$10:$J$24,10,FALSE)*'3-Ruimtestaat'!X36</f>
        <v>0</v>
      </c>
      <c r="AB36" s="292" t="str">
        <f>IF(H36="",0,VLOOKUP(H36,'3-Productie normen'!$A$10:$N$23,14,FALSE))</f>
        <v>V</v>
      </c>
      <c r="AD36" s="296">
        <f t="shared" si="1"/>
        <v>2847.0000000000005</v>
      </c>
      <c r="AE36" s="78"/>
      <c r="AF36" s="253"/>
      <c r="AG36" s="253"/>
      <c r="AH36" s="253"/>
      <c r="AI36" s="253"/>
      <c r="AJ36" s="253"/>
      <c r="AK36" s="253"/>
      <c r="AL36" s="253"/>
      <c r="AM36" s="253"/>
      <c r="AN36" s="253"/>
      <c r="AO36" s="253"/>
    </row>
    <row r="37" spans="1:41" ht="15" customHeight="1">
      <c r="A37" s="254">
        <v>37</v>
      </c>
      <c r="B37" s="253">
        <v>101</v>
      </c>
      <c r="C37" s="240" t="s">
        <v>49</v>
      </c>
      <c r="D37" s="288" t="s">
        <v>49</v>
      </c>
      <c r="E37" s="289" t="s">
        <v>249</v>
      </c>
      <c r="F37" s="239" t="s">
        <v>212</v>
      </c>
      <c r="G37" s="290" t="s">
        <v>252</v>
      </c>
      <c r="H37" s="291" t="s">
        <v>155</v>
      </c>
      <c r="I37" s="239" t="s">
        <v>209</v>
      </c>
      <c r="J37" s="424">
        <f t="shared" si="0"/>
        <v>365</v>
      </c>
      <c r="K37" s="425">
        <v>255</v>
      </c>
      <c r="L37" s="425"/>
      <c r="M37" s="425">
        <v>102</v>
      </c>
      <c r="N37" s="425"/>
      <c r="O37" s="425">
        <v>8</v>
      </c>
      <c r="P37" s="425"/>
      <c r="Q37" s="294">
        <v>0</v>
      </c>
      <c r="R37" s="295" t="e">
        <f>IF(K37="nio",0,(K37*Q37)/X37)*VLOOKUP(C37,'2-Uren per locatie'!$B$15:$D$74,3,FALSE)</f>
        <v>#DIV/0!</v>
      </c>
      <c r="S37" s="295" t="e">
        <f>IF(K37="nio",0,(L37*Q37)/Y37)*VLOOKUP(C37,'2-Uren per locatie'!$B$15:$D$74,3,FALSE)</f>
        <v>#DIV/0!</v>
      </c>
      <c r="T37" s="295" t="e">
        <f>IF(K37="nio",0,(M37*Q37)/Z37)*VLOOKUP(C37,'2-Uren per locatie'!$B$15:$D$74,3,FALSE)</f>
        <v>#DIV/0!</v>
      </c>
      <c r="U37" s="295" t="e">
        <f>IF(K37="nio",0,(N37*Q37)/AA37)*VLOOKUP(C37,'2-Uren per locatie'!$B$15:$D$74,3,FALSE)</f>
        <v>#DIV/0!</v>
      </c>
      <c r="V37" s="295" t="e">
        <f>IF(K37="nio",0,(O37*Q37)/Z37)*VLOOKUP(C37,'2-Uren per locatie'!$B$15:$D$74,3,FALSE)</f>
        <v>#DIV/0!</v>
      </c>
      <c r="W37" s="295" t="e">
        <f>IF(K37="nio",0,(P37*Q37)/AA37)*VLOOKUP(C37,'2-Uren per locatie'!$B$15:$D$74,3,FALSE)</f>
        <v>#DIV/0!</v>
      </c>
      <c r="X37" s="485">
        <f>IF(K37="nio",0,IF(K37&gt;0,VLOOKUP(H37,'3-Productie normen'!A:F,VLOOKUP(K37,'3-Productie normen'!$B$29:$C$34,2,FALSE),FALSE)))</f>
        <v>0</v>
      </c>
      <c r="Y37" s="485">
        <f>VLOOKUP(H37,'3-Productie normen'!$A$10:$J$24,8,FALSE)*'3-Ruimtestaat'!X37</f>
        <v>0</v>
      </c>
      <c r="Z37" s="485">
        <f>VLOOKUP(H37,'3-Productie normen'!$A$10:$J$24,9,FALSE)*'3-Ruimtestaat'!X37</f>
        <v>0</v>
      </c>
      <c r="AA37" s="485">
        <f>VLOOKUP(H37,'3-Productie normen'!$A$10:$J$24,10,FALSE)*'3-Ruimtestaat'!X37</f>
        <v>0</v>
      </c>
      <c r="AB37" s="292" t="str">
        <f>IF(H37="",0,VLOOKUP(H37,'3-Productie normen'!$A$10:$N$23,14,FALSE))</f>
        <v>V</v>
      </c>
      <c r="AD37" s="296">
        <f t="shared" si="1"/>
        <v>0</v>
      </c>
      <c r="AE37" s="78"/>
      <c r="AF37" s="253"/>
      <c r="AG37" s="253"/>
      <c r="AH37" s="253"/>
      <c r="AI37" s="253"/>
      <c r="AJ37" s="253"/>
      <c r="AK37" s="253"/>
      <c r="AL37" s="253"/>
      <c r="AM37" s="253"/>
      <c r="AN37" s="253"/>
      <c r="AO37" s="253"/>
    </row>
    <row r="38" spans="1:41" ht="15" customHeight="1">
      <c r="A38" s="254">
        <v>38</v>
      </c>
      <c r="B38" s="253">
        <v>101</v>
      </c>
      <c r="C38" s="240" t="s">
        <v>49</v>
      </c>
      <c r="D38" s="288" t="s">
        <v>49</v>
      </c>
      <c r="E38" s="289" t="s">
        <v>249</v>
      </c>
      <c r="F38" s="239" t="s">
        <v>214</v>
      </c>
      <c r="G38" s="290" t="s">
        <v>253</v>
      </c>
      <c r="H38" s="291" t="s">
        <v>152</v>
      </c>
      <c r="I38" s="239" t="s">
        <v>209</v>
      </c>
      <c r="J38" s="424">
        <f t="shared" si="0"/>
        <v>365</v>
      </c>
      <c r="K38" s="425">
        <v>255</v>
      </c>
      <c r="L38" s="425"/>
      <c r="M38" s="425">
        <v>102</v>
      </c>
      <c r="N38" s="425"/>
      <c r="O38" s="425">
        <v>8</v>
      </c>
      <c r="P38" s="425"/>
      <c r="Q38" s="294">
        <v>28</v>
      </c>
      <c r="R38" s="295" t="e">
        <f>IF(K38="nio",0,(K38*Q38)/X38)*VLOOKUP(C38,'2-Uren per locatie'!$B$15:$D$74,3,FALSE)</f>
        <v>#DIV/0!</v>
      </c>
      <c r="S38" s="295" t="e">
        <f>IF(K38="nio",0,(L38*Q38)/Y38)*VLOOKUP(C38,'2-Uren per locatie'!$B$15:$D$74,3,FALSE)</f>
        <v>#DIV/0!</v>
      </c>
      <c r="T38" s="295" t="e">
        <f>IF(K38="nio",0,(M38*Q38)/Z38)*VLOOKUP(C38,'2-Uren per locatie'!$B$15:$D$74,3,FALSE)</f>
        <v>#DIV/0!</v>
      </c>
      <c r="U38" s="295" t="e">
        <f>IF(K38="nio",0,(N38*Q38)/AA38)*VLOOKUP(C38,'2-Uren per locatie'!$B$15:$D$74,3,FALSE)</f>
        <v>#DIV/0!</v>
      </c>
      <c r="V38" s="295" t="e">
        <f>IF(K38="nio",0,(O38*Q38)/Z38)*VLOOKUP(C38,'2-Uren per locatie'!$B$15:$D$74,3,FALSE)</f>
        <v>#DIV/0!</v>
      </c>
      <c r="W38" s="295" t="e">
        <f>IF(K38="nio",0,(P38*Q38)/AA38)*VLOOKUP(C38,'2-Uren per locatie'!$B$15:$D$74,3,FALSE)</f>
        <v>#DIV/0!</v>
      </c>
      <c r="X38" s="485">
        <f>IF(K38="nio",0,IF(K38&gt;0,VLOOKUP(H38,'3-Productie normen'!A:F,VLOOKUP(K38,'3-Productie normen'!$B$29:$C$34,2,FALSE),FALSE)))</f>
        <v>0</v>
      </c>
      <c r="Y38" s="485">
        <f>VLOOKUP(H38,'3-Productie normen'!$A$10:$J$24,8,FALSE)*'3-Ruimtestaat'!X38</f>
        <v>0</v>
      </c>
      <c r="Z38" s="485">
        <f>VLOOKUP(H38,'3-Productie normen'!$A$10:$J$24,9,FALSE)*'3-Ruimtestaat'!X38</f>
        <v>0</v>
      </c>
      <c r="AA38" s="485">
        <f>VLOOKUP(H38,'3-Productie normen'!$A$10:$J$24,10,FALSE)*'3-Ruimtestaat'!X38</f>
        <v>0</v>
      </c>
      <c r="AB38" s="292" t="str">
        <f>IF(H38="",0,VLOOKUP(H38,'3-Productie normen'!$A$10:$N$23,14,FALSE))</f>
        <v>V</v>
      </c>
      <c r="AD38" s="296">
        <f t="shared" si="1"/>
        <v>10220</v>
      </c>
      <c r="AE38" s="78"/>
      <c r="AF38" s="253"/>
      <c r="AG38" s="253"/>
      <c r="AH38" s="253"/>
      <c r="AI38" s="253"/>
      <c r="AJ38" s="253"/>
      <c r="AK38" s="253"/>
      <c r="AL38" s="253"/>
      <c r="AM38" s="253"/>
      <c r="AN38" s="253"/>
      <c r="AO38" s="253"/>
    </row>
    <row r="39" spans="1:41" ht="15" customHeight="1">
      <c r="A39" s="254">
        <v>39</v>
      </c>
      <c r="B39" s="253">
        <v>101</v>
      </c>
      <c r="C39" s="240" t="s">
        <v>49</v>
      </c>
      <c r="D39" s="288" t="s">
        <v>49</v>
      </c>
      <c r="E39" s="289" t="s">
        <v>249</v>
      </c>
      <c r="F39" s="239" t="s">
        <v>214</v>
      </c>
      <c r="G39" s="290" t="s">
        <v>254</v>
      </c>
      <c r="H39" s="291" t="s">
        <v>152</v>
      </c>
      <c r="I39" s="239" t="s">
        <v>209</v>
      </c>
      <c r="J39" s="424">
        <f t="shared" si="0"/>
        <v>365</v>
      </c>
      <c r="K39" s="425">
        <v>255</v>
      </c>
      <c r="L39" s="425"/>
      <c r="M39" s="425">
        <v>102</v>
      </c>
      <c r="N39" s="425"/>
      <c r="O39" s="425">
        <v>8</v>
      </c>
      <c r="P39" s="425"/>
      <c r="Q39" s="294">
        <v>28</v>
      </c>
      <c r="R39" s="295" t="e">
        <f>IF(K39="nio",0,(K39*Q39)/X39)*VLOOKUP(C39,'2-Uren per locatie'!$B$15:$D$74,3,FALSE)</f>
        <v>#DIV/0!</v>
      </c>
      <c r="S39" s="295" t="e">
        <f>IF(K39="nio",0,(L39*Q39)/Y39)*VLOOKUP(C39,'2-Uren per locatie'!$B$15:$D$74,3,FALSE)</f>
        <v>#DIV/0!</v>
      </c>
      <c r="T39" s="295" t="e">
        <f>IF(K39="nio",0,(M39*Q39)/Z39)*VLOOKUP(C39,'2-Uren per locatie'!$B$15:$D$74,3,FALSE)</f>
        <v>#DIV/0!</v>
      </c>
      <c r="U39" s="295" t="e">
        <f>IF(K39="nio",0,(N39*Q39)/AA39)*VLOOKUP(C39,'2-Uren per locatie'!$B$15:$D$74,3,FALSE)</f>
        <v>#DIV/0!</v>
      </c>
      <c r="V39" s="295" t="e">
        <f>IF(K39="nio",0,(O39*Q39)/Z39)*VLOOKUP(C39,'2-Uren per locatie'!$B$15:$D$74,3,FALSE)</f>
        <v>#DIV/0!</v>
      </c>
      <c r="W39" s="295" t="e">
        <f>IF(K39="nio",0,(P39*Q39)/AA39)*VLOOKUP(C39,'2-Uren per locatie'!$B$15:$D$74,3,FALSE)</f>
        <v>#DIV/0!</v>
      </c>
      <c r="X39" s="485">
        <f>IF(K39="nio",0,IF(K39&gt;0,VLOOKUP(H39,'3-Productie normen'!A:F,VLOOKUP(K39,'3-Productie normen'!$B$29:$C$34,2,FALSE),FALSE)))</f>
        <v>0</v>
      </c>
      <c r="Y39" s="485">
        <f>VLOOKUP(H39,'3-Productie normen'!$A$10:$J$24,8,FALSE)*'3-Ruimtestaat'!X39</f>
        <v>0</v>
      </c>
      <c r="Z39" s="485">
        <f>VLOOKUP(H39,'3-Productie normen'!$A$10:$J$24,9,FALSE)*'3-Ruimtestaat'!X39</f>
        <v>0</v>
      </c>
      <c r="AA39" s="485">
        <f>VLOOKUP(H39,'3-Productie normen'!$A$10:$J$24,10,FALSE)*'3-Ruimtestaat'!X39</f>
        <v>0</v>
      </c>
      <c r="AB39" s="292" t="str">
        <f>IF(H39="",0,VLOOKUP(H39,'3-Productie normen'!$A$10:$N$23,14,FALSE))</f>
        <v>V</v>
      </c>
      <c r="AD39" s="296">
        <f t="shared" si="1"/>
        <v>10220</v>
      </c>
      <c r="AE39" s="78"/>
      <c r="AF39" s="253"/>
      <c r="AG39" s="253"/>
      <c r="AH39" s="253"/>
      <c r="AI39" s="253"/>
      <c r="AJ39" s="253"/>
      <c r="AK39" s="253"/>
      <c r="AL39" s="253"/>
      <c r="AM39" s="253"/>
      <c r="AN39" s="253"/>
      <c r="AO39" s="253"/>
    </row>
    <row r="40" spans="1:41" ht="15" customHeight="1">
      <c r="A40" s="254">
        <v>40</v>
      </c>
      <c r="B40" s="253">
        <v>101</v>
      </c>
      <c r="C40" s="240" t="s">
        <v>49</v>
      </c>
      <c r="D40" s="288" t="s">
        <v>49</v>
      </c>
      <c r="E40" s="289" t="s">
        <v>249</v>
      </c>
      <c r="F40" s="239" t="s">
        <v>214</v>
      </c>
      <c r="G40" s="290" t="s">
        <v>255</v>
      </c>
      <c r="H40" s="291" t="s">
        <v>152</v>
      </c>
      <c r="I40" s="239" t="s">
        <v>209</v>
      </c>
      <c r="J40" s="424">
        <f t="shared" si="0"/>
        <v>365</v>
      </c>
      <c r="K40" s="425">
        <v>255</v>
      </c>
      <c r="L40" s="425"/>
      <c r="M40" s="425">
        <v>102</v>
      </c>
      <c r="N40" s="425"/>
      <c r="O40" s="425">
        <v>8</v>
      </c>
      <c r="P40" s="425"/>
      <c r="Q40" s="294">
        <v>28</v>
      </c>
      <c r="R40" s="295" t="e">
        <f>IF(K40="nio",0,(K40*Q40)/X40)*VLOOKUP(C40,'2-Uren per locatie'!$B$15:$D$74,3,FALSE)</f>
        <v>#DIV/0!</v>
      </c>
      <c r="S40" s="295" t="e">
        <f>IF(K40="nio",0,(L40*Q40)/Y40)*VLOOKUP(C40,'2-Uren per locatie'!$B$15:$D$74,3,FALSE)</f>
        <v>#DIV/0!</v>
      </c>
      <c r="T40" s="295" t="e">
        <f>IF(K40="nio",0,(M40*Q40)/Z40)*VLOOKUP(C40,'2-Uren per locatie'!$B$15:$D$74,3,FALSE)</f>
        <v>#DIV/0!</v>
      </c>
      <c r="U40" s="295" t="e">
        <f>IF(K40="nio",0,(N40*Q40)/AA40)*VLOOKUP(C40,'2-Uren per locatie'!$B$15:$D$74,3,FALSE)</f>
        <v>#DIV/0!</v>
      </c>
      <c r="V40" s="295" t="e">
        <f>IF(K40="nio",0,(O40*Q40)/Z40)*VLOOKUP(C40,'2-Uren per locatie'!$B$15:$D$74,3,FALSE)</f>
        <v>#DIV/0!</v>
      </c>
      <c r="W40" s="295" t="e">
        <f>IF(K40="nio",0,(P40*Q40)/AA40)*VLOOKUP(C40,'2-Uren per locatie'!$B$15:$D$74,3,FALSE)</f>
        <v>#DIV/0!</v>
      </c>
      <c r="X40" s="485">
        <f>IF(K40="nio",0,IF(K40&gt;0,VLOOKUP(H40,'3-Productie normen'!A:F,VLOOKUP(K40,'3-Productie normen'!$B$29:$C$34,2,FALSE),FALSE)))</f>
        <v>0</v>
      </c>
      <c r="Y40" s="485">
        <f>VLOOKUP(H40,'3-Productie normen'!$A$10:$J$24,8,FALSE)*'3-Ruimtestaat'!X40</f>
        <v>0</v>
      </c>
      <c r="Z40" s="485">
        <f>VLOOKUP(H40,'3-Productie normen'!$A$10:$J$24,9,FALSE)*'3-Ruimtestaat'!X40</f>
        <v>0</v>
      </c>
      <c r="AA40" s="485">
        <f>VLOOKUP(H40,'3-Productie normen'!$A$10:$J$24,10,FALSE)*'3-Ruimtestaat'!X40</f>
        <v>0</v>
      </c>
      <c r="AB40" s="292" t="str">
        <f>IF(H40="",0,VLOOKUP(H40,'3-Productie normen'!$A$10:$N$23,14,FALSE))</f>
        <v>V</v>
      </c>
      <c r="AD40" s="296">
        <f t="shared" si="1"/>
        <v>10220</v>
      </c>
      <c r="AE40" s="78"/>
      <c r="AF40" s="253"/>
      <c r="AG40" s="253"/>
      <c r="AH40" s="253"/>
      <c r="AI40" s="253"/>
      <c r="AJ40" s="253"/>
      <c r="AK40" s="253"/>
      <c r="AL40" s="253"/>
      <c r="AM40" s="253"/>
      <c r="AN40" s="253"/>
      <c r="AO40" s="253"/>
    </row>
    <row r="41" spans="1:41" ht="15" customHeight="1">
      <c r="A41" s="254">
        <v>41</v>
      </c>
      <c r="B41" s="253">
        <v>101</v>
      </c>
      <c r="C41" s="240" t="s">
        <v>49</v>
      </c>
      <c r="D41" s="288" t="s">
        <v>49</v>
      </c>
      <c r="E41" s="289" t="s">
        <v>249</v>
      </c>
      <c r="F41" s="239" t="s">
        <v>212</v>
      </c>
      <c r="G41" s="290" t="s">
        <v>256</v>
      </c>
      <c r="H41" s="291" t="s">
        <v>155</v>
      </c>
      <c r="I41" s="239" t="s">
        <v>209</v>
      </c>
      <c r="J41" s="424">
        <f t="shared" si="0"/>
        <v>365</v>
      </c>
      <c r="K41" s="425">
        <v>255</v>
      </c>
      <c r="L41" s="425"/>
      <c r="M41" s="425">
        <v>102</v>
      </c>
      <c r="N41" s="425"/>
      <c r="O41" s="425">
        <v>8</v>
      </c>
      <c r="P41" s="425"/>
      <c r="Q41" s="294">
        <v>0</v>
      </c>
      <c r="R41" s="295" t="e">
        <f>IF(K41="nio",0,(K41*Q41)/X41)*VLOOKUP(C41,'2-Uren per locatie'!$B$15:$D$74,3,FALSE)</f>
        <v>#DIV/0!</v>
      </c>
      <c r="S41" s="295" t="e">
        <f>IF(K41="nio",0,(L41*Q41)/Y41)*VLOOKUP(C41,'2-Uren per locatie'!$B$15:$D$74,3,FALSE)</f>
        <v>#DIV/0!</v>
      </c>
      <c r="T41" s="295" t="e">
        <f>IF(K41="nio",0,(M41*Q41)/Z41)*VLOOKUP(C41,'2-Uren per locatie'!$B$15:$D$74,3,FALSE)</f>
        <v>#DIV/0!</v>
      </c>
      <c r="U41" s="295" t="e">
        <f>IF(K41="nio",0,(N41*Q41)/AA41)*VLOOKUP(C41,'2-Uren per locatie'!$B$15:$D$74,3,FALSE)</f>
        <v>#DIV/0!</v>
      </c>
      <c r="V41" s="295" t="e">
        <f>IF(K41="nio",0,(O41*Q41)/Z41)*VLOOKUP(C41,'2-Uren per locatie'!$B$15:$D$74,3,FALSE)</f>
        <v>#DIV/0!</v>
      </c>
      <c r="W41" s="295" t="e">
        <f>IF(K41="nio",0,(P41*Q41)/AA41)*VLOOKUP(C41,'2-Uren per locatie'!$B$15:$D$74,3,FALSE)</f>
        <v>#DIV/0!</v>
      </c>
      <c r="X41" s="485">
        <f>IF(K41="nio",0,IF(K41&gt;0,VLOOKUP(H41,'3-Productie normen'!A:F,VLOOKUP(K41,'3-Productie normen'!$B$29:$C$34,2,FALSE),FALSE)))</f>
        <v>0</v>
      </c>
      <c r="Y41" s="485">
        <f>VLOOKUP(H41,'3-Productie normen'!$A$10:$J$24,8,FALSE)*'3-Ruimtestaat'!X41</f>
        <v>0</v>
      </c>
      <c r="Z41" s="485">
        <f>VLOOKUP(H41,'3-Productie normen'!$A$10:$J$24,9,FALSE)*'3-Ruimtestaat'!X41</f>
        <v>0</v>
      </c>
      <c r="AA41" s="485">
        <f>VLOOKUP(H41,'3-Productie normen'!$A$10:$J$24,10,FALSE)*'3-Ruimtestaat'!X41</f>
        <v>0</v>
      </c>
      <c r="AB41" s="292" t="str">
        <f>IF(H41="",0,VLOOKUP(H41,'3-Productie normen'!$A$10:$N$23,14,FALSE))</f>
        <v>V</v>
      </c>
      <c r="AD41" s="296">
        <f t="shared" si="1"/>
        <v>0</v>
      </c>
      <c r="AE41" s="78"/>
      <c r="AF41" s="253"/>
      <c r="AG41" s="253"/>
      <c r="AH41" s="253"/>
      <c r="AI41" s="253"/>
      <c r="AJ41" s="253"/>
      <c r="AK41" s="253"/>
      <c r="AL41" s="253"/>
      <c r="AM41" s="253"/>
      <c r="AN41" s="253"/>
      <c r="AO41" s="253"/>
    </row>
    <row r="42" spans="1:41" ht="15" customHeight="1">
      <c r="A42" s="254">
        <v>42</v>
      </c>
      <c r="B42" s="253">
        <v>101</v>
      </c>
      <c r="C42" s="240" t="s">
        <v>49</v>
      </c>
      <c r="D42" s="288" t="s">
        <v>49</v>
      </c>
      <c r="E42" s="289" t="s">
        <v>249</v>
      </c>
      <c r="F42" s="239" t="s">
        <v>249</v>
      </c>
      <c r="G42" s="290" t="s">
        <v>257</v>
      </c>
      <c r="H42" s="291" t="s">
        <v>151</v>
      </c>
      <c r="I42" s="239" t="s">
        <v>203</v>
      </c>
      <c r="J42" s="424">
        <f t="shared" si="0"/>
        <v>365</v>
      </c>
      <c r="K42" s="425">
        <v>255</v>
      </c>
      <c r="L42" s="425"/>
      <c r="M42" s="425">
        <v>102</v>
      </c>
      <c r="N42" s="425"/>
      <c r="O42" s="425">
        <v>8</v>
      </c>
      <c r="P42" s="425"/>
      <c r="Q42" s="294">
        <v>2557.1</v>
      </c>
      <c r="R42" s="295" t="e">
        <f>IF(K42="nio",0,(K42*Q42)/X42)*VLOOKUP(C42,'2-Uren per locatie'!$B$15:$D$74,3,FALSE)</f>
        <v>#DIV/0!</v>
      </c>
      <c r="S42" s="295" t="e">
        <f>IF(K42="nio",0,(L42*Q42)/Y42)*VLOOKUP(C42,'2-Uren per locatie'!$B$15:$D$74,3,FALSE)</f>
        <v>#DIV/0!</v>
      </c>
      <c r="T42" s="295" t="e">
        <f>IF(K42="nio",0,(M42*Q42)/Z42)*VLOOKUP(C42,'2-Uren per locatie'!$B$15:$D$74,3,FALSE)</f>
        <v>#DIV/0!</v>
      </c>
      <c r="U42" s="295" t="e">
        <f>IF(K42="nio",0,(N42*Q42)/AA42)*VLOOKUP(C42,'2-Uren per locatie'!$B$15:$D$74,3,FALSE)</f>
        <v>#DIV/0!</v>
      </c>
      <c r="V42" s="295" t="e">
        <f>IF(K42="nio",0,(O42*Q42)/Z42)*VLOOKUP(C42,'2-Uren per locatie'!$B$15:$D$74,3,FALSE)</f>
        <v>#DIV/0!</v>
      </c>
      <c r="W42" s="295" t="e">
        <f>IF(K42="nio",0,(P42*Q42)/AA42)*VLOOKUP(C42,'2-Uren per locatie'!$B$15:$D$74,3,FALSE)</f>
        <v>#DIV/0!</v>
      </c>
      <c r="X42" s="485">
        <f>IF(K42="nio",0,IF(K42&gt;0,VLOOKUP(H42,'3-Productie normen'!A:F,VLOOKUP(K42,'3-Productie normen'!$B$29:$C$34,2,FALSE),FALSE)))</f>
        <v>0</v>
      </c>
      <c r="Y42" s="485">
        <f>VLOOKUP(H42,'3-Productie normen'!$A$10:$J$24,8,FALSE)*'3-Ruimtestaat'!X42</f>
        <v>0</v>
      </c>
      <c r="Z42" s="485">
        <f>VLOOKUP(H42,'3-Productie normen'!$A$10:$J$24,9,FALSE)*'3-Ruimtestaat'!X42</f>
        <v>0</v>
      </c>
      <c r="AA42" s="485">
        <f>VLOOKUP(H42,'3-Productie normen'!$A$10:$J$24,10,FALSE)*'3-Ruimtestaat'!X42</f>
        <v>0</v>
      </c>
      <c r="AB42" s="292" t="str">
        <f>IF(H42="",0,VLOOKUP(H42,'3-Productie normen'!$A$10:$N$23,14,FALSE))</f>
        <v>V</v>
      </c>
      <c r="AD42" s="296">
        <f t="shared" si="1"/>
        <v>933341.5</v>
      </c>
      <c r="AE42" s="78"/>
      <c r="AF42" s="253"/>
      <c r="AG42" s="253"/>
      <c r="AH42" s="253"/>
      <c r="AI42" s="253"/>
      <c r="AJ42" s="253"/>
      <c r="AK42" s="253"/>
      <c r="AL42" s="253"/>
      <c r="AM42" s="253"/>
      <c r="AN42" s="253"/>
      <c r="AO42" s="253"/>
    </row>
    <row r="43" spans="1:41" ht="15" customHeight="1">
      <c r="A43" s="254">
        <v>43</v>
      </c>
      <c r="B43" s="253">
        <v>101</v>
      </c>
      <c r="C43" s="240" t="s">
        <v>49</v>
      </c>
      <c r="D43" s="288" t="s">
        <v>49</v>
      </c>
      <c r="E43" s="289" t="s">
        <v>249</v>
      </c>
      <c r="F43" s="239" t="s">
        <v>212</v>
      </c>
      <c r="G43" s="290" t="s">
        <v>258</v>
      </c>
      <c r="H43" s="291" t="s">
        <v>155</v>
      </c>
      <c r="I43" s="239" t="s">
        <v>209</v>
      </c>
      <c r="J43" s="424">
        <f t="shared" si="0"/>
        <v>365</v>
      </c>
      <c r="K43" s="425">
        <v>255</v>
      </c>
      <c r="L43" s="425"/>
      <c r="M43" s="425">
        <v>102</v>
      </c>
      <c r="N43" s="425"/>
      <c r="O43" s="425">
        <v>8</v>
      </c>
      <c r="P43" s="425"/>
      <c r="Q43" s="294">
        <v>0</v>
      </c>
      <c r="R43" s="295" t="e">
        <f>IF(K43="nio",0,(K43*Q43)/X43)*VLOOKUP(C43,'2-Uren per locatie'!$B$15:$D$74,3,FALSE)</f>
        <v>#DIV/0!</v>
      </c>
      <c r="S43" s="295" t="e">
        <f>IF(K43="nio",0,(L43*Q43)/Y43)*VLOOKUP(C43,'2-Uren per locatie'!$B$15:$D$74,3,FALSE)</f>
        <v>#DIV/0!</v>
      </c>
      <c r="T43" s="295" t="e">
        <f>IF(K43="nio",0,(M43*Q43)/Z43)*VLOOKUP(C43,'2-Uren per locatie'!$B$15:$D$74,3,FALSE)</f>
        <v>#DIV/0!</v>
      </c>
      <c r="U43" s="295" t="e">
        <f>IF(K43="nio",0,(N43*Q43)/AA43)*VLOOKUP(C43,'2-Uren per locatie'!$B$15:$D$74,3,FALSE)</f>
        <v>#DIV/0!</v>
      </c>
      <c r="V43" s="295" t="e">
        <f>IF(K43="nio",0,(O43*Q43)/Z43)*VLOOKUP(C43,'2-Uren per locatie'!$B$15:$D$74,3,FALSE)</f>
        <v>#DIV/0!</v>
      </c>
      <c r="W43" s="295" t="e">
        <f>IF(K43="nio",0,(P43*Q43)/AA43)*VLOOKUP(C43,'2-Uren per locatie'!$B$15:$D$74,3,FALSE)</f>
        <v>#DIV/0!</v>
      </c>
      <c r="X43" s="485">
        <f>IF(K43="nio",0,IF(K43&gt;0,VLOOKUP(H43,'3-Productie normen'!A:F,VLOOKUP(K43,'3-Productie normen'!$B$29:$C$34,2,FALSE),FALSE)))</f>
        <v>0</v>
      </c>
      <c r="Y43" s="485">
        <f>VLOOKUP(H43,'3-Productie normen'!$A$10:$J$24,8,FALSE)*'3-Ruimtestaat'!X43</f>
        <v>0</v>
      </c>
      <c r="Z43" s="485">
        <f>VLOOKUP(H43,'3-Productie normen'!$A$10:$J$24,9,FALSE)*'3-Ruimtestaat'!X43</f>
        <v>0</v>
      </c>
      <c r="AA43" s="485">
        <f>VLOOKUP(H43,'3-Productie normen'!$A$10:$J$24,10,FALSE)*'3-Ruimtestaat'!X43</f>
        <v>0</v>
      </c>
      <c r="AB43" s="292" t="str">
        <f>IF(H43="",0,VLOOKUP(H43,'3-Productie normen'!$A$10:$N$23,14,FALSE))</f>
        <v>V</v>
      </c>
      <c r="AD43" s="296">
        <f t="shared" si="1"/>
        <v>0</v>
      </c>
      <c r="AE43" s="78"/>
      <c r="AF43" s="253"/>
      <c r="AG43" s="253"/>
      <c r="AH43" s="253"/>
      <c r="AI43" s="253"/>
      <c r="AJ43" s="253"/>
      <c r="AK43" s="253"/>
      <c r="AL43" s="253"/>
      <c r="AM43" s="253"/>
      <c r="AN43" s="253"/>
      <c r="AO43" s="253"/>
    </row>
    <row r="44" spans="1:41" ht="15" customHeight="1">
      <c r="A44" s="254">
        <v>44</v>
      </c>
      <c r="B44" s="253">
        <v>101</v>
      </c>
      <c r="C44" s="240" t="s">
        <v>49</v>
      </c>
      <c r="D44" s="288" t="s">
        <v>49</v>
      </c>
      <c r="E44" s="289" t="s">
        <v>249</v>
      </c>
      <c r="F44" s="239" t="s">
        <v>231</v>
      </c>
      <c r="G44" s="290" t="s">
        <v>259</v>
      </c>
      <c r="H44" s="291" t="s">
        <v>153</v>
      </c>
      <c r="I44" s="239" t="s">
        <v>260</v>
      </c>
      <c r="J44" s="424">
        <f t="shared" si="0"/>
        <v>365</v>
      </c>
      <c r="K44" s="425">
        <v>255</v>
      </c>
      <c r="L44" s="425"/>
      <c r="M44" s="425">
        <v>102</v>
      </c>
      <c r="N44" s="425"/>
      <c r="O44" s="425">
        <v>8</v>
      </c>
      <c r="P44" s="425"/>
      <c r="Q44" s="294">
        <v>2</v>
      </c>
      <c r="R44" s="295" t="e">
        <f>IF(K44="nio",0,(K44*Q44)/X44)*VLOOKUP(C44,'2-Uren per locatie'!$B$15:$D$74,3,FALSE)</f>
        <v>#DIV/0!</v>
      </c>
      <c r="S44" s="295" t="e">
        <f>IF(K44="nio",0,(L44*Q44)/Y44)*VLOOKUP(C44,'2-Uren per locatie'!$B$15:$D$74,3,FALSE)</f>
        <v>#DIV/0!</v>
      </c>
      <c r="T44" s="295" t="e">
        <f>IF(K44="nio",0,(M44*Q44)/Z44)*VLOOKUP(C44,'2-Uren per locatie'!$B$15:$D$74,3,FALSE)</f>
        <v>#DIV/0!</v>
      </c>
      <c r="U44" s="295" t="e">
        <f>IF(K44="nio",0,(N44*Q44)/AA44)*VLOOKUP(C44,'2-Uren per locatie'!$B$15:$D$74,3,FALSE)</f>
        <v>#DIV/0!</v>
      </c>
      <c r="V44" s="295" t="e">
        <f>IF(K44="nio",0,(O44*Q44)/Z44)*VLOOKUP(C44,'2-Uren per locatie'!$B$15:$D$74,3,FALSE)</f>
        <v>#DIV/0!</v>
      </c>
      <c r="W44" s="295" t="e">
        <f>IF(K44="nio",0,(P44*Q44)/AA44)*VLOOKUP(C44,'2-Uren per locatie'!$B$15:$D$74,3,FALSE)</f>
        <v>#DIV/0!</v>
      </c>
      <c r="X44" s="485">
        <f>IF(K44="nio",0,IF(K44&gt;0,VLOOKUP(H44,'3-Productie normen'!A:F,VLOOKUP(K44,'3-Productie normen'!$B$29:$C$34,2,FALSE),FALSE)))</f>
        <v>0</v>
      </c>
      <c r="Y44" s="485">
        <f>VLOOKUP(H44,'3-Productie normen'!$A$10:$J$24,8,FALSE)*'3-Ruimtestaat'!X44</f>
        <v>0</v>
      </c>
      <c r="Z44" s="485">
        <f>VLOOKUP(H44,'3-Productie normen'!$A$10:$J$24,9,FALSE)*'3-Ruimtestaat'!X44</f>
        <v>0</v>
      </c>
      <c r="AA44" s="485">
        <f>VLOOKUP(H44,'3-Productie normen'!$A$10:$J$24,10,FALSE)*'3-Ruimtestaat'!X44</f>
        <v>0</v>
      </c>
      <c r="AB44" s="292" t="str">
        <f>IF(H44="",0,VLOOKUP(H44,'3-Productie normen'!$A$10:$N$23,14,FALSE))</f>
        <v>S</v>
      </c>
      <c r="AD44" s="296">
        <f t="shared" si="1"/>
        <v>730</v>
      </c>
      <c r="AE44" s="78"/>
      <c r="AF44" s="253"/>
      <c r="AG44" s="253"/>
      <c r="AH44" s="253"/>
      <c r="AI44" s="253"/>
      <c r="AJ44" s="253"/>
      <c r="AK44" s="253"/>
      <c r="AL44" s="253"/>
      <c r="AM44" s="253"/>
      <c r="AN44" s="253"/>
      <c r="AO44" s="253"/>
    </row>
    <row r="45" spans="1:41" ht="15" customHeight="1">
      <c r="A45" s="254">
        <v>45</v>
      </c>
      <c r="B45" s="253">
        <v>101</v>
      </c>
      <c r="C45" s="240" t="s">
        <v>49</v>
      </c>
      <c r="D45" s="288" t="s">
        <v>49</v>
      </c>
      <c r="E45" s="289" t="s">
        <v>249</v>
      </c>
      <c r="F45" s="239" t="s">
        <v>231</v>
      </c>
      <c r="G45" s="290" t="s">
        <v>261</v>
      </c>
      <c r="H45" s="291" t="s">
        <v>153</v>
      </c>
      <c r="I45" s="239" t="s">
        <v>260</v>
      </c>
      <c r="J45" s="424">
        <f t="shared" si="0"/>
        <v>365</v>
      </c>
      <c r="K45" s="425">
        <v>255</v>
      </c>
      <c r="L45" s="425"/>
      <c r="M45" s="425">
        <v>102</v>
      </c>
      <c r="N45" s="425"/>
      <c r="O45" s="425">
        <v>8</v>
      </c>
      <c r="P45" s="425"/>
      <c r="Q45" s="294">
        <v>1</v>
      </c>
      <c r="R45" s="295" t="e">
        <f>IF(K45="nio",0,(K45*Q45)/X45)*VLOOKUP(C45,'2-Uren per locatie'!$B$15:$D$74,3,FALSE)</f>
        <v>#DIV/0!</v>
      </c>
      <c r="S45" s="295" t="e">
        <f>IF(K45="nio",0,(L45*Q45)/Y45)*VLOOKUP(C45,'2-Uren per locatie'!$B$15:$D$74,3,FALSE)</f>
        <v>#DIV/0!</v>
      </c>
      <c r="T45" s="295" t="e">
        <f>IF(K45="nio",0,(M45*Q45)/Z45)*VLOOKUP(C45,'2-Uren per locatie'!$B$15:$D$74,3,FALSE)</f>
        <v>#DIV/0!</v>
      </c>
      <c r="U45" s="295" t="e">
        <f>IF(K45="nio",0,(N45*Q45)/AA45)*VLOOKUP(C45,'2-Uren per locatie'!$B$15:$D$74,3,FALSE)</f>
        <v>#DIV/0!</v>
      </c>
      <c r="V45" s="295" t="e">
        <f>IF(K45="nio",0,(O45*Q45)/Z45)*VLOOKUP(C45,'2-Uren per locatie'!$B$15:$D$74,3,FALSE)</f>
        <v>#DIV/0!</v>
      </c>
      <c r="W45" s="295" t="e">
        <f>IF(K45="nio",0,(P45*Q45)/AA45)*VLOOKUP(C45,'2-Uren per locatie'!$B$15:$D$74,3,FALSE)</f>
        <v>#DIV/0!</v>
      </c>
      <c r="X45" s="485">
        <f>IF(K45="nio",0,IF(K45&gt;0,VLOOKUP(H45,'3-Productie normen'!A:F,VLOOKUP(K45,'3-Productie normen'!$B$29:$C$34,2,FALSE),FALSE)))</f>
        <v>0</v>
      </c>
      <c r="Y45" s="485">
        <f>VLOOKUP(H45,'3-Productie normen'!$A$10:$J$24,8,FALSE)*'3-Ruimtestaat'!X45</f>
        <v>0</v>
      </c>
      <c r="Z45" s="485">
        <f>VLOOKUP(H45,'3-Productie normen'!$A$10:$J$24,9,FALSE)*'3-Ruimtestaat'!X45</f>
        <v>0</v>
      </c>
      <c r="AA45" s="485">
        <f>VLOOKUP(H45,'3-Productie normen'!$A$10:$J$24,10,FALSE)*'3-Ruimtestaat'!X45</f>
        <v>0</v>
      </c>
      <c r="AB45" s="292" t="str">
        <f>IF(H45="",0,VLOOKUP(H45,'3-Productie normen'!$A$10:$N$23,14,FALSE))</f>
        <v>S</v>
      </c>
      <c r="AD45" s="296">
        <f t="shared" si="1"/>
        <v>365</v>
      </c>
      <c r="AE45" s="78"/>
      <c r="AF45" s="253"/>
      <c r="AG45" s="253"/>
      <c r="AH45" s="253"/>
      <c r="AI45" s="253"/>
      <c r="AJ45" s="253"/>
      <c r="AK45" s="253"/>
      <c r="AL45" s="253"/>
      <c r="AM45" s="253"/>
      <c r="AN45" s="253"/>
      <c r="AO45" s="253"/>
    </row>
    <row r="46" spans="1:41" ht="15" customHeight="1">
      <c r="A46" s="254">
        <v>46</v>
      </c>
      <c r="B46" s="253">
        <v>101</v>
      </c>
      <c r="C46" s="240" t="s">
        <v>49</v>
      </c>
      <c r="D46" s="288" t="s">
        <v>49</v>
      </c>
      <c r="E46" s="289" t="s">
        <v>249</v>
      </c>
      <c r="F46" s="239" t="s">
        <v>231</v>
      </c>
      <c r="G46" s="290" t="s">
        <v>262</v>
      </c>
      <c r="H46" s="291" t="s">
        <v>153</v>
      </c>
      <c r="I46" s="239" t="s">
        <v>260</v>
      </c>
      <c r="J46" s="424">
        <f t="shared" si="0"/>
        <v>365</v>
      </c>
      <c r="K46" s="425">
        <v>255</v>
      </c>
      <c r="L46" s="425"/>
      <c r="M46" s="425">
        <v>102</v>
      </c>
      <c r="N46" s="425"/>
      <c r="O46" s="425">
        <v>8</v>
      </c>
      <c r="P46" s="425"/>
      <c r="Q46" s="294">
        <v>1</v>
      </c>
      <c r="R46" s="295" t="e">
        <f>IF(K46="nio",0,(K46*Q46)/X46)*VLOOKUP(C46,'2-Uren per locatie'!$B$15:$D$74,3,FALSE)</f>
        <v>#DIV/0!</v>
      </c>
      <c r="S46" s="295" t="e">
        <f>IF(K46="nio",0,(L46*Q46)/Y46)*VLOOKUP(C46,'2-Uren per locatie'!$B$15:$D$74,3,FALSE)</f>
        <v>#DIV/0!</v>
      </c>
      <c r="T46" s="295" t="e">
        <f>IF(K46="nio",0,(M46*Q46)/Z46)*VLOOKUP(C46,'2-Uren per locatie'!$B$15:$D$74,3,FALSE)</f>
        <v>#DIV/0!</v>
      </c>
      <c r="U46" s="295" t="e">
        <f>IF(K46="nio",0,(N46*Q46)/AA46)*VLOOKUP(C46,'2-Uren per locatie'!$B$15:$D$74,3,FALSE)</f>
        <v>#DIV/0!</v>
      </c>
      <c r="V46" s="295" t="e">
        <f>IF(K46="nio",0,(O46*Q46)/Z46)*VLOOKUP(C46,'2-Uren per locatie'!$B$15:$D$74,3,FALSE)</f>
        <v>#DIV/0!</v>
      </c>
      <c r="W46" s="295" t="e">
        <f>IF(K46="nio",0,(P46*Q46)/AA46)*VLOOKUP(C46,'2-Uren per locatie'!$B$15:$D$74,3,FALSE)</f>
        <v>#DIV/0!</v>
      </c>
      <c r="X46" s="485">
        <f>IF(K46="nio",0,IF(K46&gt;0,VLOOKUP(H46,'3-Productie normen'!A:F,VLOOKUP(K46,'3-Productie normen'!$B$29:$C$34,2,FALSE),FALSE)))</f>
        <v>0</v>
      </c>
      <c r="Y46" s="485">
        <f>VLOOKUP(H46,'3-Productie normen'!$A$10:$J$24,8,FALSE)*'3-Ruimtestaat'!X46</f>
        <v>0</v>
      </c>
      <c r="Z46" s="485">
        <f>VLOOKUP(H46,'3-Productie normen'!$A$10:$J$24,9,FALSE)*'3-Ruimtestaat'!X46</f>
        <v>0</v>
      </c>
      <c r="AA46" s="485">
        <f>VLOOKUP(H46,'3-Productie normen'!$A$10:$J$24,10,FALSE)*'3-Ruimtestaat'!X46</f>
        <v>0</v>
      </c>
      <c r="AB46" s="292" t="str">
        <f>IF(H46="",0,VLOOKUP(H46,'3-Productie normen'!$A$10:$N$23,14,FALSE))</f>
        <v>S</v>
      </c>
      <c r="AD46" s="296">
        <f t="shared" si="1"/>
        <v>365</v>
      </c>
      <c r="AE46" s="78"/>
      <c r="AF46" s="253"/>
      <c r="AG46" s="253"/>
      <c r="AH46" s="253"/>
      <c r="AI46" s="253"/>
      <c r="AJ46" s="253"/>
      <c r="AK46" s="253"/>
      <c r="AL46" s="253"/>
      <c r="AM46" s="253"/>
      <c r="AN46" s="253"/>
      <c r="AO46" s="253"/>
    </row>
    <row r="47" spans="1:41" ht="14.4" customHeight="1">
      <c r="A47" s="254">
        <v>47</v>
      </c>
      <c r="B47" s="253">
        <v>102</v>
      </c>
      <c r="C47" s="240" t="s">
        <v>51</v>
      </c>
      <c r="D47" s="288" t="s">
        <v>50</v>
      </c>
      <c r="E47" s="289" t="s">
        <v>242</v>
      </c>
      <c r="F47" s="239" t="s">
        <v>263</v>
      </c>
      <c r="G47" s="290" t="s">
        <v>264</v>
      </c>
      <c r="H47" s="291" t="s">
        <v>152</v>
      </c>
      <c r="I47" s="239" t="s">
        <v>265</v>
      </c>
      <c r="J47" s="424">
        <f t="shared" si="0"/>
        <v>365</v>
      </c>
      <c r="K47" s="425">
        <v>127</v>
      </c>
      <c r="L47" s="425">
        <v>126</v>
      </c>
      <c r="M47" s="425">
        <v>52</v>
      </c>
      <c r="N47" s="425">
        <v>52</v>
      </c>
      <c r="O47" s="425">
        <v>4</v>
      </c>
      <c r="P47" s="425">
        <v>4</v>
      </c>
      <c r="Q47" s="294">
        <v>23</v>
      </c>
      <c r="R47" s="295" t="e">
        <f>IF(K47="nio",0,(K47*Q47)/X47)*VLOOKUP(C47,'2-Uren per locatie'!$B$15:$D$74,3,FALSE)</f>
        <v>#DIV/0!</v>
      </c>
      <c r="S47" s="295" t="e">
        <f>IF(K47="nio",0,(L47*Q47)/Y47)*VLOOKUP(C47,'2-Uren per locatie'!$B$15:$D$74,3,FALSE)</f>
        <v>#DIV/0!</v>
      </c>
      <c r="T47" s="295" t="e">
        <f>IF(K47="nio",0,(M47*Q47)/Z47)*VLOOKUP(C47,'2-Uren per locatie'!$B$15:$D$74,3,FALSE)</f>
        <v>#DIV/0!</v>
      </c>
      <c r="U47" s="295" t="e">
        <f>IF(K47="nio",0,(N47*Q47)/AA47)*VLOOKUP(C47,'2-Uren per locatie'!$B$15:$D$74,3,FALSE)</f>
        <v>#DIV/0!</v>
      </c>
      <c r="V47" s="295" t="e">
        <f>IF(K47="nio",0,(O47*Q47)/Z47)*VLOOKUP(C47,'2-Uren per locatie'!$B$15:$D$74,3,FALSE)</f>
        <v>#DIV/0!</v>
      </c>
      <c r="W47" s="295" t="e">
        <f>IF(K47="nio",0,(P47*Q47)/AA47)*VLOOKUP(C47,'2-Uren per locatie'!$B$15:$D$74,3,FALSE)</f>
        <v>#DIV/0!</v>
      </c>
      <c r="X47" s="485">
        <f>IF(K47="nio",0,IF(K47&gt;0,VLOOKUP(H47,'3-Productie normen'!A:F,VLOOKUP(K47,'3-Productie normen'!$B$29:$C$34,2,FALSE),FALSE)))</f>
        <v>0</v>
      </c>
      <c r="Y47" s="485">
        <f>VLOOKUP(H47,'3-Productie normen'!$A$10:$J$24,8,FALSE)*'3-Ruimtestaat'!X47</f>
        <v>0</v>
      </c>
      <c r="Z47" s="485">
        <f>VLOOKUP(H47,'3-Productie normen'!$A$10:$J$24,9,FALSE)*'3-Ruimtestaat'!X47</f>
        <v>0</v>
      </c>
      <c r="AA47" s="485">
        <f>VLOOKUP(H47,'3-Productie normen'!$A$10:$J$24,10,FALSE)*'3-Ruimtestaat'!X47</f>
        <v>0</v>
      </c>
      <c r="AB47" s="292" t="str">
        <f>IF(H47="",0,VLOOKUP(H47,'3-Productie normen'!$A$10:$N$23,14,FALSE))</f>
        <v>V</v>
      </c>
      <c r="AD47" s="296">
        <f t="shared" si="1"/>
        <v>8395</v>
      </c>
      <c r="AE47" s="78"/>
      <c r="AF47" s="297"/>
      <c r="AG47" s="297"/>
      <c r="AH47" s="297"/>
      <c r="AI47" s="297"/>
      <c r="AJ47" s="297"/>
      <c r="AK47" s="298"/>
      <c r="AL47" s="298"/>
      <c r="AM47" s="298"/>
      <c r="AN47" s="298"/>
      <c r="AO47" s="299"/>
    </row>
    <row r="48" spans="1:41" ht="15" customHeight="1">
      <c r="A48" s="254">
        <v>48</v>
      </c>
      <c r="B48" s="253">
        <v>102</v>
      </c>
      <c r="C48" s="240" t="s">
        <v>51</v>
      </c>
      <c r="D48" s="288" t="s">
        <v>50</v>
      </c>
      <c r="E48" s="289" t="s">
        <v>242</v>
      </c>
      <c r="F48" s="239" t="s">
        <v>266</v>
      </c>
      <c r="G48" s="290" t="s">
        <v>267</v>
      </c>
      <c r="H48" s="291" t="s">
        <v>155</v>
      </c>
      <c r="I48" s="239" t="s">
        <v>206</v>
      </c>
      <c r="J48" s="424">
        <f t="shared" si="0"/>
        <v>365</v>
      </c>
      <c r="K48" s="425">
        <v>127</v>
      </c>
      <c r="L48" s="425">
        <v>126</v>
      </c>
      <c r="M48" s="425">
        <v>52</v>
      </c>
      <c r="N48" s="425">
        <v>52</v>
      </c>
      <c r="O48" s="425">
        <v>4</v>
      </c>
      <c r="P48" s="425">
        <v>4</v>
      </c>
      <c r="Q48" s="294">
        <v>0</v>
      </c>
      <c r="R48" s="295" t="e">
        <f>IF(K48="nio",0,(K48*Q48)/X48)*VLOOKUP(C48,'2-Uren per locatie'!$B$15:$D$74,3,FALSE)</f>
        <v>#DIV/0!</v>
      </c>
      <c r="S48" s="295" t="e">
        <f>IF(K48="nio",0,(L48*Q48)/Y48)*VLOOKUP(C48,'2-Uren per locatie'!$B$15:$D$74,3,FALSE)</f>
        <v>#DIV/0!</v>
      </c>
      <c r="T48" s="295" t="e">
        <f>IF(K48="nio",0,(M48*Q48)/Z48)*VLOOKUP(C48,'2-Uren per locatie'!$B$15:$D$74,3,FALSE)</f>
        <v>#DIV/0!</v>
      </c>
      <c r="U48" s="295" t="e">
        <f>IF(K48="nio",0,(N48*Q48)/AA48)*VLOOKUP(C48,'2-Uren per locatie'!$B$15:$D$74,3,FALSE)</f>
        <v>#DIV/0!</v>
      </c>
      <c r="V48" s="295" t="e">
        <f>IF(K48="nio",0,(O48*Q48)/Z48)*VLOOKUP(C48,'2-Uren per locatie'!$B$15:$D$74,3,FALSE)</f>
        <v>#DIV/0!</v>
      </c>
      <c r="W48" s="295" t="e">
        <f>IF(K48="nio",0,(P48*Q48)/AA48)*VLOOKUP(C48,'2-Uren per locatie'!$B$15:$D$74,3,FALSE)</f>
        <v>#DIV/0!</v>
      </c>
      <c r="X48" s="485">
        <f>IF(K48="nio",0,IF(K48&gt;0,VLOOKUP(H48,'3-Productie normen'!A:F,VLOOKUP(K48,'3-Productie normen'!$B$29:$C$34,2,FALSE),FALSE)))</f>
        <v>0</v>
      </c>
      <c r="Y48" s="485">
        <f>VLOOKUP(H48,'3-Productie normen'!$A$10:$J$24,8,FALSE)*'3-Ruimtestaat'!X48</f>
        <v>0</v>
      </c>
      <c r="Z48" s="485">
        <f>VLOOKUP(H48,'3-Productie normen'!$A$10:$J$24,9,FALSE)*'3-Ruimtestaat'!X48</f>
        <v>0</v>
      </c>
      <c r="AA48" s="485">
        <f>VLOOKUP(H48,'3-Productie normen'!$A$10:$J$24,10,FALSE)*'3-Ruimtestaat'!X48</f>
        <v>0</v>
      </c>
      <c r="AB48" s="292" t="str">
        <f>IF(H48="",0,VLOOKUP(H48,'3-Productie normen'!$A$10:$N$23,14,FALSE))</f>
        <v>V</v>
      </c>
      <c r="AD48" s="296">
        <f t="shared" si="1"/>
        <v>0</v>
      </c>
      <c r="AE48" s="78"/>
      <c r="AF48" s="297"/>
      <c r="AG48" s="297"/>
      <c r="AH48" s="297"/>
      <c r="AI48" s="297"/>
      <c r="AJ48" s="297"/>
      <c r="AK48" s="298"/>
      <c r="AL48" s="298"/>
      <c r="AM48" s="298"/>
      <c r="AN48" s="298"/>
      <c r="AO48" s="299" t="s">
        <v>268</v>
      </c>
    </row>
    <row r="49" spans="1:41" ht="15" customHeight="1">
      <c r="A49" s="254">
        <v>49</v>
      </c>
      <c r="B49" s="253">
        <v>102</v>
      </c>
      <c r="C49" s="240" t="s">
        <v>51</v>
      </c>
      <c r="D49" s="288" t="s">
        <v>50</v>
      </c>
      <c r="E49" s="289" t="s">
        <v>242</v>
      </c>
      <c r="F49" s="239" t="s">
        <v>269</v>
      </c>
      <c r="G49" s="290" t="s">
        <v>270</v>
      </c>
      <c r="H49" s="291" t="s">
        <v>152</v>
      </c>
      <c r="I49" s="239" t="s">
        <v>265</v>
      </c>
      <c r="J49" s="424">
        <f t="shared" si="0"/>
        <v>365</v>
      </c>
      <c r="K49" s="425">
        <v>127</v>
      </c>
      <c r="L49" s="425">
        <v>126</v>
      </c>
      <c r="M49" s="425">
        <v>52</v>
      </c>
      <c r="N49" s="425">
        <v>52</v>
      </c>
      <c r="O49" s="425">
        <v>4</v>
      </c>
      <c r="P49" s="425">
        <v>4</v>
      </c>
      <c r="Q49" s="294">
        <v>25</v>
      </c>
      <c r="R49" s="295" t="e">
        <f>IF(K49="nio",0,(K49*Q49)/X49)*VLOOKUP(C49,'2-Uren per locatie'!$B$15:$D$74,3,FALSE)</f>
        <v>#DIV/0!</v>
      </c>
      <c r="S49" s="295" t="e">
        <f>IF(K49="nio",0,(L49*Q49)/Y49)*VLOOKUP(C49,'2-Uren per locatie'!$B$15:$D$74,3,FALSE)</f>
        <v>#DIV/0!</v>
      </c>
      <c r="T49" s="295" t="e">
        <f>IF(K49="nio",0,(M49*Q49)/Z49)*VLOOKUP(C49,'2-Uren per locatie'!$B$15:$D$74,3,FALSE)</f>
        <v>#DIV/0!</v>
      </c>
      <c r="U49" s="295" t="e">
        <f>IF(K49="nio",0,(N49*Q49)/AA49)*VLOOKUP(C49,'2-Uren per locatie'!$B$15:$D$74,3,FALSE)</f>
        <v>#DIV/0!</v>
      </c>
      <c r="V49" s="295" t="e">
        <f>IF(K49="nio",0,(O49*Q49)/Z49)*VLOOKUP(C49,'2-Uren per locatie'!$B$15:$D$74,3,FALSE)</f>
        <v>#DIV/0!</v>
      </c>
      <c r="W49" s="295" t="e">
        <f>IF(K49="nio",0,(P49*Q49)/AA49)*VLOOKUP(C49,'2-Uren per locatie'!$B$15:$D$74,3,FALSE)</f>
        <v>#DIV/0!</v>
      </c>
      <c r="X49" s="485">
        <f>IF(K49="nio",0,IF(K49&gt;0,VLOOKUP(H49,'3-Productie normen'!A:F,VLOOKUP(K49,'3-Productie normen'!$B$29:$C$34,2,FALSE),FALSE)))</f>
        <v>0</v>
      </c>
      <c r="Y49" s="485">
        <f>VLOOKUP(H49,'3-Productie normen'!$A$10:$J$24,8,FALSE)*'3-Ruimtestaat'!X49</f>
        <v>0</v>
      </c>
      <c r="Z49" s="485">
        <f>VLOOKUP(H49,'3-Productie normen'!$A$10:$J$24,9,FALSE)*'3-Ruimtestaat'!X49</f>
        <v>0</v>
      </c>
      <c r="AA49" s="485">
        <f>VLOOKUP(H49,'3-Productie normen'!$A$10:$J$24,10,FALSE)*'3-Ruimtestaat'!X49</f>
        <v>0</v>
      </c>
      <c r="AB49" s="292" t="str">
        <f>IF(H49="",0,VLOOKUP(H49,'3-Productie normen'!$A$10:$N$23,14,FALSE))</f>
        <v>V</v>
      </c>
      <c r="AD49" s="296">
        <f t="shared" si="1"/>
        <v>9125</v>
      </c>
      <c r="AE49" s="78"/>
      <c r="AF49" s="297"/>
      <c r="AG49" s="297">
        <v>20</v>
      </c>
      <c r="AH49" s="297"/>
      <c r="AI49" s="297"/>
      <c r="AJ49" s="297"/>
      <c r="AK49" s="298"/>
      <c r="AL49" s="298"/>
      <c r="AM49" s="298"/>
      <c r="AN49" s="298"/>
      <c r="AO49" s="299" t="s">
        <v>246</v>
      </c>
    </row>
    <row r="50" spans="1:41" ht="15" customHeight="1">
      <c r="A50" s="254">
        <v>50</v>
      </c>
      <c r="B50" s="253">
        <v>102</v>
      </c>
      <c r="C50" s="240" t="s">
        <v>51</v>
      </c>
      <c r="D50" s="288" t="s">
        <v>50</v>
      </c>
      <c r="E50" s="289" t="s">
        <v>242</v>
      </c>
      <c r="F50" s="239" t="s">
        <v>271</v>
      </c>
      <c r="G50" s="290" t="s">
        <v>272</v>
      </c>
      <c r="H50" s="291" t="s">
        <v>155</v>
      </c>
      <c r="I50" s="239" t="s">
        <v>206</v>
      </c>
      <c r="J50" s="424">
        <f t="shared" si="0"/>
        <v>365</v>
      </c>
      <c r="K50" s="425">
        <v>127</v>
      </c>
      <c r="L50" s="425">
        <v>126</v>
      </c>
      <c r="M50" s="425">
        <v>52</v>
      </c>
      <c r="N50" s="425">
        <v>52</v>
      </c>
      <c r="O50" s="425">
        <v>4</v>
      </c>
      <c r="P50" s="425">
        <v>4</v>
      </c>
      <c r="Q50" s="294">
        <v>0</v>
      </c>
      <c r="R50" s="295" t="e">
        <f>IF(K50="nio",0,(K50*Q50)/X50)*VLOOKUP(C50,'2-Uren per locatie'!$B$15:$D$74,3,FALSE)</f>
        <v>#DIV/0!</v>
      </c>
      <c r="S50" s="295" t="e">
        <f>IF(K50="nio",0,(L50*Q50)/Y50)*VLOOKUP(C50,'2-Uren per locatie'!$B$15:$D$74,3,FALSE)</f>
        <v>#DIV/0!</v>
      </c>
      <c r="T50" s="295" t="e">
        <f>IF(K50="nio",0,(M50*Q50)/Z50)*VLOOKUP(C50,'2-Uren per locatie'!$B$15:$D$74,3,FALSE)</f>
        <v>#DIV/0!</v>
      </c>
      <c r="U50" s="295" t="e">
        <f>IF(K50="nio",0,(N50*Q50)/AA50)*VLOOKUP(C50,'2-Uren per locatie'!$B$15:$D$74,3,FALSE)</f>
        <v>#DIV/0!</v>
      </c>
      <c r="V50" s="295" t="e">
        <f>IF(K50="nio",0,(O50*Q50)/Z50)*VLOOKUP(C50,'2-Uren per locatie'!$B$15:$D$74,3,FALSE)</f>
        <v>#DIV/0!</v>
      </c>
      <c r="W50" s="295" t="e">
        <f>IF(K50="nio",0,(P50*Q50)/AA50)*VLOOKUP(C50,'2-Uren per locatie'!$B$15:$D$74,3,FALSE)</f>
        <v>#DIV/0!</v>
      </c>
      <c r="X50" s="485">
        <f>IF(K50="nio",0,IF(K50&gt;0,VLOOKUP(H50,'3-Productie normen'!A:F,VLOOKUP(K50,'3-Productie normen'!$B$29:$C$34,2,FALSE),FALSE)))</f>
        <v>0</v>
      </c>
      <c r="Y50" s="485">
        <f>VLOOKUP(H50,'3-Productie normen'!$A$10:$J$24,8,FALSE)*'3-Ruimtestaat'!X50</f>
        <v>0</v>
      </c>
      <c r="Z50" s="485">
        <f>VLOOKUP(H50,'3-Productie normen'!$A$10:$J$24,9,FALSE)*'3-Ruimtestaat'!X50</f>
        <v>0</v>
      </c>
      <c r="AA50" s="485">
        <f>VLOOKUP(H50,'3-Productie normen'!$A$10:$J$24,10,FALSE)*'3-Ruimtestaat'!X50</f>
        <v>0</v>
      </c>
      <c r="AB50" s="292" t="str">
        <f>IF(H50="",0,VLOOKUP(H50,'3-Productie normen'!$A$10:$N$23,14,FALSE))</f>
        <v>V</v>
      </c>
      <c r="AD50" s="296">
        <f t="shared" si="1"/>
        <v>0</v>
      </c>
      <c r="AE50" s="78"/>
      <c r="AF50" s="297"/>
      <c r="AG50" s="297"/>
      <c r="AH50" s="297"/>
      <c r="AI50" s="297"/>
      <c r="AJ50" s="297"/>
      <c r="AK50" s="298"/>
      <c r="AL50" s="298"/>
      <c r="AM50" s="298"/>
      <c r="AN50" s="298"/>
      <c r="AO50" s="299" t="s">
        <v>273</v>
      </c>
    </row>
    <row r="51" spans="1:41" ht="15" customHeight="1">
      <c r="A51" s="254">
        <v>51</v>
      </c>
      <c r="B51" s="253">
        <v>102</v>
      </c>
      <c r="C51" s="240" t="s">
        <v>51</v>
      </c>
      <c r="D51" s="288" t="s">
        <v>50</v>
      </c>
      <c r="E51" s="289" t="s">
        <v>242</v>
      </c>
      <c r="F51" s="239" t="s">
        <v>274</v>
      </c>
      <c r="G51" s="290" t="s">
        <v>275</v>
      </c>
      <c r="H51" s="291" t="s">
        <v>149</v>
      </c>
      <c r="I51" s="239" t="s">
        <v>245</v>
      </c>
      <c r="J51" s="424">
        <f t="shared" si="0"/>
        <v>365</v>
      </c>
      <c r="K51" s="425">
        <v>127</v>
      </c>
      <c r="L51" s="425">
        <v>126</v>
      </c>
      <c r="M51" s="425">
        <v>52</v>
      </c>
      <c r="N51" s="425">
        <v>52</v>
      </c>
      <c r="O51" s="425">
        <v>4</v>
      </c>
      <c r="P51" s="425">
        <v>4</v>
      </c>
      <c r="Q51" s="294">
        <v>7.8000000000000007</v>
      </c>
      <c r="R51" s="295" t="e">
        <f>IF(K51="nio",0,(K51*Q51)/X51)*VLOOKUP(C51,'2-Uren per locatie'!$B$15:$D$74,3,FALSE)</f>
        <v>#DIV/0!</v>
      </c>
      <c r="S51" s="295" t="e">
        <f>IF(K51="nio",0,(L51*Q51)/Y51)*VLOOKUP(C51,'2-Uren per locatie'!$B$15:$D$74,3,FALSE)</f>
        <v>#DIV/0!</v>
      </c>
      <c r="T51" s="295" t="e">
        <f>IF(K51="nio",0,(M51*Q51)/Z51)*VLOOKUP(C51,'2-Uren per locatie'!$B$15:$D$74,3,FALSE)</f>
        <v>#DIV/0!</v>
      </c>
      <c r="U51" s="295" t="e">
        <f>IF(K51="nio",0,(N51*Q51)/AA51)*VLOOKUP(C51,'2-Uren per locatie'!$B$15:$D$74,3,FALSE)</f>
        <v>#DIV/0!</v>
      </c>
      <c r="V51" s="295" t="e">
        <f>IF(K51="nio",0,(O51*Q51)/Z51)*VLOOKUP(C51,'2-Uren per locatie'!$B$15:$D$74,3,FALSE)</f>
        <v>#DIV/0!</v>
      </c>
      <c r="W51" s="295" t="e">
        <f>IF(K51="nio",0,(P51*Q51)/AA51)*VLOOKUP(C51,'2-Uren per locatie'!$B$15:$D$74,3,FALSE)</f>
        <v>#DIV/0!</v>
      </c>
      <c r="X51" s="485">
        <f>IF(K51="nio",0,IF(K51&gt;0,VLOOKUP(H51,'3-Productie normen'!A:F,VLOOKUP(K51,'3-Productie normen'!$B$29:$C$34,2,FALSE),FALSE)))</f>
        <v>0</v>
      </c>
      <c r="Y51" s="485">
        <f>VLOOKUP(H51,'3-Productie normen'!$A$10:$J$24,8,FALSE)*'3-Ruimtestaat'!X51</f>
        <v>0</v>
      </c>
      <c r="Z51" s="485">
        <f>VLOOKUP(H51,'3-Productie normen'!$A$10:$J$24,9,FALSE)*'3-Ruimtestaat'!X51</f>
        <v>0</v>
      </c>
      <c r="AA51" s="485">
        <f>VLOOKUP(H51,'3-Productie normen'!$A$10:$J$24,10,FALSE)*'3-Ruimtestaat'!X51</f>
        <v>0</v>
      </c>
      <c r="AB51" s="292" t="str">
        <f>IF(H51="",0,VLOOKUP(H51,'3-Productie normen'!$A$10:$N$23,14,FALSE))</f>
        <v>V</v>
      </c>
      <c r="AD51" s="296">
        <f t="shared" si="1"/>
        <v>2847.0000000000005</v>
      </c>
      <c r="AE51" s="78"/>
      <c r="AF51" s="297"/>
      <c r="AG51" s="297">
        <v>58</v>
      </c>
      <c r="AH51" s="297"/>
      <c r="AI51" s="297"/>
      <c r="AJ51" s="297"/>
      <c r="AK51" s="298"/>
      <c r="AL51" s="298"/>
      <c r="AM51" s="298"/>
      <c r="AN51" s="298"/>
      <c r="AO51" s="299" t="s">
        <v>246</v>
      </c>
    </row>
    <row r="52" spans="1:41" ht="15" customHeight="1">
      <c r="A52" s="254">
        <v>52</v>
      </c>
      <c r="B52" s="253">
        <v>102</v>
      </c>
      <c r="C52" s="240" t="s">
        <v>51</v>
      </c>
      <c r="D52" s="288" t="s">
        <v>50</v>
      </c>
      <c r="E52" s="289" t="s">
        <v>242</v>
      </c>
      <c r="F52" s="239" t="s">
        <v>276</v>
      </c>
      <c r="G52" s="290" t="s">
        <v>277</v>
      </c>
      <c r="H52" s="291" t="s">
        <v>149</v>
      </c>
      <c r="I52" s="239" t="s">
        <v>245</v>
      </c>
      <c r="J52" s="424">
        <f t="shared" si="0"/>
        <v>365</v>
      </c>
      <c r="K52" s="425">
        <v>127</v>
      </c>
      <c r="L52" s="425">
        <v>126</v>
      </c>
      <c r="M52" s="425">
        <v>52</v>
      </c>
      <c r="N52" s="425">
        <v>52</v>
      </c>
      <c r="O52" s="425">
        <v>4</v>
      </c>
      <c r="P52" s="425">
        <v>4</v>
      </c>
      <c r="Q52" s="294">
        <v>7.8000000000000007</v>
      </c>
      <c r="R52" s="295" t="e">
        <f>IF(K52="nio",0,(K52*Q52)/X52)*VLOOKUP(C52,'2-Uren per locatie'!$B$15:$D$74,3,FALSE)</f>
        <v>#DIV/0!</v>
      </c>
      <c r="S52" s="295" t="e">
        <f>IF(K52="nio",0,(L52*Q52)/Y52)*VLOOKUP(C52,'2-Uren per locatie'!$B$15:$D$74,3,FALSE)</f>
        <v>#DIV/0!</v>
      </c>
      <c r="T52" s="295" t="e">
        <f>IF(K52="nio",0,(M52*Q52)/Z52)*VLOOKUP(C52,'2-Uren per locatie'!$B$15:$D$74,3,FALSE)</f>
        <v>#DIV/0!</v>
      </c>
      <c r="U52" s="295" t="e">
        <f>IF(K52="nio",0,(N52*Q52)/AA52)*VLOOKUP(C52,'2-Uren per locatie'!$B$15:$D$74,3,FALSE)</f>
        <v>#DIV/0!</v>
      </c>
      <c r="V52" s="295" t="e">
        <f>IF(K52="nio",0,(O52*Q52)/Z52)*VLOOKUP(C52,'2-Uren per locatie'!$B$15:$D$74,3,FALSE)</f>
        <v>#DIV/0!</v>
      </c>
      <c r="W52" s="295" t="e">
        <f>IF(K52="nio",0,(P52*Q52)/AA52)*VLOOKUP(C52,'2-Uren per locatie'!$B$15:$D$74,3,FALSE)</f>
        <v>#DIV/0!</v>
      </c>
      <c r="X52" s="485">
        <f>IF(K52="nio",0,IF(K52&gt;0,VLOOKUP(H52,'3-Productie normen'!A:F,VLOOKUP(K52,'3-Productie normen'!$B$29:$C$34,2,FALSE),FALSE)))</f>
        <v>0</v>
      </c>
      <c r="Y52" s="485">
        <f>VLOOKUP(H52,'3-Productie normen'!$A$10:$J$24,8,FALSE)*'3-Ruimtestaat'!X52</f>
        <v>0</v>
      </c>
      <c r="Z52" s="485">
        <f>VLOOKUP(H52,'3-Productie normen'!$A$10:$J$24,9,FALSE)*'3-Ruimtestaat'!X52</f>
        <v>0</v>
      </c>
      <c r="AA52" s="485">
        <f>VLOOKUP(H52,'3-Productie normen'!$A$10:$J$24,10,FALSE)*'3-Ruimtestaat'!X52</f>
        <v>0</v>
      </c>
      <c r="AB52" s="292" t="str">
        <f>IF(H52="",0,VLOOKUP(H52,'3-Productie normen'!$A$10:$N$23,14,FALSE))</f>
        <v>V</v>
      </c>
      <c r="AD52" s="296">
        <f t="shared" si="1"/>
        <v>2847.0000000000005</v>
      </c>
      <c r="AE52" s="78"/>
      <c r="AF52" s="297"/>
      <c r="AG52" s="297">
        <v>50</v>
      </c>
      <c r="AH52" s="297"/>
      <c r="AI52" s="297"/>
      <c r="AJ52" s="297"/>
      <c r="AK52" s="298"/>
      <c r="AL52" s="298"/>
      <c r="AM52" s="298"/>
      <c r="AN52" s="298"/>
      <c r="AO52" s="299" t="s">
        <v>246</v>
      </c>
    </row>
    <row r="53" spans="1:41" ht="15" customHeight="1">
      <c r="A53" s="254">
        <v>53</v>
      </c>
      <c r="B53" s="253">
        <v>102</v>
      </c>
      <c r="C53" s="240" t="s">
        <v>51</v>
      </c>
      <c r="D53" s="288" t="s">
        <v>50</v>
      </c>
      <c r="E53" s="289" t="s">
        <v>207</v>
      </c>
      <c r="F53" s="239" t="s">
        <v>278</v>
      </c>
      <c r="G53" s="290" t="s">
        <v>279</v>
      </c>
      <c r="H53" s="291" t="s">
        <v>152</v>
      </c>
      <c r="I53" s="239" t="s">
        <v>265</v>
      </c>
      <c r="J53" s="424">
        <f t="shared" si="0"/>
        <v>365</v>
      </c>
      <c r="K53" s="425">
        <v>127</v>
      </c>
      <c r="L53" s="425">
        <v>126</v>
      </c>
      <c r="M53" s="425">
        <v>52</v>
      </c>
      <c r="N53" s="425">
        <v>52</v>
      </c>
      <c r="O53" s="425">
        <v>4</v>
      </c>
      <c r="P53" s="425">
        <v>4</v>
      </c>
      <c r="Q53" s="294">
        <v>26</v>
      </c>
      <c r="R53" s="295" t="e">
        <f>IF(K53="nio",0,(K53*Q53)/X53)*VLOOKUP(C53,'2-Uren per locatie'!$B$15:$D$74,3,FALSE)</f>
        <v>#DIV/0!</v>
      </c>
      <c r="S53" s="295" t="e">
        <f>IF(K53="nio",0,(L53*Q53)/Y53)*VLOOKUP(C53,'2-Uren per locatie'!$B$15:$D$74,3,FALSE)</f>
        <v>#DIV/0!</v>
      </c>
      <c r="T53" s="295" t="e">
        <f>IF(K53="nio",0,(M53*Q53)/Z53)*VLOOKUP(C53,'2-Uren per locatie'!$B$15:$D$74,3,FALSE)</f>
        <v>#DIV/0!</v>
      </c>
      <c r="U53" s="295" t="e">
        <f>IF(K53="nio",0,(N53*Q53)/AA53)*VLOOKUP(C53,'2-Uren per locatie'!$B$15:$D$74,3,FALSE)</f>
        <v>#DIV/0!</v>
      </c>
      <c r="V53" s="295" t="e">
        <f>IF(K53="nio",0,(O53*Q53)/Z53)*VLOOKUP(C53,'2-Uren per locatie'!$B$15:$D$74,3,FALSE)</f>
        <v>#DIV/0!</v>
      </c>
      <c r="W53" s="295" t="e">
        <f>IF(K53="nio",0,(P53*Q53)/AA53)*VLOOKUP(C53,'2-Uren per locatie'!$B$15:$D$74,3,FALSE)</f>
        <v>#DIV/0!</v>
      </c>
      <c r="X53" s="485">
        <f>IF(K53="nio",0,IF(K53&gt;0,VLOOKUP(H53,'3-Productie normen'!A:F,VLOOKUP(K53,'3-Productie normen'!$B$29:$C$34,2,FALSE),FALSE)))</f>
        <v>0</v>
      </c>
      <c r="Y53" s="485">
        <f>VLOOKUP(H53,'3-Productie normen'!$A$10:$J$24,8,FALSE)*'3-Ruimtestaat'!X53</f>
        <v>0</v>
      </c>
      <c r="Z53" s="485">
        <f>VLOOKUP(H53,'3-Productie normen'!$A$10:$J$24,9,FALSE)*'3-Ruimtestaat'!X53</f>
        <v>0</v>
      </c>
      <c r="AA53" s="485">
        <f>VLOOKUP(H53,'3-Productie normen'!$A$10:$J$24,10,FALSE)*'3-Ruimtestaat'!X53</f>
        <v>0</v>
      </c>
      <c r="AB53" s="292" t="str">
        <f>IF(H53="",0,VLOOKUP(H53,'3-Productie normen'!$A$10:$N$23,14,FALSE))</f>
        <v>V</v>
      </c>
      <c r="AD53" s="296">
        <f t="shared" si="1"/>
        <v>9490</v>
      </c>
      <c r="AE53" s="78"/>
      <c r="AF53" s="297"/>
      <c r="AG53" s="297"/>
      <c r="AH53" s="297"/>
      <c r="AI53" s="297"/>
      <c r="AJ53" s="297"/>
      <c r="AK53" s="298"/>
      <c r="AL53" s="298"/>
      <c r="AM53" s="298"/>
      <c r="AN53" s="298"/>
      <c r="AO53" s="299"/>
    </row>
    <row r="54" spans="1:41" ht="15" customHeight="1">
      <c r="A54" s="254">
        <v>54</v>
      </c>
      <c r="B54" s="253">
        <v>102</v>
      </c>
      <c r="C54" s="240" t="s">
        <v>51</v>
      </c>
      <c r="D54" s="288" t="s">
        <v>50</v>
      </c>
      <c r="E54" s="289" t="s">
        <v>207</v>
      </c>
      <c r="F54" s="239" t="s">
        <v>280</v>
      </c>
      <c r="G54" s="290" t="s">
        <v>281</v>
      </c>
      <c r="H54" s="291" t="s">
        <v>155</v>
      </c>
      <c r="I54" s="239" t="s">
        <v>206</v>
      </c>
      <c r="J54" s="424">
        <f t="shared" si="0"/>
        <v>365</v>
      </c>
      <c r="K54" s="425">
        <v>127</v>
      </c>
      <c r="L54" s="425">
        <v>126</v>
      </c>
      <c r="M54" s="425">
        <v>52</v>
      </c>
      <c r="N54" s="425">
        <v>52</v>
      </c>
      <c r="O54" s="425">
        <v>4</v>
      </c>
      <c r="P54" s="425">
        <v>4</v>
      </c>
      <c r="Q54" s="294">
        <v>60.203000000000003</v>
      </c>
      <c r="R54" s="295" t="e">
        <f>IF(K54="nio",0,(K54*Q54)/X54)*VLOOKUP(C54,'2-Uren per locatie'!$B$15:$D$74,3,FALSE)</f>
        <v>#DIV/0!</v>
      </c>
      <c r="S54" s="295" t="e">
        <f>IF(K54="nio",0,(L54*Q54)/Y54)*VLOOKUP(C54,'2-Uren per locatie'!$B$15:$D$74,3,FALSE)</f>
        <v>#DIV/0!</v>
      </c>
      <c r="T54" s="295" t="e">
        <f>IF(K54="nio",0,(M54*Q54)/Z54)*VLOOKUP(C54,'2-Uren per locatie'!$B$15:$D$74,3,FALSE)</f>
        <v>#DIV/0!</v>
      </c>
      <c r="U54" s="295" t="e">
        <f>IF(K54="nio",0,(N54*Q54)/AA54)*VLOOKUP(C54,'2-Uren per locatie'!$B$15:$D$74,3,FALSE)</f>
        <v>#DIV/0!</v>
      </c>
      <c r="V54" s="295" t="e">
        <f>IF(K54="nio",0,(O54*Q54)/Z54)*VLOOKUP(C54,'2-Uren per locatie'!$B$15:$D$74,3,FALSE)</f>
        <v>#DIV/0!</v>
      </c>
      <c r="W54" s="295" t="e">
        <f>IF(K54="nio",0,(P54*Q54)/AA54)*VLOOKUP(C54,'2-Uren per locatie'!$B$15:$D$74,3,FALSE)</f>
        <v>#DIV/0!</v>
      </c>
      <c r="X54" s="485">
        <f>IF(K54="nio",0,IF(K54&gt;0,VLOOKUP(H54,'3-Productie normen'!A:F,VLOOKUP(K54,'3-Productie normen'!$B$29:$C$34,2,FALSE),FALSE)))</f>
        <v>0</v>
      </c>
      <c r="Y54" s="485">
        <f>VLOOKUP(H54,'3-Productie normen'!$A$10:$J$24,8,FALSE)*'3-Ruimtestaat'!X54</f>
        <v>0</v>
      </c>
      <c r="Z54" s="485">
        <f>VLOOKUP(H54,'3-Productie normen'!$A$10:$J$24,9,FALSE)*'3-Ruimtestaat'!X54</f>
        <v>0</v>
      </c>
      <c r="AA54" s="485">
        <f>VLOOKUP(H54,'3-Productie normen'!$A$10:$J$24,10,FALSE)*'3-Ruimtestaat'!X54</f>
        <v>0</v>
      </c>
      <c r="AB54" s="292" t="str">
        <f>IF(H54="",0,VLOOKUP(H54,'3-Productie normen'!$A$10:$N$23,14,FALSE))</f>
        <v>V</v>
      </c>
      <c r="AD54" s="296">
        <f t="shared" si="1"/>
        <v>21974.095000000001</v>
      </c>
      <c r="AE54" s="78"/>
      <c r="AF54" s="297"/>
      <c r="AG54" s="297">
        <f>2*(11.6*3.4+7*3.3)+4.7*3.4-23</f>
        <v>118.05999999999997</v>
      </c>
      <c r="AH54" s="297"/>
      <c r="AI54" s="297"/>
      <c r="AJ54" s="297"/>
      <c r="AK54" s="298"/>
      <c r="AL54" s="298"/>
      <c r="AM54" s="298">
        <v>87</v>
      </c>
      <c r="AN54" s="298"/>
      <c r="AO54" s="299" t="s">
        <v>282</v>
      </c>
    </row>
    <row r="55" spans="1:41" ht="15" customHeight="1">
      <c r="A55" s="254">
        <v>55</v>
      </c>
      <c r="B55" s="253">
        <v>102</v>
      </c>
      <c r="C55" s="240" t="s">
        <v>51</v>
      </c>
      <c r="D55" s="288" t="s">
        <v>50</v>
      </c>
      <c r="E55" s="289" t="s">
        <v>207</v>
      </c>
      <c r="F55" s="239" t="s">
        <v>210</v>
      </c>
      <c r="G55" s="290" t="s">
        <v>283</v>
      </c>
      <c r="H55" s="291" t="s">
        <v>145</v>
      </c>
      <c r="I55" s="239" t="s">
        <v>203</v>
      </c>
      <c r="J55" s="424">
        <f t="shared" si="0"/>
        <v>365</v>
      </c>
      <c r="K55" s="425">
        <v>127</v>
      </c>
      <c r="L55" s="425">
        <v>126</v>
      </c>
      <c r="M55" s="425">
        <v>52</v>
      </c>
      <c r="N55" s="425">
        <v>52</v>
      </c>
      <c r="O55" s="425">
        <v>4</v>
      </c>
      <c r="P55" s="425">
        <v>4</v>
      </c>
      <c r="Q55" s="294">
        <v>782.6</v>
      </c>
      <c r="R55" s="295" t="e">
        <f>IF(K55="nio",0,(K55*Q55)/X55)*VLOOKUP(C55,'2-Uren per locatie'!$B$15:$D$74,3,FALSE)</f>
        <v>#DIV/0!</v>
      </c>
      <c r="S55" s="295" t="e">
        <f>IF(K55="nio",0,(L55*Q55)/Y55)*VLOOKUP(C55,'2-Uren per locatie'!$B$15:$D$74,3,FALSE)</f>
        <v>#DIV/0!</v>
      </c>
      <c r="T55" s="295" t="e">
        <f>IF(K55="nio",0,(M55*Q55)/Z55)*VLOOKUP(C55,'2-Uren per locatie'!$B$15:$D$74,3,FALSE)</f>
        <v>#DIV/0!</v>
      </c>
      <c r="U55" s="295" t="e">
        <f>IF(K55="nio",0,(N55*Q55)/AA55)*VLOOKUP(C55,'2-Uren per locatie'!$B$15:$D$74,3,FALSE)</f>
        <v>#DIV/0!</v>
      </c>
      <c r="V55" s="295" t="e">
        <f>IF(K55="nio",0,(O55*Q55)/Z55)*VLOOKUP(C55,'2-Uren per locatie'!$B$15:$D$74,3,FALSE)</f>
        <v>#DIV/0!</v>
      </c>
      <c r="W55" s="295" t="e">
        <f>IF(K55="nio",0,(P55*Q55)/AA55)*VLOOKUP(C55,'2-Uren per locatie'!$B$15:$D$74,3,FALSE)</f>
        <v>#DIV/0!</v>
      </c>
      <c r="X55" s="485">
        <f>IF(K55="nio",0,IF(K55&gt;0,VLOOKUP(H55,'3-Productie normen'!A:F,VLOOKUP(K55,'3-Productie normen'!$B$29:$C$34,2,FALSE),FALSE)))</f>
        <v>0</v>
      </c>
      <c r="Y55" s="485">
        <f>VLOOKUP(H55,'3-Productie normen'!$A$10:$J$24,8,FALSE)*'3-Ruimtestaat'!X55</f>
        <v>0</v>
      </c>
      <c r="Z55" s="485">
        <f>VLOOKUP(H55,'3-Productie normen'!$A$10:$J$24,9,FALSE)*'3-Ruimtestaat'!X55</f>
        <v>0</v>
      </c>
      <c r="AA55" s="485">
        <f>VLOOKUP(H55,'3-Productie normen'!$A$10:$J$24,10,FALSE)*'3-Ruimtestaat'!X55</f>
        <v>0</v>
      </c>
      <c r="AB55" s="292" t="str">
        <f>IF(H55="",0,VLOOKUP(H55,'3-Productie normen'!$A$10:$N$23,14,FALSE))</f>
        <v>V</v>
      </c>
      <c r="AD55" s="296">
        <f t="shared" si="1"/>
        <v>285649</v>
      </c>
      <c r="AE55" s="78"/>
      <c r="AF55" s="297"/>
      <c r="AG55" s="297">
        <f>90+72+71+146+157+23</f>
        <v>559</v>
      </c>
      <c r="AH55" s="297"/>
      <c r="AI55" s="297"/>
      <c r="AJ55" s="297"/>
      <c r="AK55" s="298"/>
      <c r="AL55" s="298"/>
      <c r="AM55" s="298">
        <f>90+212</f>
        <v>302</v>
      </c>
      <c r="AN55" s="298"/>
      <c r="AO55" s="299" t="s">
        <v>284</v>
      </c>
    </row>
    <row r="56" spans="1:41" ht="15" customHeight="1">
      <c r="A56" s="254">
        <v>56</v>
      </c>
      <c r="B56" s="253">
        <v>102</v>
      </c>
      <c r="C56" s="240" t="s">
        <v>51</v>
      </c>
      <c r="D56" s="288" t="s">
        <v>50</v>
      </c>
      <c r="E56" s="289" t="s">
        <v>207</v>
      </c>
      <c r="F56" s="239" t="s">
        <v>263</v>
      </c>
      <c r="G56" s="290" t="s">
        <v>208</v>
      </c>
      <c r="H56" s="291" t="s">
        <v>152</v>
      </c>
      <c r="I56" s="239" t="s">
        <v>285</v>
      </c>
      <c r="J56" s="424">
        <f t="shared" si="0"/>
        <v>365</v>
      </c>
      <c r="K56" s="425">
        <v>127</v>
      </c>
      <c r="L56" s="425">
        <v>126</v>
      </c>
      <c r="M56" s="425">
        <v>52</v>
      </c>
      <c r="N56" s="425">
        <v>52</v>
      </c>
      <c r="O56" s="425">
        <v>4</v>
      </c>
      <c r="P56" s="425">
        <v>4</v>
      </c>
      <c r="Q56" s="294">
        <v>0</v>
      </c>
      <c r="R56" s="295" t="e">
        <f>IF(K56="nio",0,(K56*Q56)/X56)*VLOOKUP(C56,'2-Uren per locatie'!$B$15:$D$74,3,FALSE)</f>
        <v>#DIV/0!</v>
      </c>
      <c r="S56" s="295" t="e">
        <f>IF(K56="nio",0,(L56*Q56)/Y56)*VLOOKUP(C56,'2-Uren per locatie'!$B$15:$D$74,3,FALSE)</f>
        <v>#DIV/0!</v>
      </c>
      <c r="T56" s="295" t="e">
        <f>IF(K56="nio",0,(M56*Q56)/Z56)*VLOOKUP(C56,'2-Uren per locatie'!$B$15:$D$74,3,FALSE)</f>
        <v>#DIV/0!</v>
      </c>
      <c r="U56" s="295" t="e">
        <f>IF(K56="nio",0,(N56*Q56)/AA56)*VLOOKUP(C56,'2-Uren per locatie'!$B$15:$D$74,3,FALSE)</f>
        <v>#DIV/0!</v>
      </c>
      <c r="V56" s="295" t="e">
        <f>IF(K56="nio",0,(O56*Q56)/Z56)*VLOOKUP(C56,'2-Uren per locatie'!$B$15:$D$74,3,FALSE)</f>
        <v>#DIV/0!</v>
      </c>
      <c r="W56" s="295" t="e">
        <f>IF(K56="nio",0,(P56*Q56)/AA56)*VLOOKUP(C56,'2-Uren per locatie'!$B$15:$D$74,3,FALSE)</f>
        <v>#DIV/0!</v>
      </c>
      <c r="X56" s="485">
        <f>IF(K56="nio",0,IF(K56&gt;0,VLOOKUP(H56,'3-Productie normen'!A:F,VLOOKUP(K56,'3-Productie normen'!$B$29:$C$34,2,FALSE),FALSE)))</f>
        <v>0</v>
      </c>
      <c r="Y56" s="485">
        <f>VLOOKUP(H56,'3-Productie normen'!$A$10:$J$24,8,FALSE)*'3-Ruimtestaat'!X56</f>
        <v>0</v>
      </c>
      <c r="Z56" s="485">
        <f>VLOOKUP(H56,'3-Productie normen'!$A$10:$J$24,9,FALSE)*'3-Ruimtestaat'!X56</f>
        <v>0</v>
      </c>
      <c r="AA56" s="485">
        <f>VLOOKUP(H56,'3-Productie normen'!$A$10:$J$24,10,FALSE)*'3-Ruimtestaat'!X56</f>
        <v>0</v>
      </c>
      <c r="AB56" s="292" t="str">
        <f>IF(H56="",0,VLOOKUP(H56,'3-Productie normen'!$A$10:$N$23,14,FALSE))</f>
        <v>V</v>
      </c>
      <c r="AD56" s="296">
        <f t="shared" si="1"/>
        <v>0</v>
      </c>
      <c r="AE56" s="78"/>
      <c r="AF56" s="297"/>
      <c r="AG56" s="297"/>
      <c r="AH56" s="297"/>
      <c r="AI56" s="297"/>
      <c r="AJ56" s="297"/>
      <c r="AK56" s="298"/>
      <c r="AL56" s="298"/>
      <c r="AM56" s="298"/>
      <c r="AN56" s="298"/>
      <c r="AO56" s="299" t="s">
        <v>286</v>
      </c>
    </row>
    <row r="57" spans="1:41" ht="15" customHeight="1">
      <c r="A57" s="254">
        <v>57</v>
      </c>
      <c r="B57" s="253">
        <v>102</v>
      </c>
      <c r="C57" s="240" t="s">
        <v>51</v>
      </c>
      <c r="D57" s="288" t="s">
        <v>50</v>
      </c>
      <c r="E57" s="289" t="s">
        <v>207</v>
      </c>
      <c r="F57" s="239" t="s">
        <v>287</v>
      </c>
      <c r="G57" s="290" t="s">
        <v>211</v>
      </c>
      <c r="H57" s="291" t="s">
        <v>155</v>
      </c>
      <c r="I57" s="239" t="s">
        <v>206</v>
      </c>
      <c r="J57" s="424">
        <f t="shared" si="0"/>
        <v>365</v>
      </c>
      <c r="K57" s="425">
        <v>127</v>
      </c>
      <c r="L57" s="425">
        <v>126</v>
      </c>
      <c r="M57" s="425">
        <v>52</v>
      </c>
      <c r="N57" s="425">
        <v>52</v>
      </c>
      <c r="O57" s="425">
        <v>4</v>
      </c>
      <c r="P57" s="425">
        <v>4</v>
      </c>
      <c r="Q57" s="294">
        <v>46.800000000000004</v>
      </c>
      <c r="R57" s="295" t="e">
        <f>IF(K57="nio",0,(K57*Q57)/X57)*VLOOKUP(C57,'2-Uren per locatie'!$B$15:$D$74,3,FALSE)</f>
        <v>#DIV/0!</v>
      </c>
      <c r="S57" s="295" t="e">
        <f>IF(K57="nio",0,(L57*Q57)/Y57)*VLOOKUP(C57,'2-Uren per locatie'!$B$15:$D$74,3,FALSE)</f>
        <v>#DIV/0!</v>
      </c>
      <c r="T57" s="295" t="e">
        <f>IF(K57="nio",0,(M57*Q57)/Z57)*VLOOKUP(C57,'2-Uren per locatie'!$B$15:$D$74,3,FALSE)</f>
        <v>#DIV/0!</v>
      </c>
      <c r="U57" s="295" t="e">
        <f>IF(K57="nio",0,(N57*Q57)/AA57)*VLOOKUP(C57,'2-Uren per locatie'!$B$15:$D$74,3,FALSE)</f>
        <v>#DIV/0!</v>
      </c>
      <c r="V57" s="295" t="e">
        <f>IF(K57="nio",0,(O57*Q57)/Z57)*VLOOKUP(C57,'2-Uren per locatie'!$B$15:$D$74,3,FALSE)</f>
        <v>#DIV/0!</v>
      </c>
      <c r="W57" s="295" t="e">
        <f>IF(K57="nio",0,(P57*Q57)/AA57)*VLOOKUP(C57,'2-Uren per locatie'!$B$15:$D$74,3,FALSE)</f>
        <v>#DIV/0!</v>
      </c>
      <c r="X57" s="485">
        <f>IF(K57="nio",0,IF(K57&gt;0,VLOOKUP(H57,'3-Productie normen'!A:F,VLOOKUP(K57,'3-Productie normen'!$B$29:$C$34,2,FALSE),FALSE)))</f>
        <v>0</v>
      </c>
      <c r="Y57" s="485">
        <f>VLOOKUP(H57,'3-Productie normen'!$A$10:$J$24,8,FALSE)*'3-Ruimtestaat'!X57</f>
        <v>0</v>
      </c>
      <c r="Z57" s="485">
        <f>VLOOKUP(H57,'3-Productie normen'!$A$10:$J$24,9,FALSE)*'3-Ruimtestaat'!X57</f>
        <v>0</v>
      </c>
      <c r="AA57" s="485">
        <f>VLOOKUP(H57,'3-Productie normen'!$A$10:$J$24,10,FALSE)*'3-Ruimtestaat'!X57</f>
        <v>0</v>
      </c>
      <c r="AB57" s="292" t="str">
        <f>IF(H57="",0,VLOOKUP(H57,'3-Productie normen'!$A$10:$N$23,14,FALSE))</f>
        <v>V</v>
      </c>
      <c r="AD57" s="296">
        <f t="shared" si="1"/>
        <v>17082</v>
      </c>
      <c r="AE57" s="78"/>
      <c r="AF57" s="297"/>
      <c r="AG57" s="297">
        <f>84+27</f>
        <v>111</v>
      </c>
      <c r="AH57" s="297"/>
      <c r="AI57" s="297"/>
      <c r="AJ57" s="297"/>
      <c r="AK57" s="298"/>
      <c r="AL57" s="298"/>
      <c r="AM57" s="298">
        <v>20</v>
      </c>
      <c r="AN57" s="298"/>
      <c r="AO57" s="299" t="s">
        <v>288</v>
      </c>
    </row>
    <row r="58" spans="1:41" ht="15" customHeight="1">
      <c r="A58" s="254">
        <v>58</v>
      </c>
      <c r="B58" s="253">
        <v>102</v>
      </c>
      <c r="C58" s="240" t="s">
        <v>51</v>
      </c>
      <c r="D58" s="288" t="s">
        <v>50</v>
      </c>
      <c r="E58" s="289" t="s">
        <v>207</v>
      </c>
      <c r="F58" s="239" t="s">
        <v>214</v>
      </c>
      <c r="G58" s="290" t="s">
        <v>213</v>
      </c>
      <c r="H58" s="291" t="s">
        <v>152</v>
      </c>
      <c r="I58" s="239" t="s">
        <v>265</v>
      </c>
      <c r="J58" s="424">
        <f t="shared" si="0"/>
        <v>365</v>
      </c>
      <c r="K58" s="425">
        <v>127</v>
      </c>
      <c r="L58" s="425">
        <v>126</v>
      </c>
      <c r="M58" s="425">
        <v>52</v>
      </c>
      <c r="N58" s="425">
        <v>52</v>
      </c>
      <c r="O58" s="425">
        <v>4</v>
      </c>
      <c r="P58" s="425">
        <v>4</v>
      </c>
      <c r="Q58" s="294">
        <v>20</v>
      </c>
      <c r="R58" s="295" t="e">
        <f>IF(K58="nio",0,(K58*Q58)/X58)*VLOOKUP(C58,'2-Uren per locatie'!$B$15:$D$74,3,FALSE)</f>
        <v>#DIV/0!</v>
      </c>
      <c r="S58" s="295" t="e">
        <f>IF(K58="nio",0,(L58*Q58)/Y58)*VLOOKUP(C58,'2-Uren per locatie'!$B$15:$D$74,3,FALSE)</f>
        <v>#DIV/0!</v>
      </c>
      <c r="T58" s="295" t="e">
        <f>IF(K58="nio",0,(M58*Q58)/Z58)*VLOOKUP(C58,'2-Uren per locatie'!$B$15:$D$74,3,FALSE)</f>
        <v>#DIV/0!</v>
      </c>
      <c r="U58" s="295" t="e">
        <f>IF(K58="nio",0,(N58*Q58)/AA58)*VLOOKUP(C58,'2-Uren per locatie'!$B$15:$D$74,3,FALSE)</f>
        <v>#DIV/0!</v>
      </c>
      <c r="V58" s="295" t="e">
        <f>IF(K58="nio",0,(O58*Q58)/Z58)*VLOOKUP(C58,'2-Uren per locatie'!$B$15:$D$74,3,FALSE)</f>
        <v>#DIV/0!</v>
      </c>
      <c r="W58" s="295" t="e">
        <f>IF(K58="nio",0,(P58*Q58)/AA58)*VLOOKUP(C58,'2-Uren per locatie'!$B$15:$D$74,3,FALSE)</f>
        <v>#DIV/0!</v>
      </c>
      <c r="X58" s="485">
        <f>IF(K58="nio",0,IF(K58&gt;0,VLOOKUP(H58,'3-Productie normen'!A:F,VLOOKUP(K58,'3-Productie normen'!$B$29:$C$34,2,FALSE),FALSE)))</f>
        <v>0</v>
      </c>
      <c r="Y58" s="485">
        <f>VLOOKUP(H58,'3-Productie normen'!$A$10:$J$24,8,FALSE)*'3-Ruimtestaat'!X58</f>
        <v>0</v>
      </c>
      <c r="Z58" s="485">
        <f>VLOOKUP(H58,'3-Productie normen'!$A$10:$J$24,9,FALSE)*'3-Ruimtestaat'!X58</f>
        <v>0</v>
      </c>
      <c r="AA58" s="485">
        <f>VLOOKUP(H58,'3-Productie normen'!$A$10:$J$24,10,FALSE)*'3-Ruimtestaat'!X58</f>
        <v>0</v>
      </c>
      <c r="AB58" s="292" t="str">
        <f>IF(H58="",0,VLOOKUP(H58,'3-Productie normen'!$A$10:$N$23,14,FALSE))</f>
        <v>V</v>
      </c>
      <c r="AD58" s="296">
        <f t="shared" si="1"/>
        <v>7300</v>
      </c>
      <c r="AE58" s="78"/>
      <c r="AF58" s="297"/>
      <c r="AG58" s="297"/>
      <c r="AH58" s="297"/>
      <c r="AI58" s="297"/>
      <c r="AJ58" s="297"/>
      <c r="AK58" s="298"/>
      <c r="AL58" s="298"/>
      <c r="AM58" s="298"/>
      <c r="AN58" s="298"/>
      <c r="AO58" s="299"/>
    </row>
    <row r="59" spans="1:41" ht="15" customHeight="1">
      <c r="A59" s="254">
        <v>59</v>
      </c>
      <c r="B59" s="253">
        <v>102</v>
      </c>
      <c r="C59" s="240" t="s">
        <v>51</v>
      </c>
      <c r="D59" s="288" t="s">
        <v>50</v>
      </c>
      <c r="E59" s="289" t="s">
        <v>207</v>
      </c>
      <c r="F59" s="239" t="s">
        <v>212</v>
      </c>
      <c r="G59" s="290" t="s">
        <v>215</v>
      </c>
      <c r="H59" s="291" t="s">
        <v>155</v>
      </c>
      <c r="I59" s="239" t="s">
        <v>206</v>
      </c>
      <c r="J59" s="424">
        <f t="shared" si="0"/>
        <v>365</v>
      </c>
      <c r="K59" s="425">
        <v>127</v>
      </c>
      <c r="L59" s="425">
        <v>126</v>
      </c>
      <c r="M59" s="425">
        <v>52</v>
      </c>
      <c r="N59" s="425">
        <v>52</v>
      </c>
      <c r="O59" s="425">
        <v>4</v>
      </c>
      <c r="P59" s="425">
        <v>4</v>
      </c>
      <c r="Q59" s="294">
        <v>29.900000000000002</v>
      </c>
      <c r="R59" s="295" t="e">
        <f>IF(K59="nio",0,(K59*Q59)/X59)*VLOOKUP(C59,'2-Uren per locatie'!$B$15:$D$74,3,FALSE)</f>
        <v>#DIV/0!</v>
      </c>
      <c r="S59" s="295" t="e">
        <f>IF(K59="nio",0,(L59*Q59)/Y59)*VLOOKUP(C59,'2-Uren per locatie'!$B$15:$D$74,3,FALSE)</f>
        <v>#DIV/0!</v>
      </c>
      <c r="T59" s="295" t="e">
        <f>IF(K59="nio",0,(M59*Q59)/Z59)*VLOOKUP(C59,'2-Uren per locatie'!$B$15:$D$74,3,FALSE)</f>
        <v>#DIV/0!</v>
      </c>
      <c r="U59" s="295" t="e">
        <f>IF(K59="nio",0,(N59*Q59)/AA59)*VLOOKUP(C59,'2-Uren per locatie'!$B$15:$D$74,3,FALSE)</f>
        <v>#DIV/0!</v>
      </c>
      <c r="V59" s="295" t="e">
        <f>IF(K59="nio",0,(O59*Q59)/Z59)*VLOOKUP(C59,'2-Uren per locatie'!$B$15:$D$74,3,FALSE)</f>
        <v>#DIV/0!</v>
      </c>
      <c r="W59" s="295" t="e">
        <f>IF(K59="nio",0,(P59*Q59)/AA59)*VLOOKUP(C59,'2-Uren per locatie'!$B$15:$D$74,3,FALSE)</f>
        <v>#DIV/0!</v>
      </c>
      <c r="X59" s="485">
        <f>IF(K59="nio",0,IF(K59&gt;0,VLOOKUP(H59,'3-Productie normen'!A:F,VLOOKUP(K59,'3-Productie normen'!$B$29:$C$34,2,FALSE),FALSE)))</f>
        <v>0</v>
      </c>
      <c r="Y59" s="485">
        <f>VLOOKUP(H59,'3-Productie normen'!$A$10:$J$24,8,FALSE)*'3-Ruimtestaat'!X59</f>
        <v>0</v>
      </c>
      <c r="Z59" s="485">
        <f>VLOOKUP(H59,'3-Productie normen'!$A$10:$J$24,9,FALSE)*'3-Ruimtestaat'!X59</f>
        <v>0</v>
      </c>
      <c r="AA59" s="485">
        <f>VLOOKUP(H59,'3-Productie normen'!$A$10:$J$24,10,FALSE)*'3-Ruimtestaat'!X59</f>
        <v>0</v>
      </c>
      <c r="AB59" s="292" t="str">
        <f>IF(H59="",0,VLOOKUP(H59,'3-Productie normen'!$A$10:$N$23,14,FALSE))</f>
        <v>V</v>
      </c>
      <c r="AD59" s="296">
        <f t="shared" si="1"/>
        <v>10913.5</v>
      </c>
      <c r="AE59" s="78"/>
      <c r="AF59" s="297"/>
      <c r="AG59" s="297">
        <v>12</v>
      </c>
      <c r="AH59" s="297"/>
      <c r="AI59" s="297"/>
      <c r="AJ59" s="297"/>
      <c r="AK59" s="298"/>
      <c r="AL59" s="298"/>
      <c r="AM59" s="298">
        <v>23</v>
      </c>
      <c r="AN59" s="298"/>
      <c r="AO59" s="299" t="s">
        <v>289</v>
      </c>
    </row>
    <row r="60" spans="1:41" ht="15" customHeight="1">
      <c r="A60" s="254">
        <v>60</v>
      </c>
      <c r="B60" s="253">
        <v>102</v>
      </c>
      <c r="C60" s="240" t="s">
        <v>51</v>
      </c>
      <c r="D60" s="288" t="s">
        <v>50</v>
      </c>
      <c r="E60" s="289" t="s">
        <v>207</v>
      </c>
      <c r="F60" s="239" t="s">
        <v>212</v>
      </c>
      <c r="G60" s="290" t="s">
        <v>218</v>
      </c>
      <c r="H60" s="291" t="s">
        <v>155</v>
      </c>
      <c r="I60" s="239" t="s">
        <v>206</v>
      </c>
      <c r="J60" s="424">
        <f t="shared" si="0"/>
        <v>365</v>
      </c>
      <c r="K60" s="425">
        <v>127</v>
      </c>
      <c r="L60" s="425">
        <v>126</v>
      </c>
      <c r="M60" s="425">
        <v>52</v>
      </c>
      <c r="N60" s="425">
        <v>52</v>
      </c>
      <c r="O60" s="425">
        <v>4</v>
      </c>
      <c r="P60" s="425">
        <v>4</v>
      </c>
      <c r="Q60" s="294">
        <v>32.5</v>
      </c>
      <c r="R60" s="295" t="e">
        <f>IF(K60="nio",0,(K60*Q60)/X60)*VLOOKUP(C60,'2-Uren per locatie'!$B$15:$D$74,3,FALSE)</f>
        <v>#DIV/0!</v>
      </c>
      <c r="S60" s="295" t="e">
        <f>IF(K60="nio",0,(L60*Q60)/Y60)*VLOOKUP(C60,'2-Uren per locatie'!$B$15:$D$74,3,FALSE)</f>
        <v>#DIV/0!</v>
      </c>
      <c r="T60" s="295" t="e">
        <f>IF(K60="nio",0,(M60*Q60)/Z60)*VLOOKUP(C60,'2-Uren per locatie'!$B$15:$D$74,3,FALSE)</f>
        <v>#DIV/0!</v>
      </c>
      <c r="U60" s="295" t="e">
        <f>IF(K60="nio",0,(N60*Q60)/AA60)*VLOOKUP(C60,'2-Uren per locatie'!$B$15:$D$74,3,FALSE)</f>
        <v>#DIV/0!</v>
      </c>
      <c r="V60" s="295" t="e">
        <f>IF(K60="nio",0,(O60*Q60)/Z60)*VLOOKUP(C60,'2-Uren per locatie'!$B$15:$D$74,3,FALSE)</f>
        <v>#DIV/0!</v>
      </c>
      <c r="W60" s="295" t="e">
        <f>IF(K60="nio",0,(P60*Q60)/AA60)*VLOOKUP(C60,'2-Uren per locatie'!$B$15:$D$74,3,FALSE)</f>
        <v>#DIV/0!</v>
      </c>
      <c r="X60" s="485">
        <f>IF(K60="nio",0,IF(K60&gt;0,VLOOKUP(H60,'3-Productie normen'!A:F,VLOOKUP(K60,'3-Productie normen'!$B$29:$C$34,2,FALSE),FALSE)))</f>
        <v>0</v>
      </c>
      <c r="Y60" s="485">
        <f>VLOOKUP(H60,'3-Productie normen'!$A$10:$J$24,8,FALSE)*'3-Ruimtestaat'!X60</f>
        <v>0</v>
      </c>
      <c r="Z60" s="485">
        <f>VLOOKUP(H60,'3-Productie normen'!$A$10:$J$24,9,FALSE)*'3-Ruimtestaat'!X60</f>
        <v>0</v>
      </c>
      <c r="AA60" s="485">
        <f>VLOOKUP(H60,'3-Productie normen'!$A$10:$J$24,10,FALSE)*'3-Ruimtestaat'!X60</f>
        <v>0</v>
      </c>
      <c r="AB60" s="292" t="str">
        <f>IF(H60="",0,VLOOKUP(H60,'3-Productie normen'!$A$10:$N$23,14,FALSE))</f>
        <v>V</v>
      </c>
      <c r="AD60" s="296">
        <f t="shared" si="1"/>
        <v>11862.5</v>
      </c>
      <c r="AE60" s="78"/>
      <c r="AF60" s="297"/>
      <c r="AG60" s="297">
        <v>12</v>
      </c>
      <c r="AH60" s="297"/>
      <c r="AI60" s="297"/>
      <c r="AJ60" s="297"/>
      <c r="AK60" s="298"/>
      <c r="AL60" s="298"/>
      <c r="AM60" s="298">
        <v>25</v>
      </c>
      <c r="AN60" s="298"/>
      <c r="AO60" s="299" t="s">
        <v>289</v>
      </c>
    </row>
    <row r="61" spans="1:41" ht="15" customHeight="1">
      <c r="A61" s="254">
        <v>61</v>
      </c>
      <c r="B61" s="253">
        <v>102</v>
      </c>
      <c r="C61" s="240" t="s">
        <v>51</v>
      </c>
      <c r="D61" s="288" t="s">
        <v>50</v>
      </c>
      <c r="E61" s="289" t="s">
        <v>207</v>
      </c>
      <c r="F61" s="239" t="s">
        <v>214</v>
      </c>
      <c r="G61" s="290" t="s">
        <v>219</v>
      </c>
      <c r="H61" s="291" t="s">
        <v>152</v>
      </c>
      <c r="I61" s="239" t="s">
        <v>265</v>
      </c>
      <c r="J61" s="424">
        <f t="shared" si="0"/>
        <v>365</v>
      </c>
      <c r="K61" s="425">
        <v>127</v>
      </c>
      <c r="L61" s="425">
        <v>126</v>
      </c>
      <c r="M61" s="425">
        <v>52</v>
      </c>
      <c r="N61" s="425">
        <v>52</v>
      </c>
      <c r="O61" s="425">
        <v>4</v>
      </c>
      <c r="P61" s="425">
        <v>4</v>
      </c>
      <c r="Q61" s="294">
        <v>22</v>
      </c>
      <c r="R61" s="295" t="e">
        <f>IF(K61="nio",0,(K61*Q61)/X61)*VLOOKUP(C61,'2-Uren per locatie'!$B$15:$D$74,3,FALSE)</f>
        <v>#DIV/0!</v>
      </c>
      <c r="S61" s="295" t="e">
        <f>IF(K61="nio",0,(L61*Q61)/Y61)*VLOOKUP(C61,'2-Uren per locatie'!$B$15:$D$74,3,FALSE)</f>
        <v>#DIV/0!</v>
      </c>
      <c r="T61" s="295" t="e">
        <f>IF(K61="nio",0,(M61*Q61)/Z61)*VLOOKUP(C61,'2-Uren per locatie'!$B$15:$D$74,3,FALSE)</f>
        <v>#DIV/0!</v>
      </c>
      <c r="U61" s="295" t="e">
        <f>IF(K61="nio",0,(N61*Q61)/AA61)*VLOOKUP(C61,'2-Uren per locatie'!$B$15:$D$74,3,FALSE)</f>
        <v>#DIV/0!</v>
      </c>
      <c r="V61" s="295" t="e">
        <f>IF(K61="nio",0,(O61*Q61)/Z61)*VLOOKUP(C61,'2-Uren per locatie'!$B$15:$D$74,3,FALSE)</f>
        <v>#DIV/0!</v>
      </c>
      <c r="W61" s="295" t="e">
        <f>IF(K61="nio",0,(P61*Q61)/AA61)*VLOOKUP(C61,'2-Uren per locatie'!$B$15:$D$74,3,FALSE)</f>
        <v>#DIV/0!</v>
      </c>
      <c r="X61" s="485">
        <f>IF(K61="nio",0,IF(K61&gt;0,VLOOKUP(H61,'3-Productie normen'!A:F,VLOOKUP(K61,'3-Productie normen'!$B$29:$C$34,2,FALSE),FALSE)))</f>
        <v>0</v>
      </c>
      <c r="Y61" s="485">
        <f>VLOOKUP(H61,'3-Productie normen'!$A$10:$J$24,8,FALSE)*'3-Ruimtestaat'!X61</f>
        <v>0</v>
      </c>
      <c r="Z61" s="485">
        <f>VLOOKUP(H61,'3-Productie normen'!$A$10:$J$24,9,FALSE)*'3-Ruimtestaat'!X61</f>
        <v>0</v>
      </c>
      <c r="AA61" s="485">
        <f>VLOOKUP(H61,'3-Productie normen'!$A$10:$J$24,10,FALSE)*'3-Ruimtestaat'!X61</f>
        <v>0</v>
      </c>
      <c r="AB61" s="292" t="str">
        <f>IF(H61="",0,VLOOKUP(H61,'3-Productie normen'!$A$10:$N$23,14,FALSE))</f>
        <v>V</v>
      </c>
      <c r="AD61" s="296">
        <f t="shared" si="1"/>
        <v>8030</v>
      </c>
      <c r="AE61" s="78"/>
      <c r="AF61" s="297"/>
      <c r="AG61" s="297"/>
      <c r="AH61" s="297"/>
      <c r="AI61" s="297"/>
      <c r="AJ61" s="297"/>
      <c r="AK61" s="298"/>
      <c r="AL61" s="298"/>
      <c r="AM61" s="298"/>
      <c r="AN61" s="298"/>
      <c r="AO61" s="299"/>
    </row>
    <row r="62" spans="1:41" ht="15" customHeight="1">
      <c r="A62" s="254">
        <v>62</v>
      </c>
      <c r="B62" s="253">
        <v>102</v>
      </c>
      <c r="C62" s="240" t="s">
        <v>51</v>
      </c>
      <c r="D62" s="288" t="s">
        <v>50</v>
      </c>
      <c r="E62" s="289" t="s">
        <v>207</v>
      </c>
      <c r="F62" s="239" t="s">
        <v>210</v>
      </c>
      <c r="G62" s="290" t="s">
        <v>290</v>
      </c>
      <c r="H62" s="291" t="s">
        <v>145</v>
      </c>
      <c r="I62" s="239" t="s">
        <v>203</v>
      </c>
      <c r="J62" s="424">
        <f t="shared" si="0"/>
        <v>365</v>
      </c>
      <c r="K62" s="425">
        <v>127</v>
      </c>
      <c r="L62" s="425">
        <v>126</v>
      </c>
      <c r="M62" s="425">
        <v>52</v>
      </c>
      <c r="N62" s="425">
        <v>52</v>
      </c>
      <c r="O62" s="425">
        <v>4</v>
      </c>
      <c r="P62" s="425">
        <v>4</v>
      </c>
      <c r="Q62" s="294">
        <v>418.6</v>
      </c>
      <c r="R62" s="295" t="e">
        <f>IF(K62="nio",0,(K62*Q62)/X62)*VLOOKUP(C62,'2-Uren per locatie'!$B$15:$D$74,3,FALSE)</f>
        <v>#DIV/0!</v>
      </c>
      <c r="S62" s="295" t="e">
        <f>IF(K62="nio",0,(L62*Q62)/Y62)*VLOOKUP(C62,'2-Uren per locatie'!$B$15:$D$74,3,FALSE)</f>
        <v>#DIV/0!</v>
      </c>
      <c r="T62" s="295" t="e">
        <f>IF(K62="nio",0,(M62*Q62)/Z62)*VLOOKUP(C62,'2-Uren per locatie'!$B$15:$D$74,3,FALSE)</f>
        <v>#DIV/0!</v>
      </c>
      <c r="U62" s="295" t="e">
        <f>IF(K62="nio",0,(N62*Q62)/AA62)*VLOOKUP(C62,'2-Uren per locatie'!$B$15:$D$74,3,FALSE)</f>
        <v>#DIV/0!</v>
      </c>
      <c r="V62" s="295" t="e">
        <f>IF(K62="nio",0,(O62*Q62)/Z62)*VLOOKUP(C62,'2-Uren per locatie'!$B$15:$D$74,3,FALSE)</f>
        <v>#DIV/0!</v>
      </c>
      <c r="W62" s="295" t="e">
        <f>IF(K62="nio",0,(P62*Q62)/AA62)*VLOOKUP(C62,'2-Uren per locatie'!$B$15:$D$74,3,FALSE)</f>
        <v>#DIV/0!</v>
      </c>
      <c r="X62" s="485">
        <f>IF(K62="nio",0,IF(K62&gt;0,VLOOKUP(H62,'3-Productie normen'!A:F,VLOOKUP(K62,'3-Productie normen'!$B$29:$C$34,2,FALSE),FALSE)))</f>
        <v>0</v>
      </c>
      <c r="Y62" s="485">
        <f>VLOOKUP(H62,'3-Productie normen'!$A$10:$J$24,8,FALSE)*'3-Ruimtestaat'!X62</f>
        <v>0</v>
      </c>
      <c r="Z62" s="485">
        <f>VLOOKUP(H62,'3-Productie normen'!$A$10:$J$24,9,FALSE)*'3-Ruimtestaat'!X62</f>
        <v>0</v>
      </c>
      <c r="AA62" s="485">
        <f>VLOOKUP(H62,'3-Productie normen'!$A$10:$J$24,10,FALSE)*'3-Ruimtestaat'!X62</f>
        <v>0</v>
      </c>
      <c r="AB62" s="292" t="str">
        <f>IF(H62="",0,VLOOKUP(H62,'3-Productie normen'!$A$10:$N$23,14,FALSE))</f>
        <v>V</v>
      </c>
      <c r="AD62" s="296">
        <f t="shared" si="1"/>
        <v>152789</v>
      </c>
      <c r="AE62" s="78"/>
      <c r="AF62" s="297"/>
      <c r="AG62" s="297">
        <v>597</v>
      </c>
      <c r="AH62" s="297"/>
      <c r="AI62" s="297"/>
      <c r="AJ62" s="297"/>
      <c r="AK62" s="298"/>
      <c r="AL62" s="298"/>
      <c r="AM62" s="298">
        <v>322</v>
      </c>
      <c r="AN62" s="298"/>
      <c r="AO62" s="299" t="s">
        <v>291</v>
      </c>
    </row>
    <row r="63" spans="1:41" ht="15" customHeight="1">
      <c r="A63" s="254">
        <v>63</v>
      </c>
      <c r="B63" s="253">
        <v>102</v>
      </c>
      <c r="C63" s="240" t="s">
        <v>51</v>
      </c>
      <c r="D63" s="288" t="s">
        <v>50</v>
      </c>
      <c r="E63" s="289" t="s">
        <v>207</v>
      </c>
      <c r="F63" s="239" t="s">
        <v>269</v>
      </c>
      <c r="G63" s="290" t="s">
        <v>220</v>
      </c>
      <c r="H63" s="291" t="s">
        <v>152</v>
      </c>
      <c r="I63" s="239" t="s">
        <v>285</v>
      </c>
      <c r="J63" s="424">
        <f t="shared" si="0"/>
        <v>365</v>
      </c>
      <c r="K63" s="425">
        <v>127</v>
      </c>
      <c r="L63" s="425">
        <v>126</v>
      </c>
      <c r="M63" s="425">
        <v>52</v>
      </c>
      <c r="N63" s="425">
        <v>52</v>
      </c>
      <c r="O63" s="425">
        <v>4</v>
      </c>
      <c r="P63" s="425">
        <v>4</v>
      </c>
      <c r="Q63" s="294">
        <v>0</v>
      </c>
      <c r="R63" s="295" t="e">
        <f>IF(K63="nio",0,(K63*Q63)/X63)*VLOOKUP(C63,'2-Uren per locatie'!$B$15:$D$74,3,FALSE)</f>
        <v>#DIV/0!</v>
      </c>
      <c r="S63" s="295" t="e">
        <f>IF(K63="nio",0,(L63*Q63)/Y63)*VLOOKUP(C63,'2-Uren per locatie'!$B$15:$D$74,3,FALSE)</f>
        <v>#DIV/0!</v>
      </c>
      <c r="T63" s="295" t="e">
        <f>IF(K63="nio",0,(M63*Q63)/Z63)*VLOOKUP(C63,'2-Uren per locatie'!$B$15:$D$74,3,FALSE)</f>
        <v>#DIV/0!</v>
      </c>
      <c r="U63" s="295" t="e">
        <f>IF(K63="nio",0,(N63*Q63)/AA63)*VLOOKUP(C63,'2-Uren per locatie'!$B$15:$D$74,3,FALSE)</f>
        <v>#DIV/0!</v>
      </c>
      <c r="V63" s="295" t="e">
        <f>IF(K63="nio",0,(O63*Q63)/Z63)*VLOOKUP(C63,'2-Uren per locatie'!$B$15:$D$74,3,FALSE)</f>
        <v>#DIV/0!</v>
      </c>
      <c r="W63" s="295" t="e">
        <f>IF(K63="nio",0,(P63*Q63)/AA63)*VLOOKUP(C63,'2-Uren per locatie'!$B$15:$D$74,3,FALSE)</f>
        <v>#DIV/0!</v>
      </c>
      <c r="X63" s="485">
        <f>IF(K63="nio",0,IF(K63&gt;0,VLOOKUP(H63,'3-Productie normen'!A:F,VLOOKUP(K63,'3-Productie normen'!$B$29:$C$34,2,FALSE),FALSE)))</f>
        <v>0</v>
      </c>
      <c r="Y63" s="485">
        <f>VLOOKUP(H63,'3-Productie normen'!$A$10:$J$24,8,FALSE)*'3-Ruimtestaat'!X63</f>
        <v>0</v>
      </c>
      <c r="Z63" s="485">
        <f>VLOOKUP(H63,'3-Productie normen'!$A$10:$J$24,9,FALSE)*'3-Ruimtestaat'!X63</f>
        <v>0</v>
      </c>
      <c r="AA63" s="485">
        <f>VLOOKUP(H63,'3-Productie normen'!$A$10:$J$24,10,FALSE)*'3-Ruimtestaat'!X63</f>
        <v>0</v>
      </c>
      <c r="AB63" s="292" t="str">
        <f>IF(H63="",0,VLOOKUP(H63,'3-Productie normen'!$A$10:$N$23,14,FALSE))</f>
        <v>V</v>
      </c>
      <c r="AD63" s="296">
        <f t="shared" si="1"/>
        <v>0</v>
      </c>
      <c r="AE63" s="78"/>
      <c r="AF63" s="297"/>
      <c r="AG63" s="297"/>
      <c r="AH63" s="297"/>
      <c r="AI63" s="297"/>
      <c r="AJ63" s="297"/>
      <c r="AK63" s="298"/>
      <c r="AL63" s="298"/>
      <c r="AM63" s="298"/>
      <c r="AN63" s="298"/>
      <c r="AO63" s="299" t="s">
        <v>292</v>
      </c>
    </row>
    <row r="64" spans="1:41" ht="15" customHeight="1">
      <c r="A64" s="254">
        <v>64</v>
      </c>
      <c r="B64" s="253">
        <v>102</v>
      </c>
      <c r="C64" s="240" t="s">
        <v>51</v>
      </c>
      <c r="D64" s="288" t="s">
        <v>50</v>
      </c>
      <c r="E64" s="289" t="s">
        <v>207</v>
      </c>
      <c r="F64" s="239" t="s">
        <v>271</v>
      </c>
      <c r="G64" s="290" t="s">
        <v>221</v>
      </c>
      <c r="H64" s="291" t="s">
        <v>155</v>
      </c>
      <c r="I64" s="239" t="s">
        <v>206</v>
      </c>
      <c r="J64" s="424">
        <f t="shared" si="0"/>
        <v>365</v>
      </c>
      <c r="K64" s="425">
        <v>127</v>
      </c>
      <c r="L64" s="425">
        <v>126</v>
      </c>
      <c r="M64" s="425">
        <v>52</v>
      </c>
      <c r="N64" s="425">
        <v>52</v>
      </c>
      <c r="O64" s="425">
        <v>4</v>
      </c>
      <c r="P64" s="425">
        <v>4</v>
      </c>
      <c r="Q64" s="294">
        <v>72.8</v>
      </c>
      <c r="R64" s="295" t="e">
        <f>IF(K64="nio",0,(K64*Q64)/X64)*VLOOKUP(C64,'2-Uren per locatie'!$B$15:$D$74,3,FALSE)</f>
        <v>#DIV/0!</v>
      </c>
      <c r="S64" s="295" t="e">
        <f>IF(K64="nio",0,(L64*Q64)/Y64)*VLOOKUP(C64,'2-Uren per locatie'!$B$15:$D$74,3,FALSE)</f>
        <v>#DIV/0!</v>
      </c>
      <c r="T64" s="295" t="e">
        <f>IF(K64="nio",0,(M64*Q64)/Z64)*VLOOKUP(C64,'2-Uren per locatie'!$B$15:$D$74,3,FALSE)</f>
        <v>#DIV/0!</v>
      </c>
      <c r="U64" s="295" t="e">
        <f>IF(K64="nio",0,(N64*Q64)/AA64)*VLOOKUP(C64,'2-Uren per locatie'!$B$15:$D$74,3,FALSE)</f>
        <v>#DIV/0!</v>
      </c>
      <c r="V64" s="295" t="e">
        <f>IF(K64="nio",0,(O64*Q64)/Z64)*VLOOKUP(C64,'2-Uren per locatie'!$B$15:$D$74,3,FALSE)</f>
        <v>#DIV/0!</v>
      </c>
      <c r="W64" s="295" t="e">
        <f>IF(K64="nio",0,(P64*Q64)/AA64)*VLOOKUP(C64,'2-Uren per locatie'!$B$15:$D$74,3,FALSE)</f>
        <v>#DIV/0!</v>
      </c>
      <c r="X64" s="485">
        <f>IF(K64="nio",0,IF(K64&gt;0,VLOOKUP(H64,'3-Productie normen'!A:F,VLOOKUP(K64,'3-Productie normen'!$B$29:$C$34,2,FALSE),FALSE)))</f>
        <v>0</v>
      </c>
      <c r="Y64" s="485">
        <f>VLOOKUP(H64,'3-Productie normen'!$A$10:$J$24,8,FALSE)*'3-Ruimtestaat'!X64</f>
        <v>0</v>
      </c>
      <c r="Z64" s="485">
        <f>VLOOKUP(H64,'3-Productie normen'!$A$10:$J$24,9,FALSE)*'3-Ruimtestaat'!X64</f>
        <v>0</v>
      </c>
      <c r="AA64" s="485">
        <f>VLOOKUP(H64,'3-Productie normen'!$A$10:$J$24,10,FALSE)*'3-Ruimtestaat'!X64</f>
        <v>0</v>
      </c>
      <c r="AB64" s="292" t="str">
        <f>IF(H64="",0,VLOOKUP(H64,'3-Productie normen'!$A$10:$N$23,14,FALSE))</f>
        <v>V</v>
      </c>
      <c r="AD64" s="296">
        <f t="shared" si="1"/>
        <v>26572</v>
      </c>
      <c r="AE64" s="78"/>
      <c r="AF64" s="297"/>
      <c r="AG64" s="297">
        <v>157</v>
      </c>
      <c r="AH64" s="297"/>
      <c r="AI64" s="297"/>
      <c r="AJ64" s="297"/>
      <c r="AK64" s="298"/>
      <c r="AL64" s="298"/>
      <c r="AM64" s="298">
        <v>83</v>
      </c>
      <c r="AN64" s="298"/>
      <c r="AO64" s="299" t="s">
        <v>293</v>
      </c>
    </row>
    <row r="65" spans="1:41" ht="15" customHeight="1">
      <c r="A65" s="254">
        <v>65</v>
      </c>
      <c r="B65" s="253">
        <v>102</v>
      </c>
      <c r="C65" s="240" t="s">
        <v>51</v>
      </c>
      <c r="D65" s="288" t="s">
        <v>50</v>
      </c>
      <c r="E65" s="289" t="s">
        <v>207</v>
      </c>
      <c r="F65" s="239" t="s">
        <v>274</v>
      </c>
      <c r="G65" s="290" t="s">
        <v>275</v>
      </c>
      <c r="H65" s="291" t="s">
        <v>149</v>
      </c>
      <c r="I65" s="239" t="s">
        <v>245</v>
      </c>
      <c r="J65" s="424">
        <f t="shared" si="0"/>
        <v>365</v>
      </c>
      <c r="K65" s="425">
        <v>127</v>
      </c>
      <c r="L65" s="425">
        <v>126</v>
      </c>
      <c r="M65" s="425">
        <v>52</v>
      </c>
      <c r="N65" s="425">
        <v>52</v>
      </c>
      <c r="O65" s="425">
        <v>4</v>
      </c>
      <c r="P65" s="425">
        <v>4</v>
      </c>
      <c r="Q65" s="294">
        <v>0</v>
      </c>
      <c r="R65" s="295" t="e">
        <f>IF(K65="nio",0,(K65*Q65)/X65)*VLOOKUP(C65,'2-Uren per locatie'!$B$15:$D$74,3,FALSE)</f>
        <v>#DIV/0!</v>
      </c>
      <c r="S65" s="295" t="e">
        <f>IF(K65="nio",0,(L65*Q65)/Y65)*VLOOKUP(C65,'2-Uren per locatie'!$B$15:$D$74,3,FALSE)</f>
        <v>#DIV/0!</v>
      </c>
      <c r="T65" s="295" t="e">
        <f>IF(K65="nio",0,(M65*Q65)/Z65)*VLOOKUP(C65,'2-Uren per locatie'!$B$15:$D$74,3,FALSE)</f>
        <v>#DIV/0!</v>
      </c>
      <c r="U65" s="295" t="e">
        <f>IF(K65="nio",0,(N65*Q65)/AA65)*VLOOKUP(C65,'2-Uren per locatie'!$B$15:$D$74,3,FALSE)</f>
        <v>#DIV/0!</v>
      </c>
      <c r="V65" s="295" t="e">
        <f>IF(K65="nio",0,(O65*Q65)/Z65)*VLOOKUP(C65,'2-Uren per locatie'!$B$15:$D$74,3,FALSE)</f>
        <v>#DIV/0!</v>
      </c>
      <c r="W65" s="295" t="e">
        <f>IF(K65="nio",0,(P65*Q65)/AA65)*VLOOKUP(C65,'2-Uren per locatie'!$B$15:$D$74,3,FALSE)</f>
        <v>#DIV/0!</v>
      </c>
      <c r="X65" s="485">
        <f>IF(K65="nio",0,IF(K65&gt;0,VLOOKUP(H65,'3-Productie normen'!A:F,VLOOKUP(K65,'3-Productie normen'!$B$29:$C$34,2,FALSE),FALSE)))</f>
        <v>0</v>
      </c>
      <c r="Y65" s="485">
        <f>VLOOKUP(H65,'3-Productie normen'!$A$10:$J$24,8,FALSE)*'3-Ruimtestaat'!X65</f>
        <v>0</v>
      </c>
      <c r="Z65" s="485">
        <f>VLOOKUP(H65,'3-Productie normen'!$A$10:$J$24,9,FALSE)*'3-Ruimtestaat'!X65</f>
        <v>0</v>
      </c>
      <c r="AA65" s="485">
        <f>VLOOKUP(H65,'3-Productie normen'!$A$10:$J$24,10,FALSE)*'3-Ruimtestaat'!X65</f>
        <v>0</v>
      </c>
      <c r="AB65" s="292" t="str">
        <f>IF(H65="",0,VLOOKUP(H65,'3-Productie normen'!$A$10:$N$23,14,FALSE))</f>
        <v>V</v>
      </c>
      <c r="AD65" s="296">
        <f t="shared" si="1"/>
        <v>0</v>
      </c>
      <c r="AE65" s="78"/>
      <c r="AF65" s="297"/>
      <c r="AG65" s="297"/>
      <c r="AH65" s="297"/>
      <c r="AI65" s="297"/>
      <c r="AJ65" s="297"/>
      <c r="AK65" s="298"/>
      <c r="AL65" s="298"/>
      <c r="AM65" s="298"/>
      <c r="AN65" s="298"/>
      <c r="AO65" s="299" t="s">
        <v>294</v>
      </c>
    </row>
    <row r="66" spans="1:41" ht="15" customHeight="1">
      <c r="A66" s="254">
        <v>66</v>
      </c>
      <c r="B66" s="253">
        <v>102</v>
      </c>
      <c r="C66" s="240" t="s">
        <v>51</v>
      </c>
      <c r="D66" s="288" t="s">
        <v>50</v>
      </c>
      <c r="E66" s="289" t="s">
        <v>207</v>
      </c>
      <c r="F66" s="239" t="s">
        <v>276</v>
      </c>
      <c r="G66" s="290" t="s">
        <v>277</v>
      </c>
      <c r="H66" s="291" t="s">
        <v>149</v>
      </c>
      <c r="I66" s="239" t="s">
        <v>245</v>
      </c>
      <c r="J66" s="424">
        <f t="shared" si="0"/>
        <v>365</v>
      </c>
      <c r="K66" s="425">
        <v>127</v>
      </c>
      <c r="L66" s="425">
        <v>126</v>
      </c>
      <c r="M66" s="425">
        <v>52</v>
      </c>
      <c r="N66" s="425">
        <v>52</v>
      </c>
      <c r="O66" s="425">
        <v>4</v>
      </c>
      <c r="P66" s="425">
        <v>4</v>
      </c>
      <c r="Q66" s="294">
        <v>0</v>
      </c>
      <c r="R66" s="295" t="e">
        <f>IF(K66="nio",0,(K66*Q66)/X66)*VLOOKUP(C66,'2-Uren per locatie'!$B$15:$D$74,3,FALSE)</f>
        <v>#DIV/0!</v>
      </c>
      <c r="S66" s="295" t="e">
        <f>IF(K66="nio",0,(L66*Q66)/Y66)*VLOOKUP(C66,'2-Uren per locatie'!$B$15:$D$74,3,FALSE)</f>
        <v>#DIV/0!</v>
      </c>
      <c r="T66" s="295" t="e">
        <f>IF(K66="nio",0,(M66*Q66)/Z66)*VLOOKUP(C66,'2-Uren per locatie'!$B$15:$D$74,3,FALSE)</f>
        <v>#DIV/0!</v>
      </c>
      <c r="U66" s="295" t="e">
        <f>IF(K66="nio",0,(N66*Q66)/AA66)*VLOOKUP(C66,'2-Uren per locatie'!$B$15:$D$74,3,FALSE)</f>
        <v>#DIV/0!</v>
      </c>
      <c r="V66" s="295" t="e">
        <f>IF(K66="nio",0,(O66*Q66)/Z66)*VLOOKUP(C66,'2-Uren per locatie'!$B$15:$D$74,3,FALSE)</f>
        <v>#DIV/0!</v>
      </c>
      <c r="W66" s="295" t="e">
        <f>IF(K66="nio",0,(P66*Q66)/AA66)*VLOOKUP(C66,'2-Uren per locatie'!$B$15:$D$74,3,FALSE)</f>
        <v>#DIV/0!</v>
      </c>
      <c r="X66" s="485">
        <f>IF(K66="nio",0,IF(K66&gt;0,VLOOKUP(H66,'3-Productie normen'!A:F,VLOOKUP(K66,'3-Productie normen'!$B$29:$C$34,2,FALSE),FALSE)))</f>
        <v>0</v>
      </c>
      <c r="Y66" s="485">
        <f>VLOOKUP(H66,'3-Productie normen'!$A$10:$J$24,8,FALSE)*'3-Ruimtestaat'!X66</f>
        <v>0</v>
      </c>
      <c r="Z66" s="485">
        <f>VLOOKUP(H66,'3-Productie normen'!$A$10:$J$24,9,FALSE)*'3-Ruimtestaat'!X66</f>
        <v>0</v>
      </c>
      <c r="AA66" s="485">
        <f>VLOOKUP(H66,'3-Productie normen'!$A$10:$J$24,10,FALSE)*'3-Ruimtestaat'!X66</f>
        <v>0</v>
      </c>
      <c r="AB66" s="292" t="str">
        <f>IF(H66="",0,VLOOKUP(H66,'3-Productie normen'!$A$10:$N$23,14,FALSE))</f>
        <v>V</v>
      </c>
      <c r="AD66" s="296">
        <f t="shared" si="1"/>
        <v>0</v>
      </c>
      <c r="AE66" s="78"/>
      <c r="AF66" s="297"/>
      <c r="AG66" s="297"/>
      <c r="AH66" s="297"/>
      <c r="AI66" s="297"/>
      <c r="AJ66" s="297"/>
      <c r="AK66" s="298"/>
      <c r="AL66" s="298"/>
      <c r="AM66" s="298"/>
      <c r="AN66" s="298"/>
      <c r="AO66" s="299" t="s">
        <v>294</v>
      </c>
    </row>
    <row r="67" spans="1:41" ht="15" customHeight="1">
      <c r="A67" s="254">
        <v>67</v>
      </c>
      <c r="B67" s="253">
        <v>102</v>
      </c>
      <c r="C67" s="240" t="s">
        <v>51</v>
      </c>
      <c r="D67" s="288" t="s">
        <v>50</v>
      </c>
      <c r="E67" s="289" t="s">
        <v>207</v>
      </c>
      <c r="F67" s="239" t="s">
        <v>295</v>
      </c>
      <c r="G67" s="290" t="s">
        <v>296</v>
      </c>
      <c r="H67" s="291" t="s">
        <v>149</v>
      </c>
      <c r="I67" s="239" t="s">
        <v>245</v>
      </c>
      <c r="J67" s="424">
        <f t="shared" si="0"/>
        <v>365</v>
      </c>
      <c r="K67" s="425">
        <v>127</v>
      </c>
      <c r="L67" s="425">
        <v>126</v>
      </c>
      <c r="M67" s="425">
        <v>52</v>
      </c>
      <c r="N67" s="425">
        <v>52</v>
      </c>
      <c r="O67" s="425">
        <v>4</v>
      </c>
      <c r="P67" s="425">
        <v>4</v>
      </c>
      <c r="Q67" s="294">
        <v>7.8000000000000007</v>
      </c>
      <c r="R67" s="295" t="e">
        <f>IF(K67="nio",0,(K67*Q67)/X67)*VLOOKUP(C67,'2-Uren per locatie'!$B$15:$D$74,3,FALSE)</f>
        <v>#DIV/0!</v>
      </c>
      <c r="S67" s="295" t="e">
        <f>IF(K67="nio",0,(L67*Q67)/Y67)*VLOOKUP(C67,'2-Uren per locatie'!$B$15:$D$74,3,FALSE)</f>
        <v>#DIV/0!</v>
      </c>
      <c r="T67" s="295" t="e">
        <f>IF(K67="nio",0,(M67*Q67)/Z67)*VLOOKUP(C67,'2-Uren per locatie'!$B$15:$D$74,3,FALSE)</f>
        <v>#DIV/0!</v>
      </c>
      <c r="U67" s="295" t="e">
        <f>IF(K67="nio",0,(N67*Q67)/AA67)*VLOOKUP(C67,'2-Uren per locatie'!$B$15:$D$74,3,FALSE)</f>
        <v>#DIV/0!</v>
      </c>
      <c r="V67" s="295" t="e">
        <f>IF(K67="nio",0,(O67*Q67)/Z67)*VLOOKUP(C67,'2-Uren per locatie'!$B$15:$D$74,3,FALSE)</f>
        <v>#DIV/0!</v>
      </c>
      <c r="W67" s="295" t="e">
        <f>IF(K67="nio",0,(P67*Q67)/AA67)*VLOOKUP(C67,'2-Uren per locatie'!$B$15:$D$74,3,FALSE)</f>
        <v>#DIV/0!</v>
      </c>
      <c r="X67" s="485">
        <f>IF(K67="nio",0,IF(K67&gt;0,VLOOKUP(H67,'3-Productie normen'!A:F,VLOOKUP(K67,'3-Productie normen'!$B$29:$C$34,2,FALSE),FALSE)))</f>
        <v>0</v>
      </c>
      <c r="Y67" s="485">
        <f>VLOOKUP(H67,'3-Productie normen'!$A$10:$J$24,8,FALSE)*'3-Ruimtestaat'!X67</f>
        <v>0</v>
      </c>
      <c r="Z67" s="485">
        <f>VLOOKUP(H67,'3-Productie normen'!$A$10:$J$24,9,FALSE)*'3-Ruimtestaat'!X67</f>
        <v>0</v>
      </c>
      <c r="AA67" s="485">
        <f>VLOOKUP(H67,'3-Productie normen'!$A$10:$J$24,10,FALSE)*'3-Ruimtestaat'!X67</f>
        <v>0</v>
      </c>
      <c r="AB67" s="292" t="str">
        <f>IF(H67="",0,VLOOKUP(H67,'3-Productie normen'!$A$10:$N$23,14,FALSE))</f>
        <v>V</v>
      </c>
      <c r="AD67" s="296">
        <f t="shared" si="1"/>
        <v>2847.0000000000005</v>
      </c>
      <c r="AE67" s="78"/>
      <c r="AF67" s="297"/>
      <c r="AG67" s="297"/>
      <c r="AH67" s="297"/>
      <c r="AI67" s="297"/>
      <c r="AJ67" s="297"/>
      <c r="AK67" s="298"/>
      <c r="AL67" s="298"/>
      <c r="AM67" s="298"/>
      <c r="AN67" s="298"/>
      <c r="AO67" s="299"/>
    </row>
    <row r="68" spans="1:41" ht="15" customHeight="1">
      <c r="A68" s="254">
        <v>68</v>
      </c>
      <c r="B68" s="253">
        <v>102</v>
      </c>
      <c r="C68" s="240" t="s">
        <v>51</v>
      </c>
      <c r="D68" s="288" t="s">
        <v>50</v>
      </c>
      <c r="E68" s="289" t="s">
        <v>207</v>
      </c>
      <c r="F68" s="239" t="s">
        <v>297</v>
      </c>
      <c r="G68" s="290" t="s">
        <v>298</v>
      </c>
      <c r="H68" s="291" t="s">
        <v>149</v>
      </c>
      <c r="I68" s="239" t="s">
        <v>245</v>
      </c>
      <c r="J68" s="424">
        <f t="shared" si="0"/>
        <v>365</v>
      </c>
      <c r="K68" s="425">
        <v>127</v>
      </c>
      <c r="L68" s="425">
        <v>126</v>
      </c>
      <c r="M68" s="425">
        <v>52</v>
      </c>
      <c r="N68" s="425">
        <v>52</v>
      </c>
      <c r="O68" s="425">
        <v>4</v>
      </c>
      <c r="P68" s="425">
        <v>4</v>
      </c>
      <c r="Q68" s="294">
        <v>7.8000000000000007</v>
      </c>
      <c r="R68" s="295" t="e">
        <f>IF(K68="nio",0,(K68*Q68)/X68)*VLOOKUP(C68,'2-Uren per locatie'!$B$15:$D$74,3,FALSE)</f>
        <v>#DIV/0!</v>
      </c>
      <c r="S68" s="295" t="e">
        <f>IF(K68="nio",0,(L68*Q68)/Y68)*VLOOKUP(C68,'2-Uren per locatie'!$B$15:$D$74,3,FALSE)</f>
        <v>#DIV/0!</v>
      </c>
      <c r="T68" s="295" t="e">
        <f>IF(K68="nio",0,(M68*Q68)/Z68)*VLOOKUP(C68,'2-Uren per locatie'!$B$15:$D$74,3,FALSE)</f>
        <v>#DIV/0!</v>
      </c>
      <c r="U68" s="295" t="e">
        <f>IF(K68="nio",0,(N68*Q68)/AA68)*VLOOKUP(C68,'2-Uren per locatie'!$B$15:$D$74,3,FALSE)</f>
        <v>#DIV/0!</v>
      </c>
      <c r="V68" s="295" t="e">
        <f>IF(K68="nio",0,(O68*Q68)/Z68)*VLOOKUP(C68,'2-Uren per locatie'!$B$15:$D$74,3,FALSE)</f>
        <v>#DIV/0!</v>
      </c>
      <c r="W68" s="295" t="e">
        <f>IF(K68="nio",0,(P68*Q68)/AA68)*VLOOKUP(C68,'2-Uren per locatie'!$B$15:$D$74,3,FALSE)</f>
        <v>#DIV/0!</v>
      </c>
      <c r="X68" s="485">
        <f>IF(K68="nio",0,IF(K68&gt;0,VLOOKUP(H68,'3-Productie normen'!A:F,VLOOKUP(K68,'3-Productie normen'!$B$29:$C$34,2,FALSE),FALSE)))</f>
        <v>0</v>
      </c>
      <c r="Y68" s="485">
        <f>VLOOKUP(H68,'3-Productie normen'!$A$10:$J$24,8,FALSE)*'3-Ruimtestaat'!X68</f>
        <v>0</v>
      </c>
      <c r="Z68" s="485">
        <f>VLOOKUP(H68,'3-Productie normen'!$A$10:$J$24,9,FALSE)*'3-Ruimtestaat'!X68</f>
        <v>0</v>
      </c>
      <c r="AA68" s="485">
        <f>VLOOKUP(H68,'3-Productie normen'!$A$10:$J$24,10,FALSE)*'3-Ruimtestaat'!X68</f>
        <v>0</v>
      </c>
      <c r="AB68" s="292" t="str">
        <f>IF(H68="",0,VLOOKUP(H68,'3-Productie normen'!$A$10:$N$23,14,FALSE))</f>
        <v>V</v>
      </c>
      <c r="AD68" s="296">
        <f t="shared" si="1"/>
        <v>2847.0000000000005</v>
      </c>
      <c r="AE68" s="78"/>
      <c r="AF68" s="297"/>
      <c r="AG68" s="297"/>
      <c r="AH68" s="297"/>
      <c r="AI68" s="297"/>
      <c r="AJ68" s="297"/>
      <c r="AK68" s="298"/>
      <c r="AL68" s="298"/>
      <c r="AM68" s="298"/>
      <c r="AN68" s="298"/>
      <c r="AO68" s="299"/>
    </row>
    <row r="69" spans="1:41" ht="15" customHeight="1">
      <c r="A69" s="254">
        <v>69</v>
      </c>
      <c r="B69" s="253">
        <v>102</v>
      </c>
      <c r="C69" s="240" t="s">
        <v>51</v>
      </c>
      <c r="D69" s="288" t="s">
        <v>50</v>
      </c>
      <c r="E69" s="289" t="s">
        <v>207</v>
      </c>
      <c r="F69" s="239" t="s">
        <v>231</v>
      </c>
      <c r="G69" s="290" t="s">
        <v>232</v>
      </c>
      <c r="H69" s="291" t="s">
        <v>153</v>
      </c>
      <c r="I69" s="239" t="s">
        <v>299</v>
      </c>
      <c r="J69" s="424">
        <f t="shared" si="0"/>
        <v>365</v>
      </c>
      <c r="K69" s="425">
        <v>255</v>
      </c>
      <c r="L69" s="425"/>
      <c r="M69" s="425">
        <v>102</v>
      </c>
      <c r="N69" s="425"/>
      <c r="O69" s="425">
        <v>8</v>
      </c>
      <c r="P69" s="425"/>
      <c r="Q69" s="294">
        <v>2.6</v>
      </c>
      <c r="R69" s="295" t="e">
        <f>IF(K69="nio",0,(K69*Q69)/X69)*VLOOKUP(C69,'2-Uren per locatie'!$B$15:$D$74,3,FALSE)</f>
        <v>#DIV/0!</v>
      </c>
      <c r="S69" s="295" t="e">
        <f>IF(K69="nio",0,(L69*Q69)/Y69)*VLOOKUP(C69,'2-Uren per locatie'!$B$15:$D$74,3,FALSE)</f>
        <v>#DIV/0!</v>
      </c>
      <c r="T69" s="295" t="e">
        <f>IF(K69="nio",0,(M69*Q69)/Z69)*VLOOKUP(C69,'2-Uren per locatie'!$B$15:$D$74,3,FALSE)</f>
        <v>#DIV/0!</v>
      </c>
      <c r="U69" s="295" t="e">
        <f>IF(K69="nio",0,(N69*Q69)/AA69)*VLOOKUP(C69,'2-Uren per locatie'!$B$15:$D$74,3,FALSE)</f>
        <v>#DIV/0!</v>
      </c>
      <c r="V69" s="295" t="e">
        <f>IF(K69="nio",0,(O69*Q69)/Z69)*VLOOKUP(C69,'2-Uren per locatie'!$B$15:$D$74,3,FALSE)</f>
        <v>#DIV/0!</v>
      </c>
      <c r="W69" s="295" t="e">
        <f>IF(K69="nio",0,(P69*Q69)/AA69)*VLOOKUP(C69,'2-Uren per locatie'!$B$15:$D$74,3,FALSE)</f>
        <v>#DIV/0!</v>
      </c>
      <c r="X69" s="485">
        <f>IF(K69="nio",0,IF(K69&gt;0,VLOOKUP(H69,'3-Productie normen'!A:F,VLOOKUP(K69,'3-Productie normen'!$B$29:$C$34,2,FALSE),FALSE)))</f>
        <v>0</v>
      </c>
      <c r="Y69" s="485">
        <f>VLOOKUP(H69,'3-Productie normen'!$A$10:$J$24,8,FALSE)*'3-Ruimtestaat'!X69</f>
        <v>0</v>
      </c>
      <c r="Z69" s="485">
        <f>VLOOKUP(H69,'3-Productie normen'!$A$10:$J$24,9,FALSE)*'3-Ruimtestaat'!X69</f>
        <v>0</v>
      </c>
      <c r="AA69" s="485">
        <f>VLOOKUP(H69,'3-Productie normen'!$A$10:$J$24,10,FALSE)*'3-Ruimtestaat'!X69</f>
        <v>0</v>
      </c>
      <c r="AB69" s="292" t="str">
        <f>IF(H69="",0,VLOOKUP(H69,'3-Productie normen'!$A$10:$N$23,14,FALSE))</f>
        <v>S</v>
      </c>
      <c r="AD69" s="296">
        <f t="shared" si="1"/>
        <v>949</v>
      </c>
      <c r="AE69" s="78"/>
      <c r="AF69" s="297">
        <v>13</v>
      </c>
      <c r="AG69" s="297"/>
      <c r="AH69" s="297"/>
      <c r="AI69" s="297"/>
      <c r="AJ69" s="297"/>
      <c r="AK69" s="298"/>
      <c r="AL69" s="298"/>
      <c r="AM69" s="298"/>
      <c r="AN69" s="298">
        <v>2</v>
      </c>
      <c r="AO69" s="299" t="s">
        <v>300</v>
      </c>
    </row>
    <row r="70" spans="1:41" ht="15" customHeight="1">
      <c r="A70" s="254">
        <v>70</v>
      </c>
      <c r="B70" s="253">
        <v>102</v>
      </c>
      <c r="C70" s="240" t="s">
        <v>51</v>
      </c>
      <c r="D70" s="288" t="s">
        <v>50</v>
      </c>
      <c r="E70" s="289" t="s">
        <v>207</v>
      </c>
      <c r="F70" s="239" t="s">
        <v>231</v>
      </c>
      <c r="G70" s="290" t="s">
        <v>301</v>
      </c>
      <c r="H70" s="291" t="s">
        <v>153</v>
      </c>
      <c r="I70" s="239" t="s">
        <v>299</v>
      </c>
      <c r="J70" s="424">
        <f t="shared" si="0"/>
        <v>365</v>
      </c>
      <c r="K70" s="425">
        <v>255</v>
      </c>
      <c r="L70" s="425"/>
      <c r="M70" s="425">
        <v>102</v>
      </c>
      <c r="N70" s="425"/>
      <c r="O70" s="425">
        <v>8</v>
      </c>
      <c r="P70" s="425"/>
      <c r="Q70" s="294">
        <v>2.6</v>
      </c>
      <c r="R70" s="295" t="e">
        <f>IF(K70="nio",0,(K70*Q70)/X70)*VLOOKUP(C70,'2-Uren per locatie'!$B$15:$D$74,3,FALSE)</f>
        <v>#DIV/0!</v>
      </c>
      <c r="S70" s="295" t="e">
        <f>IF(K70="nio",0,(L70*Q70)/Y70)*VLOOKUP(C70,'2-Uren per locatie'!$B$15:$D$74,3,FALSE)</f>
        <v>#DIV/0!</v>
      </c>
      <c r="T70" s="295" t="e">
        <f>IF(K70="nio",0,(M70*Q70)/Z70)*VLOOKUP(C70,'2-Uren per locatie'!$B$15:$D$74,3,FALSE)</f>
        <v>#DIV/0!</v>
      </c>
      <c r="U70" s="295" t="e">
        <f>IF(K70="nio",0,(N70*Q70)/AA70)*VLOOKUP(C70,'2-Uren per locatie'!$B$15:$D$74,3,FALSE)</f>
        <v>#DIV/0!</v>
      </c>
      <c r="V70" s="295" t="e">
        <f>IF(K70="nio",0,(O70*Q70)/Z70)*VLOOKUP(C70,'2-Uren per locatie'!$B$15:$D$74,3,FALSE)</f>
        <v>#DIV/0!</v>
      </c>
      <c r="W70" s="295" t="e">
        <f>IF(K70="nio",0,(P70*Q70)/AA70)*VLOOKUP(C70,'2-Uren per locatie'!$B$15:$D$74,3,FALSE)</f>
        <v>#DIV/0!</v>
      </c>
      <c r="X70" s="485">
        <f>IF(K70="nio",0,IF(K70&gt;0,VLOOKUP(H70,'3-Productie normen'!A:F,VLOOKUP(K70,'3-Productie normen'!$B$29:$C$34,2,FALSE),FALSE)))</f>
        <v>0</v>
      </c>
      <c r="Y70" s="485">
        <f>VLOOKUP(H70,'3-Productie normen'!$A$10:$J$24,8,FALSE)*'3-Ruimtestaat'!X70</f>
        <v>0</v>
      </c>
      <c r="Z70" s="485">
        <f>VLOOKUP(H70,'3-Productie normen'!$A$10:$J$24,9,FALSE)*'3-Ruimtestaat'!X70</f>
        <v>0</v>
      </c>
      <c r="AA70" s="485">
        <f>VLOOKUP(H70,'3-Productie normen'!$A$10:$J$24,10,FALSE)*'3-Ruimtestaat'!X70</f>
        <v>0</v>
      </c>
      <c r="AB70" s="292" t="str">
        <f>IF(H70="",0,VLOOKUP(H70,'3-Productie normen'!$A$10:$N$23,14,FALSE))</f>
        <v>S</v>
      </c>
      <c r="AD70" s="296">
        <f t="shared" si="1"/>
        <v>949</v>
      </c>
      <c r="AE70" s="78"/>
      <c r="AF70" s="297">
        <v>13</v>
      </c>
      <c r="AG70" s="297"/>
      <c r="AH70" s="297"/>
      <c r="AI70" s="297"/>
      <c r="AJ70" s="297"/>
      <c r="AK70" s="298"/>
      <c r="AL70" s="298"/>
      <c r="AM70" s="298"/>
      <c r="AN70" s="298">
        <v>2</v>
      </c>
      <c r="AO70" s="299" t="s">
        <v>300</v>
      </c>
    </row>
    <row r="71" spans="1:41" ht="15" customHeight="1">
      <c r="A71" s="254">
        <v>71</v>
      </c>
      <c r="B71" s="253">
        <v>102</v>
      </c>
      <c r="C71" s="240" t="s">
        <v>51</v>
      </c>
      <c r="D71" s="288" t="s">
        <v>50</v>
      </c>
      <c r="E71" s="289" t="s">
        <v>207</v>
      </c>
      <c r="F71" s="239" t="s">
        <v>231</v>
      </c>
      <c r="G71" s="290" t="s">
        <v>302</v>
      </c>
      <c r="H71" s="291" t="s">
        <v>153</v>
      </c>
      <c r="I71" s="239" t="s">
        <v>299</v>
      </c>
      <c r="J71" s="424">
        <f t="shared" si="0"/>
        <v>365</v>
      </c>
      <c r="K71" s="425">
        <v>255</v>
      </c>
      <c r="L71" s="425"/>
      <c r="M71" s="425">
        <v>102</v>
      </c>
      <c r="N71" s="425"/>
      <c r="O71" s="425">
        <v>8</v>
      </c>
      <c r="P71" s="425"/>
      <c r="Q71" s="294">
        <v>2.6</v>
      </c>
      <c r="R71" s="295" t="e">
        <f>IF(K71="nio",0,(K71*Q71)/X71)*VLOOKUP(C71,'2-Uren per locatie'!$B$15:$D$74,3,FALSE)</f>
        <v>#DIV/0!</v>
      </c>
      <c r="S71" s="295" t="e">
        <f>IF(K71="nio",0,(L71*Q71)/Y71)*VLOOKUP(C71,'2-Uren per locatie'!$B$15:$D$74,3,FALSE)</f>
        <v>#DIV/0!</v>
      </c>
      <c r="T71" s="295" t="e">
        <f>IF(K71="nio",0,(M71*Q71)/Z71)*VLOOKUP(C71,'2-Uren per locatie'!$B$15:$D$74,3,FALSE)</f>
        <v>#DIV/0!</v>
      </c>
      <c r="U71" s="295" t="e">
        <f>IF(K71="nio",0,(N71*Q71)/AA71)*VLOOKUP(C71,'2-Uren per locatie'!$B$15:$D$74,3,FALSE)</f>
        <v>#DIV/0!</v>
      </c>
      <c r="V71" s="295" t="e">
        <f>IF(K71="nio",0,(O71*Q71)/Z71)*VLOOKUP(C71,'2-Uren per locatie'!$B$15:$D$74,3,FALSE)</f>
        <v>#DIV/0!</v>
      </c>
      <c r="W71" s="295" t="e">
        <f>IF(K71="nio",0,(P71*Q71)/AA71)*VLOOKUP(C71,'2-Uren per locatie'!$B$15:$D$74,3,FALSE)</f>
        <v>#DIV/0!</v>
      </c>
      <c r="X71" s="485">
        <f>IF(K71="nio",0,IF(K71&gt;0,VLOOKUP(H71,'3-Productie normen'!A:F,VLOOKUP(K71,'3-Productie normen'!$B$29:$C$34,2,FALSE),FALSE)))</f>
        <v>0</v>
      </c>
      <c r="Y71" s="485">
        <f>VLOOKUP(H71,'3-Productie normen'!$A$10:$J$24,8,FALSE)*'3-Ruimtestaat'!X71</f>
        <v>0</v>
      </c>
      <c r="Z71" s="485">
        <f>VLOOKUP(H71,'3-Productie normen'!$A$10:$J$24,9,FALSE)*'3-Ruimtestaat'!X71</f>
        <v>0</v>
      </c>
      <c r="AA71" s="485">
        <f>VLOOKUP(H71,'3-Productie normen'!$A$10:$J$24,10,FALSE)*'3-Ruimtestaat'!X71</f>
        <v>0</v>
      </c>
      <c r="AB71" s="292" t="str">
        <f>IF(H71="",0,VLOOKUP(H71,'3-Productie normen'!$A$10:$N$23,14,FALSE))</f>
        <v>S</v>
      </c>
      <c r="AD71" s="296">
        <f t="shared" si="1"/>
        <v>949</v>
      </c>
      <c r="AE71" s="78"/>
      <c r="AF71" s="297">
        <v>13</v>
      </c>
      <c r="AG71" s="297"/>
      <c r="AH71" s="297"/>
      <c r="AI71" s="297"/>
      <c r="AJ71" s="297"/>
      <c r="AK71" s="298"/>
      <c r="AL71" s="298"/>
      <c r="AM71" s="298"/>
      <c r="AN71" s="298">
        <v>2</v>
      </c>
      <c r="AO71" s="299" t="s">
        <v>300</v>
      </c>
    </row>
    <row r="72" spans="1:41" ht="15" customHeight="1">
      <c r="A72" s="254">
        <v>72</v>
      </c>
      <c r="B72" s="253">
        <v>102</v>
      </c>
      <c r="C72" s="240" t="s">
        <v>51</v>
      </c>
      <c r="D72" s="288" t="s">
        <v>50</v>
      </c>
      <c r="E72" s="289" t="s">
        <v>207</v>
      </c>
      <c r="F72" s="239" t="s">
        <v>231</v>
      </c>
      <c r="G72" s="290" t="s">
        <v>303</v>
      </c>
      <c r="H72" s="291" t="s">
        <v>153</v>
      </c>
      <c r="I72" s="239" t="s">
        <v>299</v>
      </c>
      <c r="J72" s="424">
        <f t="shared" si="0"/>
        <v>365</v>
      </c>
      <c r="K72" s="425">
        <v>255</v>
      </c>
      <c r="L72" s="425"/>
      <c r="M72" s="425">
        <v>102</v>
      </c>
      <c r="N72" s="425"/>
      <c r="O72" s="425">
        <v>8</v>
      </c>
      <c r="P72" s="425"/>
      <c r="Q72" s="294">
        <v>2.6</v>
      </c>
      <c r="R72" s="295" t="e">
        <f>IF(K72="nio",0,(K72*Q72)/X72)*VLOOKUP(C72,'2-Uren per locatie'!$B$15:$D$74,3,FALSE)</f>
        <v>#DIV/0!</v>
      </c>
      <c r="S72" s="295" t="e">
        <f>IF(K72="nio",0,(L72*Q72)/Y72)*VLOOKUP(C72,'2-Uren per locatie'!$B$15:$D$74,3,FALSE)</f>
        <v>#DIV/0!</v>
      </c>
      <c r="T72" s="295" t="e">
        <f>IF(K72="nio",0,(M72*Q72)/Z72)*VLOOKUP(C72,'2-Uren per locatie'!$B$15:$D$74,3,FALSE)</f>
        <v>#DIV/0!</v>
      </c>
      <c r="U72" s="295" t="e">
        <f>IF(K72="nio",0,(N72*Q72)/AA72)*VLOOKUP(C72,'2-Uren per locatie'!$B$15:$D$74,3,FALSE)</f>
        <v>#DIV/0!</v>
      </c>
      <c r="V72" s="295" t="e">
        <f>IF(K72="nio",0,(O72*Q72)/Z72)*VLOOKUP(C72,'2-Uren per locatie'!$B$15:$D$74,3,FALSE)</f>
        <v>#DIV/0!</v>
      </c>
      <c r="W72" s="295" t="e">
        <f>IF(K72="nio",0,(P72*Q72)/AA72)*VLOOKUP(C72,'2-Uren per locatie'!$B$15:$D$74,3,FALSE)</f>
        <v>#DIV/0!</v>
      </c>
      <c r="X72" s="485">
        <f>IF(K72="nio",0,IF(K72&gt;0,VLOOKUP(H72,'3-Productie normen'!A:F,VLOOKUP(K72,'3-Productie normen'!$B$29:$C$34,2,FALSE),FALSE)))</f>
        <v>0</v>
      </c>
      <c r="Y72" s="485">
        <f>VLOOKUP(H72,'3-Productie normen'!$A$10:$J$24,8,FALSE)*'3-Ruimtestaat'!X72</f>
        <v>0</v>
      </c>
      <c r="Z72" s="485">
        <f>VLOOKUP(H72,'3-Productie normen'!$A$10:$J$24,9,FALSE)*'3-Ruimtestaat'!X72</f>
        <v>0</v>
      </c>
      <c r="AA72" s="485">
        <f>VLOOKUP(H72,'3-Productie normen'!$A$10:$J$24,10,FALSE)*'3-Ruimtestaat'!X72</f>
        <v>0</v>
      </c>
      <c r="AB72" s="292" t="str">
        <f>IF(H72="",0,VLOOKUP(H72,'3-Productie normen'!$A$10:$N$23,14,FALSE))</f>
        <v>S</v>
      </c>
      <c r="AD72" s="296">
        <f t="shared" si="1"/>
        <v>949</v>
      </c>
      <c r="AE72" s="78"/>
      <c r="AF72" s="297">
        <v>13</v>
      </c>
      <c r="AG72" s="297"/>
      <c r="AH72" s="297"/>
      <c r="AI72" s="297"/>
      <c r="AJ72" s="297"/>
      <c r="AK72" s="298"/>
      <c r="AL72" s="298"/>
      <c r="AM72" s="298"/>
      <c r="AN72" s="298">
        <v>2</v>
      </c>
      <c r="AO72" s="299" t="s">
        <v>300</v>
      </c>
    </row>
    <row r="73" spans="1:41" ht="15" customHeight="1">
      <c r="A73" s="254">
        <v>73</v>
      </c>
      <c r="B73" s="253">
        <v>102</v>
      </c>
      <c r="C73" s="240" t="s">
        <v>51</v>
      </c>
      <c r="D73" s="288" t="s">
        <v>50</v>
      </c>
      <c r="E73" s="289" t="s">
        <v>207</v>
      </c>
      <c r="F73" s="239" t="s">
        <v>231</v>
      </c>
      <c r="G73" s="290" t="s">
        <v>304</v>
      </c>
      <c r="H73" s="291" t="s">
        <v>153</v>
      </c>
      <c r="I73" s="239" t="s">
        <v>299</v>
      </c>
      <c r="J73" s="424">
        <f t="shared" si="0"/>
        <v>365</v>
      </c>
      <c r="K73" s="425">
        <v>255</v>
      </c>
      <c r="L73" s="425"/>
      <c r="M73" s="425">
        <v>102</v>
      </c>
      <c r="N73" s="425"/>
      <c r="O73" s="425">
        <v>8</v>
      </c>
      <c r="P73" s="425"/>
      <c r="Q73" s="294">
        <v>1.3</v>
      </c>
      <c r="R73" s="295" t="e">
        <f>IF(K73="nio",0,(K73*Q73)/X73)*VLOOKUP(C73,'2-Uren per locatie'!$B$15:$D$74,3,FALSE)</f>
        <v>#DIV/0!</v>
      </c>
      <c r="S73" s="295" t="e">
        <f>IF(K73="nio",0,(L73*Q73)/Y73)*VLOOKUP(C73,'2-Uren per locatie'!$B$15:$D$74,3,FALSE)</f>
        <v>#DIV/0!</v>
      </c>
      <c r="T73" s="295" t="e">
        <f>IF(K73="nio",0,(M73*Q73)/Z73)*VLOOKUP(C73,'2-Uren per locatie'!$B$15:$D$74,3,FALSE)</f>
        <v>#DIV/0!</v>
      </c>
      <c r="U73" s="295" t="e">
        <f>IF(K73="nio",0,(N73*Q73)/AA73)*VLOOKUP(C73,'2-Uren per locatie'!$B$15:$D$74,3,FALSE)</f>
        <v>#DIV/0!</v>
      </c>
      <c r="V73" s="295" t="e">
        <f>IF(K73="nio",0,(O73*Q73)/Z73)*VLOOKUP(C73,'2-Uren per locatie'!$B$15:$D$74,3,FALSE)</f>
        <v>#DIV/0!</v>
      </c>
      <c r="W73" s="295" t="e">
        <f>IF(K73="nio",0,(P73*Q73)/AA73)*VLOOKUP(C73,'2-Uren per locatie'!$B$15:$D$74,3,FALSE)</f>
        <v>#DIV/0!</v>
      </c>
      <c r="X73" s="485">
        <f>IF(K73="nio",0,IF(K73&gt;0,VLOOKUP(H73,'3-Productie normen'!A:F,VLOOKUP(K73,'3-Productie normen'!$B$29:$C$34,2,FALSE),FALSE)))</f>
        <v>0</v>
      </c>
      <c r="Y73" s="485">
        <f>VLOOKUP(H73,'3-Productie normen'!$A$10:$J$24,8,FALSE)*'3-Ruimtestaat'!X73</f>
        <v>0</v>
      </c>
      <c r="Z73" s="485">
        <f>VLOOKUP(H73,'3-Productie normen'!$A$10:$J$24,9,FALSE)*'3-Ruimtestaat'!X73</f>
        <v>0</v>
      </c>
      <c r="AA73" s="485">
        <f>VLOOKUP(H73,'3-Productie normen'!$A$10:$J$24,10,FALSE)*'3-Ruimtestaat'!X73</f>
        <v>0</v>
      </c>
      <c r="AB73" s="292" t="str">
        <f>IF(H73="",0,VLOOKUP(H73,'3-Productie normen'!$A$10:$N$23,14,FALSE))</f>
        <v>S</v>
      </c>
      <c r="AD73" s="296">
        <f t="shared" si="1"/>
        <v>474.5</v>
      </c>
      <c r="AE73" s="78"/>
      <c r="AF73" s="297">
        <v>9</v>
      </c>
      <c r="AG73" s="297"/>
      <c r="AH73" s="297"/>
      <c r="AI73" s="297"/>
      <c r="AJ73" s="297"/>
      <c r="AK73" s="298"/>
      <c r="AL73" s="298"/>
      <c r="AM73" s="298"/>
      <c r="AN73" s="298">
        <v>1</v>
      </c>
      <c r="AO73" s="299" t="s">
        <v>300</v>
      </c>
    </row>
    <row r="74" spans="1:41" ht="15" customHeight="1">
      <c r="A74" s="254">
        <v>74</v>
      </c>
      <c r="B74" s="253">
        <v>102</v>
      </c>
      <c r="C74" s="240" t="s">
        <v>51</v>
      </c>
      <c r="D74" s="288" t="s">
        <v>50</v>
      </c>
      <c r="E74" s="289" t="s">
        <v>207</v>
      </c>
      <c r="F74" s="239" t="s">
        <v>231</v>
      </c>
      <c r="G74" s="290" t="s">
        <v>305</v>
      </c>
      <c r="H74" s="291" t="s">
        <v>153</v>
      </c>
      <c r="I74" s="239" t="s">
        <v>299</v>
      </c>
      <c r="J74" s="424">
        <f t="shared" si="0"/>
        <v>365</v>
      </c>
      <c r="K74" s="425">
        <v>255</v>
      </c>
      <c r="L74" s="425"/>
      <c r="M74" s="425">
        <v>102</v>
      </c>
      <c r="N74" s="425"/>
      <c r="O74" s="425">
        <v>8</v>
      </c>
      <c r="P74" s="425"/>
      <c r="Q74" s="294">
        <v>2.6</v>
      </c>
      <c r="R74" s="295" t="e">
        <f>IF(K74="nio",0,(K74*Q74)/X74)*VLOOKUP(C74,'2-Uren per locatie'!$B$15:$D$74,3,FALSE)</f>
        <v>#DIV/0!</v>
      </c>
      <c r="S74" s="295" t="e">
        <f>IF(K74="nio",0,(L74*Q74)/Y74)*VLOOKUP(C74,'2-Uren per locatie'!$B$15:$D$74,3,FALSE)</f>
        <v>#DIV/0!</v>
      </c>
      <c r="T74" s="295" t="e">
        <f>IF(K74="nio",0,(M74*Q74)/Z74)*VLOOKUP(C74,'2-Uren per locatie'!$B$15:$D$74,3,FALSE)</f>
        <v>#DIV/0!</v>
      </c>
      <c r="U74" s="295" t="e">
        <f>IF(K74="nio",0,(N74*Q74)/AA74)*VLOOKUP(C74,'2-Uren per locatie'!$B$15:$D$74,3,FALSE)</f>
        <v>#DIV/0!</v>
      </c>
      <c r="V74" s="295" t="e">
        <f>IF(K74="nio",0,(O74*Q74)/Z74)*VLOOKUP(C74,'2-Uren per locatie'!$B$15:$D$74,3,FALSE)</f>
        <v>#DIV/0!</v>
      </c>
      <c r="W74" s="295" t="e">
        <f>IF(K74="nio",0,(P74*Q74)/AA74)*VLOOKUP(C74,'2-Uren per locatie'!$B$15:$D$74,3,FALSE)</f>
        <v>#DIV/0!</v>
      </c>
      <c r="X74" s="485">
        <f>IF(K74="nio",0,IF(K74&gt;0,VLOOKUP(H74,'3-Productie normen'!A:F,VLOOKUP(K74,'3-Productie normen'!$B$29:$C$34,2,FALSE),FALSE)))</f>
        <v>0</v>
      </c>
      <c r="Y74" s="485">
        <f>VLOOKUP(H74,'3-Productie normen'!$A$10:$J$24,8,FALSE)*'3-Ruimtestaat'!X74</f>
        <v>0</v>
      </c>
      <c r="Z74" s="485">
        <f>VLOOKUP(H74,'3-Productie normen'!$A$10:$J$24,9,FALSE)*'3-Ruimtestaat'!X74</f>
        <v>0</v>
      </c>
      <c r="AA74" s="485">
        <f>VLOOKUP(H74,'3-Productie normen'!$A$10:$J$24,10,FALSE)*'3-Ruimtestaat'!X74</f>
        <v>0</v>
      </c>
      <c r="AB74" s="292" t="str">
        <f>IF(H74="",0,VLOOKUP(H74,'3-Productie normen'!$A$10:$N$23,14,FALSE))</f>
        <v>S</v>
      </c>
      <c r="AD74" s="296">
        <f t="shared" si="1"/>
        <v>949</v>
      </c>
      <c r="AE74" s="78"/>
      <c r="AF74" s="297">
        <v>12</v>
      </c>
      <c r="AG74" s="297"/>
      <c r="AH74" s="297"/>
      <c r="AI74" s="297"/>
      <c r="AJ74" s="297"/>
      <c r="AK74" s="298"/>
      <c r="AL74" s="298"/>
      <c r="AM74" s="298"/>
      <c r="AN74" s="298">
        <v>2</v>
      </c>
      <c r="AO74" s="299" t="s">
        <v>300</v>
      </c>
    </row>
    <row r="75" spans="1:41" ht="15" customHeight="1">
      <c r="A75" s="254">
        <v>75</v>
      </c>
      <c r="B75" s="253">
        <v>102</v>
      </c>
      <c r="C75" s="240" t="s">
        <v>51</v>
      </c>
      <c r="D75" s="288" t="s">
        <v>50</v>
      </c>
      <c r="E75" s="289" t="s">
        <v>200</v>
      </c>
      <c r="F75" s="239" t="s">
        <v>276</v>
      </c>
      <c r="G75" s="290" t="s">
        <v>277</v>
      </c>
      <c r="H75" s="291" t="s">
        <v>149</v>
      </c>
      <c r="I75" s="239" t="s">
        <v>245</v>
      </c>
      <c r="J75" s="424">
        <f t="shared" si="0"/>
        <v>365</v>
      </c>
      <c r="K75" s="425">
        <v>127</v>
      </c>
      <c r="L75" s="425">
        <v>126</v>
      </c>
      <c r="M75" s="425">
        <v>52</v>
      </c>
      <c r="N75" s="425">
        <v>52</v>
      </c>
      <c r="O75" s="425">
        <v>4</v>
      </c>
      <c r="P75" s="425">
        <v>4</v>
      </c>
      <c r="Q75" s="294">
        <v>0</v>
      </c>
      <c r="R75" s="295" t="e">
        <f>IF(K75="nio",0,(K75*Q75)/X75)*VLOOKUP(C75,'2-Uren per locatie'!$B$15:$D$74,3,FALSE)</f>
        <v>#DIV/0!</v>
      </c>
      <c r="S75" s="295" t="e">
        <f>IF(K75="nio",0,(L75*Q75)/Y75)*VLOOKUP(C75,'2-Uren per locatie'!$B$15:$D$74,3,FALSE)</f>
        <v>#DIV/0!</v>
      </c>
      <c r="T75" s="295" t="e">
        <f>IF(K75="nio",0,(M75*Q75)/Z75)*VLOOKUP(C75,'2-Uren per locatie'!$B$15:$D$74,3,FALSE)</f>
        <v>#DIV/0!</v>
      </c>
      <c r="U75" s="295" t="e">
        <f>IF(K75="nio",0,(N75*Q75)/AA75)*VLOOKUP(C75,'2-Uren per locatie'!$B$15:$D$74,3,FALSE)</f>
        <v>#DIV/0!</v>
      </c>
      <c r="V75" s="295" t="e">
        <f>IF(K75="nio",0,(O75*Q75)/Z75)*VLOOKUP(C75,'2-Uren per locatie'!$B$15:$D$74,3,FALSE)</f>
        <v>#DIV/0!</v>
      </c>
      <c r="W75" s="295" t="e">
        <f>IF(K75="nio",0,(P75*Q75)/AA75)*VLOOKUP(C75,'2-Uren per locatie'!$B$15:$D$74,3,FALSE)</f>
        <v>#DIV/0!</v>
      </c>
      <c r="X75" s="485">
        <f>IF(K75="nio",0,IF(K75&gt;0,VLOOKUP(H75,'3-Productie normen'!A:F,VLOOKUP(K75,'3-Productie normen'!$B$29:$C$34,2,FALSE),FALSE)))</f>
        <v>0</v>
      </c>
      <c r="Y75" s="485">
        <f>VLOOKUP(H75,'3-Productie normen'!$A$10:$J$24,8,FALSE)*'3-Ruimtestaat'!X75</f>
        <v>0</v>
      </c>
      <c r="Z75" s="485">
        <f>VLOOKUP(H75,'3-Productie normen'!$A$10:$J$24,9,FALSE)*'3-Ruimtestaat'!X75</f>
        <v>0</v>
      </c>
      <c r="AA75" s="485">
        <f>VLOOKUP(H75,'3-Productie normen'!$A$10:$J$24,10,FALSE)*'3-Ruimtestaat'!X75</f>
        <v>0</v>
      </c>
      <c r="AB75" s="292" t="str">
        <f>IF(H75="",0,VLOOKUP(H75,'3-Productie normen'!$A$10:$N$23,14,FALSE))</f>
        <v>V</v>
      </c>
      <c r="AD75" s="296">
        <f t="shared" si="1"/>
        <v>0</v>
      </c>
      <c r="AE75" s="78"/>
      <c r="AF75" s="297"/>
      <c r="AG75" s="297"/>
      <c r="AH75" s="297"/>
      <c r="AI75" s="297"/>
      <c r="AJ75" s="297"/>
      <c r="AK75" s="298"/>
      <c r="AL75" s="298"/>
      <c r="AM75" s="298"/>
      <c r="AN75" s="298"/>
      <c r="AO75" s="299" t="s">
        <v>294</v>
      </c>
    </row>
    <row r="76" spans="1:41" ht="15" customHeight="1">
      <c r="A76" s="254">
        <v>76</v>
      </c>
      <c r="B76" s="253">
        <v>102</v>
      </c>
      <c r="C76" s="240" t="s">
        <v>51</v>
      </c>
      <c r="D76" s="288" t="s">
        <v>50</v>
      </c>
      <c r="E76" s="289" t="s">
        <v>249</v>
      </c>
      <c r="F76" s="239" t="s">
        <v>214</v>
      </c>
      <c r="G76" s="290" t="s">
        <v>252</v>
      </c>
      <c r="H76" s="291" t="s">
        <v>152</v>
      </c>
      <c r="I76" s="239" t="s">
        <v>209</v>
      </c>
      <c r="J76" s="424">
        <f t="shared" ref="J76:J139" si="2">SUM(K76:P76)</f>
        <v>365</v>
      </c>
      <c r="K76" s="425">
        <v>127</v>
      </c>
      <c r="L76" s="425">
        <v>126</v>
      </c>
      <c r="M76" s="425">
        <v>52</v>
      </c>
      <c r="N76" s="425">
        <v>52</v>
      </c>
      <c r="O76" s="425">
        <v>4</v>
      </c>
      <c r="P76" s="425">
        <v>4</v>
      </c>
      <c r="Q76" s="294">
        <v>0</v>
      </c>
      <c r="R76" s="295" t="e">
        <f>IF(K76="nio",0,(K76*Q76)/X76)*VLOOKUP(C76,'2-Uren per locatie'!$B$15:$D$74,3,FALSE)</f>
        <v>#DIV/0!</v>
      </c>
      <c r="S76" s="295" t="e">
        <f>IF(K76="nio",0,(L76*Q76)/Y76)*VLOOKUP(C76,'2-Uren per locatie'!$B$15:$D$74,3,FALSE)</f>
        <v>#DIV/0!</v>
      </c>
      <c r="T76" s="295" t="e">
        <f>IF(K76="nio",0,(M76*Q76)/Z76)*VLOOKUP(C76,'2-Uren per locatie'!$B$15:$D$74,3,FALSE)</f>
        <v>#DIV/0!</v>
      </c>
      <c r="U76" s="295" t="e">
        <f>IF(K76="nio",0,(N76*Q76)/AA76)*VLOOKUP(C76,'2-Uren per locatie'!$B$15:$D$74,3,FALSE)</f>
        <v>#DIV/0!</v>
      </c>
      <c r="V76" s="295" t="e">
        <f>IF(K76="nio",0,(O76*Q76)/Z76)*VLOOKUP(C76,'2-Uren per locatie'!$B$15:$D$74,3,FALSE)</f>
        <v>#DIV/0!</v>
      </c>
      <c r="W76" s="295" t="e">
        <f>IF(K76="nio",0,(P76*Q76)/AA76)*VLOOKUP(C76,'2-Uren per locatie'!$B$15:$D$74,3,FALSE)</f>
        <v>#DIV/0!</v>
      </c>
      <c r="X76" s="485">
        <f>IF(K76="nio",0,IF(K76&gt;0,VLOOKUP(H76,'3-Productie normen'!A:F,VLOOKUP(K76,'3-Productie normen'!$B$29:$C$34,2,FALSE),FALSE)))</f>
        <v>0</v>
      </c>
      <c r="Y76" s="485">
        <f>VLOOKUP(H76,'3-Productie normen'!$A$10:$J$24,8,FALSE)*'3-Ruimtestaat'!X76</f>
        <v>0</v>
      </c>
      <c r="Z76" s="485">
        <f>VLOOKUP(H76,'3-Productie normen'!$A$10:$J$24,9,FALSE)*'3-Ruimtestaat'!X76</f>
        <v>0</v>
      </c>
      <c r="AA76" s="485">
        <f>VLOOKUP(H76,'3-Productie normen'!$A$10:$J$24,10,FALSE)*'3-Ruimtestaat'!X76</f>
        <v>0</v>
      </c>
      <c r="AB76" s="292" t="str">
        <f>IF(H76="",0,VLOOKUP(H76,'3-Productie normen'!$A$10:$N$23,14,FALSE))</f>
        <v>V</v>
      </c>
      <c r="AD76" s="296">
        <f t="shared" ref="AD76:AD139" si="3">Q76*J76</f>
        <v>0</v>
      </c>
      <c r="AE76" s="78"/>
      <c r="AF76" s="297"/>
      <c r="AG76" s="297"/>
      <c r="AH76" s="297"/>
      <c r="AI76" s="297"/>
      <c r="AJ76" s="297"/>
      <c r="AK76" s="298"/>
      <c r="AL76" s="298"/>
      <c r="AM76" s="298"/>
      <c r="AN76" s="298"/>
      <c r="AO76" s="299"/>
    </row>
    <row r="77" spans="1:41" ht="15" customHeight="1">
      <c r="A77" s="254">
        <v>77</v>
      </c>
      <c r="B77" s="253">
        <v>102</v>
      </c>
      <c r="C77" s="240" t="s">
        <v>51</v>
      </c>
      <c r="D77" s="288" t="s">
        <v>50</v>
      </c>
      <c r="E77" s="289" t="s">
        <v>249</v>
      </c>
      <c r="F77" s="239" t="s">
        <v>212</v>
      </c>
      <c r="G77" s="290" t="s">
        <v>253</v>
      </c>
      <c r="H77" s="291" t="s">
        <v>155</v>
      </c>
      <c r="I77" s="239" t="s">
        <v>206</v>
      </c>
      <c r="J77" s="424">
        <f t="shared" si="2"/>
        <v>365</v>
      </c>
      <c r="K77" s="425">
        <v>127</v>
      </c>
      <c r="L77" s="425">
        <v>126</v>
      </c>
      <c r="M77" s="425">
        <v>52</v>
      </c>
      <c r="N77" s="425">
        <v>52</v>
      </c>
      <c r="O77" s="425">
        <v>4</v>
      </c>
      <c r="P77" s="425">
        <v>4</v>
      </c>
      <c r="Q77" s="294">
        <v>32.5</v>
      </c>
      <c r="R77" s="295" t="e">
        <f>IF(K77="nio",0,(K77*Q77)/X77)*VLOOKUP(C77,'2-Uren per locatie'!$B$15:$D$74,3,FALSE)</f>
        <v>#DIV/0!</v>
      </c>
      <c r="S77" s="295" t="e">
        <f>IF(K77="nio",0,(L77*Q77)/Y77)*VLOOKUP(C77,'2-Uren per locatie'!$B$15:$D$74,3,FALSE)</f>
        <v>#DIV/0!</v>
      </c>
      <c r="T77" s="295" t="e">
        <f>IF(K77="nio",0,(M77*Q77)/Z77)*VLOOKUP(C77,'2-Uren per locatie'!$B$15:$D$74,3,FALSE)</f>
        <v>#DIV/0!</v>
      </c>
      <c r="U77" s="295" t="e">
        <f>IF(K77="nio",0,(N77*Q77)/AA77)*VLOOKUP(C77,'2-Uren per locatie'!$B$15:$D$74,3,FALSE)</f>
        <v>#DIV/0!</v>
      </c>
      <c r="V77" s="295" t="e">
        <f>IF(K77="nio",0,(O77*Q77)/Z77)*VLOOKUP(C77,'2-Uren per locatie'!$B$15:$D$74,3,FALSE)</f>
        <v>#DIV/0!</v>
      </c>
      <c r="W77" s="295" t="e">
        <f>IF(K77="nio",0,(P77*Q77)/AA77)*VLOOKUP(C77,'2-Uren per locatie'!$B$15:$D$74,3,FALSE)</f>
        <v>#DIV/0!</v>
      </c>
      <c r="X77" s="485">
        <f>IF(K77="nio",0,IF(K77&gt;0,VLOOKUP(H77,'3-Productie normen'!A:F,VLOOKUP(K77,'3-Productie normen'!$B$29:$C$34,2,FALSE),FALSE)))</f>
        <v>0</v>
      </c>
      <c r="Y77" s="485">
        <f>VLOOKUP(H77,'3-Productie normen'!$A$10:$J$24,8,FALSE)*'3-Ruimtestaat'!X77</f>
        <v>0</v>
      </c>
      <c r="Z77" s="485">
        <f>VLOOKUP(H77,'3-Productie normen'!$A$10:$J$24,9,FALSE)*'3-Ruimtestaat'!X77</f>
        <v>0</v>
      </c>
      <c r="AA77" s="485">
        <f>VLOOKUP(H77,'3-Productie normen'!$A$10:$J$24,10,FALSE)*'3-Ruimtestaat'!X77</f>
        <v>0</v>
      </c>
      <c r="AB77" s="292" t="str">
        <f>IF(H77="",0,VLOOKUP(H77,'3-Productie normen'!$A$10:$N$23,14,FALSE))</f>
        <v>V</v>
      </c>
      <c r="AD77" s="296">
        <f t="shared" si="3"/>
        <v>11862.5</v>
      </c>
      <c r="AE77" s="78"/>
      <c r="AF77" s="297"/>
      <c r="AG77" s="297"/>
      <c r="AH77" s="297"/>
      <c r="AI77" s="297"/>
      <c r="AJ77" s="297"/>
      <c r="AK77" s="298"/>
      <c r="AL77" s="298"/>
      <c r="AM77" s="298"/>
      <c r="AN77" s="298"/>
      <c r="AO77" s="299" t="s">
        <v>306</v>
      </c>
    </row>
    <row r="78" spans="1:41" ht="15" customHeight="1">
      <c r="A78" s="254">
        <v>78</v>
      </c>
      <c r="B78" s="253">
        <v>102</v>
      </c>
      <c r="C78" s="240" t="s">
        <v>51</v>
      </c>
      <c r="D78" s="288" t="s">
        <v>50</v>
      </c>
      <c r="E78" s="289" t="s">
        <v>249</v>
      </c>
      <c r="F78" s="239" t="s">
        <v>249</v>
      </c>
      <c r="G78" s="290" t="s">
        <v>254</v>
      </c>
      <c r="H78" s="291" t="s">
        <v>151</v>
      </c>
      <c r="I78" s="239" t="s">
        <v>203</v>
      </c>
      <c r="J78" s="424">
        <f t="shared" si="2"/>
        <v>365</v>
      </c>
      <c r="K78" s="425">
        <v>127</v>
      </c>
      <c r="L78" s="425">
        <v>126</v>
      </c>
      <c r="M78" s="425">
        <v>52</v>
      </c>
      <c r="N78" s="425">
        <v>52</v>
      </c>
      <c r="O78" s="425">
        <v>4</v>
      </c>
      <c r="P78" s="425">
        <v>4</v>
      </c>
      <c r="Q78" s="294">
        <v>1782.3</v>
      </c>
      <c r="R78" s="295" t="e">
        <f>IF(K78="nio",0,(K78*Q78)/X78)*VLOOKUP(C78,'2-Uren per locatie'!$B$15:$D$74,3,FALSE)</f>
        <v>#DIV/0!</v>
      </c>
      <c r="S78" s="295" t="e">
        <f>IF(K78="nio",0,(L78*Q78)/Y78)*VLOOKUP(C78,'2-Uren per locatie'!$B$15:$D$74,3,FALSE)</f>
        <v>#DIV/0!</v>
      </c>
      <c r="T78" s="295" t="e">
        <f>IF(K78="nio",0,(M78*Q78)/Z78)*VLOOKUP(C78,'2-Uren per locatie'!$B$15:$D$74,3,FALSE)</f>
        <v>#DIV/0!</v>
      </c>
      <c r="U78" s="295" t="e">
        <f>IF(K78="nio",0,(N78*Q78)/AA78)*VLOOKUP(C78,'2-Uren per locatie'!$B$15:$D$74,3,FALSE)</f>
        <v>#DIV/0!</v>
      </c>
      <c r="V78" s="295" t="e">
        <f>IF(K78="nio",0,(O78*Q78)/Z78)*VLOOKUP(C78,'2-Uren per locatie'!$B$15:$D$74,3,FALSE)</f>
        <v>#DIV/0!</v>
      </c>
      <c r="W78" s="295" t="e">
        <f>IF(K78="nio",0,(P78*Q78)/AA78)*VLOOKUP(C78,'2-Uren per locatie'!$B$15:$D$74,3,FALSE)</f>
        <v>#DIV/0!</v>
      </c>
      <c r="X78" s="485">
        <f>IF(K78="nio",0,IF(K78&gt;0,VLOOKUP(H78,'3-Productie normen'!A:F,VLOOKUP(K78,'3-Productie normen'!$B$29:$C$34,2,FALSE),FALSE)))</f>
        <v>0</v>
      </c>
      <c r="Y78" s="485">
        <f>VLOOKUP(H78,'3-Productie normen'!$A$10:$J$24,8,FALSE)*'3-Ruimtestaat'!X78</f>
        <v>0</v>
      </c>
      <c r="Z78" s="485">
        <f>VLOOKUP(H78,'3-Productie normen'!$A$10:$J$24,9,FALSE)*'3-Ruimtestaat'!X78</f>
        <v>0</v>
      </c>
      <c r="AA78" s="485">
        <f>VLOOKUP(H78,'3-Productie normen'!$A$10:$J$24,10,FALSE)*'3-Ruimtestaat'!X78</f>
        <v>0</v>
      </c>
      <c r="AB78" s="292" t="str">
        <f>IF(H78="",0,VLOOKUP(H78,'3-Productie normen'!$A$10:$N$23,14,FALSE))</f>
        <v>V</v>
      </c>
      <c r="AD78" s="296">
        <f t="shared" si="3"/>
        <v>650539.5</v>
      </c>
      <c r="AE78" s="78"/>
      <c r="AF78" s="297"/>
      <c r="AG78" s="297">
        <v>313</v>
      </c>
      <c r="AH78" s="297"/>
      <c r="AI78" s="297"/>
      <c r="AJ78" s="297"/>
      <c r="AK78" s="298"/>
      <c r="AL78" s="298"/>
      <c r="AM78" s="298"/>
      <c r="AN78" s="298">
        <v>1935</v>
      </c>
      <c r="AO78" s="299" t="s">
        <v>289</v>
      </c>
    </row>
    <row r="79" spans="1:41" ht="15" customHeight="1">
      <c r="A79" s="254">
        <v>79</v>
      </c>
      <c r="B79" s="253">
        <v>102</v>
      </c>
      <c r="C79" s="240" t="s">
        <v>51</v>
      </c>
      <c r="D79" s="288" t="s">
        <v>50</v>
      </c>
      <c r="E79" s="289" t="s">
        <v>249</v>
      </c>
      <c r="F79" s="239" t="s">
        <v>212</v>
      </c>
      <c r="G79" s="290" t="s">
        <v>255</v>
      </c>
      <c r="H79" s="291" t="s">
        <v>155</v>
      </c>
      <c r="I79" s="239" t="s">
        <v>206</v>
      </c>
      <c r="J79" s="424">
        <f t="shared" si="2"/>
        <v>365</v>
      </c>
      <c r="K79" s="425">
        <v>127</v>
      </c>
      <c r="L79" s="425">
        <v>126</v>
      </c>
      <c r="M79" s="425">
        <v>52</v>
      </c>
      <c r="N79" s="425">
        <v>52</v>
      </c>
      <c r="O79" s="425">
        <v>4</v>
      </c>
      <c r="P79" s="425">
        <v>4</v>
      </c>
      <c r="Q79" s="294">
        <v>33</v>
      </c>
      <c r="R79" s="295" t="e">
        <f>IF(K79="nio",0,(K79*Q79)/X79)*VLOOKUP(C79,'2-Uren per locatie'!$B$15:$D$74,3,FALSE)</f>
        <v>#DIV/0!</v>
      </c>
      <c r="S79" s="295" t="e">
        <f>IF(K79="nio",0,(L79*Q79)/Y79)*VLOOKUP(C79,'2-Uren per locatie'!$B$15:$D$74,3,FALSE)</f>
        <v>#DIV/0!</v>
      </c>
      <c r="T79" s="295" t="e">
        <f>IF(K79="nio",0,(M79*Q79)/Z79)*VLOOKUP(C79,'2-Uren per locatie'!$B$15:$D$74,3,FALSE)</f>
        <v>#DIV/0!</v>
      </c>
      <c r="U79" s="295" t="e">
        <f>IF(K79="nio",0,(N79*Q79)/AA79)*VLOOKUP(C79,'2-Uren per locatie'!$B$15:$D$74,3,FALSE)</f>
        <v>#DIV/0!</v>
      </c>
      <c r="V79" s="295" t="e">
        <f>IF(K79="nio",0,(O79*Q79)/Z79)*VLOOKUP(C79,'2-Uren per locatie'!$B$15:$D$74,3,FALSE)</f>
        <v>#DIV/0!</v>
      </c>
      <c r="W79" s="295" t="e">
        <f>IF(K79="nio",0,(P79*Q79)/AA79)*VLOOKUP(C79,'2-Uren per locatie'!$B$15:$D$74,3,FALSE)</f>
        <v>#DIV/0!</v>
      </c>
      <c r="X79" s="485">
        <f>IF(K79="nio",0,IF(K79&gt;0,VLOOKUP(H79,'3-Productie normen'!A:F,VLOOKUP(K79,'3-Productie normen'!$B$29:$C$34,2,FALSE),FALSE)))</f>
        <v>0</v>
      </c>
      <c r="Y79" s="485">
        <f>VLOOKUP(H79,'3-Productie normen'!$A$10:$J$24,8,FALSE)*'3-Ruimtestaat'!X79</f>
        <v>0</v>
      </c>
      <c r="Z79" s="485">
        <f>VLOOKUP(H79,'3-Productie normen'!$A$10:$J$24,9,FALSE)*'3-Ruimtestaat'!X79</f>
        <v>0</v>
      </c>
      <c r="AA79" s="485">
        <f>VLOOKUP(H79,'3-Productie normen'!$A$10:$J$24,10,FALSE)*'3-Ruimtestaat'!X79</f>
        <v>0</v>
      </c>
      <c r="AB79" s="292" t="str">
        <f>IF(H79="",0,VLOOKUP(H79,'3-Productie normen'!$A$10:$N$23,14,FALSE))</f>
        <v>V</v>
      </c>
      <c r="AD79" s="296">
        <f t="shared" si="3"/>
        <v>12045</v>
      </c>
      <c r="AE79" s="78"/>
      <c r="AF79" s="297"/>
      <c r="AG79" s="297"/>
      <c r="AH79" s="297"/>
      <c r="AI79" s="297"/>
      <c r="AJ79" s="297"/>
      <c r="AK79" s="298"/>
      <c r="AL79" s="298"/>
      <c r="AM79" s="298"/>
      <c r="AN79" s="298"/>
      <c r="AO79" s="299" t="s">
        <v>307</v>
      </c>
    </row>
    <row r="80" spans="1:41" ht="15" customHeight="1">
      <c r="A80" s="254">
        <v>80</v>
      </c>
      <c r="B80" s="253">
        <v>102</v>
      </c>
      <c r="C80" s="240" t="s">
        <v>51</v>
      </c>
      <c r="D80" s="288" t="s">
        <v>50</v>
      </c>
      <c r="E80" s="289" t="s">
        <v>249</v>
      </c>
      <c r="F80" s="239" t="s">
        <v>214</v>
      </c>
      <c r="G80" s="290" t="s">
        <v>256</v>
      </c>
      <c r="H80" s="291" t="s">
        <v>152</v>
      </c>
      <c r="I80" s="239" t="s">
        <v>209</v>
      </c>
      <c r="J80" s="424">
        <f t="shared" si="2"/>
        <v>365</v>
      </c>
      <c r="K80" s="425">
        <v>127</v>
      </c>
      <c r="L80" s="425">
        <v>126</v>
      </c>
      <c r="M80" s="425">
        <v>52</v>
      </c>
      <c r="N80" s="425">
        <v>52</v>
      </c>
      <c r="O80" s="425">
        <v>4</v>
      </c>
      <c r="P80" s="425">
        <v>4</v>
      </c>
      <c r="Q80" s="294">
        <v>0</v>
      </c>
      <c r="R80" s="295" t="e">
        <f>IF(K80="nio",0,(K80*Q80)/X80)*VLOOKUP(C80,'2-Uren per locatie'!$B$15:$D$74,3,FALSE)</f>
        <v>#DIV/0!</v>
      </c>
      <c r="S80" s="295" t="e">
        <f>IF(K80="nio",0,(L80*Q80)/Y80)*VLOOKUP(C80,'2-Uren per locatie'!$B$15:$D$74,3,FALSE)</f>
        <v>#DIV/0!</v>
      </c>
      <c r="T80" s="295" t="e">
        <f>IF(K80="nio",0,(M80*Q80)/Z80)*VLOOKUP(C80,'2-Uren per locatie'!$B$15:$D$74,3,FALSE)</f>
        <v>#DIV/0!</v>
      </c>
      <c r="U80" s="295" t="e">
        <f>IF(K80="nio",0,(N80*Q80)/AA80)*VLOOKUP(C80,'2-Uren per locatie'!$B$15:$D$74,3,FALSE)</f>
        <v>#DIV/0!</v>
      </c>
      <c r="V80" s="295" t="e">
        <f>IF(K80="nio",0,(O80*Q80)/Z80)*VLOOKUP(C80,'2-Uren per locatie'!$B$15:$D$74,3,FALSE)</f>
        <v>#DIV/0!</v>
      </c>
      <c r="W80" s="295" t="e">
        <f>IF(K80="nio",0,(P80*Q80)/AA80)*VLOOKUP(C80,'2-Uren per locatie'!$B$15:$D$74,3,FALSE)</f>
        <v>#DIV/0!</v>
      </c>
      <c r="X80" s="485">
        <f>IF(K80="nio",0,IF(K80&gt;0,VLOOKUP(H80,'3-Productie normen'!A:F,VLOOKUP(K80,'3-Productie normen'!$B$29:$C$34,2,FALSE),FALSE)))</f>
        <v>0</v>
      </c>
      <c r="Y80" s="485">
        <f>VLOOKUP(H80,'3-Productie normen'!$A$10:$J$24,8,FALSE)*'3-Ruimtestaat'!X80</f>
        <v>0</v>
      </c>
      <c r="Z80" s="485">
        <f>VLOOKUP(H80,'3-Productie normen'!$A$10:$J$24,9,FALSE)*'3-Ruimtestaat'!X80</f>
        <v>0</v>
      </c>
      <c r="AA80" s="485">
        <f>VLOOKUP(H80,'3-Productie normen'!$A$10:$J$24,10,FALSE)*'3-Ruimtestaat'!X80</f>
        <v>0</v>
      </c>
      <c r="AB80" s="292" t="str">
        <f>IF(H80="",0,VLOOKUP(H80,'3-Productie normen'!$A$10:$N$23,14,FALSE))</f>
        <v>V</v>
      </c>
      <c r="AD80" s="296">
        <f t="shared" si="3"/>
        <v>0</v>
      </c>
      <c r="AE80" s="78"/>
      <c r="AF80" s="297"/>
      <c r="AG80" s="297"/>
      <c r="AH80" s="297"/>
      <c r="AI80" s="297"/>
      <c r="AJ80" s="297"/>
      <c r="AK80" s="298"/>
      <c r="AL80" s="298"/>
      <c r="AM80" s="298"/>
      <c r="AN80" s="298"/>
      <c r="AO80" s="299"/>
    </row>
    <row r="81" spans="1:41" ht="15" customHeight="1">
      <c r="A81" s="254">
        <v>81</v>
      </c>
      <c r="B81" s="253">
        <v>102</v>
      </c>
      <c r="C81" s="240" t="s">
        <v>51</v>
      </c>
      <c r="D81" s="288" t="s">
        <v>50</v>
      </c>
      <c r="E81" s="289" t="s">
        <v>249</v>
      </c>
      <c r="F81" s="239" t="s">
        <v>295</v>
      </c>
      <c r="G81" s="290" t="s">
        <v>296</v>
      </c>
      <c r="H81" s="291" t="s">
        <v>149</v>
      </c>
      <c r="I81" s="239"/>
      <c r="J81" s="424">
        <f t="shared" si="2"/>
        <v>365</v>
      </c>
      <c r="K81" s="425">
        <v>127</v>
      </c>
      <c r="L81" s="425">
        <v>126</v>
      </c>
      <c r="M81" s="425">
        <v>52</v>
      </c>
      <c r="N81" s="425">
        <v>52</v>
      </c>
      <c r="O81" s="425">
        <v>4</v>
      </c>
      <c r="P81" s="425">
        <v>4</v>
      </c>
      <c r="Q81" s="294">
        <v>0</v>
      </c>
      <c r="R81" s="295" t="e">
        <f>IF(K81="nio",0,(K81*Q81)/X81)*VLOOKUP(C81,'2-Uren per locatie'!$B$15:$D$74,3,FALSE)</f>
        <v>#DIV/0!</v>
      </c>
      <c r="S81" s="295" t="e">
        <f>IF(K81="nio",0,(L81*Q81)/Y81)*VLOOKUP(C81,'2-Uren per locatie'!$B$15:$D$74,3,FALSE)</f>
        <v>#DIV/0!</v>
      </c>
      <c r="T81" s="295" t="e">
        <f>IF(K81="nio",0,(M81*Q81)/Z81)*VLOOKUP(C81,'2-Uren per locatie'!$B$15:$D$74,3,FALSE)</f>
        <v>#DIV/0!</v>
      </c>
      <c r="U81" s="295" t="e">
        <f>IF(K81="nio",0,(N81*Q81)/AA81)*VLOOKUP(C81,'2-Uren per locatie'!$B$15:$D$74,3,FALSE)</f>
        <v>#DIV/0!</v>
      </c>
      <c r="V81" s="295" t="e">
        <f>IF(K81="nio",0,(O81*Q81)/Z81)*VLOOKUP(C81,'2-Uren per locatie'!$B$15:$D$74,3,FALSE)</f>
        <v>#DIV/0!</v>
      </c>
      <c r="W81" s="295" t="e">
        <f>IF(K81="nio",0,(P81*Q81)/AA81)*VLOOKUP(C81,'2-Uren per locatie'!$B$15:$D$74,3,FALSE)</f>
        <v>#DIV/0!</v>
      </c>
      <c r="X81" s="485">
        <f>IF(K81="nio",0,IF(K81&gt;0,VLOOKUP(H81,'3-Productie normen'!A:F,VLOOKUP(K81,'3-Productie normen'!$B$29:$C$34,2,FALSE),FALSE)))</f>
        <v>0</v>
      </c>
      <c r="Y81" s="485">
        <f>VLOOKUP(H81,'3-Productie normen'!$A$10:$J$24,8,FALSE)*'3-Ruimtestaat'!X81</f>
        <v>0</v>
      </c>
      <c r="Z81" s="485">
        <f>VLOOKUP(H81,'3-Productie normen'!$A$10:$J$24,9,FALSE)*'3-Ruimtestaat'!X81</f>
        <v>0</v>
      </c>
      <c r="AA81" s="485">
        <f>VLOOKUP(H81,'3-Productie normen'!$A$10:$J$24,10,FALSE)*'3-Ruimtestaat'!X81</f>
        <v>0</v>
      </c>
      <c r="AB81" s="292" t="str">
        <f>IF(H81="",0,VLOOKUP(H81,'3-Productie normen'!$A$10:$N$23,14,FALSE))</f>
        <v>V</v>
      </c>
      <c r="AD81" s="296">
        <f t="shared" si="3"/>
        <v>0</v>
      </c>
      <c r="AE81" s="78"/>
      <c r="AF81" s="297"/>
      <c r="AG81" s="297"/>
      <c r="AH81" s="297"/>
      <c r="AI81" s="297"/>
      <c r="AJ81" s="297"/>
      <c r="AK81" s="298"/>
      <c r="AL81" s="298"/>
      <c r="AM81" s="298"/>
      <c r="AN81" s="298"/>
      <c r="AO81" s="299" t="s">
        <v>294</v>
      </c>
    </row>
    <row r="82" spans="1:41" ht="15" customHeight="1">
      <c r="A82" s="254">
        <v>82</v>
      </c>
      <c r="B82" s="253">
        <v>102</v>
      </c>
      <c r="C82" s="240" t="s">
        <v>51</v>
      </c>
      <c r="D82" s="288" t="s">
        <v>50</v>
      </c>
      <c r="E82" s="289" t="s">
        <v>249</v>
      </c>
      <c r="F82" s="239" t="s">
        <v>297</v>
      </c>
      <c r="G82" s="290" t="s">
        <v>298</v>
      </c>
      <c r="H82" s="291" t="s">
        <v>149</v>
      </c>
      <c r="I82" s="239"/>
      <c r="J82" s="424">
        <f t="shared" si="2"/>
        <v>365</v>
      </c>
      <c r="K82" s="425">
        <v>127</v>
      </c>
      <c r="L82" s="425">
        <v>126</v>
      </c>
      <c r="M82" s="425">
        <v>52</v>
      </c>
      <c r="N82" s="425">
        <v>52</v>
      </c>
      <c r="O82" s="425">
        <v>4</v>
      </c>
      <c r="P82" s="425">
        <v>4</v>
      </c>
      <c r="Q82" s="294">
        <v>0</v>
      </c>
      <c r="R82" s="295" t="e">
        <f>IF(K82="nio",0,(K82*Q82)/X82)*VLOOKUP(C82,'2-Uren per locatie'!$B$15:$D$74,3,FALSE)</f>
        <v>#DIV/0!</v>
      </c>
      <c r="S82" s="295" t="e">
        <f>IF(K82="nio",0,(L82*Q82)/Y82)*VLOOKUP(C82,'2-Uren per locatie'!$B$15:$D$74,3,FALSE)</f>
        <v>#DIV/0!</v>
      </c>
      <c r="T82" s="295" t="e">
        <f>IF(K82="nio",0,(M82*Q82)/Z82)*VLOOKUP(C82,'2-Uren per locatie'!$B$15:$D$74,3,FALSE)</f>
        <v>#DIV/0!</v>
      </c>
      <c r="U82" s="295" t="e">
        <f>IF(K82="nio",0,(N82*Q82)/AA82)*VLOOKUP(C82,'2-Uren per locatie'!$B$15:$D$74,3,FALSE)</f>
        <v>#DIV/0!</v>
      </c>
      <c r="V82" s="295" t="e">
        <f>IF(K82="nio",0,(O82*Q82)/Z82)*VLOOKUP(C82,'2-Uren per locatie'!$B$15:$D$74,3,FALSE)</f>
        <v>#DIV/0!</v>
      </c>
      <c r="W82" s="295" t="e">
        <f>IF(K82="nio",0,(P82*Q82)/AA82)*VLOOKUP(C82,'2-Uren per locatie'!$B$15:$D$74,3,FALSE)</f>
        <v>#DIV/0!</v>
      </c>
      <c r="X82" s="485">
        <f>IF(K82="nio",0,IF(K82&gt;0,VLOOKUP(H82,'3-Productie normen'!A:F,VLOOKUP(K82,'3-Productie normen'!$B$29:$C$34,2,FALSE),FALSE)))</f>
        <v>0</v>
      </c>
      <c r="Y82" s="485">
        <f>VLOOKUP(H82,'3-Productie normen'!$A$10:$J$24,8,FALSE)*'3-Ruimtestaat'!X82</f>
        <v>0</v>
      </c>
      <c r="Z82" s="485">
        <f>VLOOKUP(H82,'3-Productie normen'!$A$10:$J$24,9,FALSE)*'3-Ruimtestaat'!X82</f>
        <v>0</v>
      </c>
      <c r="AA82" s="485">
        <f>VLOOKUP(H82,'3-Productie normen'!$A$10:$J$24,10,FALSE)*'3-Ruimtestaat'!X82</f>
        <v>0</v>
      </c>
      <c r="AB82" s="292" t="str">
        <f>IF(H82="",0,VLOOKUP(H82,'3-Productie normen'!$A$10:$N$23,14,FALSE))</f>
        <v>V</v>
      </c>
      <c r="AD82" s="296">
        <f t="shared" si="3"/>
        <v>0</v>
      </c>
      <c r="AE82" s="78"/>
      <c r="AF82" s="297"/>
      <c r="AG82" s="297"/>
      <c r="AH82" s="297"/>
      <c r="AI82" s="297"/>
      <c r="AJ82" s="297"/>
      <c r="AK82" s="298"/>
      <c r="AL82" s="298"/>
      <c r="AM82" s="298"/>
      <c r="AN82" s="298"/>
      <c r="AO82" s="299" t="s">
        <v>294</v>
      </c>
    </row>
    <row r="83" spans="1:41" ht="15" customHeight="1">
      <c r="A83" s="254">
        <v>83</v>
      </c>
      <c r="B83" s="253">
        <v>102</v>
      </c>
      <c r="C83" s="240" t="s">
        <v>51</v>
      </c>
      <c r="D83" s="288" t="s">
        <v>50</v>
      </c>
      <c r="E83" s="289" t="s">
        <v>308</v>
      </c>
      <c r="F83" s="239" t="s">
        <v>309</v>
      </c>
      <c r="G83" s="290" t="s">
        <v>310</v>
      </c>
      <c r="H83" s="291" t="s">
        <v>146</v>
      </c>
      <c r="I83" s="239" t="s">
        <v>299</v>
      </c>
      <c r="J83" s="424">
        <f t="shared" si="2"/>
        <v>365</v>
      </c>
      <c r="K83" s="425">
        <v>127</v>
      </c>
      <c r="L83" s="425">
        <v>126</v>
      </c>
      <c r="M83" s="425">
        <v>52</v>
      </c>
      <c r="N83" s="425">
        <v>52</v>
      </c>
      <c r="O83" s="425">
        <v>4</v>
      </c>
      <c r="P83" s="425">
        <v>4</v>
      </c>
      <c r="Q83" s="294">
        <v>8</v>
      </c>
      <c r="R83" s="295" t="e">
        <f>IF(K83="nio",0,(K83*Q83)/X83)*VLOOKUP(C83,'2-Uren per locatie'!$B$15:$D$74,3,FALSE)</f>
        <v>#DIV/0!</v>
      </c>
      <c r="S83" s="295" t="e">
        <f>IF(K83="nio",0,(L83*Q83)/Y83)*VLOOKUP(C83,'2-Uren per locatie'!$B$15:$D$74,3,FALSE)</f>
        <v>#DIV/0!</v>
      </c>
      <c r="T83" s="295" t="e">
        <f>IF(K83="nio",0,(M83*Q83)/Z83)*VLOOKUP(C83,'2-Uren per locatie'!$B$15:$D$74,3,FALSE)</f>
        <v>#DIV/0!</v>
      </c>
      <c r="U83" s="295" t="e">
        <f>IF(K83="nio",0,(N83*Q83)/AA83)*VLOOKUP(C83,'2-Uren per locatie'!$B$15:$D$74,3,FALSE)</f>
        <v>#DIV/0!</v>
      </c>
      <c r="V83" s="295" t="e">
        <f>IF(K83="nio",0,(O83*Q83)/Z83)*VLOOKUP(C83,'2-Uren per locatie'!$B$15:$D$74,3,FALSE)</f>
        <v>#DIV/0!</v>
      </c>
      <c r="W83" s="295" t="e">
        <f>IF(K83="nio",0,(P83*Q83)/AA83)*VLOOKUP(C83,'2-Uren per locatie'!$B$15:$D$74,3,FALSE)</f>
        <v>#DIV/0!</v>
      </c>
      <c r="X83" s="485">
        <f>IF(K83="nio",0,IF(K83&gt;0,VLOOKUP(H83,'3-Productie normen'!A:F,VLOOKUP(K83,'3-Productie normen'!$B$29:$C$34,2,FALSE),FALSE)))</f>
        <v>0</v>
      </c>
      <c r="Y83" s="485">
        <f>VLOOKUP(H83,'3-Productie normen'!$A$10:$J$24,8,FALSE)*'3-Ruimtestaat'!X83</f>
        <v>0</v>
      </c>
      <c r="Z83" s="485">
        <f>VLOOKUP(H83,'3-Productie normen'!$A$10:$J$24,9,FALSE)*'3-Ruimtestaat'!X83</f>
        <v>0</v>
      </c>
      <c r="AA83" s="485">
        <f>VLOOKUP(H83,'3-Productie normen'!$A$10:$J$24,10,FALSE)*'3-Ruimtestaat'!X83</f>
        <v>0</v>
      </c>
      <c r="AB83" s="292" t="str">
        <f>IF(H83="",0,VLOOKUP(H83,'3-Productie normen'!$A$10:$N$23,14,FALSE))</f>
        <v>B</v>
      </c>
      <c r="AD83" s="296">
        <f t="shared" si="3"/>
        <v>2920</v>
      </c>
      <c r="AE83" s="78"/>
      <c r="AF83" s="297"/>
      <c r="AG83" s="297"/>
      <c r="AH83" s="297"/>
      <c r="AI83" s="297"/>
      <c r="AJ83" s="297"/>
      <c r="AK83" s="298"/>
      <c r="AL83" s="298"/>
      <c r="AM83" s="298"/>
      <c r="AN83" s="298"/>
      <c r="AO83" s="299" t="s">
        <v>311</v>
      </c>
    </row>
    <row r="84" spans="1:41" ht="15" customHeight="1">
      <c r="A84" s="254">
        <v>84</v>
      </c>
      <c r="B84" s="253">
        <v>102</v>
      </c>
      <c r="C84" s="240" t="s">
        <v>51</v>
      </c>
      <c r="D84" s="288" t="s">
        <v>50</v>
      </c>
      <c r="E84" s="289" t="s">
        <v>308</v>
      </c>
      <c r="F84" s="239" t="s">
        <v>312</v>
      </c>
      <c r="G84" s="290" t="s">
        <v>313</v>
      </c>
      <c r="H84" s="291" t="s">
        <v>146</v>
      </c>
      <c r="I84" s="239" t="s">
        <v>299</v>
      </c>
      <c r="J84" s="424">
        <f t="shared" si="2"/>
        <v>365</v>
      </c>
      <c r="K84" s="425">
        <v>127</v>
      </c>
      <c r="L84" s="425">
        <v>126</v>
      </c>
      <c r="M84" s="425">
        <v>52</v>
      </c>
      <c r="N84" s="425">
        <v>52</v>
      </c>
      <c r="O84" s="425">
        <v>4</v>
      </c>
      <c r="P84" s="425">
        <v>4</v>
      </c>
      <c r="Q84" s="294">
        <v>19</v>
      </c>
      <c r="R84" s="295" t="e">
        <f>IF(K84="nio",0,(K84*Q84)/X84)*VLOOKUP(C84,'2-Uren per locatie'!$B$15:$D$74,3,FALSE)</f>
        <v>#DIV/0!</v>
      </c>
      <c r="S84" s="295" t="e">
        <f>IF(K84="nio",0,(L84*Q84)/Y84)*VLOOKUP(C84,'2-Uren per locatie'!$B$15:$D$74,3,FALSE)</f>
        <v>#DIV/0!</v>
      </c>
      <c r="T84" s="295" t="e">
        <f>IF(K84="nio",0,(M84*Q84)/Z84)*VLOOKUP(C84,'2-Uren per locatie'!$B$15:$D$74,3,FALSE)</f>
        <v>#DIV/0!</v>
      </c>
      <c r="U84" s="295" t="e">
        <f>IF(K84="nio",0,(N84*Q84)/AA84)*VLOOKUP(C84,'2-Uren per locatie'!$B$15:$D$74,3,FALSE)</f>
        <v>#DIV/0!</v>
      </c>
      <c r="V84" s="295" t="e">
        <f>IF(K84="nio",0,(O84*Q84)/Z84)*VLOOKUP(C84,'2-Uren per locatie'!$B$15:$D$74,3,FALSE)</f>
        <v>#DIV/0!</v>
      </c>
      <c r="W84" s="295" t="e">
        <f>IF(K84="nio",0,(P84*Q84)/AA84)*VLOOKUP(C84,'2-Uren per locatie'!$B$15:$D$74,3,FALSE)</f>
        <v>#DIV/0!</v>
      </c>
      <c r="X84" s="485">
        <f>IF(K84="nio",0,IF(K84&gt;0,VLOOKUP(H84,'3-Productie normen'!A:F,VLOOKUP(K84,'3-Productie normen'!$B$29:$C$34,2,FALSE),FALSE)))</f>
        <v>0</v>
      </c>
      <c r="Y84" s="485">
        <f>VLOOKUP(H84,'3-Productie normen'!$A$10:$J$24,8,FALSE)*'3-Ruimtestaat'!X84</f>
        <v>0</v>
      </c>
      <c r="Z84" s="485">
        <f>VLOOKUP(H84,'3-Productie normen'!$A$10:$J$24,9,FALSE)*'3-Ruimtestaat'!X84</f>
        <v>0</v>
      </c>
      <c r="AA84" s="485">
        <f>VLOOKUP(H84,'3-Productie normen'!$A$10:$J$24,10,FALSE)*'3-Ruimtestaat'!X84</f>
        <v>0</v>
      </c>
      <c r="AB84" s="292" t="str">
        <f>IF(H84="",0,VLOOKUP(H84,'3-Productie normen'!$A$10:$N$23,14,FALSE))</f>
        <v>B</v>
      </c>
      <c r="AD84" s="296">
        <f t="shared" si="3"/>
        <v>6935</v>
      </c>
      <c r="AE84" s="78"/>
      <c r="AF84" s="297"/>
      <c r="AG84" s="297"/>
      <c r="AH84" s="297">
        <v>36</v>
      </c>
      <c r="AI84" s="297"/>
      <c r="AJ84" s="297"/>
      <c r="AK84" s="298"/>
      <c r="AL84" s="298">
        <v>19</v>
      </c>
      <c r="AM84" s="298"/>
      <c r="AN84" s="298"/>
      <c r="AO84" s="299"/>
    </row>
    <row r="85" spans="1:41" ht="15" customHeight="1">
      <c r="A85" s="254">
        <v>85</v>
      </c>
      <c r="B85" s="253">
        <v>103</v>
      </c>
      <c r="C85" s="240" t="s">
        <v>52</v>
      </c>
      <c r="D85" s="288" t="s">
        <v>50</v>
      </c>
      <c r="E85" s="289" t="s">
        <v>242</v>
      </c>
      <c r="F85" s="239" t="s">
        <v>314</v>
      </c>
      <c r="G85" s="290" t="s">
        <v>315</v>
      </c>
      <c r="H85" s="291" t="s">
        <v>152</v>
      </c>
      <c r="I85" s="239" t="s">
        <v>285</v>
      </c>
      <c r="J85" s="424">
        <f t="shared" si="2"/>
        <v>365</v>
      </c>
      <c r="K85" s="425">
        <v>127</v>
      </c>
      <c r="L85" s="425">
        <v>126</v>
      </c>
      <c r="M85" s="425">
        <v>52</v>
      </c>
      <c r="N85" s="425">
        <v>52</v>
      </c>
      <c r="O85" s="425">
        <v>4</v>
      </c>
      <c r="P85" s="425">
        <v>4</v>
      </c>
      <c r="Q85" s="294"/>
      <c r="R85" s="295" t="e">
        <f>IF(K85="nio",0,(K85*Q85)/X85)*VLOOKUP(C85,'2-Uren per locatie'!$B$15:$D$74,3,FALSE)</f>
        <v>#DIV/0!</v>
      </c>
      <c r="S85" s="295" t="e">
        <f>IF(K85="nio",0,(L85*Q85)/Y85)*VLOOKUP(C85,'2-Uren per locatie'!$B$15:$D$74,3,FALSE)</f>
        <v>#DIV/0!</v>
      </c>
      <c r="T85" s="295" t="e">
        <f>IF(K85="nio",0,(M85*Q85)/Z85)*VLOOKUP(C85,'2-Uren per locatie'!$B$15:$D$74,3,FALSE)</f>
        <v>#DIV/0!</v>
      </c>
      <c r="U85" s="295" t="e">
        <f>IF(K85="nio",0,(N85*Q85)/AA85)*VLOOKUP(C85,'2-Uren per locatie'!$B$15:$D$74,3,FALSE)</f>
        <v>#DIV/0!</v>
      </c>
      <c r="V85" s="295" t="e">
        <f>IF(K85="nio",0,(O85*Q85)/Z85)*VLOOKUP(C85,'2-Uren per locatie'!$B$15:$D$74,3,FALSE)</f>
        <v>#DIV/0!</v>
      </c>
      <c r="W85" s="295" t="e">
        <f>IF(K85="nio",0,(P85*Q85)/AA85)*VLOOKUP(C85,'2-Uren per locatie'!$B$15:$D$74,3,FALSE)</f>
        <v>#DIV/0!</v>
      </c>
      <c r="X85" s="485">
        <f>IF(K85="nio",0,IF(K85&gt;0,VLOOKUP(H85,'3-Productie normen'!A:F,VLOOKUP(K85,'3-Productie normen'!$B$29:$C$34,2,FALSE),FALSE)))</f>
        <v>0</v>
      </c>
      <c r="Y85" s="485">
        <f>VLOOKUP(H85,'3-Productie normen'!$A$10:$J$24,8,FALSE)*'3-Ruimtestaat'!X85</f>
        <v>0</v>
      </c>
      <c r="Z85" s="485">
        <f>VLOOKUP(H85,'3-Productie normen'!$A$10:$J$24,9,FALSE)*'3-Ruimtestaat'!X85</f>
        <v>0</v>
      </c>
      <c r="AA85" s="485">
        <f>VLOOKUP(H85,'3-Productie normen'!$A$10:$J$24,10,FALSE)*'3-Ruimtestaat'!X85</f>
        <v>0</v>
      </c>
      <c r="AB85" s="292" t="str">
        <f>IF(H85="",0,VLOOKUP(H85,'3-Productie normen'!$A$10:$N$23,14,FALSE))</f>
        <v>V</v>
      </c>
      <c r="AD85" s="296">
        <f t="shared" si="3"/>
        <v>0</v>
      </c>
      <c r="AE85" s="78"/>
      <c r="AF85" s="297">
        <f>(8.5*4)+(6.5*3)+27.5+27.5+8+(8.5*4)+(6.5*7)+(4*2.1)+(8*3.35)+(5*3.35)+(2.1*8)</f>
        <v>264.75</v>
      </c>
      <c r="AG85" s="297"/>
      <c r="AH85" s="297"/>
      <c r="AI85" s="297">
        <f>4*0.3</f>
        <v>1.2</v>
      </c>
      <c r="AJ85" s="297"/>
      <c r="AK85" s="298"/>
      <c r="AL85" s="298"/>
      <c r="AM85" s="298">
        <v>101</v>
      </c>
      <c r="AN85" s="298"/>
      <c r="AO85" s="299"/>
    </row>
    <row r="86" spans="1:41" ht="15" customHeight="1">
      <c r="A86" s="254">
        <v>86</v>
      </c>
      <c r="B86" s="253">
        <v>103</v>
      </c>
      <c r="C86" s="240" t="s">
        <v>52</v>
      </c>
      <c r="D86" s="288" t="s">
        <v>50</v>
      </c>
      <c r="E86" s="289" t="s">
        <v>242</v>
      </c>
      <c r="F86" s="239" t="s">
        <v>316</v>
      </c>
      <c r="G86" s="290" t="s">
        <v>317</v>
      </c>
      <c r="H86" s="291" t="s">
        <v>155</v>
      </c>
      <c r="I86" s="239"/>
      <c r="J86" s="424">
        <f t="shared" si="2"/>
        <v>365</v>
      </c>
      <c r="K86" s="425">
        <v>127</v>
      </c>
      <c r="L86" s="425">
        <v>126</v>
      </c>
      <c r="M86" s="425">
        <v>52</v>
      </c>
      <c r="N86" s="425">
        <v>52</v>
      </c>
      <c r="O86" s="425">
        <v>4</v>
      </c>
      <c r="P86" s="425">
        <v>4</v>
      </c>
      <c r="Q86" s="294">
        <v>0</v>
      </c>
      <c r="R86" s="295" t="e">
        <f>IF(K86="nio",0,(K86*Q86)/X86)*VLOOKUP(C86,'2-Uren per locatie'!$B$15:$D$74,3,FALSE)</f>
        <v>#DIV/0!</v>
      </c>
      <c r="S86" s="295" t="e">
        <f>IF(K86="nio",0,(L86*Q86)/Y86)*VLOOKUP(C86,'2-Uren per locatie'!$B$15:$D$74,3,FALSE)</f>
        <v>#DIV/0!</v>
      </c>
      <c r="T86" s="295" t="e">
        <f>IF(K86="nio",0,(M86*Q86)/Z86)*VLOOKUP(C86,'2-Uren per locatie'!$B$15:$D$74,3,FALSE)</f>
        <v>#DIV/0!</v>
      </c>
      <c r="U86" s="295" t="e">
        <f>IF(K86="nio",0,(N86*Q86)/AA86)*VLOOKUP(C86,'2-Uren per locatie'!$B$15:$D$74,3,FALSE)</f>
        <v>#DIV/0!</v>
      </c>
      <c r="V86" s="295" t="e">
        <f>IF(K86="nio",0,(O86*Q86)/Z86)*VLOOKUP(C86,'2-Uren per locatie'!$B$15:$D$74,3,FALSE)</f>
        <v>#DIV/0!</v>
      </c>
      <c r="W86" s="295" t="e">
        <f>IF(K86="nio",0,(P86*Q86)/AA86)*VLOOKUP(C86,'2-Uren per locatie'!$B$15:$D$74,3,FALSE)</f>
        <v>#DIV/0!</v>
      </c>
      <c r="X86" s="485">
        <f>IF(K86="nio",0,IF(K86&gt;0,VLOOKUP(H86,'3-Productie normen'!A:F,VLOOKUP(K86,'3-Productie normen'!$B$29:$C$34,2,FALSE),FALSE)))</f>
        <v>0</v>
      </c>
      <c r="Y86" s="485">
        <f>VLOOKUP(H86,'3-Productie normen'!$A$10:$J$24,8,FALSE)*'3-Ruimtestaat'!X86</f>
        <v>0</v>
      </c>
      <c r="Z86" s="485">
        <f>VLOOKUP(H86,'3-Productie normen'!$A$10:$J$24,9,FALSE)*'3-Ruimtestaat'!X86</f>
        <v>0</v>
      </c>
      <c r="AA86" s="485">
        <f>VLOOKUP(H86,'3-Productie normen'!$A$10:$J$24,10,FALSE)*'3-Ruimtestaat'!X86</f>
        <v>0</v>
      </c>
      <c r="AB86" s="292" t="str">
        <f>IF(H86="",0,VLOOKUP(H86,'3-Productie normen'!$A$10:$N$23,14,FALSE))</f>
        <v>V</v>
      </c>
      <c r="AD86" s="296">
        <f t="shared" si="3"/>
        <v>0</v>
      </c>
      <c r="AE86" s="78"/>
      <c r="AF86" s="297"/>
      <c r="AG86" s="297"/>
      <c r="AH86" s="297"/>
      <c r="AI86" s="297"/>
      <c r="AJ86" s="297"/>
      <c r="AK86" s="298"/>
      <c r="AL86" s="298"/>
      <c r="AM86" s="298"/>
      <c r="AN86" s="298"/>
      <c r="AO86" s="299"/>
    </row>
    <row r="87" spans="1:41" ht="15" customHeight="1">
      <c r="A87" s="254">
        <v>87</v>
      </c>
      <c r="B87" s="253">
        <v>103</v>
      </c>
      <c r="C87" s="240" t="s">
        <v>52</v>
      </c>
      <c r="D87" s="288" t="s">
        <v>50</v>
      </c>
      <c r="E87" s="289" t="s">
        <v>242</v>
      </c>
      <c r="F87" s="239" t="s">
        <v>318</v>
      </c>
      <c r="G87" s="290" t="s">
        <v>319</v>
      </c>
      <c r="H87" s="291" t="s">
        <v>149</v>
      </c>
      <c r="I87" s="239" t="s">
        <v>245</v>
      </c>
      <c r="J87" s="424">
        <f t="shared" si="2"/>
        <v>365</v>
      </c>
      <c r="K87" s="425">
        <v>127</v>
      </c>
      <c r="L87" s="425">
        <v>126</v>
      </c>
      <c r="M87" s="425">
        <v>52</v>
      </c>
      <c r="N87" s="425">
        <v>52</v>
      </c>
      <c r="O87" s="425">
        <v>4</v>
      </c>
      <c r="P87" s="425">
        <v>4</v>
      </c>
      <c r="Q87" s="294">
        <v>0</v>
      </c>
      <c r="R87" s="295" t="e">
        <f>IF(K87="nio",0,(K87*Q87)/X87)*VLOOKUP(C87,'2-Uren per locatie'!$B$15:$D$74,3,FALSE)</f>
        <v>#DIV/0!</v>
      </c>
      <c r="S87" s="295" t="e">
        <f>IF(K87="nio",0,(L87*Q87)/Y87)*VLOOKUP(C87,'2-Uren per locatie'!$B$15:$D$74,3,FALSE)</f>
        <v>#DIV/0!</v>
      </c>
      <c r="T87" s="295" t="e">
        <f>IF(K87="nio",0,(M87*Q87)/Z87)*VLOOKUP(C87,'2-Uren per locatie'!$B$15:$D$74,3,FALSE)</f>
        <v>#DIV/0!</v>
      </c>
      <c r="U87" s="295" t="e">
        <f>IF(K87="nio",0,(N87*Q87)/AA87)*VLOOKUP(C87,'2-Uren per locatie'!$B$15:$D$74,3,FALSE)</f>
        <v>#DIV/0!</v>
      </c>
      <c r="V87" s="295" t="e">
        <f>IF(K87="nio",0,(O87*Q87)/Z87)*VLOOKUP(C87,'2-Uren per locatie'!$B$15:$D$74,3,FALSE)</f>
        <v>#DIV/0!</v>
      </c>
      <c r="W87" s="295" t="e">
        <f>IF(K87="nio",0,(P87*Q87)/AA87)*VLOOKUP(C87,'2-Uren per locatie'!$B$15:$D$74,3,FALSE)</f>
        <v>#DIV/0!</v>
      </c>
      <c r="X87" s="485">
        <f>IF(K87="nio",0,IF(K87&gt;0,VLOOKUP(H87,'3-Productie normen'!A:F,VLOOKUP(K87,'3-Productie normen'!$B$29:$C$34,2,FALSE),FALSE)))</f>
        <v>0</v>
      </c>
      <c r="Y87" s="485">
        <f>VLOOKUP(H87,'3-Productie normen'!$A$10:$J$24,8,FALSE)*'3-Ruimtestaat'!X87</f>
        <v>0</v>
      </c>
      <c r="Z87" s="485">
        <f>VLOOKUP(H87,'3-Productie normen'!$A$10:$J$24,9,FALSE)*'3-Ruimtestaat'!X87</f>
        <v>0</v>
      </c>
      <c r="AA87" s="485">
        <f>VLOOKUP(H87,'3-Productie normen'!$A$10:$J$24,10,FALSE)*'3-Ruimtestaat'!X87</f>
        <v>0</v>
      </c>
      <c r="AB87" s="292" t="str">
        <f>IF(H87="",0,VLOOKUP(H87,'3-Productie normen'!$A$10:$N$23,14,FALSE))</f>
        <v>V</v>
      </c>
      <c r="AD87" s="296">
        <f t="shared" si="3"/>
        <v>0</v>
      </c>
      <c r="AE87" s="78"/>
      <c r="AF87" s="297"/>
      <c r="AG87" s="297"/>
      <c r="AH87" s="297"/>
      <c r="AI87" s="297"/>
      <c r="AJ87" s="297"/>
      <c r="AK87" s="298"/>
      <c r="AL87" s="298"/>
      <c r="AM87" s="298"/>
      <c r="AN87" s="298"/>
      <c r="AO87" s="299"/>
    </row>
    <row r="88" spans="1:41" ht="15" customHeight="1">
      <c r="A88" s="254">
        <v>88</v>
      </c>
      <c r="B88" s="253">
        <v>103</v>
      </c>
      <c r="C88" s="240" t="s">
        <v>52</v>
      </c>
      <c r="D88" s="288" t="s">
        <v>50</v>
      </c>
      <c r="E88" s="289" t="s">
        <v>320</v>
      </c>
      <c r="F88" s="239" t="s">
        <v>314</v>
      </c>
      <c r="G88" s="290" t="s">
        <v>279</v>
      </c>
      <c r="H88" s="291" t="s">
        <v>152</v>
      </c>
      <c r="I88" s="239" t="s">
        <v>216</v>
      </c>
      <c r="J88" s="424">
        <f t="shared" si="2"/>
        <v>365</v>
      </c>
      <c r="K88" s="425">
        <v>127</v>
      </c>
      <c r="L88" s="425">
        <v>126</v>
      </c>
      <c r="M88" s="425">
        <v>52</v>
      </c>
      <c r="N88" s="425">
        <v>52</v>
      </c>
      <c r="O88" s="425">
        <v>4</v>
      </c>
      <c r="P88" s="425">
        <v>4</v>
      </c>
      <c r="Q88" s="294">
        <v>27</v>
      </c>
      <c r="R88" s="295" t="e">
        <f>IF(K88="nio",0,(K88*Q88)/X88)*VLOOKUP(C88,'2-Uren per locatie'!$B$15:$D$74,3,FALSE)</f>
        <v>#DIV/0!</v>
      </c>
      <c r="S88" s="295" t="e">
        <f>IF(K88="nio",0,(L88*Q88)/Y88)*VLOOKUP(C88,'2-Uren per locatie'!$B$15:$D$74,3,FALSE)</f>
        <v>#DIV/0!</v>
      </c>
      <c r="T88" s="295" t="e">
        <f>IF(K88="nio",0,(M88*Q88)/Z88)*VLOOKUP(C88,'2-Uren per locatie'!$B$15:$D$74,3,FALSE)</f>
        <v>#DIV/0!</v>
      </c>
      <c r="U88" s="295" t="e">
        <f>IF(K88="nio",0,(N88*Q88)/AA88)*VLOOKUP(C88,'2-Uren per locatie'!$B$15:$D$74,3,FALSE)</f>
        <v>#DIV/0!</v>
      </c>
      <c r="V88" s="295" t="e">
        <f>IF(K88="nio",0,(O88*Q88)/Z88)*VLOOKUP(C88,'2-Uren per locatie'!$B$15:$D$74,3,FALSE)</f>
        <v>#DIV/0!</v>
      </c>
      <c r="W88" s="295" t="e">
        <f>IF(K88="nio",0,(P88*Q88)/AA88)*VLOOKUP(C88,'2-Uren per locatie'!$B$15:$D$74,3,FALSE)</f>
        <v>#DIV/0!</v>
      </c>
      <c r="X88" s="485">
        <f>IF(K88="nio",0,IF(K88&gt;0,VLOOKUP(H88,'3-Productie normen'!A:F,VLOOKUP(K88,'3-Productie normen'!$B$29:$C$34,2,FALSE),FALSE)))</f>
        <v>0</v>
      </c>
      <c r="Y88" s="485">
        <f>VLOOKUP(H88,'3-Productie normen'!$A$10:$J$24,8,FALSE)*'3-Ruimtestaat'!X88</f>
        <v>0</v>
      </c>
      <c r="Z88" s="485">
        <f>VLOOKUP(H88,'3-Productie normen'!$A$10:$J$24,9,FALSE)*'3-Ruimtestaat'!X88</f>
        <v>0</v>
      </c>
      <c r="AA88" s="485">
        <f>VLOOKUP(H88,'3-Productie normen'!$A$10:$J$24,10,FALSE)*'3-Ruimtestaat'!X88</f>
        <v>0</v>
      </c>
      <c r="AB88" s="292" t="str">
        <f>IF(H88="",0,VLOOKUP(H88,'3-Productie normen'!$A$10:$N$23,14,FALSE))</f>
        <v>V</v>
      </c>
      <c r="AD88" s="296">
        <f t="shared" si="3"/>
        <v>9855</v>
      </c>
      <c r="AE88" s="78"/>
      <c r="AF88" s="297"/>
      <c r="AG88" s="297"/>
      <c r="AH88" s="297"/>
      <c r="AI88" s="297"/>
      <c r="AJ88" s="297"/>
      <c r="AK88" s="298"/>
      <c r="AL88" s="298"/>
      <c r="AM88" s="298"/>
      <c r="AN88" s="298"/>
      <c r="AO88" s="299" t="s">
        <v>321</v>
      </c>
    </row>
    <row r="89" spans="1:41" ht="15" customHeight="1">
      <c r="A89" s="254">
        <v>89</v>
      </c>
      <c r="B89" s="253">
        <v>103</v>
      </c>
      <c r="C89" s="240" t="s">
        <v>52</v>
      </c>
      <c r="D89" s="288" t="s">
        <v>50</v>
      </c>
      <c r="E89" s="289" t="s">
        <v>320</v>
      </c>
      <c r="F89" s="239" t="s">
        <v>316</v>
      </c>
      <c r="G89" s="290" t="s">
        <v>281</v>
      </c>
      <c r="H89" s="291" t="s">
        <v>155</v>
      </c>
      <c r="I89" s="239" t="s">
        <v>285</v>
      </c>
      <c r="J89" s="424">
        <f t="shared" si="2"/>
        <v>365</v>
      </c>
      <c r="K89" s="425">
        <v>127</v>
      </c>
      <c r="L89" s="425">
        <v>126</v>
      </c>
      <c r="M89" s="425">
        <v>52</v>
      </c>
      <c r="N89" s="425">
        <v>52</v>
      </c>
      <c r="O89" s="425">
        <v>4</v>
      </c>
      <c r="P89" s="425">
        <v>4</v>
      </c>
      <c r="Q89" s="294">
        <v>0</v>
      </c>
      <c r="R89" s="295" t="e">
        <f>IF(K89="nio",0,(K89*Q89)/X89)*VLOOKUP(C89,'2-Uren per locatie'!$B$15:$D$74,3,FALSE)</f>
        <v>#DIV/0!</v>
      </c>
      <c r="S89" s="295" t="e">
        <f>IF(K89="nio",0,(L89*Q89)/Y89)*VLOOKUP(C89,'2-Uren per locatie'!$B$15:$D$74,3,FALSE)</f>
        <v>#DIV/0!</v>
      </c>
      <c r="T89" s="295" t="e">
        <f>IF(K89="nio",0,(M89*Q89)/Z89)*VLOOKUP(C89,'2-Uren per locatie'!$B$15:$D$74,3,FALSE)</f>
        <v>#DIV/0!</v>
      </c>
      <c r="U89" s="295" t="e">
        <f>IF(K89="nio",0,(N89*Q89)/AA89)*VLOOKUP(C89,'2-Uren per locatie'!$B$15:$D$74,3,FALSE)</f>
        <v>#DIV/0!</v>
      </c>
      <c r="V89" s="295" t="e">
        <f>IF(K89="nio",0,(O89*Q89)/Z89)*VLOOKUP(C89,'2-Uren per locatie'!$B$15:$D$74,3,FALSE)</f>
        <v>#DIV/0!</v>
      </c>
      <c r="W89" s="295" t="e">
        <f>IF(K89="nio",0,(P89*Q89)/AA89)*VLOOKUP(C89,'2-Uren per locatie'!$B$15:$D$74,3,FALSE)</f>
        <v>#DIV/0!</v>
      </c>
      <c r="X89" s="485">
        <f>IF(K89="nio",0,IF(K89&gt;0,VLOOKUP(H89,'3-Productie normen'!A:F,VLOOKUP(K89,'3-Productie normen'!$B$29:$C$34,2,FALSE),FALSE)))</f>
        <v>0</v>
      </c>
      <c r="Y89" s="485">
        <f>VLOOKUP(H89,'3-Productie normen'!$A$10:$J$24,8,FALSE)*'3-Ruimtestaat'!X89</f>
        <v>0</v>
      </c>
      <c r="Z89" s="485">
        <f>VLOOKUP(H89,'3-Productie normen'!$A$10:$J$24,9,FALSE)*'3-Ruimtestaat'!X89</f>
        <v>0</v>
      </c>
      <c r="AA89" s="485">
        <f>VLOOKUP(H89,'3-Productie normen'!$A$10:$J$24,10,FALSE)*'3-Ruimtestaat'!X89</f>
        <v>0</v>
      </c>
      <c r="AB89" s="292" t="str">
        <f>IF(H89="",0,VLOOKUP(H89,'3-Productie normen'!$A$10:$N$23,14,FALSE))</f>
        <v>V</v>
      </c>
      <c r="AD89" s="296">
        <f t="shared" si="3"/>
        <v>0</v>
      </c>
      <c r="AE89" s="78"/>
      <c r="AF89" s="297"/>
      <c r="AG89" s="297"/>
      <c r="AH89" s="297"/>
      <c r="AI89" s="297"/>
      <c r="AJ89" s="297"/>
      <c r="AK89" s="298"/>
      <c r="AL89" s="298"/>
      <c r="AM89" s="298"/>
      <c r="AN89" s="298"/>
      <c r="AO89" s="299" t="s">
        <v>322</v>
      </c>
    </row>
    <row r="90" spans="1:41" ht="18" customHeight="1">
      <c r="A90" s="254">
        <v>90</v>
      </c>
      <c r="B90" s="253">
        <v>103</v>
      </c>
      <c r="C90" s="240" t="s">
        <v>52</v>
      </c>
      <c r="D90" s="288" t="s">
        <v>50</v>
      </c>
      <c r="E90" s="289" t="s">
        <v>320</v>
      </c>
      <c r="F90" s="239" t="s">
        <v>210</v>
      </c>
      <c r="G90" s="290" t="s">
        <v>283</v>
      </c>
      <c r="H90" s="291" t="s">
        <v>145</v>
      </c>
      <c r="I90" s="239" t="s">
        <v>203</v>
      </c>
      <c r="J90" s="424">
        <f t="shared" si="2"/>
        <v>365</v>
      </c>
      <c r="K90" s="425">
        <v>127</v>
      </c>
      <c r="L90" s="425">
        <v>126</v>
      </c>
      <c r="M90" s="425">
        <v>52</v>
      </c>
      <c r="N90" s="425">
        <v>52</v>
      </c>
      <c r="O90" s="425">
        <v>4</v>
      </c>
      <c r="P90" s="425">
        <v>4</v>
      </c>
      <c r="Q90" s="294">
        <v>754</v>
      </c>
      <c r="R90" s="295" t="e">
        <f>IF(K90="nio",0,(K90*Q90)/X90)*VLOOKUP(C90,'2-Uren per locatie'!$B$15:$D$74,3,FALSE)</f>
        <v>#DIV/0!</v>
      </c>
      <c r="S90" s="295" t="e">
        <f>IF(K90="nio",0,(L90*Q90)/Y90)*VLOOKUP(C90,'2-Uren per locatie'!$B$15:$D$74,3,FALSE)</f>
        <v>#DIV/0!</v>
      </c>
      <c r="T90" s="295" t="e">
        <f>IF(K90="nio",0,(M90*Q90)/Z90)*VLOOKUP(C90,'2-Uren per locatie'!$B$15:$D$74,3,FALSE)</f>
        <v>#DIV/0!</v>
      </c>
      <c r="U90" s="295" t="e">
        <f>IF(K90="nio",0,(N90*Q90)/AA90)*VLOOKUP(C90,'2-Uren per locatie'!$B$15:$D$74,3,FALSE)</f>
        <v>#DIV/0!</v>
      </c>
      <c r="V90" s="295" t="e">
        <f>IF(K90="nio",0,(O90*Q90)/Z90)*VLOOKUP(C90,'2-Uren per locatie'!$B$15:$D$74,3,FALSE)</f>
        <v>#DIV/0!</v>
      </c>
      <c r="W90" s="295" t="e">
        <f>IF(K90="nio",0,(P90*Q90)/AA90)*VLOOKUP(C90,'2-Uren per locatie'!$B$15:$D$74,3,FALSE)</f>
        <v>#DIV/0!</v>
      </c>
      <c r="X90" s="485">
        <f>IF(K90="nio",0,IF(K90&gt;0,VLOOKUP(H90,'3-Productie normen'!A:F,VLOOKUP(K90,'3-Productie normen'!$B$29:$C$34,2,FALSE),FALSE)))</f>
        <v>0</v>
      </c>
      <c r="Y90" s="485">
        <f>VLOOKUP(H90,'3-Productie normen'!$A$10:$J$24,8,FALSE)*'3-Ruimtestaat'!X90</f>
        <v>0</v>
      </c>
      <c r="Z90" s="485">
        <f>VLOOKUP(H90,'3-Productie normen'!$A$10:$J$24,9,FALSE)*'3-Ruimtestaat'!X90</f>
        <v>0</v>
      </c>
      <c r="AA90" s="485">
        <f>VLOOKUP(H90,'3-Productie normen'!$A$10:$J$24,10,FALSE)*'3-Ruimtestaat'!X90</f>
        <v>0</v>
      </c>
      <c r="AB90" s="292" t="str">
        <f>IF(H90="",0,VLOOKUP(H90,'3-Productie normen'!$A$10:$N$23,14,FALSE))</f>
        <v>V</v>
      </c>
      <c r="AD90" s="296">
        <f t="shared" si="3"/>
        <v>275210</v>
      </c>
      <c r="AE90" s="78"/>
      <c r="AF90" s="297">
        <f>((2.8+1.6+2.7+5.7+1.9+4.8+3.7+1+2.5+4+11.3+6.5+1.9+18.5+1.1+6.8+3.3+3.3+7.3+1+7.3+1.8+1.9+4.8+1.5+28+0.6+3.1+1.9+5.5+4.5+6)*3)-AJ90</f>
        <v>368.79999999999995</v>
      </c>
      <c r="AG90" s="297"/>
      <c r="AH90" s="297"/>
      <c r="AI90" s="297">
        <f>10+(1.25*3.1)</f>
        <v>13.875</v>
      </c>
      <c r="AJ90" s="297">
        <f>60+8+15+24</f>
        <v>107</v>
      </c>
      <c r="AK90" s="298"/>
      <c r="AL90" s="298"/>
      <c r="AM90" s="298">
        <v>580</v>
      </c>
      <c r="AN90" s="298"/>
      <c r="AO90" s="299" t="s">
        <v>289</v>
      </c>
    </row>
    <row r="91" spans="1:41" ht="15" customHeight="1">
      <c r="A91" s="254">
        <v>91</v>
      </c>
      <c r="B91" s="253">
        <v>103</v>
      </c>
      <c r="C91" s="240" t="s">
        <v>52</v>
      </c>
      <c r="D91" s="288" t="s">
        <v>50</v>
      </c>
      <c r="E91" s="289" t="s">
        <v>320</v>
      </c>
      <c r="F91" s="239" t="s">
        <v>323</v>
      </c>
      <c r="G91" s="290" t="s">
        <v>208</v>
      </c>
      <c r="H91" s="291" t="s">
        <v>152</v>
      </c>
      <c r="I91" s="239" t="s">
        <v>285</v>
      </c>
      <c r="J91" s="424">
        <f t="shared" si="2"/>
        <v>365</v>
      </c>
      <c r="K91" s="425">
        <v>127</v>
      </c>
      <c r="L91" s="425">
        <v>126</v>
      </c>
      <c r="M91" s="425">
        <v>52</v>
      </c>
      <c r="N91" s="425">
        <v>52</v>
      </c>
      <c r="O91" s="425">
        <v>4</v>
      </c>
      <c r="P91" s="425">
        <v>4</v>
      </c>
      <c r="Q91" s="294">
        <v>25</v>
      </c>
      <c r="R91" s="295" t="e">
        <f>IF(K91="nio",0,(K91*Q91)/X91)*VLOOKUP(C91,'2-Uren per locatie'!$B$15:$D$74,3,FALSE)</f>
        <v>#DIV/0!</v>
      </c>
      <c r="S91" s="295" t="e">
        <f>IF(K91="nio",0,(L91*Q91)/Y91)*VLOOKUP(C91,'2-Uren per locatie'!$B$15:$D$74,3,FALSE)</f>
        <v>#DIV/0!</v>
      </c>
      <c r="T91" s="295" t="e">
        <f>IF(K91="nio",0,(M91*Q91)/Z91)*VLOOKUP(C91,'2-Uren per locatie'!$B$15:$D$74,3,FALSE)</f>
        <v>#DIV/0!</v>
      </c>
      <c r="U91" s="295" t="e">
        <f>IF(K91="nio",0,(N91*Q91)/AA91)*VLOOKUP(C91,'2-Uren per locatie'!$B$15:$D$74,3,FALSE)</f>
        <v>#DIV/0!</v>
      </c>
      <c r="V91" s="295" t="e">
        <f>IF(K91="nio",0,(O91*Q91)/Z91)*VLOOKUP(C91,'2-Uren per locatie'!$B$15:$D$74,3,FALSE)</f>
        <v>#DIV/0!</v>
      </c>
      <c r="W91" s="295" t="e">
        <f>IF(K91="nio",0,(P91*Q91)/AA91)*VLOOKUP(C91,'2-Uren per locatie'!$B$15:$D$74,3,FALSE)</f>
        <v>#DIV/0!</v>
      </c>
      <c r="X91" s="485">
        <f>IF(K91="nio",0,IF(K91&gt;0,VLOOKUP(H91,'3-Productie normen'!A:F,VLOOKUP(K91,'3-Productie normen'!$B$29:$C$34,2,FALSE),FALSE)))</f>
        <v>0</v>
      </c>
      <c r="Y91" s="485">
        <f>VLOOKUP(H91,'3-Productie normen'!$A$10:$J$24,8,FALSE)*'3-Ruimtestaat'!X91</f>
        <v>0</v>
      </c>
      <c r="Z91" s="485">
        <f>VLOOKUP(H91,'3-Productie normen'!$A$10:$J$24,9,FALSE)*'3-Ruimtestaat'!X91</f>
        <v>0</v>
      </c>
      <c r="AA91" s="485">
        <f>VLOOKUP(H91,'3-Productie normen'!$A$10:$J$24,10,FALSE)*'3-Ruimtestaat'!X91</f>
        <v>0</v>
      </c>
      <c r="AB91" s="292" t="str">
        <f>IF(H91="",0,VLOOKUP(H91,'3-Productie normen'!$A$10:$N$23,14,FALSE))</f>
        <v>V</v>
      </c>
      <c r="AD91" s="296">
        <f t="shared" si="3"/>
        <v>9125</v>
      </c>
      <c r="AE91" s="78"/>
      <c r="AF91" s="297"/>
      <c r="AG91" s="297"/>
      <c r="AH91" s="297"/>
      <c r="AI91" s="297"/>
      <c r="AJ91" s="297"/>
      <c r="AK91" s="298"/>
      <c r="AL91" s="298"/>
      <c r="AM91" s="298"/>
      <c r="AN91" s="298"/>
      <c r="AO91" s="299"/>
    </row>
    <row r="92" spans="1:41" ht="15" customHeight="1">
      <c r="A92" s="254">
        <v>92</v>
      </c>
      <c r="B92" s="253">
        <v>103</v>
      </c>
      <c r="C92" s="240" t="s">
        <v>52</v>
      </c>
      <c r="D92" s="288" t="s">
        <v>50</v>
      </c>
      <c r="E92" s="289" t="s">
        <v>320</v>
      </c>
      <c r="F92" s="239" t="s">
        <v>324</v>
      </c>
      <c r="G92" s="290" t="s">
        <v>211</v>
      </c>
      <c r="H92" s="291" t="s">
        <v>155</v>
      </c>
      <c r="I92" s="239" t="s">
        <v>325</v>
      </c>
      <c r="J92" s="424">
        <f t="shared" si="2"/>
        <v>365</v>
      </c>
      <c r="K92" s="425">
        <v>127</v>
      </c>
      <c r="L92" s="425">
        <v>126</v>
      </c>
      <c r="M92" s="425">
        <v>52</v>
      </c>
      <c r="N92" s="425">
        <v>52</v>
      </c>
      <c r="O92" s="425">
        <v>4</v>
      </c>
      <c r="P92" s="425">
        <v>4</v>
      </c>
      <c r="Q92" s="294">
        <v>39.975000000000001</v>
      </c>
      <c r="R92" s="295" t="e">
        <f>IF(K92="nio",0,(K92*Q92)/X92)*VLOOKUP(C92,'2-Uren per locatie'!$B$15:$D$74,3,FALSE)</f>
        <v>#DIV/0!</v>
      </c>
      <c r="S92" s="295" t="e">
        <f>IF(K92="nio",0,(L92*Q92)/Y92)*VLOOKUP(C92,'2-Uren per locatie'!$B$15:$D$74,3,FALSE)</f>
        <v>#DIV/0!</v>
      </c>
      <c r="T92" s="295" t="e">
        <f>IF(K92="nio",0,(M92*Q92)/Z92)*VLOOKUP(C92,'2-Uren per locatie'!$B$15:$D$74,3,FALSE)</f>
        <v>#DIV/0!</v>
      </c>
      <c r="U92" s="295" t="e">
        <f>IF(K92="nio",0,(N92*Q92)/AA92)*VLOOKUP(C92,'2-Uren per locatie'!$B$15:$D$74,3,FALSE)</f>
        <v>#DIV/0!</v>
      </c>
      <c r="V92" s="295" t="e">
        <f>IF(K92="nio",0,(O92*Q92)/Z92)*VLOOKUP(C92,'2-Uren per locatie'!$B$15:$D$74,3,FALSE)</f>
        <v>#DIV/0!</v>
      </c>
      <c r="W92" s="295" t="e">
        <f>IF(K92="nio",0,(P92*Q92)/AA92)*VLOOKUP(C92,'2-Uren per locatie'!$B$15:$D$74,3,FALSE)</f>
        <v>#DIV/0!</v>
      </c>
      <c r="X92" s="485">
        <f>IF(K92="nio",0,IF(K92&gt;0,VLOOKUP(H92,'3-Productie normen'!A:F,VLOOKUP(K92,'3-Productie normen'!$B$29:$C$34,2,FALSE),FALSE)))</f>
        <v>0</v>
      </c>
      <c r="Y92" s="485">
        <f>VLOOKUP(H92,'3-Productie normen'!$A$10:$J$24,8,FALSE)*'3-Ruimtestaat'!X92</f>
        <v>0</v>
      </c>
      <c r="Z92" s="485">
        <f>VLOOKUP(H92,'3-Productie normen'!$A$10:$J$24,9,FALSE)*'3-Ruimtestaat'!X92</f>
        <v>0</v>
      </c>
      <c r="AA92" s="485">
        <f>VLOOKUP(H92,'3-Productie normen'!$A$10:$J$24,10,FALSE)*'3-Ruimtestaat'!X92</f>
        <v>0</v>
      </c>
      <c r="AB92" s="292" t="str">
        <f>IF(H92="",0,VLOOKUP(H92,'3-Productie normen'!$A$10:$N$23,14,FALSE))</f>
        <v>V</v>
      </c>
      <c r="AD92" s="296">
        <f t="shared" si="3"/>
        <v>14590.875</v>
      </c>
      <c r="AE92" s="78"/>
      <c r="AF92" s="297">
        <v>5</v>
      </c>
      <c r="AG92" s="297"/>
      <c r="AH92" s="297"/>
      <c r="AI92" s="297"/>
      <c r="AJ92" s="297">
        <v>37</v>
      </c>
      <c r="AK92" s="298"/>
      <c r="AL92" s="298"/>
      <c r="AM92" s="298">
        <v>25</v>
      </c>
      <c r="AN92" s="298"/>
      <c r="AO92" s="299"/>
    </row>
    <row r="93" spans="1:41" ht="15" customHeight="1">
      <c r="A93" s="254">
        <v>93</v>
      </c>
      <c r="B93" s="253">
        <v>103</v>
      </c>
      <c r="C93" s="240" t="s">
        <v>52</v>
      </c>
      <c r="D93" s="288" t="s">
        <v>50</v>
      </c>
      <c r="E93" s="289" t="s">
        <v>320</v>
      </c>
      <c r="F93" s="239" t="s">
        <v>214</v>
      </c>
      <c r="G93" s="290" t="s">
        <v>213</v>
      </c>
      <c r="H93" s="291" t="s">
        <v>152</v>
      </c>
      <c r="I93" s="239" t="s">
        <v>285</v>
      </c>
      <c r="J93" s="424">
        <f t="shared" si="2"/>
        <v>365</v>
      </c>
      <c r="K93" s="425">
        <v>127</v>
      </c>
      <c r="L93" s="425">
        <v>126</v>
      </c>
      <c r="M93" s="425">
        <v>52</v>
      </c>
      <c r="N93" s="425">
        <v>52</v>
      </c>
      <c r="O93" s="425">
        <v>4</v>
      </c>
      <c r="P93" s="425">
        <v>4</v>
      </c>
      <c r="Q93" s="294">
        <v>22</v>
      </c>
      <c r="R93" s="295" t="e">
        <f>IF(K93="nio",0,(K93*Q93)/X93)*VLOOKUP(C93,'2-Uren per locatie'!$B$15:$D$74,3,FALSE)</f>
        <v>#DIV/0!</v>
      </c>
      <c r="S93" s="295" t="e">
        <f>IF(K93="nio",0,(L93*Q93)/Y93)*VLOOKUP(C93,'2-Uren per locatie'!$B$15:$D$74,3,FALSE)</f>
        <v>#DIV/0!</v>
      </c>
      <c r="T93" s="295" t="e">
        <f>IF(K93="nio",0,(M93*Q93)/Z93)*VLOOKUP(C93,'2-Uren per locatie'!$B$15:$D$74,3,FALSE)</f>
        <v>#DIV/0!</v>
      </c>
      <c r="U93" s="295" t="e">
        <f>IF(K93="nio",0,(N93*Q93)/AA93)*VLOOKUP(C93,'2-Uren per locatie'!$B$15:$D$74,3,FALSE)</f>
        <v>#DIV/0!</v>
      </c>
      <c r="V93" s="295" t="e">
        <f>IF(K93="nio",0,(O93*Q93)/Z93)*VLOOKUP(C93,'2-Uren per locatie'!$B$15:$D$74,3,FALSE)</f>
        <v>#DIV/0!</v>
      </c>
      <c r="W93" s="295" t="e">
        <f>IF(K93="nio",0,(P93*Q93)/AA93)*VLOOKUP(C93,'2-Uren per locatie'!$B$15:$D$74,3,FALSE)</f>
        <v>#DIV/0!</v>
      </c>
      <c r="X93" s="485">
        <f>IF(K93="nio",0,IF(K93&gt;0,VLOOKUP(H93,'3-Productie normen'!A:F,VLOOKUP(K93,'3-Productie normen'!$B$29:$C$34,2,FALSE),FALSE)))</f>
        <v>0</v>
      </c>
      <c r="Y93" s="485">
        <f>VLOOKUP(H93,'3-Productie normen'!$A$10:$J$24,8,FALSE)*'3-Ruimtestaat'!X93</f>
        <v>0</v>
      </c>
      <c r="Z93" s="485">
        <f>VLOOKUP(H93,'3-Productie normen'!$A$10:$J$24,9,FALSE)*'3-Ruimtestaat'!X93</f>
        <v>0</v>
      </c>
      <c r="AA93" s="485">
        <f>VLOOKUP(H93,'3-Productie normen'!$A$10:$J$24,10,FALSE)*'3-Ruimtestaat'!X93</f>
        <v>0</v>
      </c>
      <c r="AB93" s="292" t="str">
        <f>IF(H93="",0,VLOOKUP(H93,'3-Productie normen'!$A$10:$N$23,14,FALSE))</f>
        <v>V</v>
      </c>
      <c r="AD93" s="296">
        <f t="shared" si="3"/>
        <v>8030</v>
      </c>
      <c r="AE93" s="78"/>
      <c r="AF93" s="297"/>
      <c r="AG93" s="297"/>
      <c r="AH93" s="297"/>
      <c r="AI93" s="297"/>
      <c r="AJ93" s="297"/>
      <c r="AK93" s="298"/>
      <c r="AL93" s="298"/>
      <c r="AM93" s="298"/>
      <c r="AN93" s="298"/>
      <c r="AO93" s="299"/>
    </row>
    <row r="94" spans="1:41" ht="15" customHeight="1">
      <c r="A94" s="254">
        <v>94</v>
      </c>
      <c r="B94" s="253">
        <v>103</v>
      </c>
      <c r="C94" s="240" t="s">
        <v>52</v>
      </c>
      <c r="D94" s="288" t="s">
        <v>50</v>
      </c>
      <c r="E94" s="289" t="s">
        <v>320</v>
      </c>
      <c r="F94" s="239" t="s">
        <v>212</v>
      </c>
      <c r="G94" s="290" t="s">
        <v>215</v>
      </c>
      <c r="H94" s="291" t="s">
        <v>155</v>
      </c>
      <c r="I94" s="239" t="s">
        <v>325</v>
      </c>
      <c r="J94" s="424">
        <f t="shared" si="2"/>
        <v>365</v>
      </c>
      <c r="K94" s="425">
        <v>127</v>
      </c>
      <c r="L94" s="425">
        <v>126</v>
      </c>
      <c r="M94" s="425">
        <v>52</v>
      </c>
      <c r="N94" s="425">
        <v>52</v>
      </c>
      <c r="O94" s="425">
        <v>4</v>
      </c>
      <c r="P94" s="425">
        <v>4</v>
      </c>
      <c r="Q94" s="294">
        <v>28.027999999999995</v>
      </c>
      <c r="R94" s="295" t="e">
        <f>IF(K94="nio",0,(K94*Q94)/X94)*VLOOKUP(C94,'2-Uren per locatie'!$B$15:$D$74,3,FALSE)</f>
        <v>#DIV/0!</v>
      </c>
      <c r="S94" s="295" t="e">
        <f>IF(K94="nio",0,(L94*Q94)/Y94)*VLOOKUP(C94,'2-Uren per locatie'!$B$15:$D$74,3,FALSE)</f>
        <v>#DIV/0!</v>
      </c>
      <c r="T94" s="295" t="e">
        <f>IF(K94="nio",0,(M94*Q94)/Z94)*VLOOKUP(C94,'2-Uren per locatie'!$B$15:$D$74,3,FALSE)</f>
        <v>#DIV/0!</v>
      </c>
      <c r="U94" s="295" t="e">
        <f>IF(K94="nio",0,(N94*Q94)/AA94)*VLOOKUP(C94,'2-Uren per locatie'!$B$15:$D$74,3,FALSE)</f>
        <v>#DIV/0!</v>
      </c>
      <c r="V94" s="295" t="e">
        <f>IF(K94="nio",0,(O94*Q94)/Z94)*VLOOKUP(C94,'2-Uren per locatie'!$B$15:$D$74,3,FALSE)</f>
        <v>#DIV/0!</v>
      </c>
      <c r="W94" s="295" t="e">
        <f>IF(K94="nio",0,(P94*Q94)/AA94)*VLOOKUP(C94,'2-Uren per locatie'!$B$15:$D$74,3,FALSE)</f>
        <v>#DIV/0!</v>
      </c>
      <c r="X94" s="485">
        <f>IF(K94="nio",0,IF(K94&gt;0,VLOOKUP(H94,'3-Productie normen'!A:F,VLOOKUP(K94,'3-Productie normen'!$B$29:$C$34,2,FALSE),FALSE)))</f>
        <v>0</v>
      </c>
      <c r="Y94" s="485">
        <f>VLOOKUP(H94,'3-Productie normen'!$A$10:$J$24,8,FALSE)*'3-Ruimtestaat'!X94</f>
        <v>0</v>
      </c>
      <c r="Z94" s="485">
        <f>VLOOKUP(H94,'3-Productie normen'!$A$10:$J$24,9,FALSE)*'3-Ruimtestaat'!X94</f>
        <v>0</v>
      </c>
      <c r="AA94" s="485">
        <f>VLOOKUP(H94,'3-Productie normen'!$A$10:$J$24,10,FALSE)*'3-Ruimtestaat'!X94</f>
        <v>0</v>
      </c>
      <c r="AB94" s="292" t="str">
        <f>IF(H94="",0,VLOOKUP(H94,'3-Productie normen'!$A$10:$N$23,14,FALSE))</f>
        <v>V</v>
      </c>
      <c r="AD94" s="296">
        <f t="shared" si="3"/>
        <v>10230.219999999998</v>
      </c>
      <c r="AE94" s="78"/>
      <c r="AF94" s="297"/>
      <c r="AG94" s="297"/>
      <c r="AH94" s="297"/>
      <c r="AI94" s="297"/>
      <c r="AJ94" s="297"/>
      <c r="AK94" s="298"/>
      <c r="AL94" s="298"/>
      <c r="AM94" s="298"/>
      <c r="AN94" s="298"/>
      <c r="AO94" s="299"/>
    </row>
    <row r="95" spans="1:41" ht="15" customHeight="1">
      <c r="A95" s="254">
        <v>95</v>
      </c>
      <c r="B95" s="253">
        <v>103</v>
      </c>
      <c r="C95" s="240" t="s">
        <v>52</v>
      </c>
      <c r="D95" s="288" t="s">
        <v>50</v>
      </c>
      <c r="E95" s="289" t="s">
        <v>320</v>
      </c>
      <c r="F95" s="239" t="s">
        <v>214</v>
      </c>
      <c r="G95" s="290" t="s">
        <v>218</v>
      </c>
      <c r="H95" s="291" t="s">
        <v>152</v>
      </c>
      <c r="I95" s="239" t="s">
        <v>285</v>
      </c>
      <c r="J95" s="424">
        <f t="shared" si="2"/>
        <v>365</v>
      </c>
      <c r="K95" s="425">
        <v>127</v>
      </c>
      <c r="L95" s="425">
        <v>126</v>
      </c>
      <c r="M95" s="425">
        <v>52</v>
      </c>
      <c r="N95" s="425">
        <v>52</v>
      </c>
      <c r="O95" s="425">
        <v>4</v>
      </c>
      <c r="P95" s="425">
        <v>4</v>
      </c>
      <c r="Q95" s="294">
        <v>34</v>
      </c>
      <c r="R95" s="295" t="e">
        <f>IF(K95="nio",0,(K95*Q95)/X95)*VLOOKUP(C95,'2-Uren per locatie'!$B$15:$D$74,3,FALSE)</f>
        <v>#DIV/0!</v>
      </c>
      <c r="S95" s="295" t="e">
        <f>IF(K95="nio",0,(L95*Q95)/Y95)*VLOOKUP(C95,'2-Uren per locatie'!$B$15:$D$74,3,FALSE)</f>
        <v>#DIV/0!</v>
      </c>
      <c r="T95" s="295" t="e">
        <f>IF(K95="nio",0,(M95*Q95)/Z95)*VLOOKUP(C95,'2-Uren per locatie'!$B$15:$D$74,3,FALSE)</f>
        <v>#DIV/0!</v>
      </c>
      <c r="U95" s="295" t="e">
        <f>IF(K95="nio",0,(N95*Q95)/AA95)*VLOOKUP(C95,'2-Uren per locatie'!$B$15:$D$74,3,FALSE)</f>
        <v>#DIV/0!</v>
      </c>
      <c r="V95" s="295" t="e">
        <f>IF(K95="nio",0,(O95*Q95)/Z95)*VLOOKUP(C95,'2-Uren per locatie'!$B$15:$D$74,3,FALSE)</f>
        <v>#DIV/0!</v>
      </c>
      <c r="W95" s="295" t="e">
        <f>IF(K95="nio",0,(P95*Q95)/AA95)*VLOOKUP(C95,'2-Uren per locatie'!$B$15:$D$74,3,FALSE)</f>
        <v>#DIV/0!</v>
      </c>
      <c r="X95" s="485">
        <f>IF(K95="nio",0,IF(K95&gt;0,VLOOKUP(H95,'3-Productie normen'!A:F,VLOOKUP(K95,'3-Productie normen'!$B$29:$C$34,2,FALSE),FALSE)))</f>
        <v>0</v>
      </c>
      <c r="Y95" s="485">
        <f>VLOOKUP(H95,'3-Productie normen'!$A$10:$J$24,8,FALSE)*'3-Ruimtestaat'!X95</f>
        <v>0</v>
      </c>
      <c r="Z95" s="485">
        <f>VLOOKUP(H95,'3-Productie normen'!$A$10:$J$24,9,FALSE)*'3-Ruimtestaat'!X95</f>
        <v>0</v>
      </c>
      <c r="AA95" s="485">
        <f>VLOOKUP(H95,'3-Productie normen'!$A$10:$J$24,10,FALSE)*'3-Ruimtestaat'!X95</f>
        <v>0</v>
      </c>
      <c r="AB95" s="292" t="str">
        <f>IF(H95="",0,VLOOKUP(H95,'3-Productie normen'!$A$10:$N$23,14,FALSE))</f>
        <v>V</v>
      </c>
      <c r="AD95" s="296">
        <f t="shared" si="3"/>
        <v>12410</v>
      </c>
      <c r="AE95" s="78"/>
      <c r="AF95" s="297"/>
      <c r="AG95" s="297"/>
      <c r="AH95" s="297"/>
      <c r="AI95" s="297"/>
      <c r="AJ95" s="297"/>
      <c r="AK95" s="298"/>
      <c r="AL95" s="298"/>
      <c r="AM95" s="298"/>
      <c r="AN95" s="298"/>
      <c r="AO95" s="299"/>
    </row>
    <row r="96" spans="1:41" ht="15" customHeight="1">
      <c r="A96" s="254">
        <v>96</v>
      </c>
      <c r="B96" s="253">
        <v>103</v>
      </c>
      <c r="C96" s="240" t="s">
        <v>52</v>
      </c>
      <c r="D96" s="288" t="s">
        <v>50</v>
      </c>
      <c r="E96" s="289" t="s">
        <v>320</v>
      </c>
      <c r="F96" s="239" t="s">
        <v>214</v>
      </c>
      <c r="G96" s="290" t="s">
        <v>219</v>
      </c>
      <c r="H96" s="291" t="s">
        <v>152</v>
      </c>
      <c r="I96" s="239" t="s">
        <v>285</v>
      </c>
      <c r="J96" s="424">
        <f t="shared" si="2"/>
        <v>365</v>
      </c>
      <c r="K96" s="425">
        <v>127</v>
      </c>
      <c r="L96" s="425">
        <v>126</v>
      </c>
      <c r="M96" s="425">
        <v>52</v>
      </c>
      <c r="N96" s="425">
        <v>52</v>
      </c>
      <c r="O96" s="425">
        <v>4</v>
      </c>
      <c r="P96" s="425">
        <v>4</v>
      </c>
      <c r="Q96" s="294">
        <v>34</v>
      </c>
      <c r="R96" s="295" t="e">
        <f>IF(K96="nio",0,(K96*Q96)/X96)*VLOOKUP(C96,'2-Uren per locatie'!$B$15:$D$74,3,FALSE)</f>
        <v>#DIV/0!</v>
      </c>
      <c r="S96" s="295" t="e">
        <f>IF(K96="nio",0,(L96*Q96)/Y96)*VLOOKUP(C96,'2-Uren per locatie'!$B$15:$D$74,3,FALSE)</f>
        <v>#DIV/0!</v>
      </c>
      <c r="T96" s="295" t="e">
        <f>IF(K96="nio",0,(M96*Q96)/Z96)*VLOOKUP(C96,'2-Uren per locatie'!$B$15:$D$74,3,FALSE)</f>
        <v>#DIV/0!</v>
      </c>
      <c r="U96" s="295" t="e">
        <f>IF(K96="nio",0,(N96*Q96)/AA96)*VLOOKUP(C96,'2-Uren per locatie'!$B$15:$D$74,3,FALSE)</f>
        <v>#DIV/0!</v>
      </c>
      <c r="V96" s="295" t="e">
        <f>IF(K96="nio",0,(O96*Q96)/Z96)*VLOOKUP(C96,'2-Uren per locatie'!$B$15:$D$74,3,FALSE)</f>
        <v>#DIV/0!</v>
      </c>
      <c r="W96" s="295" t="e">
        <f>IF(K96="nio",0,(P96*Q96)/AA96)*VLOOKUP(C96,'2-Uren per locatie'!$B$15:$D$74,3,FALSE)</f>
        <v>#DIV/0!</v>
      </c>
      <c r="X96" s="485">
        <f>IF(K96="nio",0,IF(K96&gt;0,VLOOKUP(H96,'3-Productie normen'!A:F,VLOOKUP(K96,'3-Productie normen'!$B$29:$C$34,2,FALSE),FALSE)))</f>
        <v>0</v>
      </c>
      <c r="Y96" s="485">
        <f>VLOOKUP(H96,'3-Productie normen'!$A$10:$J$24,8,FALSE)*'3-Ruimtestaat'!X96</f>
        <v>0</v>
      </c>
      <c r="Z96" s="485">
        <f>VLOOKUP(H96,'3-Productie normen'!$A$10:$J$24,9,FALSE)*'3-Ruimtestaat'!X96</f>
        <v>0</v>
      </c>
      <c r="AA96" s="485">
        <f>VLOOKUP(H96,'3-Productie normen'!$A$10:$J$24,10,FALSE)*'3-Ruimtestaat'!X96</f>
        <v>0</v>
      </c>
      <c r="AB96" s="292" t="str">
        <f>IF(H96="",0,VLOOKUP(H96,'3-Productie normen'!$A$10:$N$23,14,FALSE))</f>
        <v>V</v>
      </c>
      <c r="AD96" s="296">
        <f t="shared" si="3"/>
        <v>12410</v>
      </c>
      <c r="AE96" s="78"/>
      <c r="AF96" s="297"/>
      <c r="AG96" s="297"/>
      <c r="AH96" s="297"/>
      <c r="AI96" s="297"/>
      <c r="AJ96" s="297"/>
      <c r="AK96" s="298"/>
      <c r="AL96" s="298"/>
      <c r="AM96" s="298"/>
      <c r="AN96" s="298"/>
      <c r="AO96" s="299"/>
    </row>
    <row r="97" spans="1:41" ht="15" customHeight="1">
      <c r="A97" s="254">
        <v>97</v>
      </c>
      <c r="B97" s="253">
        <v>103</v>
      </c>
      <c r="C97" s="240" t="s">
        <v>52</v>
      </c>
      <c r="D97" s="288" t="s">
        <v>50</v>
      </c>
      <c r="E97" s="289" t="s">
        <v>320</v>
      </c>
      <c r="F97" s="239" t="s">
        <v>214</v>
      </c>
      <c r="G97" s="290" t="s">
        <v>290</v>
      </c>
      <c r="H97" s="291" t="s">
        <v>152</v>
      </c>
      <c r="I97" s="239" t="s">
        <v>285</v>
      </c>
      <c r="J97" s="424">
        <f t="shared" si="2"/>
        <v>365</v>
      </c>
      <c r="K97" s="425">
        <v>127</v>
      </c>
      <c r="L97" s="425">
        <v>126</v>
      </c>
      <c r="M97" s="425">
        <v>52</v>
      </c>
      <c r="N97" s="425">
        <v>52</v>
      </c>
      <c r="O97" s="425">
        <v>4</v>
      </c>
      <c r="P97" s="425">
        <v>4</v>
      </c>
      <c r="Q97" s="294">
        <v>34</v>
      </c>
      <c r="R97" s="295" t="e">
        <f>IF(K97="nio",0,(K97*Q97)/X97)*VLOOKUP(C97,'2-Uren per locatie'!$B$15:$D$74,3,FALSE)</f>
        <v>#DIV/0!</v>
      </c>
      <c r="S97" s="295" t="e">
        <f>IF(K97="nio",0,(L97*Q97)/Y97)*VLOOKUP(C97,'2-Uren per locatie'!$B$15:$D$74,3,FALSE)</f>
        <v>#DIV/0!</v>
      </c>
      <c r="T97" s="295" t="e">
        <f>IF(K97="nio",0,(M97*Q97)/Z97)*VLOOKUP(C97,'2-Uren per locatie'!$B$15:$D$74,3,FALSE)</f>
        <v>#DIV/0!</v>
      </c>
      <c r="U97" s="295" t="e">
        <f>IF(K97="nio",0,(N97*Q97)/AA97)*VLOOKUP(C97,'2-Uren per locatie'!$B$15:$D$74,3,FALSE)</f>
        <v>#DIV/0!</v>
      </c>
      <c r="V97" s="295" t="e">
        <f>IF(K97="nio",0,(O97*Q97)/Z97)*VLOOKUP(C97,'2-Uren per locatie'!$B$15:$D$74,3,FALSE)</f>
        <v>#DIV/0!</v>
      </c>
      <c r="W97" s="295" t="e">
        <f>IF(K97="nio",0,(P97*Q97)/AA97)*VLOOKUP(C97,'2-Uren per locatie'!$B$15:$D$74,3,FALSE)</f>
        <v>#DIV/0!</v>
      </c>
      <c r="X97" s="485">
        <f>IF(K97="nio",0,IF(K97&gt;0,VLOOKUP(H97,'3-Productie normen'!A:F,VLOOKUP(K97,'3-Productie normen'!$B$29:$C$34,2,FALSE),FALSE)))</f>
        <v>0</v>
      </c>
      <c r="Y97" s="485">
        <f>VLOOKUP(H97,'3-Productie normen'!$A$10:$J$24,8,FALSE)*'3-Ruimtestaat'!X97</f>
        <v>0</v>
      </c>
      <c r="Z97" s="485">
        <f>VLOOKUP(H97,'3-Productie normen'!$A$10:$J$24,9,FALSE)*'3-Ruimtestaat'!X97</f>
        <v>0</v>
      </c>
      <c r="AA97" s="485">
        <f>VLOOKUP(H97,'3-Productie normen'!$A$10:$J$24,10,FALSE)*'3-Ruimtestaat'!X97</f>
        <v>0</v>
      </c>
      <c r="AB97" s="292" t="str">
        <f>IF(H97="",0,VLOOKUP(H97,'3-Productie normen'!$A$10:$N$23,14,FALSE))</f>
        <v>V</v>
      </c>
      <c r="AD97" s="296">
        <f t="shared" si="3"/>
        <v>12410</v>
      </c>
      <c r="AE97" s="78"/>
      <c r="AF97" s="297"/>
      <c r="AG97" s="297"/>
      <c r="AH97" s="297"/>
      <c r="AI97" s="297"/>
      <c r="AJ97" s="297"/>
      <c r="AK97" s="298"/>
      <c r="AL97" s="298"/>
      <c r="AM97" s="298"/>
      <c r="AN97" s="298"/>
      <c r="AO97" s="299"/>
    </row>
    <row r="98" spans="1:41" ht="15" customHeight="1">
      <c r="A98" s="254">
        <v>98</v>
      </c>
      <c r="B98" s="253">
        <v>103</v>
      </c>
      <c r="C98" s="240" t="s">
        <v>52</v>
      </c>
      <c r="D98" s="288" t="s">
        <v>50</v>
      </c>
      <c r="E98" s="289" t="s">
        <v>320</v>
      </c>
      <c r="F98" s="239" t="s">
        <v>210</v>
      </c>
      <c r="G98" s="290" t="s">
        <v>220</v>
      </c>
      <c r="H98" s="291" t="s">
        <v>145</v>
      </c>
      <c r="I98" s="239" t="s">
        <v>203</v>
      </c>
      <c r="J98" s="424">
        <f t="shared" si="2"/>
        <v>365</v>
      </c>
      <c r="K98" s="425">
        <v>127</v>
      </c>
      <c r="L98" s="425">
        <v>126</v>
      </c>
      <c r="M98" s="425">
        <v>52</v>
      </c>
      <c r="N98" s="425">
        <v>52</v>
      </c>
      <c r="O98" s="425">
        <v>4</v>
      </c>
      <c r="P98" s="425">
        <v>4</v>
      </c>
      <c r="Q98" s="294">
        <v>217.80199999999999</v>
      </c>
      <c r="R98" s="295" t="e">
        <f>IF(K98="nio",0,(K98*Q98)/X98)*VLOOKUP(C98,'2-Uren per locatie'!$B$15:$D$74,3,FALSE)</f>
        <v>#DIV/0!</v>
      </c>
      <c r="S98" s="295" t="e">
        <f>IF(K98="nio",0,(L98*Q98)/Y98)*VLOOKUP(C98,'2-Uren per locatie'!$B$15:$D$74,3,FALSE)</f>
        <v>#DIV/0!</v>
      </c>
      <c r="T98" s="295" t="e">
        <f>IF(K98="nio",0,(M98*Q98)/Z98)*VLOOKUP(C98,'2-Uren per locatie'!$B$15:$D$74,3,FALSE)</f>
        <v>#DIV/0!</v>
      </c>
      <c r="U98" s="295" t="e">
        <f>IF(K98="nio",0,(N98*Q98)/AA98)*VLOOKUP(C98,'2-Uren per locatie'!$B$15:$D$74,3,FALSE)</f>
        <v>#DIV/0!</v>
      </c>
      <c r="V98" s="295" t="e">
        <f>IF(K98="nio",0,(O98*Q98)/Z98)*VLOOKUP(C98,'2-Uren per locatie'!$B$15:$D$74,3,FALSE)</f>
        <v>#DIV/0!</v>
      </c>
      <c r="W98" s="295" t="e">
        <f>IF(K98="nio",0,(P98*Q98)/AA98)*VLOOKUP(C98,'2-Uren per locatie'!$B$15:$D$74,3,FALSE)</f>
        <v>#DIV/0!</v>
      </c>
      <c r="X98" s="485">
        <f>IF(K98="nio",0,IF(K98&gt;0,VLOOKUP(H98,'3-Productie normen'!A:F,VLOOKUP(K98,'3-Productie normen'!$B$29:$C$34,2,FALSE),FALSE)))</f>
        <v>0</v>
      </c>
      <c r="Y98" s="485">
        <f>VLOOKUP(H98,'3-Productie normen'!$A$10:$J$24,8,FALSE)*'3-Ruimtestaat'!X98</f>
        <v>0</v>
      </c>
      <c r="Z98" s="485">
        <f>VLOOKUP(H98,'3-Productie normen'!$A$10:$J$24,9,FALSE)*'3-Ruimtestaat'!X98</f>
        <v>0</v>
      </c>
      <c r="AA98" s="485">
        <f>VLOOKUP(H98,'3-Productie normen'!$A$10:$J$24,10,FALSE)*'3-Ruimtestaat'!X98</f>
        <v>0</v>
      </c>
      <c r="AB98" s="292" t="str">
        <f>IF(H98="",0,VLOOKUP(H98,'3-Productie normen'!$A$10:$N$23,14,FALSE))</f>
        <v>V</v>
      </c>
      <c r="AD98" s="296">
        <f t="shared" si="3"/>
        <v>79497.73</v>
      </c>
      <c r="AE98" s="78"/>
      <c r="AF98" s="297"/>
      <c r="AG98" s="297"/>
      <c r="AH98" s="297"/>
      <c r="AI98" s="297"/>
      <c r="AJ98" s="297">
        <f>(12.2+3.3+4.8+1.36+3.5+6+3.4+4.2+6.35+5.4+5.4)*2.7</f>
        <v>150.95700000000002</v>
      </c>
      <c r="AK98" s="298"/>
      <c r="AL98" s="298"/>
      <c r="AM98" s="298">
        <v>140</v>
      </c>
      <c r="AN98" s="298"/>
      <c r="AO98" s="299"/>
    </row>
    <row r="99" spans="1:41" ht="15" customHeight="1">
      <c r="A99" s="254">
        <v>99</v>
      </c>
      <c r="B99" s="253">
        <v>103</v>
      </c>
      <c r="C99" s="240" t="s">
        <v>52</v>
      </c>
      <c r="D99" s="288" t="s">
        <v>50</v>
      </c>
      <c r="E99" s="289" t="s">
        <v>320</v>
      </c>
      <c r="F99" s="239" t="s">
        <v>326</v>
      </c>
      <c r="G99" s="290" t="s">
        <v>221</v>
      </c>
      <c r="H99" s="291" t="s">
        <v>155</v>
      </c>
      <c r="I99" s="239"/>
      <c r="J99" s="424">
        <f t="shared" si="2"/>
        <v>365</v>
      </c>
      <c r="K99" s="425">
        <v>127</v>
      </c>
      <c r="L99" s="425">
        <v>126</v>
      </c>
      <c r="M99" s="425">
        <v>52</v>
      </c>
      <c r="N99" s="425">
        <v>52</v>
      </c>
      <c r="O99" s="425">
        <v>4</v>
      </c>
      <c r="P99" s="425">
        <v>4</v>
      </c>
      <c r="Q99" s="294">
        <v>12</v>
      </c>
      <c r="R99" s="295" t="e">
        <f>IF(K99="nio",0,(K99*Q99)/X99)*VLOOKUP(C99,'2-Uren per locatie'!$B$15:$D$74,3,FALSE)</f>
        <v>#DIV/0!</v>
      </c>
      <c r="S99" s="295" t="e">
        <f>IF(K99="nio",0,(L99*Q99)/Y99)*VLOOKUP(C99,'2-Uren per locatie'!$B$15:$D$74,3,FALSE)</f>
        <v>#DIV/0!</v>
      </c>
      <c r="T99" s="295" t="e">
        <f>IF(K99="nio",0,(M99*Q99)/Z99)*VLOOKUP(C99,'2-Uren per locatie'!$B$15:$D$74,3,FALSE)</f>
        <v>#DIV/0!</v>
      </c>
      <c r="U99" s="295" t="e">
        <f>IF(K99="nio",0,(N99*Q99)/AA99)*VLOOKUP(C99,'2-Uren per locatie'!$B$15:$D$74,3,FALSE)</f>
        <v>#DIV/0!</v>
      </c>
      <c r="V99" s="295" t="e">
        <f>IF(K99="nio",0,(O99*Q99)/Z99)*VLOOKUP(C99,'2-Uren per locatie'!$B$15:$D$74,3,FALSE)</f>
        <v>#DIV/0!</v>
      </c>
      <c r="W99" s="295" t="e">
        <f>IF(K99="nio",0,(P99*Q99)/AA99)*VLOOKUP(C99,'2-Uren per locatie'!$B$15:$D$74,3,FALSE)</f>
        <v>#DIV/0!</v>
      </c>
      <c r="X99" s="485">
        <f>IF(K99="nio",0,IF(K99&gt;0,VLOOKUP(H99,'3-Productie normen'!A:F,VLOOKUP(K99,'3-Productie normen'!$B$29:$C$34,2,FALSE),FALSE)))</f>
        <v>0</v>
      </c>
      <c r="Y99" s="485">
        <f>VLOOKUP(H99,'3-Productie normen'!$A$10:$J$24,8,FALSE)*'3-Ruimtestaat'!X99</f>
        <v>0</v>
      </c>
      <c r="Z99" s="485">
        <f>VLOOKUP(H99,'3-Productie normen'!$A$10:$J$24,9,FALSE)*'3-Ruimtestaat'!X99</f>
        <v>0</v>
      </c>
      <c r="AA99" s="485">
        <f>VLOOKUP(H99,'3-Productie normen'!$A$10:$J$24,10,FALSE)*'3-Ruimtestaat'!X99</f>
        <v>0</v>
      </c>
      <c r="AB99" s="292" t="str">
        <f>IF(H99="",0,VLOOKUP(H99,'3-Productie normen'!$A$10:$N$23,14,FALSE))</f>
        <v>V</v>
      </c>
      <c r="AD99" s="296">
        <f t="shared" si="3"/>
        <v>4380</v>
      </c>
      <c r="AE99" s="78"/>
      <c r="AF99" s="297"/>
      <c r="AG99" s="297"/>
      <c r="AH99" s="297"/>
      <c r="AI99" s="297"/>
      <c r="AJ99" s="297"/>
      <c r="AK99" s="298"/>
      <c r="AL99" s="298"/>
      <c r="AM99" s="298"/>
      <c r="AN99" s="298"/>
      <c r="AO99" s="299" t="s">
        <v>327</v>
      </c>
    </row>
    <row r="100" spans="1:41" ht="15" customHeight="1">
      <c r="A100" s="254">
        <v>100</v>
      </c>
      <c r="B100" s="253">
        <v>103</v>
      </c>
      <c r="C100" s="240" t="s">
        <v>52</v>
      </c>
      <c r="D100" s="288" t="s">
        <v>50</v>
      </c>
      <c r="E100" s="289" t="s">
        <v>320</v>
      </c>
      <c r="F100" s="239" t="s">
        <v>328</v>
      </c>
      <c r="G100" s="290" t="s">
        <v>223</v>
      </c>
      <c r="H100" s="291" t="s">
        <v>155</v>
      </c>
      <c r="I100" s="239"/>
      <c r="J100" s="424">
        <f t="shared" si="2"/>
        <v>365</v>
      </c>
      <c r="K100" s="425">
        <v>127</v>
      </c>
      <c r="L100" s="425">
        <v>126</v>
      </c>
      <c r="M100" s="425">
        <v>52</v>
      </c>
      <c r="N100" s="425">
        <v>52</v>
      </c>
      <c r="O100" s="425">
        <v>4</v>
      </c>
      <c r="P100" s="425">
        <v>4</v>
      </c>
      <c r="Q100" s="294">
        <v>16</v>
      </c>
      <c r="R100" s="295" t="e">
        <f>IF(K100="nio",0,(K100*Q100)/X100)*VLOOKUP(C100,'2-Uren per locatie'!$B$15:$D$74,3,FALSE)</f>
        <v>#DIV/0!</v>
      </c>
      <c r="S100" s="295" t="e">
        <f>IF(K100="nio",0,(L100*Q100)/Y100)*VLOOKUP(C100,'2-Uren per locatie'!$B$15:$D$74,3,FALSE)</f>
        <v>#DIV/0!</v>
      </c>
      <c r="T100" s="295" t="e">
        <f>IF(K100="nio",0,(M100*Q100)/Z100)*VLOOKUP(C100,'2-Uren per locatie'!$B$15:$D$74,3,FALSE)</f>
        <v>#DIV/0!</v>
      </c>
      <c r="U100" s="295" t="e">
        <f>IF(K100="nio",0,(N100*Q100)/AA100)*VLOOKUP(C100,'2-Uren per locatie'!$B$15:$D$74,3,FALSE)</f>
        <v>#DIV/0!</v>
      </c>
      <c r="V100" s="295" t="e">
        <f>IF(K100="nio",0,(O100*Q100)/Z100)*VLOOKUP(C100,'2-Uren per locatie'!$B$15:$D$74,3,FALSE)</f>
        <v>#DIV/0!</v>
      </c>
      <c r="W100" s="295" t="e">
        <f>IF(K100="nio",0,(P100*Q100)/AA100)*VLOOKUP(C100,'2-Uren per locatie'!$B$15:$D$74,3,FALSE)</f>
        <v>#DIV/0!</v>
      </c>
      <c r="X100" s="485">
        <f>IF(K100="nio",0,IF(K100&gt;0,VLOOKUP(H100,'3-Productie normen'!A:F,VLOOKUP(K100,'3-Productie normen'!$B$29:$C$34,2,FALSE),FALSE)))</f>
        <v>0</v>
      </c>
      <c r="Y100" s="485">
        <f>VLOOKUP(H100,'3-Productie normen'!$A$10:$J$24,8,FALSE)*'3-Ruimtestaat'!X100</f>
        <v>0</v>
      </c>
      <c r="Z100" s="485">
        <f>VLOOKUP(H100,'3-Productie normen'!$A$10:$J$24,9,FALSE)*'3-Ruimtestaat'!X100</f>
        <v>0</v>
      </c>
      <c r="AA100" s="485">
        <f>VLOOKUP(H100,'3-Productie normen'!$A$10:$J$24,10,FALSE)*'3-Ruimtestaat'!X100</f>
        <v>0</v>
      </c>
      <c r="AB100" s="292" t="str">
        <f>IF(H100="",0,VLOOKUP(H100,'3-Productie normen'!$A$10:$N$23,14,FALSE))</f>
        <v>V</v>
      </c>
      <c r="AD100" s="296">
        <f t="shared" si="3"/>
        <v>5840</v>
      </c>
      <c r="AE100" s="78"/>
      <c r="AF100" s="297"/>
      <c r="AG100" s="297">
        <v>27</v>
      </c>
      <c r="AH100" s="297"/>
      <c r="AI100" s="297"/>
      <c r="AJ100" s="297"/>
      <c r="AK100" s="298"/>
      <c r="AL100" s="298"/>
      <c r="AM100" s="298"/>
      <c r="AN100" s="298"/>
      <c r="AO100" s="299" t="s">
        <v>329</v>
      </c>
    </row>
    <row r="101" spans="1:41" ht="15" customHeight="1">
      <c r="A101" s="254">
        <v>101</v>
      </c>
      <c r="B101" s="253">
        <v>103</v>
      </c>
      <c r="C101" s="240" t="s">
        <v>52</v>
      </c>
      <c r="D101" s="288" t="s">
        <v>50</v>
      </c>
      <c r="E101" s="289" t="s">
        <v>320</v>
      </c>
      <c r="F101" s="239" t="s">
        <v>318</v>
      </c>
      <c r="G101" s="290" t="s">
        <v>319</v>
      </c>
      <c r="H101" s="291" t="s">
        <v>149</v>
      </c>
      <c r="I101" s="239" t="s">
        <v>245</v>
      </c>
      <c r="J101" s="424">
        <f t="shared" si="2"/>
        <v>365</v>
      </c>
      <c r="K101" s="425">
        <v>127</v>
      </c>
      <c r="L101" s="425">
        <v>126</v>
      </c>
      <c r="M101" s="425">
        <v>52</v>
      </c>
      <c r="N101" s="425">
        <v>52</v>
      </c>
      <c r="O101" s="425">
        <v>4</v>
      </c>
      <c r="P101" s="425">
        <v>4</v>
      </c>
      <c r="Q101" s="294">
        <v>7.8000000000000007</v>
      </c>
      <c r="R101" s="295" t="e">
        <f>IF(K101="nio",0,(K101*Q101)/X101)*VLOOKUP(C101,'2-Uren per locatie'!$B$15:$D$74,3,FALSE)</f>
        <v>#DIV/0!</v>
      </c>
      <c r="S101" s="295" t="e">
        <f>IF(K101="nio",0,(L101*Q101)/Y101)*VLOOKUP(C101,'2-Uren per locatie'!$B$15:$D$74,3,FALSE)</f>
        <v>#DIV/0!</v>
      </c>
      <c r="T101" s="295" t="e">
        <f>IF(K101="nio",0,(M101*Q101)/Z101)*VLOOKUP(C101,'2-Uren per locatie'!$B$15:$D$74,3,FALSE)</f>
        <v>#DIV/0!</v>
      </c>
      <c r="U101" s="295" t="e">
        <f>IF(K101="nio",0,(N101*Q101)/AA101)*VLOOKUP(C101,'2-Uren per locatie'!$B$15:$D$74,3,FALSE)</f>
        <v>#DIV/0!</v>
      </c>
      <c r="V101" s="295" t="e">
        <f>IF(K101="nio",0,(O101*Q101)/Z101)*VLOOKUP(C101,'2-Uren per locatie'!$B$15:$D$74,3,FALSE)</f>
        <v>#DIV/0!</v>
      </c>
      <c r="W101" s="295" t="e">
        <f>IF(K101="nio",0,(P101*Q101)/AA101)*VLOOKUP(C101,'2-Uren per locatie'!$B$15:$D$74,3,FALSE)</f>
        <v>#DIV/0!</v>
      </c>
      <c r="X101" s="485">
        <f>IF(K101="nio",0,IF(K101&gt;0,VLOOKUP(H101,'3-Productie normen'!A:F,VLOOKUP(K101,'3-Productie normen'!$B$29:$C$34,2,FALSE),FALSE)))</f>
        <v>0</v>
      </c>
      <c r="Y101" s="485">
        <f>VLOOKUP(H101,'3-Productie normen'!$A$10:$J$24,8,FALSE)*'3-Ruimtestaat'!X101</f>
        <v>0</v>
      </c>
      <c r="Z101" s="485">
        <f>VLOOKUP(H101,'3-Productie normen'!$A$10:$J$24,9,FALSE)*'3-Ruimtestaat'!X101</f>
        <v>0</v>
      </c>
      <c r="AA101" s="485">
        <f>VLOOKUP(H101,'3-Productie normen'!$A$10:$J$24,10,FALSE)*'3-Ruimtestaat'!X101</f>
        <v>0</v>
      </c>
      <c r="AB101" s="292" t="str">
        <f>IF(H101="",0,VLOOKUP(H101,'3-Productie normen'!$A$10:$N$23,14,FALSE))</f>
        <v>V</v>
      </c>
      <c r="AD101" s="296">
        <f t="shared" si="3"/>
        <v>2847.0000000000005</v>
      </c>
      <c r="AE101" s="78"/>
      <c r="AF101" s="297"/>
      <c r="AG101" s="297"/>
      <c r="AH101" s="297"/>
      <c r="AI101" s="297"/>
      <c r="AJ101" s="297"/>
      <c r="AK101" s="298"/>
      <c r="AL101" s="298"/>
      <c r="AM101" s="298"/>
      <c r="AN101" s="298"/>
      <c r="AO101" s="299"/>
    </row>
    <row r="102" spans="1:41" ht="15" customHeight="1">
      <c r="A102" s="254">
        <v>102</v>
      </c>
      <c r="B102" s="253">
        <v>103</v>
      </c>
      <c r="C102" s="240" t="s">
        <v>52</v>
      </c>
      <c r="D102" s="288" t="s">
        <v>50</v>
      </c>
      <c r="E102" s="289" t="s">
        <v>320</v>
      </c>
      <c r="F102" s="239" t="s">
        <v>295</v>
      </c>
      <c r="G102" s="290" t="s">
        <v>296</v>
      </c>
      <c r="H102" s="291" t="s">
        <v>149</v>
      </c>
      <c r="I102" s="239" t="s">
        <v>245</v>
      </c>
      <c r="J102" s="424">
        <f t="shared" si="2"/>
        <v>365</v>
      </c>
      <c r="K102" s="425">
        <v>127</v>
      </c>
      <c r="L102" s="425">
        <v>126</v>
      </c>
      <c r="M102" s="425">
        <v>52</v>
      </c>
      <c r="N102" s="425">
        <v>52</v>
      </c>
      <c r="O102" s="425">
        <v>4</v>
      </c>
      <c r="P102" s="425">
        <v>4</v>
      </c>
      <c r="Q102" s="294">
        <v>7.8000000000000007</v>
      </c>
      <c r="R102" s="295" t="e">
        <f>IF(K102="nio",0,(K102*Q102)/X102)*VLOOKUP(C102,'2-Uren per locatie'!$B$15:$D$74,3,FALSE)</f>
        <v>#DIV/0!</v>
      </c>
      <c r="S102" s="295" t="e">
        <f>IF(K102="nio",0,(L102*Q102)/Y102)*VLOOKUP(C102,'2-Uren per locatie'!$B$15:$D$74,3,FALSE)</f>
        <v>#DIV/0!</v>
      </c>
      <c r="T102" s="295" t="e">
        <f>IF(K102="nio",0,(M102*Q102)/Z102)*VLOOKUP(C102,'2-Uren per locatie'!$B$15:$D$74,3,FALSE)</f>
        <v>#DIV/0!</v>
      </c>
      <c r="U102" s="295" t="e">
        <f>IF(K102="nio",0,(N102*Q102)/AA102)*VLOOKUP(C102,'2-Uren per locatie'!$B$15:$D$74,3,FALSE)</f>
        <v>#DIV/0!</v>
      </c>
      <c r="V102" s="295" t="e">
        <f>IF(K102="nio",0,(O102*Q102)/Z102)*VLOOKUP(C102,'2-Uren per locatie'!$B$15:$D$74,3,FALSE)</f>
        <v>#DIV/0!</v>
      </c>
      <c r="W102" s="295" t="e">
        <f>IF(K102="nio",0,(P102*Q102)/AA102)*VLOOKUP(C102,'2-Uren per locatie'!$B$15:$D$74,3,FALSE)</f>
        <v>#DIV/0!</v>
      </c>
      <c r="X102" s="485">
        <f>IF(K102="nio",0,IF(K102&gt;0,VLOOKUP(H102,'3-Productie normen'!A:F,VLOOKUP(K102,'3-Productie normen'!$B$29:$C$34,2,FALSE),FALSE)))</f>
        <v>0</v>
      </c>
      <c r="Y102" s="485">
        <f>VLOOKUP(H102,'3-Productie normen'!$A$10:$J$24,8,FALSE)*'3-Ruimtestaat'!X102</f>
        <v>0</v>
      </c>
      <c r="Z102" s="485">
        <f>VLOOKUP(H102,'3-Productie normen'!$A$10:$J$24,9,FALSE)*'3-Ruimtestaat'!X102</f>
        <v>0</v>
      </c>
      <c r="AA102" s="485">
        <f>VLOOKUP(H102,'3-Productie normen'!$A$10:$J$24,10,FALSE)*'3-Ruimtestaat'!X102</f>
        <v>0</v>
      </c>
      <c r="AB102" s="292" t="str">
        <f>IF(H102="",0,VLOOKUP(H102,'3-Productie normen'!$A$10:$N$23,14,FALSE))</f>
        <v>V</v>
      </c>
      <c r="AD102" s="296">
        <f t="shared" si="3"/>
        <v>2847.0000000000005</v>
      </c>
      <c r="AE102" s="78"/>
      <c r="AF102" s="297"/>
      <c r="AG102" s="297"/>
      <c r="AH102" s="297"/>
      <c r="AI102" s="297"/>
      <c r="AJ102" s="297"/>
      <c r="AK102" s="298"/>
      <c r="AL102" s="298"/>
      <c r="AM102" s="298"/>
      <c r="AN102" s="298"/>
      <c r="AO102" s="299"/>
    </row>
    <row r="103" spans="1:41" ht="15" customHeight="1">
      <c r="A103" s="254">
        <v>103</v>
      </c>
      <c r="B103" s="253">
        <v>103</v>
      </c>
      <c r="C103" s="240" t="s">
        <v>52</v>
      </c>
      <c r="D103" s="288" t="s">
        <v>50</v>
      </c>
      <c r="E103" s="289" t="s">
        <v>320</v>
      </c>
      <c r="F103" s="239" t="s">
        <v>231</v>
      </c>
      <c r="G103" s="290" t="s">
        <v>330</v>
      </c>
      <c r="H103" s="291" t="s">
        <v>153</v>
      </c>
      <c r="I103" s="239" t="s">
        <v>260</v>
      </c>
      <c r="J103" s="424">
        <f t="shared" si="2"/>
        <v>365</v>
      </c>
      <c r="K103" s="425">
        <v>255</v>
      </c>
      <c r="L103" s="425"/>
      <c r="M103" s="425">
        <v>102</v>
      </c>
      <c r="N103" s="425"/>
      <c r="O103" s="425">
        <v>8</v>
      </c>
      <c r="P103" s="425"/>
      <c r="Q103" s="294">
        <v>1.482</v>
      </c>
      <c r="R103" s="295" t="e">
        <f>IF(K103="nio",0,(K103*Q103)/X103)*VLOOKUP(C103,'2-Uren per locatie'!$B$15:$D$74,3,FALSE)</f>
        <v>#DIV/0!</v>
      </c>
      <c r="S103" s="295" t="e">
        <f>IF(K103="nio",0,(L103*Q103)/Y103)*VLOOKUP(C103,'2-Uren per locatie'!$B$15:$D$74,3,FALSE)</f>
        <v>#DIV/0!</v>
      </c>
      <c r="T103" s="295" t="e">
        <f>IF(K103="nio",0,(M103*Q103)/Z103)*VLOOKUP(C103,'2-Uren per locatie'!$B$15:$D$74,3,FALSE)</f>
        <v>#DIV/0!</v>
      </c>
      <c r="U103" s="295" t="e">
        <f>IF(K103="nio",0,(N103*Q103)/AA103)*VLOOKUP(C103,'2-Uren per locatie'!$B$15:$D$74,3,FALSE)</f>
        <v>#DIV/0!</v>
      </c>
      <c r="V103" s="295" t="e">
        <f>IF(K103="nio",0,(O103*Q103)/Z103)*VLOOKUP(C103,'2-Uren per locatie'!$B$15:$D$74,3,FALSE)</f>
        <v>#DIV/0!</v>
      </c>
      <c r="W103" s="295" t="e">
        <f>IF(K103="nio",0,(P103*Q103)/AA103)*VLOOKUP(C103,'2-Uren per locatie'!$B$15:$D$74,3,FALSE)</f>
        <v>#DIV/0!</v>
      </c>
      <c r="X103" s="485">
        <f>IF(K103="nio",0,IF(K103&gt;0,VLOOKUP(H103,'3-Productie normen'!A:F,VLOOKUP(K103,'3-Productie normen'!$B$29:$C$34,2,FALSE),FALSE)))</f>
        <v>0</v>
      </c>
      <c r="Y103" s="485">
        <f>VLOOKUP(H103,'3-Productie normen'!$A$10:$J$24,8,FALSE)*'3-Ruimtestaat'!X103</f>
        <v>0</v>
      </c>
      <c r="Z103" s="485">
        <f>VLOOKUP(H103,'3-Productie normen'!$A$10:$J$24,9,FALSE)*'3-Ruimtestaat'!X103</f>
        <v>0</v>
      </c>
      <c r="AA103" s="485">
        <f>VLOOKUP(H103,'3-Productie normen'!$A$10:$J$24,10,FALSE)*'3-Ruimtestaat'!X103</f>
        <v>0</v>
      </c>
      <c r="AB103" s="292" t="str">
        <f>IF(H103="",0,VLOOKUP(H103,'3-Productie normen'!$A$10:$N$23,14,FALSE))</f>
        <v>S</v>
      </c>
      <c r="AD103" s="296">
        <f t="shared" si="3"/>
        <v>540.92999999999995</v>
      </c>
      <c r="AE103" s="78"/>
      <c r="AF103" s="297">
        <f>(1.2+0.95+1.2+0.95)*2.3</f>
        <v>9.8899999999999988</v>
      </c>
      <c r="AG103" s="297"/>
      <c r="AH103" s="297"/>
      <c r="AI103" s="297"/>
      <c r="AJ103" s="297"/>
      <c r="AK103" s="298"/>
      <c r="AL103" s="298"/>
      <c r="AM103" s="298"/>
      <c r="AN103" s="298">
        <v>1.1000000000000001</v>
      </c>
      <c r="AO103" s="299" t="s">
        <v>300</v>
      </c>
    </row>
    <row r="104" spans="1:41" ht="15" customHeight="1">
      <c r="A104" s="254">
        <v>104</v>
      </c>
      <c r="B104" s="253">
        <v>103</v>
      </c>
      <c r="C104" s="240" t="s">
        <v>52</v>
      </c>
      <c r="D104" s="288" t="s">
        <v>50</v>
      </c>
      <c r="E104" s="289" t="s">
        <v>320</v>
      </c>
      <c r="F104" s="239" t="s">
        <v>231</v>
      </c>
      <c r="G104" s="290" t="s">
        <v>331</v>
      </c>
      <c r="H104" s="291" t="s">
        <v>153</v>
      </c>
      <c r="I104" s="239" t="s">
        <v>260</v>
      </c>
      <c r="J104" s="424">
        <f t="shared" si="2"/>
        <v>365</v>
      </c>
      <c r="K104" s="425">
        <v>255</v>
      </c>
      <c r="L104" s="425"/>
      <c r="M104" s="425">
        <v>102</v>
      </c>
      <c r="N104" s="425"/>
      <c r="O104" s="425">
        <v>8</v>
      </c>
      <c r="P104" s="425"/>
      <c r="Q104" s="294">
        <v>2.0994999999999999</v>
      </c>
      <c r="R104" s="295" t="e">
        <f>IF(K104="nio",0,(K104*Q104)/X104)*VLOOKUP(C104,'2-Uren per locatie'!$B$15:$D$74,3,FALSE)</f>
        <v>#DIV/0!</v>
      </c>
      <c r="S104" s="295" t="e">
        <f>IF(K104="nio",0,(L104*Q104)/Y104)*VLOOKUP(C104,'2-Uren per locatie'!$B$15:$D$74,3,FALSE)</f>
        <v>#DIV/0!</v>
      </c>
      <c r="T104" s="295" t="e">
        <f>IF(K104="nio",0,(M104*Q104)/Z104)*VLOOKUP(C104,'2-Uren per locatie'!$B$15:$D$74,3,FALSE)</f>
        <v>#DIV/0!</v>
      </c>
      <c r="U104" s="295" t="e">
        <f>IF(K104="nio",0,(N104*Q104)/AA104)*VLOOKUP(C104,'2-Uren per locatie'!$B$15:$D$74,3,FALSE)</f>
        <v>#DIV/0!</v>
      </c>
      <c r="V104" s="295" t="e">
        <f>IF(K104="nio",0,(O104*Q104)/Z104)*VLOOKUP(C104,'2-Uren per locatie'!$B$15:$D$74,3,FALSE)</f>
        <v>#DIV/0!</v>
      </c>
      <c r="W104" s="295" t="e">
        <f>IF(K104="nio",0,(P104*Q104)/AA104)*VLOOKUP(C104,'2-Uren per locatie'!$B$15:$D$74,3,FALSE)</f>
        <v>#DIV/0!</v>
      </c>
      <c r="X104" s="485">
        <f>IF(K104="nio",0,IF(K104&gt;0,VLOOKUP(H104,'3-Productie normen'!A:F,VLOOKUP(K104,'3-Productie normen'!$B$29:$C$34,2,FALSE),FALSE)))</f>
        <v>0</v>
      </c>
      <c r="Y104" s="485">
        <f>VLOOKUP(H104,'3-Productie normen'!$A$10:$J$24,8,FALSE)*'3-Ruimtestaat'!X104</f>
        <v>0</v>
      </c>
      <c r="Z104" s="485">
        <f>VLOOKUP(H104,'3-Productie normen'!$A$10:$J$24,9,FALSE)*'3-Ruimtestaat'!X104</f>
        <v>0</v>
      </c>
      <c r="AA104" s="485">
        <f>VLOOKUP(H104,'3-Productie normen'!$A$10:$J$24,10,FALSE)*'3-Ruimtestaat'!X104</f>
        <v>0</v>
      </c>
      <c r="AB104" s="292" t="str">
        <f>IF(H104="",0,VLOOKUP(H104,'3-Productie normen'!$A$10:$N$23,14,FALSE))</f>
        <v>S</v>
      </c>
      <c r="AD104" s="296">
        <f t="shared" si="3"/>
        <v>766.3175</v>
      </c>
      <c r="AE104" s="78"/>
      <c r="AF104" s="297">
        <f>(0.95+1.6+0.95+1.6)*2.3</f>
        <v>11.729999999999999</v>
      </c>
      <c r="AG104" s="297"/>
      <c r="AH104" s="297"/>
      <c r="AI104" s="297"/>
      <c r="AJ104" s="297"/>
      <c r="AK104" s="298"/>
      <c r="AL104" s="298"/>
      <c r="AM104" s="298"/>
      <c r="AN104" s="298">
        <v>1.6</v>
      </c>
      <c r="AO104" s="299" t="s">
        <v>300</v>
      </c>
    </row>
    <row r="105" spans="1:41" ht="15" customHeight="1">
      <c r="A105" s="254">
        <v>105</v>
      </c>
      <c r="B105" s="253">
        <v>103</v>
      </c>
      <c r="C105" s="240" t="s">
        <v>52</v>
      </c>
      <c r="D105" s="288" t="s">
        <v>50</v>
      </c>
      <c r="E105" s="289" t="s">
        <v>320</v>
      </c>
      <c r="F105" s="239" t="s">
        <v>231</v>
      </c>
      <c r="G105" s="290" t="s">
        <v>332</v>
      </c>
      <c r="H105" s="291" t="s">
        <v>153</v>
      </c>
      <c r="I105" s="239" t="s">
        <v>260</v>
      </c>
      <c r="J105" s="424">
        <f t="shared" si="2"/>
        <v>365</v>
      </c>
      <c r="K105" s="425">
        <v>255</v>
      </c>
      <c r="L105" s="425"/>
      <c r="M105" s="425">
        <v>102</v>
      </c>
      <c r="N105" s="425"/>
      <c r="O105" s="425">
        <v>8</v>
      </c>
      <c r="P105" s="425"/>
      <c r="Q105" s="294">
        <v>1.482</v>
      </c>
      <c r="R105" s="295" t="e">
        <f>IF(K105="nio",0,(K105*Q105)/X105)*VLOOKUP(C105,'2-Uren per locatie'!$B$15:$D$74,3,FALSE)</f>
        <v>#DIV/0!</v>
      </c>
      <c r="S105" s="295" t="e">
        <f>IF(K105="nio",0,(L105*Q105)/Y105)*VLOOKUP(C105,'2-Uren per locatie'!$B$15:$D$74,3,FALSE)</f>
        <v>#DIV/0!</v>
      </c>
      <c r="T105" s="295" t="e">
        <f>IF(K105="nio",0,(M105*Q105)/Z105)*VLOOKUP(C105,'2-Uren per locatie'!$B$15:$D$74,3,FALSE)</f>
        <v>#DIV/0!</v>
      </c>
      <c r="U105" s="295" t="e">
        <f>IF(K105="nio",0,(N105*Q105)/AA105)*VLOOKUP(C105,'2-Uren per locatie'!$B$15:$D$74,3,FALSE)</f>
        <v>#DIV/0!</v>
      </c>
      <c r="V105" s="295" t="e">
        <f>IF(K105="nio",0,(O105*Q105)/Z105)*VLOOKUP(C105,'2-Uren per locatie'!$B$15:$D$74,3,FALSE)</f>
        <v>#DIV/0!</v>
      </c>
      <c r="W105" s="295" t="e">
        <f>IF(K105="nio",0,(P105*Q105)/AA105)*VLOOKUP(C105,'2-Uren per locatie'!$B$15:$D$74,3,FALSE)</f>
        <v>#DIV/0!</v>
      </c>
      <c r="X105" s="485">
        <f>IF(K105="nio",0,IF(K105&gt;0,VLOOKUP(H105,'3-Productie normen'!A:F,VLOOKUP(K105,'3-Productie normen'!$B$29:$C$34,2,FALSE),FALSE)))</f>
        <v>0</v>
      </c>
      <c r="Y105" s="485">
        <f>VLOOKUP(H105,'3-Productie normen'!$A$10:$J$24,8,FALSE)*'3-Ruimtestaat'!X105</f>
        <v>0</v>
      </c>
      <c r="Z105" s="485">
        <f>VLOOKUP(H105,'3-Productie normen'!$A$10:$J$24,9,FALSE)*'3-Ruimtestaat'!X105</f>
        <v>0</v>
      </c>
      <c r="AA105" s="485">
        <f>VLOOKUP(H105,'3-Productie normen'!$A$10:$J$24,10,FALSE)*'3-Ruimtestaat'!X105</f>
        <v>0</v>
      </c>
      <c r="AB105" s="292" t="str">
        <f>IF(H105="",0,VLOOKUP(H105,'3-Productie normen'!$A$10:$N$23,14,FALSE))</f>
        <v>S</v>
      </c>
      <c r="AD105" s="296">
        <f t="shared" si="3"/>
        <v>540.92999999999995</v>
      </c>
      <c r="AE105" s="78"/>
      <c r="AF105" s="297">
        <f>(1.2+0.95+1.2+0.95)*2.3</f>
        <v>9.8899999999999988</v>
      </c>
      <c r="AG105" s="297"/>
      <c r="AH105" s="297"/>
      <c r="AI105" s="297"/>
      <c r="AJ105" s="297"/>
      <c r="AK105" s="298"/>
      <c r="AL105" s="298"/>
      <c r="AM105" s="298"/>
      <c r="AN105" s="298">
        <v>1.1000000000000001</v>
      </c>
      <c r="AO105" s="299" t="s">
        <v>300</v>
      </c>
    </row>
    <row r="106" spans="1:41" ht="15" customHeight="1">
      <c r="A106" s="254">
        <v>106</v>
      </c>
      <c r="B106" s="253">
        <v>103</v>
      </c>
      <c r="C106" s="240" t="s">
        <v>52</v>
      </c>
      <c r="D106" s="288" t="s">
        <v>50</v>
      </c>
      <c r="E106" s="428" t="s">
        <v>320</v>
      </c>
      <c r="F106" s="429" t="s">
        <v>150</v>
      </c>
      <c r="G106" s="431"/>
      <c r="H106" s="426" t="s">
        <v>150</v>
      </c>
      <c r="I106" s="429" t="s">
        <v>299</v>
      </c>
      <c r="J106" s="424">
        <f t="shared" si="2"/>
        <v>365</v>
      </c>
      <c r="K106" s="425">
        <v>255</v>
      </c>
      <c r="L106" s="425"/>
      <c r="M106" s="425">
        <v>102</v>
      </c>
      <c r="N106" s="425"/>
      <c r="O106" s="425">
        <v>8</v>
      </c>
      <c r="P106" s="425"/>
      <c r="Q106" s="427">
        <v>3</v>
      </c>
      <c r="R106" s="295" t="e">
        <f>IF(K106="nio",0,(K106*Q106)/X106)*VLOOKUP(C106,'2-Uren per locatie'!$B$15:$D$74,3,FALSE)</f>
        <v>#DIV/0!</v>
      </c>
      <c r="S106" s="295" t="e">
        <f>IF(K106="nio",0,(L106*Q106)/Y106)*VLOOKUP(C106,'2-Uren per locatie'!$B$15:$D$74,3,FALSE)</f>
        <v>#DIV/0!</v>
      </c>
      <c r="T106" s="295" t="e">
        <f>IF(K106="nio",0,(M106*Q106)/Z106)*VLOOKUP(C106,'2-Uren per locatie'!$B$15:$D$74,3,FALSE)</f>
        <v>#DIV/0!</v>
      </c>
      <c r="U106" s="295" t="e">
        <f>IF(K106="nio",0,(N106*Q106)/AA106)*VLOOKUP(C106,'2-Uren per locatie'!$B$15:$D$74,3,FALSE)</f>
        <v>#DIV/0!</v>
      </c>
      <c r="V106" s="295" t="e">
        <f>IF(K106="nio",0,(O106*Q106)/Z106)*VLOOKUP(C106,'2-Uren per locatie'!$B$15:$D$74,3,FALSE)</f>
        <v>#DIV/0!</v>
      </c>
      <c r="W106" s="295" t="e">
        <f>IF(K106="nio",0,(P106*Q106)/AA106)*VLOOKUP(C106,'2-Uren per locatie'!$B$15:$D$74,3,FALSE)</f>
        <v>#DIV/0!</v>
      </c>
      <c r="X106" s="485">
        <f>IF(K106="nio",0,IF(K106&gt;0,VLOOKUP(H106,'3-Productie normen'!A:F,VLOOKUP(K106,'3-Productie normen'!$B$29:$C$34,2,FALSE),FALSE)))</f>
        <v>0</v>
      </c>
      <c r="Y106" s="485">
        <f>VLOOKUP(H106,'3-Productie normen'!$A$10:$J$24,8,FALSE)*'3-Ruimtestaat'!X106</f>
        <v>0</v>
      </c>
      <c r="Z106" s="485">
        <f>VLOOKUP(H106,'3-Productie normen'!$A$10:$J$24,9,FALSE)*'3-Ruimtestaat'!X106</f>
        <v>0</v>
      </c>
      <c r="AA106" s="485">
        <f>VLOOKUP(H106,'3-Productie normen'!$A$10:$J$24,10,FALSE)*'3-Ruimtestaat'!X106</f>
        <v>0</v>
      </c>
      <c r="AB106" s="292" t="str">
        <f>IF(H106="",0,VLOOKUP(H106,'3-Productie normen'!$A$10:$N$23,14,FALSE))</f>
        <v>V</v>
      </c>
      <c r="AD106" s="296">
        <f t="shared" si="3"/>
        <v>1095</v>
      </c>
      <c r="AE106" s="78"/>
      <c r="AF106" s="297">
        <f>(1.2+0.95+1.2+0.95)*2.3</f>
        <v>9.8899999999999988</v>
      </c>
      <c r="AG106" s="297"/>
      <c r="AH106" s="297"/>
      <c r="AI106" s="297"/>
      <c r="AJ106" s="297"/>
      <c r="AK106" s="298"/>
      <c r="AL106" s="298"/>
      <c r="AM106" s="298"/>
      <c r="AN106" s="298">
        <v>1.1000000000000001</v>
      </c>
      <c r="AO106" s="299" t="s">
        <v>300</v>
      </c>
    </row>
    <row r="107" spans="1:41" ht="15" customHeight="1">
      <c r="A107" s="254">
        <v>107</v>
      </c>
      <c r="B107" s="253">
        <v>103</v>
      </c>
      <c r="C107" s="240" t="s">
        <v>52</v>
      </c>
      <c r="D107" s="288" t="s">
        <v>50</v>
      </c>
      <c r="E107" s="289" t="s">
        <v>249</v>
      </c>
      <c r="F107" s="239" t="s">
        <v>214</v>
      </c>
      <c r="G107" s="290" t="s">
        <v>252</v>
      </c>
      <c r="H107" s="291" t="s">
        <v>152</v>
      </c>
      <c r="I107" s="239"/>
      <c r="J107" s="424">
        <f t="shared" si="2"/>
        <v>365</v>
      </c>
      <c r="K107" s="425">
        <v>127</v>
      </c>
      <c r="L107" s="425">
        <v>126</v>
      </c>
      <c r="M107" s="425">
        <v>52</v>
      </c>
      <c r="N107" s="425">
        <v>52</v>
      </c>
      <c r="O107" s="425">
        <v>4</v>
      </c>
      <c r="P107" s="425">
        <v>4</v>
      </c>
      <c r="Q107" s="294">
        <v>0</v>
      </c>
      <c r="R107" s="295" t="e">
        <f>IF(K107="nio",0,(K107*Q107)/X107)*VLOOKUP(C107,'2-Uren per locatie'!$B$15:$D$74,3,FALSE)</f>
        <v>#DIV/0!</v>
      </c>
      <c r="S107" s="295" t="e">
        <f>IF(K107="nio",0,(L107*Q107)/Y107)*VLOOKUP(C107,'2-Uren per locatie'!$B$15:$D$74,3,FALSE)</f>
        <v>#DIV/0!</v>
      </c>
      <c r="T107" s="295" t="e">
        <f>IF(K107="nio",0,(M107*Q107)/Z107)*VLOOKUP(C107,'2-Uren per locatie'!$B$15:$D$74,3,FALSE)</f>
        <v>#DIV/0!</v>
      </c>
      <c r="U107" s="295" t="e">
        <f>IF(K107="nio",0,(N107*Q107)/AA107)*VLOOKUP(C107,'2-Uren per locatie'!$B$15:$D$74,3,FALSE)</f>
        <v>#DIV/0!</v>
      </c>
      <c r="V107" s="295" t="e">
        <f>IF(K107="nio",0,(O107*Q107)/Z107)*VLOOKUP(C107,'2-Uren per locatie'!$B$15:$D$74,3,FALSE)</f>
        <v>#DIV/0!</v>
      </c>
      <c r="W107" s="295" t="e">
        <f>IF(K107="nio",0,(P107*Q107)/AA107)*VLOOKUP(C107,'2-Uren per locatie'!$B$15:$D$74,3,FALSE)</f>
        <v>#DIV/0!</v>
      </c>
      <c r="X107" s="485">
        <f>IF(K107="nio",0,IF(K107&gt;0,VLOOKUP(H107,'3-Productie normen'!A:F,VLOOKUP(K107,'3-Productie normen'!$B$29:$C$34,2,FALSE),FALSE)))</f>
        <v>0</v>
      </c>
      <c r="Y107" s="485">
        <f>VLOOKUP(H107,'3-Productie normen'!$A$10:$J$24,8,FALSE)*'3-Ruimtestaat'!X107</f>
        <v>0</v>
      </c>
      <c r="Z107" s="485">
        <f>VLOOKUP(H107,'3-Productie normen'!$A$10:$J$24,9,FALSE)*'3-Ruimtestaat'!X107</f>
        <v>0</v>
      </c>
      <c r="AA107" s="485">
        <f>VLOOKUP(H107,'3-Productie normen'!$A$10:$J$24,10,FALSE)*'3-Ruimtestaat'!X107</f>
        <v>0</v>
      </c>
      <c r="AB107" s="292" t="str">
        <f>IF(H107="",0,VLOOKUP(H107,'3-Productie normen'!$A$10:$N$23,14,FALSE))</f>
        <v>V</v>
      </c>
      <c r="AD107" s="296">
        <f t="shared" si="3"/>
        <v>0</v>
      </c>
      <c r="AE107" s="78"/>
      <c r="AF107" s="297"/>
      <c r="AG107" s="297"/>
      <c r="AH107" s="297"/>
      <c r="AI107" s="297"/>
      <c r="AJ107" s="297"/>
      <c r="AK107" s="298"/>
      <c r="AL107" s="298"/>
      <c r="AM107" s="298"/>
      <c r="AN107" s="298"/>
      <c r="AO107" s="299" t="s">
        <v>333</v>
      </c>
    </row>
    <row r="108" spans="1:41" ht="15" customHeight="1">
      <c r="A108" s="254">
        <v>108</v>
      </c>
      <c r="B108" s="253">
        <v>103</v>
      </c>
      <c r="C108" s="240" t="s">
        <v>52</v>
      </c>
      <c r="D108" s="288" t="s">
        <v>50</v>
      </c>
      <c r="E108" s="289" t="s">
        <v>249</v>
      </c>
      <c r="F108" s="239" t="s">
        <v>212</v>
      </c>
      <c r="G108" s="290" t="s">
        <v>253</v>
      </c>
      <c r="H108" s="291" t="s">
        <v>155</v>
      </c>
      <c r="I108" s="239"/>
      <c r="J108" s="424">
        <f t="shared" si="2"/>
        <v>365</v>
      </c>
      <c r="K108" s="425">
        <v>127</v>
      </c>
      <c r="L108" s="425">
        <v>126</v>
      </c>
      <c r="M108" s="425">
        <v>52</v>
      </c>
      <c r="N108" s="425">
        <v>52</v>
      </c>
      <c r="O108" s="425">
        <v>4</v>
      </c>
      <c r="P108" s="425">
        <v>4</v>
      </c>
      <c r="Q108" s="294">
        <v>0</v>
      </c>
      <c r="R108" s="295" t="e">
        <f>IF(K108="nio",0,(K108*Q108)/X108)*VLOOKUP(C108,'2-Uren per locatie'!$B$15:$D$74,3,FALSE)</f>
        <v>#DIV/0!</v>
      </c>
      <c r="S108" s="295" t="e">
        <f>IF(K108="nio",0,(L108*Q108)/Y108)*VLOOKUP(C108,'2-Uren per locatie'!$B$15:$D$74,3,FALSE)</f>
        <v>#DIV/0!</v>
      </c>
      <c r="T108" s="295" t="e">
        <f>IF(K108="nio",0,(M108*Q108)/Z108)*VLOOKUP(C108,'2-Uren per locatie'!$B$15:$D$74,3,FALSE)</f>
        <v>#DIV/0!</v>
      </c>
      <c r="U108" s="295" t="e">
        <f>IF(K108="nio",0,(N108*Q108)/AA108)*VLOOKUP(C108,'2-Uren per locatie'!$B$15:$D$74,3,FALSE)</f>
        <v>#DIV/0!</v>
      </c>
      <c r="V108" s="295" t="e">
        <f>IF(K108="nio",0,(O108*Q108)/Z108)*VLOOKUP(C108,'2-Uren per locatie'!$B$15:$D$74,3,FALSE)</f>
        <v>#DIV/0!</v>
      </c>
      <c r="W108" s="295" t="e">
        <f>IF(K108="nio",0,(P108*Q108)/AA108)*VLOOKUP(C108,'2-Uren per locatie'!$B$15:$D$74,3,FALSE)</f>
        <v>#DIV/0!</v>
      </c>
      <c r="X108" s="485">
        <f>IF(K108="nio",0,IF(K108&gt;0,VLOOKUP(H108,'3-Productie normen'!A:F,VLOOKUP(K108,'3-Productie normen'!$B$29:$C$34,2,FALSE),FALSE)))</f>
        <v>0</v>
      </c>
      <c r="Y108" s="485">
        <f>VLOOKUP(H108,'3-Productie normen'!$A$10:$J$24,8,FALSE)*'3-Ruimtestaat'!X108</f>
        <v>0</v>
      </c>
      <c r="Z108" s="485">
        <f>VLOOKUP(H108,'3-Productie normen'!$A$10:$J$24,9,FALSE)*'3-Ruimtestaat'!X108</f>
        <v>0</v>
      </c>
      <c r="AA108" s="485">
        <f>VLOOKUP(H108,'3-Productie normen'!$A$10:$J$24,10,FALSE)*'3-Ruimtestaat'!X108</f>
        <v>0</v>
      </c>
      <c r="AB108" s="292" t="str">
        <f>IF(H108="",0,VLOOKUP(H108,'3-Productie normen'!$A$10:$N$23,14,FALSE))</f>
        <v>V</v>
      </c>
      <c r="AD108" s="296">
        <f t="shared" si="3"/>
        <v>0</v>
      </c>
      <c r="AE108" s="78"/>
      <c r="AF108" s="297"/>
      <c r="AG108" s="297"/>
      <c r="AH108" s="297"/>
      <c r="AI108" s="297"/>
      <c r="AJ108" s="297"/>
      <c r="AK108" s="298"/>
      <c r="AL108" s="298"/>
      <c r="AM108" s="298"/>
      <c r="AN108" s="298"/>
      <c r="AO108" s="299" t="s">
        <v>306</v>
      </c>
    </row>
    <row r="109" spans="1:41" ht="15" customHeight="1">
      <c r="A109" s="254">
        <v>109</v>
      </c>
      <c r="B109" s="253">
        <v>103</v>
      </c>
      <c r="C109" s="240" t="s">
        <v>52</v>
      </c>
      <c r="D109" s="288" t="s">
        <v>50</v>
      </c>
      <c r="E109" s="289" t="s">
        <v>249</v>
      </c>
      <c r="F109" s="239" t="s">
        <v>249</v>
      </c>
      <c r="G109" s="290" t="s">
        <v>254</v>
      </c>
      <c r="H109" s="291" t="s">
        <v>151</v>
      </c>
      <c r="I109" s="239" t="s">
        <v>203</v>
      </c>
      <c r="J109" s="424">
        <f t="shared" si="2"/>
        <v>365</v>
      </c>
      <c r="K109" s="425">
        <v>127</v>
      </c>
      <c r="L109" s="425">
        <v>126</v>
      </c>
      <c r="M109" s="425">
        <v>52</v>
      </c>
      <c r="N109" s="425">
        <v>52</v>
      </c>
      <c r="O109" s="425">
        <v>4</v>
      </c>
      <c r="P109" s="425">
        <v>4</v>
      </c>
      <c r="Q109" s="294">
        <v>1951.8525000000002</v>
      </c>
      <c r="R109" s="295" t="e">
        <f>IF(K109="nio",0,(K109*Q109)/X109)*VLOOKUP(C109,'2-Uren per locatie'!$B$15:$D$74,3,FALSE)</f>
        <v>#DIV/0!</v>
      </c>
      <c r="S109" s="295" t="e">
        <f>IF(K109="nio",0,(L109*Q109)/Y109)*VLOOKUP(C109,'2-Uren per locatie'!$B$15:$D$74,3,FALSE)</f>
        <v>#DIV/0!</v>
      </c>
      <c r="T109" s="295" t="e">
        <f>IF(K109="nio",0,(M109*Q109)/Z109)*VLOOKUP(C109,'2-Uren per locatie'!$B$15:$D$74,3,FALSE)</f>
        <v>#DIV/0!</v>
      </c>
      <c r="U109" s="295" t="e">
        <f>IF(K109="nio",0,(N109*Q109)/AA109)*VLOOKUP(C109,'2-Uren per locatie'!$B$15:$D$74,3,FALSE)</f>
        <v>#DIV/0!</v>
      </c>
      <c r="V109" s="295" t="e">
        <f>IF(K109="nio",0,(O109*Q109)/Z109)*VLOOKUP(C109,'2-Uren per locatie'!$B$15:$D$74,3,FALSE)</f>
        <v>#DIV/0!</v>
      </c>
      <c r="W109" s="295" t="e">
        <f>IF(K109="nio",0,(P109*Q109)/AA109)*VLOOKUP(C109,'2-Uren per locatie'!$B$15:$D$74,3,FALSE)</f>
        <v>#DIV/0!</v>
      </c>
      <c r="X109" s="485">
        <f>IF(K109="nio",0,IF(K109&gt;0,VLOOKUP(H109,'3-Productie normen'!A:F,VLOOKUP(K109,'3-Productie normen'!$B$29:$C$34,2,FALSE),FALSE)))</f>
        <v>0</v>
      </c>
      <c r="Y109" s="485">
        <f>VLOOKUP(H109,'3-Productie normen'!$A$10:$J$24,8,FALSE)*'3-Ruimtestaat'!X109</f>
        <v>0</v>
      </c>
      <c r="Z109" s="485">
        <f>VLOOKUP(H109,'3-Productie normen'!$A$10:$J$24,9,FALSE)*'3-Ruimtestaat'!X109</f>
        <v>0</v>
      </c>
      <c r="AA109" s="485">
        <f>VLOOKUP(H109,'3-Productie normen'!$A$10:$J$24,10,FALSE)*'3-Ruimtestaat'!X109</f>
        <v>0</v>
      </c>
      <c r="AB109" s="292" t="str">
        <f>IF(H109="",0,VLOOKUP(H109,'3-Productie normen'!$A$10:$N$23,14,FALSE))</f>
        <v>V</v>
      </c>
      <c r="AD109" s="296">
        <f t="shared" si="3"/>
        <v>712426.16250000009</v>
      </c>
      <c r="AE109" s="78"/>
      <c r="AF109" s="297">
        <f>((2.8*3.3)*20)</f>
        <v>184.79999999999995</v>
      </c>
      <c r="AG109" s="297"/>
      <c r="AH109" s="297"/>
      <c r="AI109" s="297">
        <f>12+26</f>
        <v>38</v>
      </c>
      <c r="AJ109" s="297">
        <f>((194.8*3.3)*2)+((3.2+2.2+3.2+2.2)*3.3)+24+((21.5*3.25)*2)</f>
        <v>1485.0700000000002</v>
      </c>
      <c r="AK109" s="298"/>
      <c r="AL109" s="298"/>
      <c r="AM109" s="298">
        <f>((18.5+42.8+33.2+47.3+31.5)*14.8)+(21.5*5.35)</f>
        <v>2679.8650000000002</v>
      </c>
      <c r="AN109" s="298"/>
      <c r="AO109" s="299" t="s">
        <v>289</v>
      </c>
    </row>
    <row r="110" spans="1:41" ht="15" customHeight="1">
      <c r="A110" s="254">
        <v>110</v>
      </c>
      <c r="B110" s="253">
        <v>103</v>
      </c>
      <c r="C110" s="240" t="s">
        <v>52</v>
      </c>
      <c r="D110" s="288" t="s">
        <v>50</v>
      </c>
      <c r="E110" s="289" t="s">
        <v>249</v>
      </c>
      <c r="F110" s="239" t="s">
        <v>214</v>
      </c>
      <c r="G110" s="290" t="s">
        <v>255</v>
      </c>
      <c r="H110" s="291" t="s">
        <v>152</v>
      </c>
      <c r="I110" s="239"/>
      <c r="J110" s="424">
        <f t="shared" si="2"/>
        <v>365</v>
      </c>
      <c r="K110" s="425">
        <v>127</v>
      </c>
      <c r="L110" s="425">
        <v>126</v>
      </c>
      <c r="M110" s="425">
        <v>52</v>
      </c>
      <c r="N110" s="425">
        <v>52</v>
      </c>
      <c r="O110" s="425">
        <v>4</v>
      </c>
      <c r="P110" s="425">
        <v>4</v>
      </c>
      <c r="Q110" s="294">
        <v>0</v>
      </c>
      <c r="R110" s="295" t="e">
        <f>IF(K110="nio",0,(K110*Q110)/X110)*VLOOKUP(C110,'2-Uren per locatie'!$B$15:$D$74,3,FALSE)</f>
        <v>#DIV/0!</v>
      </c>
      <c r="S110" s="295" t="e">
        <f>IF(K110="nio",0,(L110*Q110)/Y110)*VLOOKUP(C110,'2-Uren per locatie'!$B$15:$D$74,3,FALSE)</f>
        <v>#DIV/0!</v>
      </c>
      <c r="T110" s="295" t="e">
        <f>IF(K110="nio",0,(M110*Q110)/Z110)*VLOOKUP(C110,'2-Uren per locatie'!$B$15:$D$74,3,FALSE)</f>
        <v>#DIV/0!</v>
      </c>
      <c r="U110" s="295" t="e">
        <f>IF(K110="nio",0,(N110*Q110)/AA110)*VLOOKUP(C110,'2-Uren per locatie'!$B$15:$D$74,3,FALSE)</f>
        <v>#DIV/0!</v>
      </c>
      <c r="V110" s="295" t="e">
        <f>IF(K110="nio",0,(O110*Q110)/Z110)*VLOOKUP(C110,'2-Uren per locatie'!$B$15:$D$74,3,FALSE)</f>
        <v>#DIV/0!</v>
      </c>
      <c r="W110" s="295" t="e">
        <f>IF(K110="nio",0,(P110*Q110)/AA110)*VLOOKUP(C110,'2-Uren per locatie'!$B$15:$D$74,3,FALSE)</f>
        <v>#DIV/0!</v>
      </c>
      <c r="X110" s="485">
        <f>IF(K110="nio",0,IF(K110&gt;0,VLOOKUP(H110,'3-Productie normen'!A:F,VLOOKUP(K110,'3-Productie normen'!$B$29:$C$34,2,FALSE),FALSE)))</f>
        <v>0</v>
      </c>
      <c r="Y110" s="485">
        <f>VLOOKUP(H110,'3-Productie normen'!$A$10:$J$24,8,FALSE)*'3-Ruimtestaat'!X110</f>
        <v>0</v>
      </c>
      <c r="Z110" s="485">
        <f>VLOOKUP(H110,'3-Productie normen'!$A$10:$J$24,9,FALSE)*'3-Ruimtestaat'!X110</f>
        <v>0</v>
      </c>
      <c r="AA110" s="485">
        <f>VLOOKUP(H110,'3-Productie normen'!$A$10:$J$24,10,FALSE)*'3-Ruimtestaat'!X110</f>
        <v>0</v>
      </c>
      <c r="AB110" s="292" t="str">
        <f>IF(H110="",0,VLOOKUP(H110,'3-Productie normen'!$A$10:$N$23,14,FALSE))</f>
        <v>V</v>
      </c>
      <c r="AD110" s="296">
        <f t="shared" si="3"/>
        <v>0</v>
      </c>
      <c r="AE110" s="78"/>
      <c r="AF110" s="297"/>
      <c r="AG110" s="297"/>
      <c r="AH110" s="297"/>
      <c r="AI110" s="297"/>
      <c r="AJ110" s="297"/>
      <c r="AK110" s="298"/>
      <c r="AL110" s="298"/>
      <c r="AM110" s="298"/>
      <c r="AN110" s="298"/>
      <c r="AO110" s="299" t="s">
        <v>334</v>
      </c>
    </row>
    <row r="111" spans="1:41" ht="15" customHeight="1">
      <c r="A111" s="254">
        <v>111</v>
      </c>
      <c r="B111" s="253">
        <v>103</v>
      </c>
      <c r="C111" s="240" t="s">
        <v>52</v>
      </c>
      <c r="D111" s="288" t="s">
        <v>50</v>
      </c>
      <c r="E111" s="289" t="s">
        <v>249</v>
      </c>
      <c r="F111" s="239" t="s">
        <v>214</v>
      </c>
      <c r="G111" s="290" t="s">
        <v>256</v>
      </c>
      <c r="H111" s="291" t="s">
        <v>152</v>
      </c>
      <c r="I111" s="239"/>
      <c r="J111" s="424">
        <f t="shared" si="2"/>
        <v>365</v>
      </c>
      <c r="K111" s="425">
        <v>127</v>
      </c>
      <c r="L111" s="425">
        <v>126</v>
      </c>
      <c r="M111" s="425">
        <v>52</v>
      </c>
      <c r="N111" s="425">
        <v>52</v>
      </c>
      <c r="O111" s="425">
        <v>4</v>
      </c>
      <c r="P111" s="425">
        <v>4</v>
      </c>
      <c r="Q111" s="294">
        <v>0</v>
      </c>
      <c r="R111" s="295" t="e">
        <f>IF(K111="nio",0,(K111*Q111)/X111)*VLOOKUP(C111,'2-Uren per locatie'!$B$15:$D$74,3,FALSE)</f>
        <v>#DIV/0!</v>
      </c>
      <c r="S111" s="295" t="e">
        <f>IF(K111="nio",0,(L111*Q111)/Y111)*VLOOKUP(C111,'2-Uren per locatie'!$B$15:$D$74,3,FALSE)</f>
        <v>#DIV/0!</v>
      </c>
      <c r="T111" s="295" t="e">
        <f>IF(K111="nio",0,(M111*Q111)/Z111)*VLOOKUP(C111,'2-Uren per locatie'!$B$15:$D$74,3,FALSE)</f>
        <v>#DIV/0!</v>
      </c>
      <c r="U111" s="295" t="e">
        <f>IF(K111="nio",0,(N111*Q111)/AA111)*VLOOKUP(C111,'2-Uren per locatie'!$B$15:$D$74,3,FALSE)</f>
        <v>#DIV/0!</v>
      </c>
      <c r="V111" s="295" t="e">
        <f>IF(K111="nio",0,(O111*Q111)/Z111)*VLOOKUP(C111,'2-Uren per locatie'!$B$15:$D$74,3,FALSE)</f>
        <v>#DIV/0!</v>
      </c>
      <c r="W111" s="295" t="e">
        <f>IF(K111="nio",0,(P111*Q111)/AA111)*VLOOKUP(C111,'2-Uren per locatie'!$B$15:$D$74,3,FALSE)</f>
        <v>#DIV/0!</v>
      </c>
      <c r="X111" s="485">
        <f>IF(K111="nio",0,IF(K111&gt;0,VLOOKUP(H111,'3-Productie normen'!A:F,VLOOKUP(K111,'3-Productie normen'!$B$29:$C$34,2,FALSE),FALSE)))</f>
        <v>0</v>
      </c>
      <c r="Y111" s="485">
        <f>VLOOKUP(H111,'3-Productie normen'!$A$10:$J$24,8,FALSE)*'3-Ruimtestaat'!X111</f>
        <v>0</v>
      </c>
      <c r="Z111" s="485">
        <f>VLOOKUP(H111,'3-Productie normen'!$A$10:$J$24,9,FALSE)*'3-Ruimtestaat'!X111</f>
        <v>0</v>
      </c>
      <c r="AA111" s="485">
        <f>VLOOKUP(H111,'3-Productie normen'!$A$10:$J$24,10,FALSE)*'3-Ruimtestaat'!X111</f>
        <v>0</v>
      </c>
      <c r="AB111" s="292" t="str">
        <f>IF(H111="",0,VLOOKUP(H111,'3-Productie normen'!$A$10:$N$23,14,FALSE))</f>
        <v>V</v>
      </c>
      <c r="AD111" s="296">
        <f t="shared" si="3"/>
        <v>0</v>
      </c>
      <c r="AE111" s="78"/>
      <c r="AF111" s="297"/>
      <c r="AG111" s="297"/>
      <c r="AH111" s="297"/>
      <c r="AI111" s="297"/>
      <c r="AJ111" s="297"/>
      <c r="AK111" s="298"/>
      <c r="AL111" s="298"/>
      <c r="AM111" s="298"/>
      <c r="AN111" s="298"/>
      <c r="AO111" s="299" t="s">
        <v>335</v>
      </c>
    </row>
    <row r="112" spans="1:41" ht="15" customHeight="1">
      <c r="A112" s="254">
        <v>112</v>
      </c>
      <c r="B112" s="253">
        <v>103</v>
      </c>
      <c r="C112" s="240" t="s">
        <v>52</v>
      </c>
      <c r="D112" s="288" t="s">
        <v>50</v>
      </c>
      <c r="E112" s="289" t="s">
        <v>249</v>
      </c>
      <c r="F112" s="239" t="s">
        <v>214</v>
      </c>
      <c r="G112" s="290" t="s">
        <v>257</v>
      </c>
      <c r="H112" s="291" t="s">
        <v>152</v>
      </c>
      <c r="I112" s="239"/>
      <c r="J112" s="424">
        <f t="shared" si="2"/>
        <v>365</v>
      </c>
      <c r="K112" s="425">
        <v>127</v>
      </c>
      <c r="L112" s="425">
        <v>126</v>
      </c>
      <c r="M112" s="425">
        <v>52</v>
      </c>
      <c r="N112" s="425">
        <v>52</v>
      </c>
      <c r="O112" s="425">
        <v>4</v>
      </c>
      <c r="P112" s="425">
        <v>4</v>
      </c>
      <c r="Q112" s="294">
        <v>0</v>
      </c>
      <c r="R112" s="295" t="e">
        <f>IF(K112="nio",0,(K112*Q112)/X112)*VLOOKUP(C112,'2-Uren per locatie'!$B$15:$D$74,3,FALSE)</f>
        <v>#DIV/0!</v>
      </c>
      <c r="S112" s="295" t="e">
        <f>IF(K112="nio",0,(L112*Q112)/Y112)*VLOOKUP(C112,'2-Uren per locatie'!$B$15:$D$74,3,FALSE)</f>
        <v>#DIV/0!</v>
      </c>
      <c r="T112" s="295" t="e">
        <f>IF(K112="nio",0,(M112*Q112)/Z112)*VLOOKUP(C112,'2-Uren per locatie'!$B$15:$D$74,3,FALSE)</f>
        <v>#DIV/0!</v>
      </c>
      <c r="U112" s="295" t="e">
        <f>IF(K112="nio",0,(N112*Q112)/AA112)*VLOOKUP(C112,'2-Uren per locatie'!$B$15:$D$74,3,FALSE)</f>
        <v>#DIV/0!</v>
      </c>
      <c r="V112" s="295" t="e">
        <f>IF(K112="nio",0,(O112*Q112)/Z112)*VLOOKUP(C112,'2-Uren per locatie'!$B$15:$D$74,3,FALSE)</f>
        <v>#DIV/0!</v>
      </c>
      <c r="W112" s="295" t="e">
        <f>IF(K112="nio",0,(P112*Q112)/AA112)*VLOOKUP(C112,'2-Uren per locatie'!$B$15:$D$74,3,FALSE)</f>
        <v>#DIV/0!</v>
      </c>
      <c r="X112" s="485">
        <f>IF(K112="nio",0,IF(K112&gt;0,VLOOKUP(H112,'3-Productie normen'!A:F,VLOOKUP(K112,'3-Productie normen'!$B$29:$C$34,2,FALSE),FALSE)))</f>
        <v>0</v>
      </c>
      <c r="Y112" s="485">
        <f>VLOOKUP(H112,'3-Productie normen'!$A$10:$J$24,8,FALSE)*'3-Ruimtestaat'!X112</f>
        <v>0</v>
      </c>
      <c r="Z112" s="485">
        <f>VLOOKUP(H112,'3-Productie normen'!$A$10:$J$24,9,FALSE)*'3-Ruimtestaat'!X112</f>
        <v>0</v>
      </c>
      <c r="AA112" s="485">
        <f>VLOOKUP(H112,'3-Productie normen'!$A$10:$J$24,10,FALSE)*'3-Ruimtestaat'!X112</f>
        <v>0</v>
      </c>
      <c r="AB112" s="292" t="str">
        <f>IF(H112="",0,VLOOKUP(H112,'3-Productie normen'!$A$10:$N$23,14,FALSE))</f>
        <v>V</v>
      </c>
      <c r="AD112" s="296">
        <f t="shared" si="3"/>
        <v>0</v>
      </c>
      <c r="AE112" s="78"/>
      <c r="AF112" s="297"/>
      <c r="AG112" s="297"/>
      <c r="AH112" s="297"/>
      <c r="AI112" s="297"/>
      <c r="AJ112" s="297"/>
      <c r="AK112" s="298"/>
      <c r="AL112" s="298"/>
      <c r="AM112" s="298"/>
      <c r="AN112" s="298"/>
      <c r="AO112" s="299" t="s">
        <v>336</v>
      </c>
    </row>
    <row r="113" spans="1:41" ht="15" customHeight="1">
      <c r="A113" s="254">
        <v>113</v>
      </c>
      <c r="B113" s="253">
        <v>103</v>
      </c>
      <c r="C113" s="240" t="s">
        <v>52</v>
      </c>
      <c r="D113" s="288" t="s">
        <v>50</v>
      </c>
      <c r="E113" s="289" t="s">
        <v>249</v>
      </c>
      <c r="F113" s="239" t="s">
        <v>295</v>
      </c>
      <c r="G113" s="290" t="s">
        <v>296</v>
      </c>
      <c r="H113" s="291" t="s">
        <v>149</v>
      </c>
      <c r="I113" s="239"/>
      <c r="J113" s="424">
        <f t="shared" si="2"/>
        <v>365</v>
      </c>
      <c r="K113" s="425">
        <v>127</v>
      </c>
      <c r="L113" s="425">
        <v>126</v>
      </c>
      <c r="M113" s="425">
        <v>52</v>
      </c>
      <c r="N113" s="425">
        <v>52</v>
      </c>
      <c r="O113" s="425">
        <v>4</v>
      </c>
      <c r="P113" s="425">
        <v>4</v>
      </c>
      <c r="Q113" s="294">
        <v>0</v>
      </c>
      <c r="R113" s="295" t="e">
        <f>IF(K113="nio",0,(K113*Q113)/X113)*VLOOKUP(C113,'2-Uren per locatie'!$B$15:$D$74,3,FALSE)</f>
        <v>#DIV/0!</v>
      </c>
      <c r="S113" s="295" t="e">
        <f>IF(K113="nio",0,(L113*Q113)/Y113)*VLOOKUP(C113,'2-Uren per locatie'!$B$15:$D$74,3,FALSE)</f>
        <v>#DIV/0!</v>
      </c>
      <c r="T113" s="295" t="e">
        <f>IF(K113="nio",0,(M113*Q113)/Z113)*VLOOKUP(C113,'2-Uren per locatie'!$B$15:$D$74,3,FALSE)</f>
        <v>#DIV/0!</v>
      </c>
      <c r="U113" s="295" t="e">
        <f>IF(K113="nio",0,(N113*Q113)/AA113)*VLOOKUP(C113,'2-Uren per locatie'!$B$15:$D$74,3,FALSE)</f>
        <v>#DIV/0!</v>
      </c>
      <c r="V113" s="295" t="e">
        <f>IF(K113="nio",0,(O113*Q113)/Z113)*VLOOKUP(C113,'2-Uren per locatie'!$B$15:$D$74,3,FALSE)</f>
        <v>#DIV/0!</v>
      </c>
      <c r="W113" s="295" t="e">
        <f>IF(K113="nio",0,(P113*Q113)/AA113)*VLOOKUP(C113,'2-Uren per locatie'!$B$15:$D$74,3,FALSE)</f>
        <v>#DIV/0!</v>
      </c>
      <c r="X113" s="485">
        <f>IF(K113="nio",0,IF(K113&gt;0,VLOOKUP(H113,'3-Productie normen'!A:F,VLOOKUP(K113,'3-Productie normen'!$B$29:$C$34,2,FALSE),FALSE)))</f>
        <v>0</v>
      </c>
      <c r="Y113" s="485">
        <f>VLOOKUP(H113,'3-Productie normen'!$A$10:$J$24,8,FALSE)*'3-Ruimtestaat'!X113</f>
        <v>0</v>
      </c>
      <c r="Z113" s="485">
        <f>VLOOKUP(H113,'3-Productie normen'!$A$10:$J$24,9,FALSE)*'3-Ruimtestaat'!X113</f>
        <v>0</v>
      </c>
      <c r="AA113" s="485">
        <f>VLOOKUP(H113,'3-Productie normen'!$A$10:$J$24,10,FALSE)*'3-Ruimtestaat'!X113</f>
        <v>0</v>
      </c>
      <c r="AB113" s="292" t="str">
        <f>IF(H113="",0,VLOOKUP(H113,'3-Productie normen'!$A$10:$N$23,14,FALSE))</f>
        <v>V</v>
      </c>
      <c r="AD113" s="296">
        <f t="shared" si="3"/>
        <v>0</v>
      </c>
      <c r="AE113" s="78"/>
      <c r="AF113" s="297"/>
      <c r="AG113" s="297"/>
      <c r="AH113" s="297"/>
      <c r="AI113" s="297"/>
      <c r="AJ113" s="297"/>
      <c r="AK113" s="298"/>
      <c r="AL113" s="298"/>
      <c r="AM113" s="298"/>
      <c r="AN113" s="298"/>
      <c r="AO113" s="299"/>
    </row>
    <row r="114" spans="1:41" ht="15" customHeight="1">
      <c r="A114" s="254">
        <v>114</v>
      </c>
      <c r="B114" s="253">
        <v>104</v>
      </c>
      <c r="C114" s="240" t="s">
        <v>53</v>
      </c>
      <c r="D114" s="288" t="s">
        <v>50</v>
      </c>
      <c r="E114" s="289" t="s">
        <v>200</v>
      </c>
      <c r="F114" s="239" t="s">
        <v>337</v>
      </c>
      <c r="G114" s="290" t="s">
        <v>338</v>
      </c>
      <c r="H114" s="291" t="s">
        <v>153</v>
      </c>
      <c r="I114" s="239" t="s">
        <v>203</v>
      </c>
      <c r="J114" s="424">
        <f t="shared" si="2"/>
        <v>365</v>
      </c>
      <c r="K114" s="425">
        <v>255</v>
      </c>
      <c r="L114" s="425"/>
      <c r="M114" s="425">
        <v>102</v>
      </c>
      <c r="N114" s="425"/>
      <c r="O114" s="425">
        <v>8</v>
      </c>
      <c r="P114" s="425"/>
      <c r="Q114" s="294">
        <v>4.620000000000001</v>
      </c>
      <c r="R114" s="295" t="e">
        <f>IF(K114="nio",0,(K114*Q114)/X114)*VLOOKUP(C114,'2-Uren per locatie'!$B$15:$D$74,3,FALSE)</f>
        <v>#DIV/0!</v>
      </c>
      <c r="S114" s="295" t="e">
        <f>IF(K114="nio",0,(L114*Q114)/Y114)*VLOOKUP(C114,'2-Uren per locatie'!$B$15:$D$74,3,FALSE)</f>
        <v>#DIV/0!</v>
      </c>
      <c r="T114" s="295" t="e">
        <f>IF(K114="nio",0,(M114*Q114)/Z114)*VLOOKUP(C114,'2-Uren per locatie'!$B$15:$D$74,3,FALSE)</f>
        <v>#DIV/0!</v>
      </c>
      <c r="U114" s="295" t="e">
        <f>IF(K114="nio",0,(N114*Q114)/AA114)*VLOOKUP(C114,'2-Uren per locatie'!$B$15:$D$74,3,FALSE)</f>
        <v>#DIV/0!</v>
      </c>
      <c r="V114" s="295" t="e">
        <f>IF(K114="nio",0,(O114*Q114)/Z114)*VLOOKUP(C114,'2-Uren per locatie'!$B$15:$D$74,3,FALSE)</f>
        <v>#DIV/0!</v>
      </c>
      <c r="W114" s="295" t="e">
        <f>IF(K114="nio",0,(P114*Q114)/AA114)*VLOOKUP(C114,'2-Uren per locatie'!$B$15:$D$74,3,FALSE)</f>
        <v>#DIV/0!</v>
      </c>
      <c r="X114" s="485">
        <f>IF(K114="nio",0,IF(K114&gt;0,VLOOKUP(H114,'3-Productie normen'!A:F,VLOOKUP(K114,'3-Productie normen'!$B$29:$C$34,2,FALSE),FALSE)))</f>
        <v>0</v>
      </c>
      <c r="Y114" s="485">
        <f>VLOOKUP(H114,'3-Productie normen'!$A$10:$J$24,8,FALSE)*'3-Ruimtestaat'!X114</f>
        <v>0</v>
      </c>
      <c r="Z114" s="485">
        <f>VLOOKUP(H114,'3-Productie normen'!$A$10:$J$24,9,FALSE)*'3-Ruimtestaat'!X114</f>
        <v>0</v>
      </c>
      <c r="AA114" s="485">
        <f>VLOOKUP(H114,'3-Productie normen'!$A$10:$J$24,10,FALSE)*'3-Ruimtestaat'!X114</f>
        <v>0</v>
      </c>
      <c r="AB114" s="292" t="str">
        <f>IF(H114="",0,VLOOKUP(H114,'3-Productie normen'!$A$10:$N$23,14,FALSE))</f>
        <v>S</v>
      </c>
      <c r="AD114" s="296">
        <f t="shared" si="3"/>
        <v>1686.3000000000004</v>
      </c>
      <c r="AE114" s="78"/>
      <c r="AF114" s="297">
        <v>2</v>
      </c>
      <c r="AG114" s="297"/>
      <c r="AH114" s="297"/>
      <c r="AI114" s="297"/>
      <c r="AJ114" s="297">
        <v>23</v>
      </c>
      <c r="AK114" s="298"/>
      <c r="AL114" s="298"/>
      <c r="AM114" s="298">
        <v>5</v>
      </c>
      <c r="AN114" s="298"/>
      <c r="AO114" s="299"/>
    </row>
    <row r="115" spans="1:41" ht="15" customHeight="1">
      <c r="A115" s="254">
        <v>115</v>
      </c>
      <c r="B115" s="253">
        <v>104</v>
      </c>
      <c r="C115" s="240" t="s">
        <v>53</v>
      </c>
      <c r="D115" s="288" t="s">
        <v>50</v>
      </c>
      <c r="E115" s="289" t="s">
        <v>320</v>
      </c>
      <c r="F115" s="239" t="s">
        <v>339</v>
      </c>
      <c r="G115" s="290" t="s">
        <v>279</v>
      </c>
      <c r="H115" s="291" t="s">
        <v>152</v>
      </c>
      <c r="I115" s="239" t="s">
        <v>265</v>
      </c>
      <c r="J115" s="424">
        <f t="shared" si="2"/>
        <v>365</v>
      </c>
      <c r="K115" s="425">
        <v>127</v>
      </c>
      <c r="L115" s="425">
        <v>126</v>
      </c>
      <c r="M115" s="425">
        <v>52</v>
      </c>
      <c r="N115" s="425">
        <v>52</v>
      </c>
      <c r="O115" s="425">
        <v>4</v>
      </c>
      <c r="P115" s="425">
        <v>4</v>
      </c>
      <c r="Q115" s="294">
        <v>25</v>
      </c>
      <c r="R115" s="295" t="e">
        <f>IF(K115="nio",0,(K115*Q115)/X115)*VLOOKUP(C115,'2-Uren per locatie'!$B$15:$D$74,3,FALSE)</f>
        <v>#DIV/0!</v>
      </c>
      <c r="S115" s="295" t="e">
        <f>IF(K115="nio",0,(L115*Q115)/Y115)*VLOOKUP(C115,'2-Uren per locatie'!$B$15:$D$74,3,FALSE)</f>
        <v>#DIV/0!</v>
      </c>
      <c r="T115" s="295" t="e">
        <f>IF(K115="nio",0,(M115*Q115)/Z115)*VLOOKUP(C115,'2-Uren per locatie'!$B$15:$D$74,3,FALSE)</f>
        <v>#DIV/0!</v>
      </c>
      <c r="U115" s="295" t="e">
        <f>IF(K115="nio",0,(N115*Q115)/AA115)*VLOOKUP(C115,'2-Uren per locatie'!$B$15:$D$74,3,FALSE)</f>
        <v>#DIV/0!</v>
      </c>
      <c r="V115" s="295" t="e">
        <f>IF(K115="nio",0,(O115*Q115)/Z115)*VLOOKUP(C115,'2-Uren per locatie'!$B$15:$D$74,3,FALSE)</f>
        <v>#DIV/0!</v>
      </c>
      <c r="W115" s="295" t="e">
        <f>IF(K115="nio",0,(P115*Q115)/AA115)*VLOOKUP(C115,'2-Uren per locatie'!$B$15:$D$74,3,FALSE)</f>
        <v>#DIV/0!</v>
      </c>
      <c r="X115" s="485">
        <f>IF(K115="nio",0,IF(K115&gt;0,VLOOKUP(H115,'3-Productie normen'!A:F,VLOOKUP(K115,'3-Productie normen'!$B$29:$C$34,2,FALSE),FALSE)))</f>
        <v>0</v>
      </c>
      <c r="Y115" s="485">
        <f>VLOOKUP(H115,'3-Productie normen'!$A$10:$J$24,8,FALSE)*'3-Ruimtestaat'!X115</f>
        <v>0</v>
      </c>
      <c r="Z115" s="485">
        <f>VLOOKUP(H115,'3-Productie normen'!$A$10:$J$24,9,FALSE)*'3-Ruimtestaat'!X115</f>
        <v>0</v>
      </c>
      <c r="AA115" s="485">
        <f>VLOOKUP(H115,'3-Productie normen'!$A$10:$J$24,10,FALSE)*'3-Ruimtestaat'!X115</f>
        <v>0</v>
      </c>
      <c r="AB115" s="292" t="str">
        <f>IF(H115="",0,VLOOKUP(H115,'3-Productie normen'!$A$10:$N$23,14,FALSE))</f>
        <v>V</v>
      </c>
      <c r="AD115" s="296">
        <f t="shared" si="3"/>
        <v>9125</v>
      </c>
      <c r="AE115" s="78"/>
      <c r="AF115" s="297"/>
      <c r="AG115" s="297"/>
      <c r="AH115" s="297"/>
      <c r="AI115" s="297"/>
      <c r="AJ115" s="297"/>
      <c r="AK115" s="298"/>
      <c r="AL115" s="298"/>
      <c r="AM115" s="298"/>
      <c r="AN115" s="298"/>
      <c r="AO115" s="299"/>
    </row>
    <row r="116" spans="1:41" ht="15" customHeight="1">
      <c r="A116" s="254">
        <v>116</v>
      </c>
      <c r="B116" s="253">
        <v>104</v>
      </c>
      <c r="C116" s="240" t="s">
        <v>53</v>
      </c>
      <c r="D116" s="288" t="s">
        <v>50</v>
      </c>
      <c r="E116" s="289" t="s">
        <v>320</v>
      </c>
      <c r="F116" s="239" t="s">
        <v>340</v>
      </c>
      <c r="G116" s="290" t="s">
        <v>281</v>
      </c>
      <c r="H116" s="291" t="s">
        <v>155</v>
      </c>
      <c r="I116" s="239" t="s">
        <v>206</v>
      </c>
      <c r="J116" s="424">
        <f t="shared" si="2"/>
        <v>365</v>
      </c>
      <c r="K116" s="425">
        <v>127</v>
      </c>
      <c r="L116" s="425">
        <v>126</v>
      </c>
      <c r="M116" s="425">
        <v>52</v>
      </c>
      <c r="N116" s="425">
        <v>52</v>
      </c>
      <c r="O116" s="425">
        <v>4</v>
      </c>
      <c r="P116" s="425">
        <v>4</v>
      </c>
      <c r="Q116" s="294">
        <v>117</v>
      </c>
      <c r="R116" s="295" t="e">
        <f>IF(K116="nio",0,(K116*Q116)/X116)*VLOOKUP(C116,'2-Uren per locatie'!$B$15:$D$74,3,FALSE)</f>
        <v>#DIV/0!</v>
      </c>
      <c r="S116" s="295" t="e">
        <f>IF(K116="nio",0,(L116*Q116)/Y116)*VLOOKUP(C116,'2-Uren per locatie'!$B$15:$D$74,3,FALSE)</f>
        <v>#DIV/0!</v>
      </c>
      <c r="T116" s="295" t="e">
        <f>IF(K116="nio",0,(M116*Q116)/Z116)*VLOOKUP(C116,'2-Uren per locatie'!$B$15:$D$74,3,FALSE)</f>
        <v>#DIV/0!</v>
      </c>
      <c r="U116" s="295" t="e">
        <f>IF(K116="nio",0,(N116*Q116)/AA116)*VLOOKUP(C116,'2-Uren per locatie'!$B$15:$D$74,3,FALSE)</f>
        <v>#DIV/0!</v>
      </c>
      <c r="V116" s="295" t="e">
        <f>IF(K116="nio",0,(O116*Q116)/Z116)*VLOOKUP(C116,'2-Uren per locatie'!$B$15:$D$74,3,FALSE)</f>
        <v>#DIV/0!</v>
      </c>
      <c r="W116" s="295" t="e">
        <f>IF(K116="nio",0,(P116*Q116)/AA116)*VLOOKUP(C116,'2-Uren per locatie'!$B$15:$D$74,3,FALSE)</f>
        <v>#DIV/0!</v>
      </c>
      <c r="X116" s="485">
        <f>IF(K116="nio",0,IF(K116&gt;0,VLOOKUP(H116,'3-Productie normen'!A:F,VLOOKUP(K116,'3-Productie normen'!$B$29:$C$34,2,FALSE),FALSE)))</f>
        <v>0</v>
      </c>
      <c r="Y116" s="485">
        <f>VLOOKUP(H116,'3-Productie normen'!$A$10:$J$24,8,FALSE)*'3-Ruimtestaat'!X116</f>
        <v>0</v>
      </c>
      <c r="Z116" s="485">
        <f>VLOOKUP(H116,'3-Productie normen'!$A$10:$J$24,9,FALSE)*'3-Ruimtestaat'!X116</f>
        <v>0</v>
      </c>
      <c r="AA116" s="485">
        <f>VLOOKUP(H116,'3-Productie normen'!$A$10:$J$24,10,FALSE)*'3-Ruimtestaat'!X116</f>
        <v>0</v>
      </c>
      <c r="AB116" s="292" t="str">
        <f>IF(H116="",0,VLOOKUP(H116,'3-Productie normen'!$A$10:$N$23,14,FALSE))</f>
        <v>V</v>
      </c>
      <c r="AD116" s="296">
        <f t="shared" si="3"/>
        <v>42705</v>
      </c>
      <c r="AE116" s="78"/>
      <c r="AF116" s="297"/>
      <c r="AG116" s="297">
        <f>104+80</f>
        <v>184</v>
      </c>
      <c r="AH116" s="297"/>
      <c r="AI116" s="297"/>
      <c r="AJ116" s="297"/>
      <c r="AK116" s="298"/>
      <c r="AL116" s="298"/>
      <c r="AM116" s="298"/>
      <c r="AN116" s="298"/>
      <c r="AO116" s="299" t="s">
        <v>341</v>
      </c>
    </row>
    <row r="117" spans="1:41" ht="15" customHeight="1">
      <c r="A117" s="254">
        <v>117</v>
      </c>
      <c r="B117" s="253">
        <v>104</v>
      </c>
      <c r="C117" s="240" t="s">
        <v>53</v>
      </c>
      <c r="D117" s="288" t="s">
        <v>50</v>
      </c>
      <c r="E117" s="289" t="s">
        <v>320</v>
      </c>
      <c r="F117" s="239" t="s">
        <v>210</v>
      </c>
      <c r="G117" s="290" t="s">
        <v>283</v>
      </c>
      <c r="H117" s="291" t="s">
        <v>145</v>
      </c>
      <c r="I117" s="239" t="s">
        <v>203</v>
      </c>
      <c r="J117" s="424">
        <f t="shared" si="2"/>
        <v>365</v>
      </c>
      <c r="K117" s="425">
        <v>127</v>
      </c>
      <c r="L117" s="425">
        <v>126</v>
      </c>
      <c r="M117" s="425">
        <v>52</v>
      </c>
      <c r="N117" s="425">
        <v>52</v>
      </c>
      <c r="O117" s="425">
        <v>4</v>
      </c>
      <c r="P117" s="425">
        <v>4</v>
      </c>
      <c r="Q117" s="294">
        <v>2085.85</v>
      </c>
      <c r="R117" s="295" t="e">
        <f>IF(K117="nio",0,(K117*Q117)/X117)*VLOOKUP(C117,'2-Uren per locatie'!$B$15:$D$74,3,FALSE)</f>
        <v>#DIV/0!</v>
      </c>
      <c r="S117" s="295" t="e">
        <f>IF(K117="nio",0,(L117*Q117)/Y117)*VLOOKUP(C117,'2-Uren per locatie'!$B$15:$D$74,3,FALSE)</f>
        <v>#DIV/0!</v>
      </c>
      <c r="T117" s="295" t="e">
        <f>IF(K117="nio",0,(M117*Q117)/Z117)*VLOOKUP(C117,'2-Uren per locatie'!$B$15:$D$74,3,FALSE)</f>
        <v>#DIV/0!</v>
      </c>
      <c r="U117" s="295" t="e">
        <f>IF(K117="nio",0,(N117*Q117)/AA117)*VLOOKUP(C117,'2-Uren per locatie'!$B$15:$D$74,3,FALSE)</f>
        <v>#DIV/0!</v>
      </c>
      <c r="V117" s="295" t="e">
        <f>IF(K117="nio",0,(O117*Q117)/Z117)*VLOOKUP(C117,'2-Uren per locatie'!$B$15:$D$74,3,FALSE)</f>
        <v>#DIV/0!</v>
      </c>
      <c r="W117" s="295" t="e">
        <f>IF(K117="nio",0,(P117*Q117)/AA117)*VLOOKUP(C117,'2-Uren per locatie'!$B$15:$D$74,3,FALSE)</f>
        <v>#DIV/0!</v>
      </c>
      <c r="X117" s="485">
        <f>IF(K117="nio",0,IF(K117&gt;0,VLOOKUP(H117,'3-Productie normen'!A:F,VLOOKUP(K117,'3-Productie normen'!$B$29:$C$34,2,FALSE),FALSE)))</f>
        <v>0</v>
      </c>
      <c r="Y117" s="485">
        <f>VLOOKUP(H117,'3-Productie normen'!$A$10:$J$24,8,FALSE)*'3-Ruimtestaat'!X117</f>
        <v>0</v>
      </c>
      <c r="Z117" s="485">
        <f>VLOOKUP(H117,'3-Productie normen'!$A$10:$J$24,9,FALSE)*'3-Ruimtestaat'!X117</f>
        <v>0</v>
      </c>
      <c r="AA117" s="485">
        <f>VLOOKUP(H117,'3-Productie normen'!$A$10:$J$24,10,FALSE)*'3-Ruimtestaat'!X117</f>
        <v>0</v>
      </c>
      <c r="AB117" s="292" t="str">
        <f>IF(H117="",0,VLOOKUP(H117,'3-Productie normen'!$A$10:$N$23,14,FALSE))</f>
        <v>V</v>
      </c>
      <c r="AD117" s="296">
        <f t="shared" si="3"/>
        <v>761335.25</v>
      </c>
      <c r="AE117" s="78"/>
      <c r="AF117" s="297"/>
      <c r="AG117" s="297">
        <f>85+92+54+15+502+74+82+145+115+78</f>
        <v>1242</v>
      </c>
      <c r="AH117" s="297"/>
      <c r="AI117" s="297"/>
      <c r="AJ117" s="297"/>
      <c r="AK117" s="298"/>
      <c r="AL117" s="298"/>
      <c r="AM117" s="298">
        <f>40.5+133+50+265+1000+45+22+34+145+50</f>
        <v>1784.5</v>
      </c>
      <c r="AN117" s="298"/>
      <c r="AO117" s="299" t="s">
        <v>289</v>
      </c>
    </row>
    <row r="118" spans="1:41" ht="15" customHeight="1">
      <c r="A118" s="254">
        <v>118</v>
      </c>
      <c r="B118" s="253">
        <v>104</v>
      </c>
      <c r="C118" s="240" t="s">
        <v>53</v>
      </c>
      <c r="D118" s="288" t="s">
        <v>50</v>
      </c>
      <c r="E118" s="289" t="s">
        <v>320</v>
      </c>
      <c r="F118" s="239" t="s">
        <v>342</v>
      </c>
      <c r="G118" s="290" t="s">
        <v>208</v>
      </c>
      <c r="H118" s="291" t="s">
        <v>155</v>
      </c>
      <c r="I118" s="239" t="s">
        <v>206</v>
      </c>
      <c r="J118" s="424">
        <f t="shared" si="2"/>
        <v>365</v>
      </c>
      <c r="K118" s="425">
        <v>127</v>
      </c>
      <c r="L118" s="425">
        <v>126</v>
      </c>
      <c r="M118" s="425">
        <v>52</v>
      </c>
      <c r="N118" s="425">
        <v>52</v>
      </c>
      <c r="O118" s="425">
        <v>4</v>
      </c>
      <c r="P118" s="425">
        <v>4</v>
      </c>
      <c r="Q118" s="294">
        <v>62.400000000000006</v>
      </c>
      <c r="R118" s="295" t="e">
        <f>IF(K118="nio",0,(K118*Q118)/X118)*VLOOKUP(C118,'2-Uren per locatie'!$B$15:$D$74,3,FALSE)</f>
        <v>#DIV/0!</v>
      </c>
      <c r="S118" s="295" t="e">
        <f>IF(K118="nio",0,(L118*Q118)/Y118)*VLOOKUP(C118,'2-Uren per locatie'!$B$15:$D$74,3,FALSE)</f>
        <v>#DIV/0!</v>
      </c>
      <c r="T118" s="295" t="e">
        <f>IF(K118="nio",0,(M118*Q118)/Z118)*VLOOKUP(C118,'2-Uren per locatie'!$B$15:$D$74,3,FALSE)</f>
        <v>#DIV/0!</v>
      </c>
      <c r="U118" s="295" t="e">
        <f>IF(K118="nio",0,(N118*Q118)/AA118)*VLOOKUP(C118,'2-Uren per locatie'!$B$15:$D$74,3,FALSE)</f>
        <v>#DIV/0!</v>
      </c>
      <c r="V118" s="295" t="e">
        <f>IF(K118="nio",0,(O118*Q118)/Z118)*VLOOKUP(C118,'2-Uren per locatie'!$B$15:$D$74,3,FALSE)</f>
        <v>#DIV/0!</v>
      </c>
      <c r="W118" s="295" t="e">
        <f>IF(K118="nio",0,(P118*Q118)/AA118)*VLOOKUP(C118,'2-Uren per locatie'!$B$15:$D$74,3,FALSE)</f>
        <v>#DIV/0!</v>
      </c>
      <c r="X118" s="485">
        <f>IF(K118="nio",0,IF(K118&gt;0,VLOOKUP(H118,'3-Productie normen'!A:F,VLOOKUP(K118,'3-Productie normen'!$B$29:$C$34,2,FALSE),FALSE)))</f>
        <v>0</v>
      </c>
      <c r="Y118" s="485">
        <f>VLOOKUP(H118,'3-Productie normen'!$A$10:$J$24,8,FALSE)*'3-Ruimtestaat'!X118</f>
        <v>0</v>
      </c>
      <c r="Z118" s="485">
        <f>VLOOKUP(H118,'3-Productie normen'!$A$10:$J$24,9,FALSE)*'3-Ruimtestaat'!X118</f>
        <v>0</v>
      </c>
      <c r="AA118" s="485">
        <f>VLOOKUP(H118,'3-Productie normen'!$A$10:$J$24,10,FALSE)*'3-Ruimtestaat'!X118</f>
        <v>0</v>
      </c>
      <c r="AB118" s="292" t="str">
        <f>IF(H118="",0,VLOOKUP(H118,'3-Productie normen'!$A$10:$N$23,14,FALSE))</f>
        <v>V</v>
      </c>
      <c r="AD118" s="296">
        <f t="shared" si="3"/>
        <v>22776.000000000004</v>
      </c>
      <c r="AE118" s="78"/>
      <c r="AF118" s="297"/>
      <c r="AG118" s="297">
        <f>79+108</f>
        <v>187</v>
      </c>
      <c r="AH118" s="297"/>
      <c r="AI118" s="297"/>
      <c r="AJ118" s="297">
        <v>3</v>
      </c>
      <c r="AK118" s="298"/>
      <c r="AL118" s="298"/>
      <c r="AM118" s="298"/>
      <c r="AN118" s="298"/>
      <c r="AO118" s="299" t="s">
        <v>343</v>
      </c>
    </row>
    <row r="119" spans="1:41" ht="15" customHeight="1">
      <c r="A119" s="254">
        <v>119</v>
      </c>
      <c r="B119" s="253">
        <v>104</v>
      </c>
      <c r="C119" s="240" t="s">
        <v>53</v>
      </c>
      <c r="D119" s="288" t="s">
        <v>50</v>
      </c>
      <c r="E119" s="289" t="s">
        <v>320</v>
      </c>
      <c r="F119" s="239" t="s">
        <v>339</v>
      </c>
      <c r="G119" s="290" t="s">
        <v>211</v>
      </c>
      <c r="H119" s="291" t="s">
        <v>152</v>
      </c>
      <c r="I119" s="239" t="s">
        <v>265</v>
      </c>
      <c r="J119" s="424">
        <f t="shared" si="2"/>
        <v>365</v>
      </c>
      <c r="K119" s="425">
        <v>127</v>
      </c>
      <c r="L119" s="425">
        <v>126</v>
      </c>
      <c r="M119" s="425">
        <v>52</v>
      </c>
      <c r="N119" s="425">
        <v>52</v>
      </c>
      <c r="O119" s="425">
        <v>4</v>
      </c>
      <c r="P119" s="425">
        <v>4</v>
      </c>
      <c r="Q119" s="294">
        <v>28</v>
      </c>
      <c r="R119" s="295" t="e">
        <f>IF(K119="nio",0,(K119*Q119)/X119)*VLOOKUP(C119,'2-Uren per locatie'!$B$15:$D$74,3,FALSE)</f>
        <v>#DIV/0!</v>
      </c>
      <c r="S119" s="295" t="e">
        <f>IF(K119="nio",0,(L119*Q119)/Y119)*VLOOKUP(C119,'2-Uren per locatie'!$B$15:$D$74,3,FALSE)</f>
        <v>#DIV/0!</v>
      </c>
      <c r="T119" s="295" t="e">
        <f>IF(K119="nio",0,(M119*Q119)/Z119)*VLOOKUP(C119,'2-Uren per locatie'!$B$15:$D$74,3,FALSE)</f>
        <v>#DIV/0!</v>
      </c>
      <c r="U119" s="295" t="e">
        <f>IF(K119="nio",0,(N119*Q119)/AA119)*VLOOKUP(C119,'2-Uren per locatie'!$B$15:$D$74,3,FALSE)</f>
        <v>#DIV/0!</v>
      </c>
      <c r="V119" s="295" t="e">
        <f>IF(K119="nio",0,(O119*Q119)/Z119)*VLOOKUP(C119,'2-Uren per locatie'!$B$15:$D$74,3,FALSE)</f>
        <v>#DIV/0!</v>
      </c>
      <c r="W119" s="295" t="e">
        <f>IF(K119="nio",0,(P119*Q119)/AA119)*VLOOKUP(C119,'2-Uren per locatie'!$B$15:$D$74,3,FALSE)</f>
        <v>#DIV/0!</v>
      </c>
      <c r="X119" s="485">
        <f>IF(K119="nio",0,IF(K119&gt;0,VLOOKUP(H119,'3-Productie normen'!A:F,VLOOKUP(K119,'3-Productie normen'!$B$29:$C$34,2,FALSE),FALSE)))</f>
        <v>0</v>
      </c>
      <c r="Y119" s="485">
        <f>VLOOKUP(H119,'3-Productie normen'!$A$10:$J$24,8,FALSE)*'3-Ruimtestaat'!X119</f>
        <v>0</v>
      </c>
      <c r="Z119" s="485">
        <f>VLOOKUP(H119,'3-Productie normen'!$A$10:$J$24,9,FALSE)*'3-Ruimtestaat'!X119</f>
        <v>0</v>
      </c>
      <c r="AA119" s="485">
        <f>VLOOKUP(H119,'3-Productie normen'!$A$10:$J$24,10,FALSE)*'3-Ruimtestaat'!X119</f>
        <v>0</v>
      </c>
      <c r="AB119" s="292" t="str">
        <f>IF(H119="",0,VLOOKUP(H119,'3-Productie normen'!$A$10:$N$23,14,FALSE))</f>
        <v>V</v>
      </c>
      <c r="AD119" s="296">
        <f t="shared" si="3"/>
        <v>10220</v>
      </c>
      <c r="AE119" s="78"/>
      <c r="AF119" s="297"/>
      <c r="AG119" s="297"/>
      <c r="AH119" s="297"/>
      <c r="AI119" s="297"/>
      <c r="AJ119" s="297"/>
      <c r="AK119" s="298"/>
      <c r="AL119" s="298"/>
      <c r="AM119" s="298"/>
      <c r="AN119" s="298"/>
      <c r="AO119" s="299"/>
    </row>
    <row r="120" spans="1:41" ht="15" customHeight="1">
      <c r="A120" s="254">
        <v>120</v>
      </c>
      <c r="B120" s="253">
        <v>104</v>
      </c>
      <c r="C120" s="240" t="s">
        <v>53</v>
      </c>
      <c r="D120" s="288" t="s">
        <v>50</v>
      </c>
      <c r="E120" s="289" t="s">
        <v>320</v>
      </c>
      <c r="F120" s="239" t="s">
        <v>340</v>
      </c>
      <c r="G120" s="290" t="s">
        <v>213</v>
      </c>
      <c r="H120" s="291" t="s">
        <v>155</v>
      </c>
      <c r="I120" s="239" t="s">
        <v>206</v>
      </c>
      <c r="J120" s="424">
        <f t="shared" si="2"/>
        <v>365</v>
      </c>
      <c r="K120" s="425">
        <v>127</v>
      </c>
      <c r="L120" s="425">
        <v>126</v>
      </c>
      <c r="M120" s="425">
        <v>52</v>
      </c>
      <c r="N120" s="425">
        <v>52</v>
      </c>
      <c r="O120" s="425">
        <v>4</v>
      </c>
      <c r="P120" s="425">
        <v>4</v>
      </c>
      <c r="Q120" s="294">
        <v>39</v>
      </c>
      <c r="R120" s="295" t="e">
        <f>IF(K120="nio",0,(K120*Q120)/X120)*VLOOKUP(C120,'2-Uren per locatie'!$B$15:$D$74,3,FALSE)</f>
        <v>#DIV/0!</v>
      </c>
      <c r="S120" s="295" t="e">
        <f>IF(K120="nio",0,(L120*Q120)/Y120)*VLOOKUP(C120,'2-Uren per locatie'!$B$15:$D$74,3,FALSE)</f>
        <v>#DIV/0!</v>
      </c>
      <c r="T120" s="295" t="e">
        <f>IF(K120="nio",0,(M120*Q120)/Z120)*VLOOKUP(C120,'2-Uren per locatie'!$B$15:$D$74,3,FALSE)</f>
        <v>#DIV/0!</v>
      </c>
      <c r="U120" s="295" t="e">
        <f>IF(K120="nio",0,(N120*Q120)/AA120)*VLOOKUP(C120,'2-Uren per locatie'!$B$15:$D$74,3,FALSE)</f>
        <v>#DIV/0!</v>
      </c>
      <c r="V120" s="295" t="e">
        <f>IF(K120="nio",0,(O120*Q120)/Z120)*VLOOKUP(C120,'2-Uren per locatie'!$B$15:$D$74,3,FALSE)</f>
        <v>#DIV/0!</v>
      </c>
      <c r="W120" s="295" t="e">
        <f>IF(K120="nio",0,(P120*Q120)/AA120)*VLOOKUP(C120,'2-Uren per locatie'!$B$15:$D$74,3,FALSE)</f>
        <v>#DIV/0!</v>
      </c>
      <c r="X120" s="485">
        <f>IF(K120="nio",0,IF(K120&gt;0,VLOOKUP(H120,'3-Productie normen'!A:F,VLOOKUP(K120,'3-Productie normen'!$B$29:$C$34,2,FALSE),FALSE)))</f>
        <v>0</v>
      </c>
      <c r="Y120" s="485">
        <f>VLOOKUP(H120,'3-Productie normen'!$A$10:$J$24,8,FALSE)*'3-Ruimtestaat'!X120</f>
        <v>0</v>
      </c>
      <c r="Z120" s="485">
        <f>VLOOKUP(H120,'3-Productie normen'!$A$10:$J$24,9,FALSE)*'3-Ruimtestaat'!X120</f>
        <v>0</v>
      </c>
      <c r="AA120" s="485">
        <f>VLOOKUP(H120,'3-Productie normen'!$A$10:$J$24,10,FALSE)*'3-Ruimtestaat'!X120</f>
        <v>0</v>
      </c>
      <c r="AB120" s="292" t="str">
        <f>IF(H120="",0,VLOOKUP(H120,'3-Productie normen'!$A$10:$N$23,14,FALSE))</f>
        <v>V</v>
      </c>
      <c r="AD120" s="296">
        <f t="shared" si="3"/>
        <v>14235</v>
      </c>
      <c r="AE120" s="78"/>
      <c r="AF120" s="297"/>
      <c r="AG120" s="297">
        <f>111+31</f>
        <v>142</v>
      </c>
      <c r="AH120" s="297"/>
      <c r="AI120" s="297"/>
      <c r="AJ120" s="297"/>
      <c r="AK120" s="298"/>
      <c r="AL120" s="298"/>
      <c r="AM120" s="298">
        <v>50</v>
      </c>
      <c r="AN120" s="298"/>
      <c r="AO120" s="299" t="s">
        <v>344</v>
      </c>
    </row>
    <row r="121" spans="1:41" ht="15" customHeight="1">
      <c r="A121" s="254">
        <v>121</v>
      </c>
      <c r="B121" s="253">
        <v>104</v>
      </c>
      <c r="C121" s="240" t="s">
        <v>53</v>
      </c>
      <c r="D121" s="288" t="s">
        <v>50</v>
      </c>
      <c r="E121" s="289" t="s">
        <v>320</v>
      </c>
      <c r="F121" s="239" t="s">
        <v>345</v>
      </c>
      <c r="G121" s="290" t="s">
        <v>215</v>
      </c>
      <c r="H121" s="291" t="s">
        <v>155</v>
      </c>
      <c r="I121" s="239" t="s">
        <v>206</v>
      </c>
      <c r="J121" s="424">
        <f t="shared" si="2"/>
        <v>365</v>
      </c>
      <c r="K121" s="425">
        <v>127</v>
      </c>
      <c r="L121" s="425">
        <v>126</v>
      </c>
      <c r="M121" s="425">
        <v>52</v>
      </c>
      <c r="N121" s="425">
        <v>52</v>
      </c>
      <c r="O121" s="425">
        <v>4</v>
      </c>
      <c r="P121" s="425">
        <v>4</v>
      </c>
      <c r="Q121" s="294">
        <v>84.5</v>
      </c>
      <c r="R121" s="295" t="e">
        <f>IF(K121="nio",0,(K121*Q121)/X121)*VLOOKUP(C121,'2-Uren per locatie'!$B$15:$D$74,3,FALSE)</f>
        <v>#DIV/0!</v>
      </c>
      <c r="S121" s="295" t="e">
        <f>IF(K121="nio",0,(L121*Q121)/Y121)*VLOOKUP(C121,'2-Uren per locatie'!$B$15:$D$74,3,FALSE)</f>
        <v>#DIV/0!</v>
      </c>
      <c r="T121" s="295" t="e">
        <f>IF(K121="nio",0,(M121*Q121)/Z121)*VLOOKUP(C121,'2-Uren per locatie'!$B$15:$D$74,3,FALSE)</f>
        <v>#DIV/0!</v>
      </c>
      <c r="U121" s="295" t="e">
        <f>IF(K121="nio",0,(N121*Q121)/AA121)*VLOOKUP(C121,'2-Uren per locatie'!$B$15:$D$74,3,FALSE)</f>
        <v>#DIV/0!</v>
      </c>
      <c r="V121" s="295" t="e">
        <f>IF(K121="nio",0,(O121*Q121)/Z121)*VLOOKUP(C121,'2-Uren per locatie'!$B$15:$D$74,3,FALSE)</f>
        <v>#DIV/0!</v>
      </c>
      <c r="W121" s="295" t="e">
        <f>IF(K121="nio",0,(P121*Q121)/AA121)*VLOOKUP(C121,'2-Uren per locatie'!$B$15:$D$74,3,FALSE)</f>
        <v>#DIV/0!</v>
      </c>
      <c r="X121" s="485">
        <f>IF(K121="nio",0,IF(K121&gt;0,VLOOKUP(H121,'3-Productie normen'!A:F,VLOOKUP(K121,'3-Productie normen'!$B$29:$C$34,2,FALSE),FALSE)))</f>
        <v>0</v>
      </c>
      <c r="Y121" s="485">
        <f>VLOOKUP(H121,'3-Productie normen'!$A$10:$J$24,8,FALSE)*'3-Ruimtestaat'!X121</f>
        <v>0</v>
      </c>
      <c r="Z121" s="485">
        <f>VLOOKUP(H121,'3-Productie normen'!$A$10:$J$24,9,FALSE)*'3-Ruimtestaat'!X121</f>
        <v>0</v>
      </c>
      <c r="AA121" s="485">
        <f>VLOOKUP(H121,'3-Productie normen'!$A$10:$J$24,10,FALSE)*'3-Ruimtestaat'!X121</f>
        <v>0</v>
      </c>
      <c r="AB121" s="292" t="str">
        <f>IF(H121="",0,VLOOKUP(H121,'3-Productie normen'!$A$10:$N$23,14,FALSE))</f>
        <v>V</v>
      </c>
      <c r="AD121" s="296">
        <f t="shared" si="3"/>
        <v>30842.5</v>
      </c>
      <c r="AE121" s="78"/>
      <c r="AF121" s="297"/>
      <c r="AG121" s="297">
        <f>156</f>
        <v>156</v>
      </c>
      <c r="AH121" s="297"/>
      <c r="AI121" s="297"/>
      <c r="AJ121" s="297"/>
      <c r="AK121" s="298"/>
      <c r="AL121" s="298"/>
      <c r="AM121" s="298"/>
      <c r="AN121" s="298"/>
      <c r="AO121" s="299"/>
    </row>
    <row r="122" spans="1:41" ht="15" customHeight="1">
      <c r="A122" s="254">
        <v>122</v>
      </c>
      <c r="B122" s="253">
        <v>104</v>
      </c>
      <c r="C122" s="240" t="s">
        <v>53</v>
      </c>
      <c r="D122" s="288" t="s">
        <v>50</v>
      </c>
      <c r="E122" s="289" t="s">
        <v>320</v>
      </c>
      <c r="F122" s="239" t="s">
        <v>340</v>
      </c>
      <c r="G122" s="290" t="s">
        <v>217</v>
      </c>
      <c r="H122" s="291" t="s">
        <v>155</v>
      </c>
      <c r="I122" s="239" t="s">
        <v>206</v>
      </c>
      <c r="J122" s="424">
        <f t="shared" si="2"/>
        <v>365</v>
      </c>
      <c r="K122" s="425">
        <v>127</v>
      </c>
      <c r="L122" s="425">
        <v>126</v>
      </c>
      <c r="M122" s="425">
        <v>52</v>
      </c>
      <c r="N122" s="425">
        <v>52</v>
      </c>
      <c r="O122" s="425">
        <v>4</v>
      </c>
      <c r="P122" s="425">
        <v>4</v>
      </c>
      <c r="Q122" s="294">
        <v>72.8</v>
      </c>
      <c r="R122" s="295" t="e">
        <f>IF(K122="nio",0,(K122*Q122)/X122)*VLOOKUP(C122,'2-Uren per locatie'!$B$15:$D$74,3,FALSE)</f>
        <v>#DIV/0!</v>
      </c>
      <c r="S122" s="295" t="e">
        <f>IF(K122="nio",0,(L122*Q122)/Y122)*VLOOKUP(C122,'2-Uren per locatie'!$B$15:$D$74,3,FALSE)</f>
        <v>#DIV/0!</v>
      </c>
      <c r="T122" s="295" t="e">
        <f>IF(K122="nio",0,(M122*Q122)/Z122)*VLOOKUP(C122,'2-Uren per locatie'!$B$15:$D$74,3,FALSE)</f>
        <v>#DIV/0!</v>
      </c>
      <c r="U122" s="295" t="e">
        <f>IF(K122="nio",0,(N122*Q122)/AA122)*VLOOKUP(C122,'2-Uren per locatie'!$B$15:$D$74,3,FALSE)</f>
        <v>#DIV/0!</v>
      </c>
      <c r="V122" s="295" t="e">
        <f>IF(K122="nio",0,(O122*Q122)/Z122)*VLOOKUP(C122,'2-Uren per locatie'!$B$15:$D$74,3,FALSE)</f>
        <v>#DIV/0!</v>
      </c>
      <c r="W122" s="295" t="e">
        <f>IF(K122="nio",0,(P122*Q122)/AA122)*VLOOKUP(C122,'2-Uren per locatie'!$B$15:$D$74,3,FALSE)</f>
        <v>#DIV/0!</v>
      </c>
      <c r="X122" s="485">
        <f>IF(K122="nio",0,IF(K122&gt;0,VLOOKUP(H122,'3-Productie normen'!A:F,VLOOKUP(K122,'3-Productie normen'!$B$29:$C$34,2,FALSE),FALSE)))</f>
        <v>0</v>
      </c>
      <c r="Y122" s="485">
        <f>VLOOKUP(H122,'3-Productie normen'!$A$10:$J$24,8,FALSE)*'3-Ruimtestaat'!X122</f>
        <v>0</v>
      </c>
      <c r="Z122" s="485">
        <f>VLOOKUP(H122,'3-Productie normen'!$A$10:$J$24,9,FALSE)*'3-Ruimtestaat'!X122</f>
        <v>0</v>
      </c>
      <c r="AA122" s="485">
        <f>VLOOKUP(H122,'3-Productie normen'!$A$10:$J$24,10,FALSE)*'3-Ruimtestaat'!X122</f>
        <v>0</v>
      </c>
      <c r="AB122" s="292" t="str">
        <f>IF(H122="",0,VLOOKUP(H122,'3-Productie normen'!$A$10:$N$23,14,FALSE))</f>
        <v>V</v>
      </c>
      <c r="AD122" s="296">
        <f t="shared" si="3"/>
        <v>26572</v>
      </c>
      <c r="AE122" s="78"/>
      <c r="AF122" s="297"/>
      <c r="AG122" s="297">
        <v>95</v>
      </c>
      <c r="AH122" s="297"/>
      <c r="AI122" s="297"/>
      <c r="AJ122" s="297"/>
      <c r="AK122" s="298"/>
      <c r="AL122" s="298"/>
      <c r="AM122" s="298">
        <v>29</v>
      </c>
      <c r="AN122" s="298"/>
      <c r="AO122" s="299"/>
    </row>
    <row r="123" spans="1:41" ht="15" customHeight="1">
      <c r="A123" s="254">
        <v>123</v>
      </c>
      <c r="B123" s="253">
        <v>104</v>
      </c>
      <c r="C123" s="240" t="s">
        <v>53</v>
      </c>
      <c r="D123" s="288" t="s">
        <v>50</v>
      </c>
      <c r="E123" s="289" t="s">
        <v>320</v>
      </c>
      <c r="F123" s="239" t="s">
        <v>340</v>
      </c>
      <c r="G123" s="290" t="s">
        <v>218</v>
      </c>
      <c r="H123" s="291" t="s">
        <v>155</v>
      </c>
      <c r="I123" s="239" t="s">
        <v>206</v>
      </c>
      <c r="J123" s="424">
        <f t="shared" si="2"/>
        <v>365</v>
      </c>
      <c r="K123" s="425">
        <v>127</v>
      </c>
      <c r="L123" s="425">
        <v>126</v>
      </c>
      <c r="M123" s="425">
        <v>52</v>
      </c>
      <c r="N123" s="425">
        <v>52</v>
      </c>
      <c r="O123" s="425">
        <v>4</v>
      </c>
      <c r="P123" s="425">
        <v>4</v>
      </c>
      <c r="Q123" s="294">
        <v>42.9</v>
      </c>
      <c r="R123" s="295" t="e">
        <f>IF(K123="nio",0,(K123*Q123)/X123)*VLOOKUP(C123,'2-Uren per locatie'!$B$15:$D$74,3,FALSE)</f>
        <v>#DIV/0!</v>
      </c>
      <c r="S123" s="295" t="e">
        <f>IF(K123="nio",0,(L123*Q123)/Y123)*VLOOKUP(C123,'2-Uren per locatie'!$B$15:$D$74,3,FALSE)</f>
        <v>#DIV/0!</v>
      </c>
      <c r="T123" s="295" t="e">
        <f>IF(K123="nio",0,(M123*Q123)/Z123)*VLOOKUP(C123,'2-Uren per locatie'!$B$15:$D$74,3,FALSE)</f>
        <v>#DIV/0!</v>
      </c>
      <c r="U123" s="295" t="e">
        <f>IF(K123="nio",0,(N123*Q123)/AA123)*VLOOKUP(C123,'2-Uren per locatie'!$B$15:$D$74,3,FALSE)</f>
        <v>#DIV/0!</v>
      </c>
      <c r="V123" s="295" t="e">
        <f>IF(K123="nio",0,(O123*Q123)/Z123)*VLOOKUP(C123,'2-Uren per locatie'!$B$15:$D$74,3,FALSE)</f>
        <v>#DIV/0!</v>
      </c>
      <c r="W123" s="295" t="e">
        <f>IF(K123="nio",0,(P123*Q123)/AA123)*VLOOKUP(C123,'2-Uren per locatie'!$B$15:$D$74,3,FALSE)</f>
        <v>#DIV/0!</v>
      </c>
      <c r="X123" s="485">
        <f>IF(K123="nio",0,IF(K123&gt;0,VLOOKUP(H123,'3-Productie normen'!A:F,VLOOKUP(K123,'3-Productie normen'!$B$29:$C$34,2,FALSE),FALSE)))</f>
        <v>0</v>
      </c>
      <c r="Y123" s="485">
        <f>VLOOKUP(H123,'3-Productie normen'!$A$10:$J$24,8,FALSE)*'3-Ruimtestaat'!X123</f>
        <v>0</v>
      </c>
      <c r="Z123" s="485">
        <f>VLOOKUP(H123,'3-Productie normen'!$A$10:$J$24,9,FALSE)*'3-Ruimtestaat'!X123</f>
        <v>0</v>
      </c>
      <c r="AA123" s="485">
        <f>VLOOKUP(H123,'3-Productie normen'!$A$10:$J$24,10,FALSE)*'3-Ruimtestaat'!X123</f>
        <v>0</v>
      </c>
      <c r="AB123" s="292" t="str">
        <f>IF(H123="",0,VLOOKUP(H123,'3-Productie normen'!$A$10:$N$23,14,FALSE))</f>
        <v>V</v>
      </c>
      <c r="AD123" s="296">
        <f t="shared" si="3"/>
        <v>15658.5</v>
      </c>
      <c r="AE123" s="78"/>
      <c r="AF123" s="297"/>
      <c r="AG123" s="297">
        <f>95+78</f>
        <v>173</v>
      </c>
      <c r="AH123" s="297"/>
      <c r="AI123" s="297"/>
      <c r="AJ123" s="297"/>
      <c r="AK123" s="298"/>
      <c r="AL123" s="298"/>
      <c r="AM123" s="298">
        <v>70</v>
      </c>
      <c r="AN123" s="298"/>
      <c r="AO123" s="299" t="s">
        <v>346</v>
      </c>
    </row>
    <row r="124" spans="1:41" ht="15" customHeight="1">
      <c r="A124" s="254">
        <v>124</v>
      </c>
      <c r="B124" s="253">
        <v>104</v>
      </c>
      <c r="C124" s="240" t="s">
        <v>53</v>
      </c>
      <c r="D124" s="288" t="s">
        <v>50</v>
      </c>
      <c r="E124" s="289" t="s">
        <v>320</v>
      </c>
      <c r="F124" s="239" t="s">
        <v>339</v>
      </c>
      <c r="G124" s="290" t="s">
        <v>219</v>
      </c>
      <c r="H124" s="291" t="s">
        <v>152</v>
      </c>
      <c r="I124" s="239" t="s">
        <v>265</v>
      </c>
      <c r="J124" s="424">
        <f t="shared" si="2"/>
        <v>365</v>
      </c>
      <c r="K124" s="425">
        <v>127</v>
      </c>
      <c r="L124" s="425">
        <v>126</v>
      </c>
      <c r="M124" s="425">
        <v>52</v>
      </c>
      <c r="N124" s="425">
        <v>52</v>
      </c>
      <c r="O124" s="425">
        <v>4</v>
      </c>
      <c r="P124" s="425">
        <v>4</v>
      </c>
      <c r="Q124" s="294">
        <v>32</v>
      </c>
      <c r="R124" s="295" t="e">
        <f>IF(K124="nio",0,(K124*Q124)/X124)*VLOOKUP(C124,'2-Uren per locatie'!$B$15:$D$74,3,FALSE)</f>
        <v>#DIV/0!</v>
      </c>
      <c r="S124" s="295" t="e">
        <f>IF(K124="nio",0,(L124*Q124)/Y124)*VLOOKUP(C124,'2-Uren per locatie'!$B$15:$D$74,3,FALSE)</f>
        <v>#DIV/0!</v>
      </c>
      <c r="T124" s="295" t="e">
        <f>IF(K124="nio",0,(M124*Q124)/Z124)*VLOOKUP(C124,'2-Uren per locatie'!$B$15:$D$74,3,FALSE)</f>
        <v>#DIV/0!</v>
      </c>
      <c r="U124" s="295" t="e">
        <f>IF(K124="nio",0,(N124*Q124)/AA124)*VLOOKUP(C124,'2-Uren per locatie'!$B$15:$D$74,3,FALSE)</f>
        <v>#DIV/0!</v>
      </c>
      <c r="V124" s="295" t="e">
        <f>IF(K124="nio",0,(O124*Q124)/Z124)*VLOOKUP(C124,'2-Uren per locatie'!$B$15:$D$74,3,FALSE)</f>
        <v>#DIV/0!</v>
      </c>
      <c r="W124" s="295" t="e">
        <f>IF(K124="nio",0,(P124*Q124)/AA124)*VLOOKUP(C124,'2-Uren per locatie'!$B$15:$D$74,3,FALSE)</f>
        <v>#DIV/0!</v>
      </c>
      <c r="X124" s="485">
        <f>IF(K124="nio",0,IF(K124&gt;0,VLOOKUP(H124,'3-Productie normen'!A:F,VLOOKUP(K124,'3-Productie normen'!$B$29:$C$34,2,FALSE),FALSE)))</f>
        <v>0</v>
      </c>
      <c r="Y124" s="485">
        <f>VLOOKUP(H124,'3-Productie normen'!$A$10:$J$24,8,FALSE)*'3-Ruimtestaat'!X124</f>
        <v>0</v>
      </c>
      <c r="Z124" s="485">
        <f>VLOOKUP(H124,'3-Productie normen'!$A$10:$J$24,9,FALSE)*'3-Ruimtestaat'!X124</f>
        <v>0</v>
      </c>
      <c r="AA124" s="485">
        <f>VLOOKUP(H124,'3-Productie normen'!$A$10:$J$24,10,FALSE)*'3-Ruimtestaat'!X124</f>
        <v>0</v>
      </c>
      <c r="AB124" s="292" t="str">
        <f>IF(H124="",0,VLOOKUP(H124,'3-Productie normen'!$A$10:$N$23,14,FALSE))</f>
        <v>V</v>
      </c>
      <c r="AD124" s="296">
        <f t="shared" si="3"/>
        <v>11680</v>
      </c>
      <c r="AE124" s="78"/>
      <c r="AF124" s="297"/>
      <c r="AG124" s="297"/>
      <c r="AH124" s="297"/>
      <c r="AI124" s="297"/>
      <c r="AJ124" s="297"/>
      <c r="AK124" s="298"/>
      <c r="AL124" s="298"/>
      <c r="AM124" s="298"/>
      <c r="AN124" s="298"/>
      <c r="AO124" s="299"/>
    </row>
    <row r="125" spans="1:41" ht="15" customHeight="1">
      <c r="A125" s="254">
        <v>125</v>
      </c>
      <c r="B125" s="253">
        <v>104</v>
      </c>
      <c r="C125" s="240" t="s">
        <v>53</v>
      </c>
      <c r="D125" s="288" t="s">
        <v>50</v>
      </c>
      <c r="E125" s="289" t="s">
        <v>320</v>
      </c>
      <c r="F125" s="239" t="s">
        <v>214</v>
      </c>
      <c r="G125" s="290" t="s">
        <v>290</v>
      </c>
      <c r="H125" s="291" t="s">
        <v>152</v>
      </c>
      <c r="I125" s="239" t="s">
        <v>265</v>
      </c>
      <c r="J125" s="424">
        <f t="shared" si="2"/>
        <v>365</v>
      </c>
      <c r="K125" s="425">
        <v>127</v>
      </c>
      <c r="L125" s="425">
        <v>126</v>
      </c>
      <c r="M125" s="425">
        <v>52</v>
      </c>
      <c r="N125" s="425">
        <v>52</v>
      </c>
      <c r="O125" s="425">
        <v>4</v>
      </c>
      <c r="P125" s="425">
        <v>4</v>
      </c>
      <c r="Q125" s="294">
        <v>21</v>
      </c>
      <c r="R125" s="295" t="e">
        <f>IF(K125="nio",0,(K125*Q125)/X125)*VLOOKUP(C125,'2-Uren per locatie'!$B$15:$D$74,3,FALSE)</f>
        <v>#DIV/0!</v>
      </c>
      <c r="S125" s="295" t="e">
        <f>IF(K125="nio",0,(L125*Q125)/Y125)*VLOOKUP(C125,'2-Uren per locatie'!$B$15:$D$74,3,FALSE)</f>
        <v>#DIV/0!</v>
      </c>
      <c r="T125" s="295" t="e">
        <f>IF(K125="nio",0,(M125*Q125)/Z125)*VLOOKUP(C125,'2-Uren per locatie'!$B$15:$D$74,3,FALSE)</f>
        <v>#DIV/0!</v>
      </c>
      <c r="U125" s="295" t="e">
        <f>IF(K125="nio",0,(N125*Q125)/AA125)*VLOOKUP(C125,'2-Uren per locatie'!$B$15:$D$74,3,FALSE)</f>
        <v>#DIV/0!</v>
      </c>
      <c r="V125" s="295" t="e">
        <f>IF(K125="nio",0,(O125*Q125)/Z125)*VLOOKUP(C125,'2-Uren per locatie'!$B$15:$D$74,3,FALSE)</f>
        <v>#DIV/0!</v>
      </c>
      <c r="W125" s="295" t="e">
        <f>IF(K125="nio",0,(P125*Q125)/AA125)*VLOOKUP(C125,'2-Uren per locatie'!$B$15:$D$74,3,FALSE)</f>
        <v>#DIV/0!</v>
      </c>
      <c r="X125" s="485">
        <f>IF(K125="nio",0,IF(K125&gt;0,VLOOKUP(H125,'3-Productie normen'!A:F,VLOOKUP(K125,'3-Productie normen'!$B$29:$C$34,2,FALSE),FALSE)))</f>
        <v>0</v>
      </c>
      <c r="Y125" s="485">
        <f>VLOOKUP(H125,'3-Productie normen'!$A$10:$J$24,8,FALSE)*'3-Ruimtestaat'!X125</f>
        <v>0</v>
      </c>
      <c r="Z125" s="485">
        <f>VLOOKUP(H125,'3-Productie normen'!$A$10:$J$24,9,FALSE)*'3-Ruimtestaat'!X125</f>
        <v>0</v>
      </c>
      <c r="AA125" s="485">
        <f>VLOOKUP(H125,'3-Productie normen'!$A$10:$J$24,10,FALSE)*'3-Ruimtestaat'!X125</f>
        <v>0</v>
      </c>
      <c r="AB125" s="292" t="str">
        <f>IF(H125="",0,VLOOKUP(H125,'3-Productie normen'!$A$10:$N$23,14,FALSE))</f>
        <v>V</v>
      </c>
      <c r="AD125" s="296">
        <f t="shared" si="3"/>
        <v>7665</v>
      </c>
      <c r="AE125" s="78"/>
      <c r="AF125" s="297"/>
      <c r="AG125" s="297"/>
      <c r="AH125" s="297"/>
      <c r="AI125" s="297"/>
      <c r="AJ125" s="297"/>
      <c r="AK125" s="298"/>
      <c r="AL125" s="298"/>
      <c r="AM125" s="298"/>
      <c r="AN125" s="298"/>
      <c r="AO125" s="299"/>
    </row>
    <row r="126" spans="1:41" ht="15" customHeight="1">
      <c r="A126" s="254">
        <v>126</v>
      </c>
      <c r="B126" s="253">
        <v>104</v>
      </c>
      <c r="C126" s="240" t="s">
        <v>53</v>
      </c>
      <c r="D126" s="288" t="s">
        <v>50</v>
      </c>
      <c r="E126" s="289" t="s">
        <v>320</v>
      </c>
      <c r="F126" s="239" t="s">
        <v>212</v>
      </c>
      <c r="G126" s="290" t="s">
        <v>220</v>
      </c>
      <c r="H126" s="291" t="s">
        <v>155</v>
      </c>
      <c r="I126" s="239" t="s">
        <v>206</v>
      </c>
      <c r="J126" s="424">
        <f t="shared" si="2"/>
        <v>365</v>
      </c>
      <c r="K126" s="425">
        <v>127</v>
      </c>
      <c r="L126" s="425">
        <v>126</v>
      </c>
      <c r="M126" s="425">
        <v>52</v>
      </c>
      <c r="N126" s="425">
        <v>52</v>
      </c>
      <c r="O126" s="425">
        <v>4</v>
      </c>
      <c r="P126" s="425">
        <v>4</v>
      </c>
      <c r="Q126" s="294">
        <v>36.243999999999993</v>
      </c>
      <c r="R126" s="295" t="e">
        <f>IF(K126="nio",0,(K126*Q126)/X126)*VLOOKUP(C126,'2-Uren per locatie'!$B$15:$D$74,3,FALSE)</f>
        <v>#DIV/0!</v>
      </c>
      <c r="S126" s="295" t="e">
        <f>IF(K126="nio",0,(L126*Q126)/Y126)*VLOOKUP(C126,'2-Uren per locatie'!$B$15:$D$74,3,FALSE)</f>
        <v>#DIV/0!</v>
      </c>
      <c r="T126" s="295" t="e">
        <f>IF(K126="nio",0,(M126*Q126)/Z126)*VLOOKUP(C126,'2-Uren per locatie'!$B$15:$D$74,3,FALSE)</f>
        <v>#DIV/0!</v>
      </c>
      <c r="U126" s="295" t="e">
        <f>IF(K126="nio",0,(N126*Q126)/AA126)*VLOOKUP(C126,'2-Uren per locatie'!$B$15:$D$74,3,FALSE)</f>
        <v>#DIV/0!</v>
      </c>
      <c r="V126" s="295" t="e">
        <f>IF(K126="nio",0,(O126*Q126)/Z126)*VLOOKUP(C126,'2-Uren per locatie'!$B$15:$D$74,3,FALSE)</f>
        <v>#DIV/0!</v>
      </c>
      <c r="W126" s="295" t="e">
        <f>IF(K126="nio",0,(P126*Q126)/AA126)*VLOOKUP(C126,'2-Uren per locatie'!$B$15:$D$74,3,FALSE)</f>
        <v>#DIV/0!</v>
      </c>
      <c r="X126" s="485">
        <f>IF(K126="nio",0,IF(K126&gt;0,VLOOKUP(H126,'3-Productie normen'!A:F,VLOOKUP(K126,'3-Productie normen'!$B$29:$C$34,2,FALSE),FALSE)))</f>
        <v>0</v>
      </c>
      <c r="Y126" s="485">
        <f>VLOOKUP(H126,'3-Productie normen'!$A$10:$J$24,8,FALSE)*'3-Ruimtestaat'!X126</f>
        <v>0</v>
      </c>
      <c r="Z126" s="485">
        <f>VLOOKUP(H126,'3-Productie normen'!$A$10:$J$24,9,FALSE)*'3-Ruimtestaat'!X126</f>
        <v>0</v>
      </c>
      <c r="AA126" s="485">
        <f>VLOOKUP(H126,'3-Productie normen'!$A$10:$J$24,10,FALSE)*'3-Ruimtestaat'!X126</f>
        <v>0</v>
      </c>
      <c r="AB126" s="292" t="str">
        <f>IF(H126="",0,VLOOKUP(H126,'3-Productie normen'!$A$10:$N$23,14,FALSE))</f>
        <v>V</v>
      </c>
      <c r="AD126" s="296">
        <f t="shared" si="3"/>
        <v>13229.059999999998</v>
      </c>
      <c r="AE126" s="78"/>
      <c r="AF126" s="297"/>
      <c r="AG126" s="297"/>
      <c r="AH126" s="297"/>
      <c r="AI126" s="297"/>
      <c r="AJ126" s="297"/>
      <c r="AK126" s="298"/>
      <c r="AL126" s="298"/>
      <c r="AM126" s="298"/>
      <c r="AN126" s="298"/>
      <c r="AO126" s="299"/>
    </row>
    <row r="127" spans="1:41" ht="15" customHeight="1">
      <c r="A127" s="254">
        <v>127</v>
      </c>
      <c r="B127" s="253">
        <v>104</v>
      </c>
      <c r="C127" s="240" t="s">
        <v>53</v>
      </c>
      <c r="D127" s="288" t="s">
        <v>50</v>
      </c>
      <c r="E127" s="289" t="s">
        <v>320</v>
      </c>
      <c r="F127" s="239" t="s">
        <v>347</v>
      </c>
      <c r="G127" s="290" t="s">
        <v>225</v>
      </c>
      <c r="H127" s="291" t="s">
        <v>152</v>
      </c>
      <c r="I127" s="239" t="s">
        <v>265</v>
      </c>
      <c r="J127" s="424">
        <f t="shared" si="2"/>
        <v>365</v>
      </c>
      <c r="K127" s="425">
        <v>127</v>
      </c>
      <c r="L127" s="425">
        <v>126</v>
      </c>
      <c r="M127" s="425">
        <v>52</v>
      </c>
      <c r="N127" s="425">
        <v>52</v>
      </c>
      <c r="O127" s="425">
        <v>4</v>
      </c>
      <c r="P127" s="425">
        <v>4</v>
      </c>
      <c r="Q127" s="294">
        <v>21</v>
      </c>
      <c r="R127" s="295" t="e">
        <f>IF(K127="nio",0,(K127*Q127)/X127)*VLOOKUP(C127,'2-Uren per locatie'!$B$15:$D$74,3,FALSE)</f>
        <v>#DIV/0!</v>
      </c>
      <c r="S127" s="295" t="e">
        <f>IF(K127="nio",0,(L127*Q127)/Y127)*VLOOKUP(C127,'2-Uren per locatie'!$B$15:$D$74,3,FALSE)</f>
        <v>#DIV/0!</v>
      </c>
      <c r="T127" s="295" t="e">
        <f>IF(K127="nio",0,(M127*Q127)/Z127)*VLOOKUP(C127,'2-Uren per locatie'!$B$15:$D$74,3,FALSE)</f>
        <v>#DIV/0!</v>
      </c>
      <c r="U127" s="295" t="e">
        <f>IF(K127="nio",0,(N127*Q127)/AA127)*VLOOKUP(C127,'2-Uren per locatie'!$B$15:$D$74,3,FALSE)</f>
        <v>#DIV/0!</v>
      </c>
      <c r="V127" s="295" t="e">
        <f>IF(K127="nio",0,(O127*Q127)/Z127)*VLOOKUP(C127,'2-Uren per locatie'!$B$15:$D$74,3,FALSE)</f>
        <v>#DIV/0!</v>
      </c>
      <c r="W127" s="295" t="e">
        <f>IF(K127="nio",0,(P127*Q127)/AA127)*VLOOKUP(C127,'2-Uren per locatie'!$B$15:$D$74,3,FALSE)</f>
        <v>#DIV/0!</v>
      </c>
      <c r="X127" s="485">
        <f>IF(K127="nio",0,IF(K127&gt;0,VLOOKUP(H127,'3-Productie normen'!A:F,VLOOKUP(K127,'3-Productie normen'!$B$29:$C$34,2,FALSE),FALSE)))</f>
        <v>0</v>
      </c>
      <c r="Y127" s="485">
        <f>VLOOKUP(H127,'3-Productie normen'!$A$10:$J$24,8,FALSE)*'3-Ruimtestaat'!X127</f>
        <v>0</v>
      </c>
      <c r="Z127" s="485">
        <f>VLOOKUP(H127,'3-Productie normen'!$A$10:$J$24,9,FALSE)*'3-Ruimtestaat'!X127</f>
        <v>0</v>
      </c>
      <c r="AA127" s="485">
        <f>VLOOKUP(H127,'3-Productie normen'!$A$10:$J$24,10,FALSE)*'3-Ruimtestaat'!X127</f>
        <v>0</v>
      </c>
      <c r="AB127" s="292" t="str">
        <f>IF(H127="",0,VLOOKUP(H127,'3-Productie normen'!$A$10:$N$23,14,FALSE))</f>
        <v>V</v>
      </c>
      <c r="AD127" s="296">
        <f t="shared" si="3"/>
        <v>7665</v>
      </c>
      <c r="AE127" s="78"/>
      <c r="AF127" s="297"/>
      <c r="AG127" s="297"/>
      <c r="AH127" s="297"/>
      <c r="AI127" s="297"/>
      <c r="AJ127" s="297"/>
      <c r="AK127" s="298"/>
      <c r="AL127" s="298"/>
      <c r="AM127" s="298"/>
      <c r="AN127" s="298"/>
      <c r="AO127" s="299"/>
    </row>
    <row r="128" spans="1:41" ht="15" customHeight="1">
      <c r="A128" s="254">
        <v>128</v>
      </c>
      <c r="B128" s="253">
        <v>104</v>
      </c>
      <c r="C128" s="240" t="s">
        <v>53</v>
      </c>
      <c r="D128" s="288" t="s">
        <v>50</v>
      </c>
      <c r="E128" s="289" t="s">
        <v>320</v>
      </c>
      <c r="F128" s="239" t="s">
        <v>212</v>
      </c>
      <c r="G128" s="290" t="s">
        <v>227</v>
      </c>
      <c r="H128" s="291" t="s">
        <v>155</v>
      </c>
      <c r="I128" s="239" t="s">
        <v>206</v>
      </c>
      <c r="J128" s="424">
        <f t="shared" si="2"/>
        <v>365</v>
      </c>
      <c r="K128" s="425">
        <v>127</v>
      </c>
      <c r="L128" s="425">
        <v>126</v>
      </c>
      <c r="M128" s="425">
        <v>52</v>
      </c>
      <c r="N128" s="425">
        <v>52</v>
      </c>
      <c r="O128" s="425">
        <v>4</v>
      </c>
      <c r="P128" s="425">
        <v>4</v>
      </c>
      <c r="Q128" s="294">
        <v>36.4</v>
      </c>
      <c r="R128" s="295" t="e">
        <f>IF(K128="nio",0,(K128*Q128)/X128)*VLOOKUP(C128,'2-Uren per locatie'!$B$15:$D$74,3,FALSE)</f>
        <v>#DIV/0!</v>
      </c>
      <c r="S128" s="295" t="e">
        <f>IF(K128="nio",0,(L128*Q128)/Y128)*VLOOKUP(C128,'2-Uren per locatie'!$B$15:$D$74,3,FALSE)</f>
        <v>#DIV/0!</v>
      </c>
      <c r="T128" s="295" t="e">
        <f>IF(K128="nio",0,(M128*Q128)/Z128)*VLOOKUP(C128,'2-Uren per locatie'!$B$15:$D$74,3,FALSE)</f>
        <v>#DIV/0!</v>
      </c>
      <c r="U128" s="295" t="e">
        <f>IF(K128="nio",0,(N128*Q128)/AA128)*VLOOKUP(C128,'2-Uren per locatie'!$B$15:$D$74,3,FALSE)</f>
        <v>#DIV/0!</v>
      </c>
      <c r="V128" s="295" t="e">
        <f>IF(K128="nio",0,(O128*Q128)/Z128)*VLOOKUP(C128,'2-Uren per locatie'!$B$15:$D$74,3,FALSE)</f>
        <v>#DIV/0!</v>
      </c>
      <c r="W128" s="295" t="e">
        <f>IF(K128="nio",0,(P128*Q128)/AA128)*VLOOKUP(C128,'2-Uren per locatie'!$B$15:$D$74,3,FALSE)</f>
        <v>#DIV/0!</v>
      </c>
      <c r="X128" s="485">
        <f>IF(K128="nio",0,IF(K128&gt;0,VLOOKUP(H128,'3-Productie normen'!A:F,VLOOKUP(K128,'3-Productie normen'!$B$29:$C$34,2,FALSE),FALSE)))</f>
        <v>0</v>
      </c>
      <c r="Y128" s="485">
        <f>VLOOKUP(H128,'3-Productie normen'!$A$10:$J$24,8,FALSE)*'3-Ruimtestaat'!X128</f>
        <v>0</v>
      </c>
      <c r="Z128" s="485">
        <f>VLOOKUP(H128,'3-Productie normen'!$A$10:$J$24,9,FALSE)*'3-Ruimtestaat'!X128</f>
        <v>0</v>
      </c>
      <c r="AA128" s="485">
        <f>VLOOKUP(H128,'3-Productie normen'!$A$10:$J$24,10,FALSE)*'3-Ruimtestaat'!X128</f>
        <v>0</v>
      </c>
      <c r="AB128" s="292" t="str">
        <f>IF(H128="",0,VLOOKUP(H128,'3-Productie normen'!$A$10:$N$23,14,FALSE))</f>
        <v>V</v>
      </c>
      <c r="AD128" s="296">
        <f t="shared" si="3"/>
        <v>13286</v>
      </c>
      <c r="AE128" s="78"/>
      <c r="AF128" s="297"/>
      <c r="AG128" s="297"/>
      <c r="AH128" s="297"/>
      <c r="AI128" s="297"/>
      <c r="AJ128" s="297"/>
      <c r="AK128" s="298"/>
      <c r="AL128" s="298"/>
      <c r="AM128" s="298"/>
      <c r="AN128" s="298"/>
      <c r="AO128" s="299"/>
    </row>
    <row r="129" spans="1:41" ht="15" customHeight="1">
      <c r="A129" s="254">
        <v>129</v>
      </c>
      <c r="B129" s="253">
        <v>104</v>
      </c>
      <c r="C129" s="240" t="s">
        <v>53</v>
      </c>
      <c r="D129" s="288" t="s">
        <v>50</v>
      </c>
      <c r="E129" s="289" t="s">
        <v>320</v>
      </c>
      <c r="F129" s="239" t="s">
        <v>348</v>
      </c>
      <c r="G129" s="290" t="s">
        <v>319</v>
      </c>
      <c r="H129" s="291" t="s">
        <v>149</v>
      </c>
      <c r="I129" s="239" t="s">
        <v>245</v>
      </c>
      <c r="J129" s="424">
        <f t="shared" si="2"/>
        <v>365</v>
      </c>
      <c r="K129" s="425">
        <v>127</v>
      </c>
      <c r="L129" s="425">
        <v>126</v>
      </c>
      <c r="M129" s="425">
        <v>52</v>
      </c>
      <c r="N129" s="425">
        <v>52</v>
      </c>
      <c r="O129" s="425">
        <v>4</v>
      </c>
      <c r="P129" s="425">
        <v>4</v>
      </c>
      <c r="Q129" s="294">
        <v>6.5</v>
      </c>
      <c r="R129" s="295" t="e">
        <f>IF(K129="nio",0,(K129*Q129)/X129)*VLOOKUP(C129,'2-Uren per locatie'!$B$15:$D$74,3,FALSE)</f>
        <v>#DIV/0!</v>
      </c>
      <c r="S129" s="295" t="e">
        <f>IF(K129="nio",0,(L129*Q129)/Y129)*VLOOKUP(C129,'2-Uren per locatie'!$B$15:$D$74,3,FALSE)</f>
        <v>#DIV/0!</v>
      </c>
      <c r="T129" s="295" t="e">
        <f>IF(K129="nio",0,(M129*Q129)/Z129)*VLOOKUP(C129,'2-Uren per locatie'!$B$15:$D$74,3,FALSE)</f>
        <v>#DIV/0!</v>
      </c>
      <c r="U129" s="295" t="e">
        <f>IF(K129="nio",0,(N129*Q129)/AA129)*VLOOKUP(C129,'2-Uren per locatie'!$B$15:$D$74,3,FALSE)</f>
        <v>#DIV/0!</v>
      </c>
      <c r="V129" s="295" t="e">
        <f>IF(K129="nio",0,(O129*Q129)/Z129)*VLOOKUP(C129,'2-Uren per locatie'!$B$15:$D$74,3,FALSE)</f>
        <v>#DIV/0!</v>
      </c>
      <c r="W129" s="295" t="e">
        <f>IF(K129="nio",0,(P129*Q129)/AA129)*VLOOKUP(C129,'2-Uren per locatie'!$B$15:$D$74,3,FALSE)</f>
        <v>#DIV/0!</v>
      </c>
      <c r="X129" s="485">
        <f>IF(K129="nio",0,IF(K129&gt;0,VLOOKUP(H129,'3-Productie normen'!A:F,VLOOKUP(K129,'3-Productie normen'!$B$29:$C$34,2,FALSE),FALSE)))</f>
        <v>0</v>
      </c>
      <c r="Y129" s="485">
        <f>VLOOKUP(H129,'3-Productie normen'!$A$10:$J$24,8,FALSE)*'3-Ruimtestaat'!X129</f>
        <v>0</v>
      </c>
      <c r="Z129" s="485">
        <f>VLOOKUP(H129,'3-Productie normen'!$A$10:$J$24,9,FALSE)*'3-Ruimtestaat'!X129</f>
        <v>0</v>
      </c>
      <c r="AA129" s="485">
        <f>VLOOKUP(H129,'3-Productie normen'!$A$10:$J$24,10,FALSE)*'3-Ruimtestaat'!X129</f>
        <v>0</v>
      </c>
      <c r="AB129" s="292" t="str">
        <f>IF(H129="",0,VLOOKUP(H129,'3-Productie normen'!$A$10:$N$23,14,FALSE))</f>
        <v>V</v>
      </c>
      <c r="AD129" s="296">
        <f t="shared" si="3"/>
        <v>2372.5</v>
      </c>
      <c r="AE129" s="78"/>
      <c r="AF129" s="297"/>
      <c r="AG129" s="297"/>
      <c r="AH129" s="297"/>
      <c r="AI129" s="297"/>
      <c r="AJ129" s="297"/>
      <c r="AK129" s="298"/>
      <c r="AL129" s="298"/>
      <c r="AM129" s="298"/>
      <c r="AN129" s="298"/>
      <c r="AO129" s="299"/>
    </row>
    <row r="130" spans="1:41" ht="15" customHeight="1">
      <c r="A130" s="254">
        <v>130</v>
      </c>
      <c r="B130" s="253">
        <v>104</v>
      </c>
      <c r="C130" s="240" t="s">
        <v>53</v>
      </c>
      <c r="D130" s="288" t="s">
        <v>50</v>
      </c>
      <c r="E130" s="289" t="s">
        <v>320</v>
      </c>
      <c r="F130" s="239" t="s">
        <v>349</v>
      </c>
      <c r="G130" s="290" t="s">
        <v>350</v>
      </c>
      <c r="H130" s="291" t="s">
        <v>149</v>
      </c>
      <c r="I130" s="239" t="s">
        <v>245</v>
      </c>
      <c r="J130" s="424">
        <f t="shared" si="2"/>
        <v>365</v>
      </c>
      <c r="K130" s="425">
        <v>127</v>
      </c>
      <c r="L130" s="425">
        <v>126</v>
      </c>
      <c r="M130" s="425">
        <v>52</v>
      </c>
      <c r="N130" s="425">
        <v>52</v>
      </c>
      <c r="O130" s="425">
        <v>4</v>
      </c>
      <c r="P130" s="425">
        <v>4</v>
      </c>
      <c r="Q130" s="294">
        <v>7.8000000000000007</v>
      </c>
      <c r="R130" s="295" t="e">
        <f>IF(K130="nio",0,(K130*Q130)/X130)*VLOOKUP(C130,'2-Uren per locatie'!$B$15:$D$74,3,FALSE)</f>
        <v>#DIV/0!</v>
      </c>
      <c r="S130" s="295" t="e">
        <f>IF(K130="nio",0,(L130*Q130)/Y130)*VLOOKUP(C130,'2-Uren per locatie'!$B$15:$D$74,3,FALSE)</f>
        <v>#DIV/0!</v>
      </c>
      <c r="T130" s="295" t="e">
        <f>IF(K130="nio",0,(M130*Q130)/Z130)*VLOOKUP(C130,'2-Uren per locatie'!$B$15:$D$74,3,FALSE)</f>
        <v>#DIV/0!</v>
      </c>
      <c r="U130" s="295" t="e">
        <f>IF(K130="nio",0,(N130*Q130)/AA130)*VLOOKUP(C130,'2-Uren per locatie'!$B$15:$D$74,3,FALSE)</f>
        <v>#DIV/0!</v>
      </c>
      <c r="V130" s="295" t="e">
        <f>IF(K130="nio",0,(O130*Q130)/Z130)*VLOOKUP(C130,'2-Uren per locatie'!$B$15:$D$74,3,FALSE)</f>
        <v>#DIV/0!</v>
      </c>
      <c r="W130" s="295" t="e">
        <f>IF(K130="nio",0,(P130*Q130)/AA130)*VLOOKUP(C130,'2-Uren per locatie'!$B$15:$D$74,3,FALSE)</f>
        <v>#DIV/0!</v>
      </c>
      <c r="X130" s="485">
        <f>IF(K130="nio",0,IF(K130&gt;0,VLOOKUP(H130,'3-Productie normen'!A:F,VLOOKUP(K130,'3-Productie normen'!$B$29:$C$34,2,FALSE),FALSE)))</f>
        <v>0</v>
      </c>
      <c r="Y130" s="485">
        <f>VLOOKUP(H130,'3-Productie normen'!$A$10:$J$24,8,FALSE)*'3-Ruimtestaat'!X130</f>
        <v>0</v>
      </c>
      <c r="Z130" s="485">
        <f>VLOOKUP(H130,'3-Productie normen'!$A$10:$J$24,9,FALSE)*'3-Ruimtestaat'!X130</f>
        <v>0</v>
      </c>
      <c r="AA130" s="485">
        <f>VLOOKUP(H130,'3-Productie normen'!$A$10:$J$24,10,FALSE)*'3-Ruimtestaat'!X130</f>
        <v>0</v>
      </c>
      <c r="AB130" s="292" t="str">
        <f>IF(H130="",0,VLOOKUP(H130,'3-Productie normen'!$A$10:$N$23,14,FALSE))</f>
        <v>V</v>
      </c>
      <c r="AD130" s="296">
        <f t="shared" si="3"/>
        <v>2847.0000000000005</v>
      </c>
      <c r="AE130" s="78"/>
      <c r="AF130" s="297"/>
      <c r="AG130" s="297"/>
      <c r="AH130" s="297"/>
      <c r="AI130" s="297"/>
      <c r="AJ130" s="297"/>
      <c r="AK130" s="298"/>
      <c r="AL130" s="298"/>
      <c r="AM130" s="298"/>
      <c r="AN130" s="298"/>
      <c r="AO130" s="299"/>
    </row>
    <row r="131" spans="1:41" ht="15" customHeight="1">
      <c r="A131" s="254">
        <v>131</v>
      </c>
      <c r="B131" s="253">
        <v>104</v>
      </c>
      <c r="C131" s="240" t="s">
        <v>53</v>
      </c>
      <c r="D131" s="288" t="s">
        <v>50</v>
      </c>
      <c r="E131" s="289" t="s">
        <v>320</v>
      </c>
      <c r="F131" s="239" t="s">
        <v>351</v>
      </c>
      <c r="G131" s="290" t="s">
        <v>352</v>
      </c>
      <c r="H131" s="291" t="s">
        <v>149</v>
      </c>
      <c r="I131" s="239" t="s">
        <v>245</v>
      </c>
      <c r="J131" s="424">
        <f t="shared" si="2"/>
        <v>365</v>
      </c>
      <c r="K131" s="425">
        <v>127</v>
      </c>
      <c r="L131" s="425">
        <v>126</v>
      </c>
      <c r="M131" s="425">
        <v>52</v>
      </c>
      <c r="N131" s="425">
        <v>52</v>
      </c>
      <c r="O131" s="425">
        <v>4</v>
      </c>
      <c r="P131" s="425">
        <v>4</v>
      </c>
      <c r="Q131" s="294">
        <v>7.8000000000000007</v>
      </c>
      <c r="R131" s="295" t="e">
        <f>IF(K131="nio",0,(K131*Q131)/X131)*VLOOKUP(C131,'2-Uren per locatie'!$B$15:$D$74,3,FALSE)</f>
        <v>#DIV/0!</v>
      </c>
      <c r="S131" s="295" t="e">
        <f>IF(K131="nio",0,(L131*Q131)/Y131)*VLOOKUP(C131,'2-Uren per locatie'!$B$15:$D$74,3,FALSE)</f>
        <v>#DIV/0!</v>
      </c>
      <c r="T131" s="295" t="e">
        <f>IF(K131="nio",0,(M131*Q131)/Z131)*VLOOKUP(C131,'2-Uren per locatie'!$B$15:$D$74,3,FALSE)</f>
        <v>#DIV/0!</v>
      </c>
      <c r="U131" s="295" t="e">
        <f>IF(K131="nio",0,(N131*Q131)/AA131)*VLOOKUP(C131,'2-Uren per locatie'!$B$15:$D$74,3,FALSE)</f>
        <v>#DIV/0!</v>
      </c>
      <c r="V131" s="295" t="e">
        <f>IF(K131="nio",0,(O131*Q131)/Z131)*VLOOKUP(C131,'2-Uren per locatie'!$B$15:$D$74,3,FALSE)</f>
        <v>#DIV/0!</v>
      </c>
      <c r="W131" s="295" t="e">
        <f>IF(K131="nio",0,(P131*Q131)/AA131)*VLOOKUP(C131,'2-Uren per locatie'!$B$15:$D$74,3,FALSE)</f>
        <v>#DIV/0!</v>
      </c>
      <c r="X131" s="485">
        <f>IF(K131="nio",0,IF(K131&gt;0,VLOOKUP(H131,'3-Productie normen'!A:F,VLOOKUP(K131,'3-Productie normen'!$B$29:$C$34,2,FALSE),FALSE)))</f>
        <v>0</v>
      </c>
      <c r="Y131" s="485">
        <f>VLOOKUP(H131,'3-Productie normen'!$A$10:$J$24,8,FALSE)*'3-Ruimtestaat'!X131</f>
        <v>0</v>
      </c>
      <c r="Z131" s="485">
        <f>VLOOKUP(H131,'3-Productie normen'!$A$10:$J$24,9,FALSE)*'3-Ruimtestaat'!X131</f>
        <v>0</v>
      </c>
      <c r="AA131" s="485">
        <f>VLOOKUP(H131,'3-Productie normen'!$A$10:$J$24,10,FALSE)*'3-Ruimtestaat'!X131</f>
        <v>0</v>
      </c>
      <c r="AB131" s="292" t="str">
        <f>IF(H131="",0,VLOOKUP(H131,'3-Productie normen'!$A$10:$N$23,14,FALSE))</f>
        <v>V</v>
      </c>
      <c r="AD131" s="296">
        <f t="shared" si="3"/>
        <v>2847.0000000000005</v>
      </c>
      <c r="AE131" s="78"/>
      <c r="AF131" s="297"/>
      <c r="AG131" s="297"/>
      <c r="AH131" s="297"/>
      <c r="AI131" s="297"/>
      <c r="AJ131" s="297"/>
      <c r="AK131" s="298"/>
      <c r="AL131" s="298"/>
      <c r="AM131" s="298"/>
      <c r="AN131" s="298"/>
      <c r="AO131" s="299"/>
    </row>
    <row r="132" spans="1:41" ht="15" customHeight="1">
      <c r="A132" s="254">
        <v>132</v>
      </c>
      <c r="B132" s="253">
        <v>104</v>
      </c>
      <c r="C132" s="240" t="s">
        <v>53</v>
      </c>
      <c r="D132" s="288" t="s">
        <v>50</v>
      </c>
      <c r="E132" s="289" t="s">
        <v>320</v>
      </c>
      <c r="F132" s="239" t="s">
        <v>231</v>
      </c>
      <c r="G132" s="290" t="s">
        <v>232</v>
      </c>
      <c r="H132" s="291" t="s">
        <v>153</v>
      </c>
      <c r="I132" s="239" t="s">
        <v>299</v>
      </c>
      <c r="J132" s="424">
        <f t="shared" si="2"/>
        <v>365</v>
      </c>
      <c r="K132" s="425">
        <v>255</v>
      </c>
      <c r="L132" s="425"/>
      <c r="M132" s="425">
        <v>102</v>
      </c>
      <c r="N132" s="425"/>
      <c r="O132" s="425">
        <v>8</v>
      </c>
      <c r="P132" s="425"/>
      <c r="Q132" s="294">
        <v>2.9119999999999999</v>
      </c>
      <c r="R132" s="295" t="e">
        <f>IF(K132="nio",0,(K132*Q132)/X132)*VLOOKUP(C132,'2-Uren per locatie'!$B$15:$D$74,3,FALSE)</f>
        <v>#DIV/0!</v>
      </c>
      <c r="S132" s="295" t="e">
        <f>IF(K132="nio",0,(L132*Q132)/Y132)*VLOOKUP(C132,'2-Uren per locatie'!$B$15:$D$74,3,FALSE)</f>
        <v>#DIV/0!</v>
      </c>
      <c r="T132" s="295" t="e">
        <f>IF(K132="nio",0,(M132*Q132)/Z132)*VLOOKUP(C132,'2-Uren per locatie'!$B$15:$D$74,3,FALSE)</f>
        <v>#DIV/0!</v>
      </c>
      <c r="U132" s="295" t="e">
        <f>IF(K132="nio",0,(N132*Q132)/AA132)*VLOOKUP(C132,'2-Uren per locatie'!$B$15:$D$74,3,FALSE)</f>
        <v>#DIV/0!</v>
      </c>
      <c r="V132" s="295" t="e">
        <f>IF(K132="nio",0,(O132*Q132)/Z132)*VLOOKUP(C132,'2-Uren per locatie'!$B$15:$D$74,3,FALSE)</f>
        <v>#DIV/0!</v>
      </c>
      <c r="W132" s="295" t="e">
        <f>IF(K132="nio",0,(P132*Q132)/AA132)*VLOOKUP(C132,'2-Uren per locatie'!$B$15:$D$74,3,FALSE)</f>
        <v>#DIV/0!</v>
      </c>
      <c r="X132" s="485">
        <f>IF(K132="nio",0,IF(K132&gt;0,VLOOKUP(H132,'3-Productie normen'!A:F,VLOOKUP(K132,'3-Productie normen'!$B$29:$C$34,2,FALSE),FALSE)))</f>
        <v>0</v>
      </c>
      <c r="Y132" s="485">
        <f>VLOOKUP(H132,'3-Productie normen'!$A$10:$J$24,8,FALSE)*'3-Ruimtestaat'!X132</f>
        <v>0</v>
      </c>
      <c r="Z132" s="485">
        <f>VLOOKUP(H132,'3-Productie normen'!$A$10:$J$24,9,FALSE)*'3-Ruimtestaat'!X132</f>
        <v>0</v>
      </c>
      <c r="AA132" s="485">
        <f>VLOOKUP(H132,'3-Productie normen'!$A$10:$J$24,10,FALSE)*'3-Ruimtestaat'!X132</f>
        <v>0</v>
      </c>
      <c r="AB132" s="292" t="str">
        <f>IF(H132="",0,VLOOKUP(H132,'3-Productie normen'!$A$10:$N$23,14,FALSE))</f>
        <v>S</v>
      </c>
      <c r="AD132" s="296">
        <f t="shared" si="3"/>
        <v>1062.8799999999999</v>
      </c>
      <c r="AE132" s="78"/>
      <c r="AF132" s="297">
        <v>15</v>
      </c>
      <c r="AG132" s="297"/>
      <c r="AH132" s="297"/>
      <c r="AI132" s="297"/>
      <c r="AJ132" s="297"/>
      <c r="AK132" s="298"/>
      <c r="AL132" s="298"/>
      <c r="AM132" s="298"/>
      <c r="AN132" s="298">
        <v>2</v>
      </c>
      <c r="AO132" s="299" t="s">
        <v>300</v>
      </c>
    </row>
    <row r="133" spans="1:41" ht="15" customHeight="1">
      <c r="A133" s="254">
        <v>133</v>
      </c>
      <c r="B133" s="253">
        <v>104</v>
      </c>
      <c r="C133" s="240" t="s">
        <v>53</v>
      </c>
      <c r="D133" s="288" t="s">
        <v>50</v>
      </c>
      <c r="E133" s="289" t="s">
        <v>320</v>
      </c>
      <c r="F133" s="239" t="s">
        <v>231</v>
      </c>
      <c r="G133" s="290" t="s">
        <v>301</v>
      </c>
      <c r="H133" s="291" t="s">
        <v>153</v>
      </c>
      <c r="I133" s="239" t="s">
        <v>299</v>
      </c>
      <c r="J133" s="424">
        <f t="shared" si="2"/>
        <v>365</v>
      </c>
      <c r="K133" s="425">
        <v>255</v>
      </c>
      <c r="L133" s="425"/>
      <c r="M133" s="425">
        <v>102</v>
      </c>
      <c r="N133" s="425"/>
      <c r="O133" s="425">
        <v>8</v>
      </c>
      <c r="P133" s="425"/>
      <c r="Q133" s="294">
        <v>2.6</v>
      </c>
      <c r="R133" s="295" t="e">
        <f>IF(K133="nio",0,(K133*Q133)/X133)*VLOOKUP(C133,'2-Uren per locatie'!$B$15:$D$74,3,FALSE)</f>
        <v>#DIV/0!</v>
      </c>
      <c r="S133" s="295" t="e">
        <f>IF(K133="nio",0,(L133*Q133)/Y133)*VLOOKUP(C133,'2-Uren per locatie'!$B$15:$D$74,3,FALSE)</f>
        <v>#DIV/0!</v>
      </c>
      <c r="T133" s="295" t="e">
        <f>IF(K133="nio",0,(M133*Q133)/Z133)*VLOOKUP(C133,'2-Uren per locatie'!$B$15:$D$74,3,FALSE)</f>
        <v>#DIV/0!</v>
      </c>
      <c r="U133" s="295" t="e">
        <f>IF(K133="nio",0,(N133*Q133)/AA133)*VLOOKUP(C133,'2-Uren per locatie'!$B$15:$D$74,3,FALSE)</f>
        <v>#DIV/0!</v>
      </c>
      <c r="V133" s="295" t="e">
        <f>IF(K133="nio",0,(O133*Q133)/Z133)*VLOOKUP(C133,'2-Uren per locatie'!$B$15:$D$74,3,FALSE)</f>
        <v>#DIV/0!</v>
      </c>
      <c r="W133" s="295" t="e">
        <f>IF(K133="nio",0,(P133*Q133)/AA133)*VLOOKUP(C133,'2-Uren per locatie'!$B$15:$D$74,3,FALSE)</f>
        <v>#DIV/0!</v>
      </c>
      <c r="X133" s="485">
        <f>IF(K133="nio",0,IF(K133&gt;0,VLOOKUP(H133,'3-Productie normen'!A:F,VLOOKUP(K133,'3-Productie normen'!$B$29:$C$34,2,FALSE),FALSE)))</f>
        <v>0</v>
      </c>
      <c r="Y133" s="485">
        <f>VLOOKUP(H133,'3-Productie normen'!$A$10:$J$24,8,FALSE)*'3-Ruimtestaat'!X133</f>
        <v>0</v>
      </c>
      <c r="Z133" s="485">
        <f>VLOOKUP(H133,'3-Productie normen'!$A$10:$J$24,9,FALSE)*'3-Ruimtestaat'!X133</f>
        <v>0</v>
      </c>
      <c r="AA133" s="485">
        <f>VLOOKUP(H133,'3-Productie normen'!$A$10:$J$24,10,FALSE)*'3-Ruimtestaat'!X133</f>
        <v>0</v>
      </c>
      <c r="AB133" s="292" t="str">
        <f>IF(H133="",0,VLOOKUP(H133,'3-Productie normen'!$A$10:$N$23,14,FALSE))</f>
        <v>S</v>
      </c>
      <c r="AD133" s="296">
        <f t="shared" si="3"/>
        <v>949</v>
      </c>
      <c r="AE133" s="78"/>
      <c r="AF133" s="297"/>
      <c r="AG133" s="297"/>
      <c r="AH133" s="297"/>
      <c r="AI133" s="297"/>
      <c r="AJ133" s="297"/>
      <c r="AK133" s="298"/>
      <c r="AL133" s="298"/>
      <c r="AM133" s="298"/>
      <c r="AN133" s="298"/>
      <c r="AO133" s="299" t="s">
        <v>353</v>
      </c>
    </row>
    <row r="134" spans="1:41" ht="15" customHeight="1">
      <c r="A134" s="254">
        <v>134</v>
      </c>
      <c r="B134" s="253">
        <v>104</v>
      </c>
      <c r="C134" s="240" t="s">
        <v>53</v>
      </c>
      <c r="D134" s="288" t="s">
        <v>50</v>
      </c>
      <c r="E134" s="289" t="s">
        <v>320</v>
      </c>
      <c r="F134" s="239" t="s">
        <v>231</v>
      </c>
      <c r="G134" s="290" t="s">
        <v>302</v>
      </c>
      <c r="H134" s="291" t="s">
        <v>153</v>
      </c>
      <c r="I134" s="239" t="s">
        <v>299</v>
      </c>
      <c r="J134" s="424">
        <f t="shared" si="2"/>
        <v>365</v>
      </c>
      <c r="K134" s="425">
        <v>255</v>
      </c>
      <c r="L134" s="425"/>
      <c r="M134" s="425">
        <v>102</v>
      </c>
      <c r="N134" s="425"/>
      <c r="O134" s="425">
        <v>8</v>
      </c>
      <c r="P134" s="425"/>
      <c r="Q134" s="294">
        <v>2.6</v>
      </c>
      <c r="R134" s="295" t="e">
        <f>IF(K134="nio",0,(K134*Q134)/X134)*VLOOKUP(C134,'2-Uren per locatie'!$B$15:$D$74,3,FALSE)</f>
        <v>#DIV/0!</v>
      </c>
      <c r="S134" s="295" t="e">
        <f>IF(K134="nio",0,(L134*Q134)/Y134)*VLOOKUP(C134,'2-Uren per locatie'!$B$15:$D$74,3,FALSE)</f>
        <v>#DIV/0!</v>
      </c>
      <c r="T134" s="295" t="e">
        <f>IF(K134="nio",0,(M134*Q134)/Z134)*VLOOKUP(C134,'2-Uren per locatie'!$B$15:$D$74,3,FALSE)</f>
        <v>#DIV/0!</v>
      </c>
      <c r="U134" s="295" t="e">
        <f>IF(K134="nio",0,(N134*Q134)/AA134)*VLOOKUP(C134,'2-Uren per locatie'!$B$15:$D$74,3,FALSE)</f>
        <v>#DIV/0!</v>
      </c>
      <c r="V134" s="295" t="e">
        <f>IF(K134="nio",0,(O134*Q134)/Z134)*VLOOKUP(C134,'2-Uren per locatie'!$B$15:$D$74,3,FALSE)</f>
        <v>#DIV/0!</v>
      </c>
      <c r="W134" s="295" t="e">
        <f>IF(K134="nio",0,(P134*Q134)/AA134)*VLOOKUP(C134,'2-Uren per locatie'!$B$15:$D$74,3,FALSE)</f>
        <v>#DIV/0!</v>
      </c>
      <c r="X134" s="485">
        <f>IF(K134="nio",0,IF(K134&gt;0,VLOOKUP(H134,'3-Productie normen'!A:F,VLOOKUP(K134,'3-Productie normen'!$B$29:$C$34,2,FALSE),FALSE)))</f>
        <v>0</v>
      </c>
      <c r="Y134" s="485">
        <f>VLOOKUP(H134,'3-Productie normen'!$A$10:$J$24,8,FALSE)*'3-Ruimtestaat'!X134</f>
        <v>0</v>
      </c>
      <c r="Z134" s="485">
        <f>VLOOKUP(H134,'3-Productie normen'!$A$10:$J$24,9,FALSE)*'3-Ruimtestaat'!X134</f>
        <v>0</v>
      </c>
      <c r="AA134" s="485">
        <f>VLOOKUP(H134,'3-Productie normen'!$A$10:$J$24,10,FALSE)*'3-Ruimtestaat'!X134</f>
        <v>0</v>
      </c>
      <c r="AB134" s="292" t="str">
        <f>IF(H134="",0,VLOOKUP(H134,'3-Productie normen'!$A$10:$N$23,14,FALSE))</f>
        <v>S</v>
      </c>
      <c r="AD134" s="296">
        <f t="shared" si="3"/>
        <v>949</v>
      </c>
      <c r="AE134" s="78"/>
      <c r="AF134" s="297"/>
      <c r="AG134" s="297"/>
      <c r="AH134" s="297"/>
      <c r="AI134" s="297"/>
      <c r="AJ134" s="297"/>
      <c r="AK134" s="298"/>
      <c r="AL134" s="298"/>
      <c r="AM134" s="298"/>
      <c r="AN134" s="298"/>
      <c r="AO134" s="299" t="s">
        <v>353</v>
      </c>
    </row>
    <row r="135" spans="1:41" ht="15" customHeight="1">
      <c r="A135" s="254">
        <v>135</v>
      </c>
      <c r="B135" s="253">
        <v>104</v>
      </c>
      <c r="C135" s="240" t="s">
        <v>53</v>
      </c>
      <c r="D135" s="288" t="s">
        <v>50</v>
      </c>
      <c r="E135" s="289" t="s">
        <v>320</v>
      </c>
      <c r="F135" s="239" t="s">
        <v>231</v>
      </c>
      <c r="G135" s="290" t="s">
        <v>303</v>
      </c>
      <c r="H135" s="291" t="s">
        <v>153</v>
      </c>
      <c r="I135" s="239" t="s">
        <v>299</v>
      </c>
      <c r="J135" s="424">
        <f t="shared" si="2"/>
        <v>365</v>
      </c>
      <c r="K135" s="425">
        <v>255</v>
      </c>
      <c r="L135" s="425"/>
      <c r="M135" s="425">
        <v>102</v>
      </c>
      <c r="N135" s="425"/>
      <c r="O135" s="425">
        <v>8</v>
      </c>
      <c r="P135" s="425"/>
      <c r="Q135" s="294">
        <v>2.6</v>
      </c>
      <c r="R135" s="295" t="e">
        <f>IF(K135="nio",0,(K135*Q135)/X135)*VLOOKUP(C135,'2-Uren per locatie'!$B$15:$D$74,3,FALSE)</f>
        <v>#DIV/0!</v>
      </c>
      <c r="S135" s="295" t="e">
        <f>IF(K135="nio",0,(L135*Q135)/Y135)*VLOOKUP(C135,'2-Uren per locatie'!$B$15:$D$74,3,FALSE)</f>
        <v>#DIV/0!</v>
      </c>
      <c r="T135" s="295" t="e">
        <f>IF(K135="nio",0,(M135*Q135)/Z135)*VLOOKUP(C135,'2-Uren per locatie'!$B$15:$D$74,3,FALSE)</f>
        <v>#DIV/0!</v>
      </c>
      <c r="U135" s="295" t="e">
        <f>IF(K135="nio",0,(N135*Q135)/AA135)*VLOOKUP(C135,'2-Uren per locatie'!$B$15:$D$74,3,FALSE)</f>
        <v>#DIV/0!</v>
      </c>
      <c r="V135" s="295" t="e">
        <f>IF(K135="nio",0,(O135*Q135)/Z135)*VLOOKUP(C135,'2-Uren per locatie'!$B$15:$D$74,3,FALSE)</f>
        <v>#DIV/0!</v>
      </c>
      <c r="W135" s="295" t="e">
        <f>IF(K135="nio",0,(P135*Q135)/AA135)*VLOOKUP(C135,'2-Uren per locatie'!$B$15:$D$74,3,FALSE)</f>
        <v>#DIV/0!</v>
      </c>
      <c r="X135" s="485">
        <f>IF(K135="nio",0,IF(K135&gt;0,VLOOKUP(H135,'3-Productie normen'!A:F,VLOOKUP(K135,'3-Productie normen'!$B$29:$C$34,2,FALSE),FALSE)))</f>
        <v>0</v>
      </c>
      <c r="Y135" s="485">
        <f>VLOOKUP(H135,'3-Productie normen'!$A$10:$J$24,8,FALSE)*'3-Ruimtestaat'!X135</f>
        <v>0</v>
      </c>
      <c r="Z135" s="485">
        <f>VLOOKUP(H135,'3-Productie normen'!$A$10:$J$24,9,FALSE)*'3-Ruimtestaat'!X135</f>
        <v>0</v>
      </c>
      <c r="AA135" s="485">
        <f>VLOOKUP(H135,'3-Productie normen'!$A$10:$J$24,10,FALSE)*'3-Ruimtestaat'!X135</f>
        <v>0</v>
      </c>
      <c r="AB135" s="292" t="str">
        <f>IF(H135="",0,VLOOKUP(H135,'3-Productie normen'!$A$10:$N$23,14,FALSE))</f>
        <v>S</v>
      </c>
      <c r="AD135" s="296">
        <f t="shared" si="3"/>
        <v>949</v>
      </c>
      <c r="AE135" s="78"/>
      <c r="AF135" s="297"/>
      <c r="AG135" s="297"/>
      <c r="AH135" s="297"/>
      <c r="AI135" s="297"/>
      <c r="AJ135" s="297"/>
      <c r="AK135" s="298"/>
      <c r="AL135" s="298"/>
      <c r="AM135" s="298"/>
      <c r="AN135" s="298"/>
      <c r="AO135" s="299" t="s">
        <v>353</v>
      </c>
    </row>
    <row r="136" spans="1:41" ht="15" customHeight="1">
      <c r="A136" s="254">
        <v>136</v>
      </c>
      <c r="B136" s="253">
        <v>104</v>
      </c>
      <c r="C136" s="240" t="s">
        <v>53</v>
      </c>
      <c r="D136" s="288" t="s">
        <v>50</v>
      </c>
      <c r="E136" s="289" t="s">
        <v>320</v>
      </c>
      <c r="F136" s="239" t="s">
        <v>231</v>
      </c>
      <c r="G136" s="290" t="s">
        <v>354</v>
      </c>
      <c r="H136" s="291" t="s">
        <v>153</v>
      </c>
      <c r="I136" s="239" t="s">
        <v>299</v>
      </c>
      <c r="J136" s="424">
        <f t="shared" si="2"/>
        <v>365</v>
      </c>
      <c r="K136" s="425">
        <v>255</v>
      </c>
      <c r="L136" s="425"/>
      <c r="M136" s="425">
        <v>102</v>
      </c>
      <c r="N136" s="425"/>
      <c r="O136" s="425">
        <v>8</v>
      </c>
      <c r="P136" s="425"/>
      <c r="Q136" s="294">
        <v>1.54375</v>
      </c>
      <c r="R136" s="295" t="e">
        <f>IF(K136="nio",0,(K136*Q136)/X136)*VLOOKUP(C136,'2-Uren per locatie'!$B$15:$D$74,3,FALSE)</f>
        <v>#DIV/0!</v>
      </c>
      <c r="S136" s="295" t="e">
        <f>IF(K136="nio",0,(L136*Q136)/Y136)*VLOOKUP(C136,'2-Uren per locatie'!$B$15:$D$74,3,FALSE)</f>
        <v>#DIV/0!</v>
      </c>
      <c r="T136" s="295" t="e">
        <f>IF(K136="nio",0,(M136*Q136)/Z136)*VLOOKUP(C136,'2-Uren per locatie'!$B$15:$D$74,3,FALSE)</f>
        <v>#DIV/0!</v>
      </c>
      <c r="U136" s="295" t="e">
        <f>IF(K136="nio",0,(N136*Q136)/AA136)*VLOOKUP(C136,'2-Uren per locatie'!$B$15:$D$74,3,FALSE)</f>
        <v>#DIV/0!</v>
      </c>
      <c r="V136" s="295" t="e">
        <f>IF(K136="nio",0,(O136*Q136)/Z136)*VLOOKUP(C136,'2-Uren per locatie'!$B$15:$D$74,3,FALSE)</f>
        <v>#DIV/0!</v>
      </c>
      <c r="W136" s="295" t="e">
        <f>IF(K136="nio",0,(P136*Q136)/AA136)*VLOOKUP(C136,'2-Uren per locatie'!$B$15:$D$74,3,FALSE)</f>
        <v>#DIV/0!</v>
      </c>
      <c r="X136" s="485">
        <f>IF(K136="nio",0,IF(K136&gt;0,VLOOKUP(H136,'3-Productie normen'!A:F,VLOOKUP(K136,'3-Productie normen'!$B$29:$C$34,2,FALSE),FALSE)))</f>
        <v>0</v>
      </c>
      <c r="Y136" s="485">
        <f>VLOOKUP(H136,'3-Productie normen'!$A$10:$J$24,8,FALSE)*'3-Ruimtestaat'!X136</f>
        <v>0</v>
      </c>
      <c r="Z136" s="485">
        <f>VLOOKUP(H136,'3-Productie normen'!$A$10:$J$24,9,FALSE)*'3-Ruimtestaat'!X136</f>
        <v>0</v>
      </c>
      <c r="AA136" s="485">
        <f>VLOOKUP(H136,'3-Productie normen'!$A$10:$J$24,10,FALSE)*'3-Ruimtestaat'!X136</f>
        <v>0</v>
      </c>
      <c r="AB136" s="292" t="str">
        <f>IF(H136="",0,VLOOKUP(H136,'3-Productie normen'!$A$10:$N$23,14,FALSE))</f>
        <v>S</v>
      </c>
      <c r="AD136" s="296">
        <f t="shared" si="3"/>
        <v>563.46875</v>
      </c>
      <c r="AE136" s="78"/>
      <c r="AF136" s="297">
        <v>10</v>
      </c>
      <c r="AG136" s="297"/>
      <c r="AH136" s="297"/>
      <c r="AI136" s="297"/>
      <c r="AJ136" s="297"/>
      <c r="AK136" s="298"/>
      <c r="AL136" s="298"/>
      <c r="AM136" s="298"/>
      <c r="AN136" s="298">
        <v>1</v>
      </c>
      <c r="AO136" s="299" t="s">
        <v>300</v>
      </c>
    </row>
    <row r="137" spans="1:41" ht="15" customHeight="1">
      <c r="A137" s="254">
        <v>137</v>
      </c>
      <c r="B137" s="253">
        <v>104</v>
      </c>
      <c r="C137" s="240" t="s">
        <v>53</v>
      </c>
      <c r="D137" s="288" t="s">
        <v>50</v>
      </c>
      <c r="E137" s="289" t="s">
        <v>320</v>
      </c>
      <c r="F137" s="239" t="s">
        <v>231</v>
      </c>
      <c r="G137" s="290" t="s">
        <v>234</v>
      </c>
      <c r="H137" s="291" t="s">
        <v>153</v>
      </c>
      <c r="I137" s="239" t="s">
        <v>299</v>
      </c>
      <c r="J137" s="424">
        <f t="shared" si="2"/>
        <v>365</v>
      </c>
      <c r="K137" s="425">
        <v>255</v>
      </c>
      <c r="L137" s="425"/>
      <c r="M137" s="425">
        <v>102</v>
      </c>
      <c r="N137" s="425"/>
      <c r="O137" s="425">
        <v>8</v>
      </c>
      <c r="P137" s="425"/>
      <c r="Q137" s="294">
        <v>1.54375</v>
      </c>
      <c r="R137" s="295" t="e">
        <f>IF(K137="nio",0,(K137*Q137)/X137)*VLOOKUP(C137,'2-Uren per locatie'!$B$15:$D$74,3,FALSE)</f>
        <v>#DIV/0!</v>
      </c>
      <c r="S137" s="295" t="e">
        <f>IF(K137="nio",0,(L137*Q137)/Y137)*VLOOKUP(C137,'2-Uren per locatie'!$B$15:$D$74,3,FALSE)</f>
        <v>#DIV/0!</v>
      </c>
      <c r="T137" s="295" t="e">
        <f>IF(K137="nio",0,(M137*Q137)/Z137)*VLOOKUP(C137,'2-Uren per locatie'!$B$15:$D$74,3,FALSE)</f>
        <v>#DIV/0!</v>
      </c>
      <c r="U137" s="295" t="e">
        <f>IF(K137="nio",0,(N137*Q137)/AA137)*VLOOKUP(C137,'2-Uren per locatie'!$B$15:$D$74,3,FALSE)</f>
        <v>#DIV/0!</v>
      </c>
      <c r="V137" s="295" t="e">
        <f>IF(K137="nio",0,(O137*Q137)/Z137)*VLOOKUP(C137,'2-Uren per locatie'!$B$15:$D$74,3,FALSE)</f>
        <v>#DIV/0!</v>
      </c>
      <c r="W137" s="295" t="e">
        <f>IF(K137="nio",0,(P137*Q137)/AA137)*VLOOKUP(C137,'2-Uren per locatie'!$B$15:$D$74,3,FALSE)</f>
        <v>#DIV/0!</v>
      </c>
      <c r="X137" s="485">
        <f>IF(K137="nio",0,IF(K137&gt;0,VLOOKUP(H137,'3-Productie normen'!A:F,VLOOKUP(K137,'3-Productie normen'!$B$29:$C$34,2,FALSE),FALSE)))</f>
        <v>0</v>
      </c>
      <c r="Y137" s="485">
        <f>VLOOKUP(H137,'3-Productie normen'!$A$10:$J$24,8,FALSE)*'3-Ruimtestaat'!X137</f>
        <v>0</v>
      </c>
      <c r="Z137" s="485">
        <f>VLOOKUP(H137,'3-Productie normen'!$A$10:$J$24,9,FALSE)*'3-Ruimtestaat'!X137</f>
        <v>0</v>
      </c>
      <c r="AA137" s="485">
        <f>VLOOKUP(H137,'3-Productie normen'!$A$10:$J$24,10,FALSE)*'3-Ruimtestaat'!X137</f>
        <v>0</v>
      </c>
      <c r="AB137" s="292" t="str">
        <f>IF(H137="",0,VLOOKUP(H137,'3-Productie normen'!$A$10:$N$23,14,FALSE))</f>
        <v>S</v>
      </c>
      <c r="AD137" s="296">
        <f t="shared" si="3"/>
        <v>563.46875</v>
      </c>
      <c r="AE137" s="78"/>
      <c r="AF137" s="297">
        <v>10</v>
      </c>
      <c r="AG137" s="297"/>
      <c r="AH137" s="297"/>
      <c r="AI137" s="297"/>
      <c r="AJ137" s="297"/>
      <c r="AK137" s="298"/>
      <c r="AL137" s="298"/>
      <c r="AM137" s="298"/>
      <c r="AN137" s="298">
        <v>1</v>
      </c>
      <c r="AO137" s="299" t="s">
        <v>300</v>
      </c>
    </row>
    <row r="138" spans="1:41" ht="15" customHeight="1">
      <c r="A138" s="254">
        <v>138</v>
      </c>
      <c r="B138" s="253">
        <v>104</v>
      </c>
      <c r="C138" s="240" t="s">
        <v>53</v>
      </c>
      <c r="D138" s="288" t="s">
        <v>50</v>
      </c>
      <c r="E138" s="289" t="s">
        <v>320</v>
      </c>
      <c r="F138" s="239" t="s">
        <v>231</v>
      </c>
      <c r="G138" s="290" t="s">
        <v>235</v>
      </c>
      <c r="H138" s="291" t="s">
        <v>153</v>
      </c>
      <c r="I138" s="239" t="s">
        <v>299</v>
      </c>
      <c r="J138" s="424">
        <f t="shared" si="2"/>
        <v>365</v>
      </c>
      <c r="K138" s="425">
        <v>255</v>
      </c>
      <c r="L138" s="425"/>
      <c r="M138" s="425">
        <v>102</v>
      </c>
      <c r="N138" s="425"/>
      <c r="O138" s="425">
        <v>8</v>
      </c>
      <c r="P138" s="425"/>
      <c r="Q138" s="294">
        <v>1.54375</v>
      </c>
      <c r="R138" s="295" t="e">
        <f>IF(K138="nio",0,(K138*Q138)/X138)*VLOOKUP(C138,'2-Uren per locatie'!$B$15:$D$74,3,FALSE)</f>
        <v>#DIV/0!</v>
      </c>
      <c r="S138" s="295" t="e">
        <f>IF(K138="nio",0,(L138*Q138)/Y138)*VLOOKUP(C138,'2-Uren per locatie'!$B$15:$D$74,3,FALSE)</f>
        <v>#DIV/0!</v>
      </c>
      <c r="T138" s="295" t="e">
        <f>IF(K138="nio",0,(M138*Q138)/Z138)*VLOOKUP(C138,'2-Uren per locatie'!$B$15:$D$74,3,FALSE)</f>
        <v>#DIV/0!</v>
      </c>
      <c r="U138" s="295" t="e">
        <f>IF(K138="nio",0,(N138*Q138)/AA138)*VLOOKUP(C138,'2-Uren per locatie'!$B$15:$D$74,3,FALSE)</f>
        <v>#DIV/0!</v>
      </c>
      <c r="V138" s="295" t="e">
        <f>IF(K138="nio",0,(O138*Q138)/Z138)*VLOOKUP(C138,'2-Uren per locatie'!$B$15:$D$74,3,FALSE)</f>
        <v>#DIV/0!</v>
      </c>
      <c r="W138" s="295" t="e">
        <f>IF(K138="nio",0,(P138*Q138)/AA138)*VLOOKUP(C138,'2-Uren per locatie'!$B$15:$D$74,3,FALSE)</f>
        <v>#DIV/0!</v>
      </c>
      <c r="X138" s="485">
        <f>IF(K138="nio",0,IF(K138&gt;0,VLOOKUP(H138,'3-Productie normen'!A:F,VLOOKUP(K138,'3-Productie normen'!$B$29:$C$34,2,FALSE),FALSE)))</f>
        <v>0</v>
      </c>
      <c r="Y138" s="485">
        <f>VLOOKUP(H138,'3-Productie normen'!$A$10:$J$24,8,FALSE)*'3-Ruimtestaat'!X138</f>
        <v>0</v>
      </c>
      <c r="Z138" s="485">
        <f>VLOOKUP(H138,'3-Productie normen'!$A$10:$J$24,9,FALSE)*'3-Ruimtestaat'!X138</f>
        <v>0</v>
      </c>
      <c r="AA138" s="485">
        <f>VLOOKUP(H138,'3-Productie normen'!$A$10:$J$24,10,FALSE)*'3-Ruimtestaat'!X138</f>
        <v>0</v>
      </c>
      <c r="AB138" s="292" t="str">
        <f>IF(H138="",0,VLOOKUP(H138,'3-Productie normen'!$A$10:$N$23,14,FALSE))</f>
        <v>S</v>
      </c>
      <c r="AD138" s="296">
        <f t="shared" si="3"/>
        <v>563.46875</v>
      </c>
      <c r="AE138" s="78"/>
      <c r="AF138" s="297">
        <v>10</v>
      </c>
      <c r="AG138" s="297"/>
      <c r="AH138" s="297"/>
      <c r="AI138" s="297"/>
      <c r="AJ138" s="297"/>
      <c r="AK138" s="298"/>
      <c r="AL138" s="298"/>
      <c r="AM138" s="298"/>
      <c r="AN138" s="298">
        <v>1</v>
      </c>
      <c r="AO138" s="299" t="s">
        <v>300</v>
      </c>
    </row>
    <row r="139" spans="1:41" ht="15" customHeight="1">
      <c r="A139" s="254">
        <v>139</v>
      </c>
      <c r="B139" s="253">
        <v>104</v>
      </c>
      <c r="C139" s="240" t="s">
        <v>53</v>
      </c>
      <c r="D139" s="288" t="s">
        <v>50</v>
      </c>
      <c r="E139" s="428" t="s">
        <v>320</v>
      </c>
      <c r="F139" s="429" t="s">
        <v>150</v>
      </c>
      <c r="G139" s="431"/>
      <c r="H139" s="426" t="s">
        <v>150</v>
      </c>
      <c r="I139" s="429" t="s">
        <v>355</v>
      </c>
      <c r="J139" s="424">
        <f t="shared" si="2"/>
        <v>365</v>
      </c>
      <c r="K139" s="425">
        <v>255</v>
      </c>
      <c r="L139" s="425"/>
      <c r="M139" s="425">
        <v>102</v>
      </c>
      <c r="N139" s="425"/>
      <c r="O139" s="425">
        <v>8</v>
      </c>
      <c r="P139" s="425"/>
      <c r="Q139" s="427">
        <v>12</v>
      </c>
      <c r="R139" s="295" t="e">
        <f>IF(K139="nio",0,(K139*Q139)/X139)*VLOOKUP(C139,'2-Uren per locatie'!$B$15:$D$74,3,FALSE)</f>
        <v>#DIV/0!</v>
      </c>
      <c r="S139" s="295" t="e">
        <f>IF(K139="nio",0,(L139*Q139)/Y139)*VLOOKUP(C139,'2-Uren per locatie'!$B$15:$D$74,3,FALSE)</f>
        <v>#DIV/0!</v>
      </c>
      <c r="T139" s="295" t="e">
        <f>IF(K139="nio",0,(M139*Q139)/Z139)*VLOOKUP(C139,'2-Uren per locatie'!$B$15:$D$74,3,FALSE)</f>
        <v>#DIV/0!</v>
      </c>
      <c r="U139" s="295" t="e">
        <f>IF(K139="nio",0,(N139*Q139)/AA139)*VLOOKUP(C139,'2-Uren per locatie'!$B$15:$D$74,3,FALSE)</f>
        <v>#DIV/0!</v>
      </c>
      <c r="V139" s="295" t="e">
        <f>IF(K139="nio",0,(O139*Q139)/Z139)*VLOOKUP(C139,'2-Uren per locatie'!$B$15:$D$74,3,FALSE)</f>
        <v>#DIV/0!</v>
      </c>
      <c r="W139" s="295" t="e">
        <f>IF(K139="nio",0,(P139*Q139)/AA139)*VLOOKUP(C139,'2-Uren per locatie'!$B$15:$D$74,3,FALSE)</f>
        <v>#DIV/0!</v>
      </c>
      <c r="X139" s="485">
        <f>IF(K139="nio",0,IF(K139&gt;0,VLOOKUP(H139,'3-Productie normen'!A:F,VLOOKUP(K139,'3-Productie normen'!$B$29:$C$34,2,FALSE),FALSE)))</f>
        <v>0</v>
      </c>
      <c r="Y139" s="485">
        <f>VLOOKUP(H139,'3-Productie normen'!$A$10:$J$24,8,FALSE)*'3-Ruimtestaat'!X139</f>
        <v>0</v>
      </c>
      <c r="Z139" s="485">
        <f>VLOOKUP(H139,'3-Productie normen'!$A$10:$J$24,9,FALSE)*'3-Ruimtestaat'!X139</f>
        <v>0</v>
      </c>
      <c r="AA139" s="485">
        <f>VLOOKUP(H139,'3-Productie normen'!$A$10:$J$24,10,FALSE)*'3-Ruimtestaat'!X139</f>
        <v>0</v>
      </c>
      <c r="AB139" s="292" t="str">
        <f>IF(H139="",0,VLOOKUP(H139,'3-Productie normen'!$A$10:$N$23,14,FALSE))</f>
        <v>V</v>
      </c>
      <c r="AD139" s="296">
        <f t="shared" si="3"/>
        <v>4380</v>
      </c>
      <c r="AE139" s="78"/>
      <c r="AF139" s="297">
        <f>(1.2+0.95+1.2+0.95)*2.3</f>
        <v>9.8899999999999988</v>
      </c>
      <c r="AG139" s="297"/>
      <c r="AH139" s="297"/>
      <c r="AI139" s="297"/>
      <c r="AJ139" s="297"/>
      <c r="AK139" s="298"/>
      <c r="AL139" s="298"/>
      <c r="AM139" s="298"/>
      <c r="AN139" s="298">
        <v>1.1000000000000001</v>
      </c>
      <c r="AO139" s="299" t="s">
        <v>300</v>
      </c>
    </row>
    <row r="140" spans="1:41" ht="15" customHeight="1">
      <c r="A140" s="254">
        <v>140</v>
      </c>
      <c r="B140" s="253">
        <v>104</v>
      </c>
      <c r="C140" s="240" t="s">
        <v>53</v>
      </c>
      <c r="D140" s="288" t="s">
        <v>50</v>
      </c>
      <c r="E140" s="289" t="s">
        <v>249</v>
      </c>
      <c r="F140" s="239" t="s">
        <v>214</v>
      </c>
      <c r="G140" s="290" t="s">
        <v>356</v>
      </c>
      <c r="H140" s="291" t="s">
        <v>152</v>
      </c>
      <c r="I140" s="239" t="s">
        <v>209</v>
      </c>
      <c r="J140" s="424">
        <f t="shared" ref="J140:J201" si="4">SUM(K140:P140)</f>
        <v>365</v>
      </c>
      <c r="K140" s="425">
        <v>127</v>
      </c>
      <c r="L140" s="425">
        <v>126</v>
      </c>
      <c r="M140" s="425">
        <v>52</v>
      </c>
      <c r="N140" s="425">
        <v>52</v>
      </c>
      <c r="O140" s="425">
        <v>4</v>
      </c>
      <c r="P140" s="425">
        <v>4</v>
      </c>
      <c r="Q140" s="294">
        <v>0</v>
      </c>
      <c r="R140" s="295" t="e">
        <f>IF(K140="nio",0,(K140*Q140)/X140)*VLOOKUP(C140,'2-Uren per locatie'!$B$15:$D$74,3,FALSE)</f>
        <v>#DIV/0!</v>
      </c>
      <c r="S140" s="295" t="e">
        <f>IF(K140="nio",0,(L140*Q140)/Y140)*VLOOKUP(C140,'2-Uren per locatie'!$B$15:$D$74,3,FALSE)</f>
        <v>#DIV/0!</v>
      </c>
      <c r="T140" s="295" t="e">
        <f>IF(K140="nio",0,(M140*Q140)/Z140)*VLOOKUP(C140,'2-Uren per locatie'!$B$15:$D$74,3,FALSE)</f>
        <v>#DIV/0!</v>
      </c>
      <c r="U140" s="295" t="e">
        <f>IF(K140="nio",0,(N140*Q140)/AA140)*VLOOKUP(C140,'2-Uren per locatie'!$B$15:$D$74,3,FALSE)</f>
        <v>#DIV/0!</v>
      </c>
      <c r="V140" s="295" t="e">
        <f>IF(K140="nio",0,(O140*Q140)/Z140)*VLOOKUP(C140,'2-Uren per locatie'!$B$15:$D$74,3,FALSE)</f>
        <v>#DIV/0!</v>
      </c>
      <c r="W140" s="295" t="e">
        <f>IF(K140="nio",0,(P140*Q140)/AA140)*VLOOKUP(C140,'2-Uren per locatie'!$B$15:$D$74,3,FALSE)</f>
        <v>#DIV/0!</v>
      </c>
      <c r="X140" s="485">
        <f>IF(K140="nio",0,IF(K140&gt;0,VLOOKUP(H140,'3-Productie normen'!A:F,VLOOKUP(K140,'3-Productie normen'!$B$29:$C$34,2,FALSE),FALSE)))</f>
        <v>0</v>
      </c>
      <c r="Y140" s="485">
        <f>VLOOKUP(H140,'3-Productie normen'!$A$10:$J$24,8,FALSE)*'3-Ruimtestaat'!X140</f>
        <v>0</v>
      </c>
      <c r="Z140" s="485">
        <f>VLOOKUP(H140,'3-Productie normen'!$A$10:$J$24,9,FALSE)*'3-Ruimtestaat'!X140</f>
        <v>0</v>
      </c>
      <c r="AA140" s="485">
        <f>VLOOKUP(H140,'3-Productie normen'!$A$10:$J$24,10,FALSE)*'3-Ruimtestaat'!X140</f>
        <v>0</v>
      </c>
      <c r="AB140" s="292" t="str">
        <f>IF(H140="",0,VLOOKUP(H140,'3-Productie normen'!$A$10:$N$23,14,FALSE))</f>
        <v>V</v>
      </c>
      <c r="AD140" s="296">
        <f t="shared" ref="AD140:AD203" si="5">Q140*J140</f>
        <v>0</v>
      </c>
      <c r="AE140" s="78"/>
      <c r="AF140" s="297"/>
      <c r="AG140" s="297"/>
      <c r="AH140" s="297"/>
      <c r="AI140" s="297"/>
      <c r="AJ140" s="297"/>
      <c r="AK140" s="298"/>
      <c r="AL140" s="298"/>
      <c r="AM140" s="298"/>
      <c r="AN140" s="298"/>
      <c r="AO140" s="299" t="s">
        <v>336</v>
      </c>
    </row>
    <row r="141" spans="1:41" ht="15" customHeight="1">
      <c r="A141" s="254">
        <v>141</v>
      </c>
      <c r="B141" s="253">
        <v>104</v>
      </c>
      <c r="C141" s="240" t="s">
        <v>53</v>
      </c>
      <c r="D141" s="288" t="s">
        <v>50</v>
      </c>
      <c r="E141" s="289" t="s">
        <v>249</v>
      </c>
      <c r="F141" s="239" t="s">
        <v>212</v>
      </c>
      <c r="G141" s="290" t="s">
        <v>241</v>
      </c>
      <c r="H141" s="291" t="s">
        <v>155</v>
      </c>
      <c r="I141" s="239" t="s">
        <v>206</v>
      </c>
      <c r="J141" s="424">
        <f t="shared" si="4"/>
        <v>365</v>
      </c>
      <c r="K141" s="425">
        <v>127</v>
      </c>
      <c r="L141" s="425">
        <v>126</v>
      </c>
      <c r="M141" s="425">
        <v>52</v>
      </c>
      <c r="N141" s="425">
        <v>52</v>
      </c>
      <c r="O141" s="425">
        <v>4</v>
      </c>
      <c r="P141" s="425">
        <v>4</v>
      </c>
      <c r="Q141" s="294">
        <v>0</v>
      </c>
      <c r="R141" s="295" t="e">
        <f>IF(K141="nio",0,(K141*Q141)/X141)*VLOOKUP(C141,'2-Uren per locatie'!$B$15:$D$74,3,FALSE)</f>
        <v>#DIV/0!</v>
      </c>
      <c r="S141" s="295" t="e">
        <f>IF(K141="nio",0,(L141*Q141)/Y141)*VLOOKUP(C141,'2-Uren per locatie'!$B$15:$D$74,3,FALSE)</f>
        <v>#DIV/0!</v>
      </c>
      <c r="T141" s="295" t="e">
        <f>IF(K141="nio",0,(M141*Q141)/Z141)*VLOOKUP(C141,'2-Uren per locatie'!$B$15:$D$74,3,FALSE)</f>
        <v>#DIV/0!</v>
      </c>
      <c r="U141" s="295" t="e">
        <f>IF(K141="nio",0,(N141*Q141)/AA141)*VLOOKUP(C141,'2-Uren per locatie'!$B$15:$D$74,3,FALSE)</f>
        <v>#DIV/0!</v>
      </c>
      <c r="V141" s="295" t="e">
        <f>IF(K141="nio",0,(O141*Q141)/Z141)*VLOOKUP(C141,'2-Uren per locatie'!$B$15:$D$74,3,FALSE)</f>
        <v>#DIV/0!</v>
      </c>
      <c r="W141" s="295" t="e">
        <f>IF(K141="nio",0,(P141*Q141)/AA141)*VLOOKUP(C141,'2-Uren per locatie'!$B$15:$D$74,3,FALSE)</f>
        <v>#DIV/0!</v>
      </c>
      <c r="X141" s="485">
        <f>IF(K141="nio",0,IF(K141&gt;0,VLOOKUP(H141,'3-Productie normen'!A:F,VLOOKUP(K141,'3-Productie normen'!$B$29:$C$34,2,FALSE),FALSE)))</f>
        <v>0</v>
      </c>
      <c r="Y141" s="485">
        <f>VLOOKUP(H141,'3-Productie normen'!$A$10:$J$24,8,FALSE)*'3-Ruimtestaat'!X141</f>
        <v>0</v>
      </c>
      <c r="Z141" s="485">
        <f>VLOOKUP(H141,'3-Productie normen'!$A$10:$J$24,9,FALSE)*'3-Ruimtestaat'!X141</f>
        <v>0</v>
      </c>
      <c r="AA141" s="485">
        <f>VLOOKUP(H141,'3-Productie normen'!$A$10:$J$24,10,FALSE)*'3-Ruimtestaat'!X141</f>
        <v>0</v>
      </c>
      <c r="AB141" s="292" t="str">
        <f>IF(H141="",0,VLOOKUP(H141,'3-Productie normen'!$A$10:$N$23,14,FALSE))</f>
        <v>V</v>
      </c>
      <c r="AD141" s="296">
        <f t="shared" si="5"/>
        <v>0</v>
      </c>
      <c r="AE141" s="78"/>
      <c r="AF141" s="297"/>
      <c r="AG141" s="297"/>
      <c r="AH141" s="297"/>
      <c r="AI141" s="297"/>
      <c r="AJ141" s="297"/>
      <c r="AK141" s="298"/>
      <c r="AL141" s="298"/>
      <c r="AM141" s="298"/>
      <c r="AN141" s="298"/>
      <c r="AO141" s="299" t="s">
        <v>357</v>
      </c>
    </row>
    <row r="142" spans="1:41" ht="15" customHeight="1">
      <c r="A142" s="254">
        <v>142</v>
      </c>
      <c r="B142" s="253">
        <v>104</v>
      </c>
      <c r="C142" s="240" t="s">
        <v>53</v>
      </c>
      <c r="D142" s="288" t="s">
        <v>50</v>
      </c>
      <c r="E142" s="289" t="s">
        <v>249</v>
      </c>
      <c r="F142" s="239" t="s">
        <v>249</v>
      </c>
      <c r="G142" s="290" t="s">
        <v>358</v>
      </c>
      <c r="H142" s="291" t="s">
        <v>151</v>
      </c>
      <c r="I142" s="239" t="s">
        <v>203</v>
      </c>
      <c r="J142" s="424">
        <f t="shared" si="4"/>
        <v>365</v>
      </c>
      <c r="K142" s="425">
        <v>127</v>
      </c>
      <c r="L142" s="425">
        <v>126</v>
      </c>
      <c r="M142" s="425">
        <v>52</v>
      </c>
      <c r="N142" s="425">
        <v>52</v>
      </c>
      <c r="O142" s="425">
        <v>4</v>
      </c>
      <c r="P142" s="425">
        <v>4</v>
      </c>
      <c r="Q142" s="294">
        <v>1108.9780000000001</v>
      </c>
      <c r="R142" s="295" t="e">
        <f>IF(K142="nio",0,(K142*Q142)/X142)*VLOOKUP(C142,'2-Uren per locatie'!$B$15:$D$74,3,FALSE)</f>
        <v>#DIV/0!</v>
      </c>
      <c r="S142" s="295" t="e">
        <f>IF(K142="nio",0,(L142*Q142)/Y142)*VLOOKUP(C142,'2-Uren per locatie'!$B$15:$D$74,3,FALSE)</f>
        <v>#DIV/0!</v>
      </c>
      <c r="T142" s="295" t="e">
        <f>IF(K142="nio",0,(M142*Q142)/Z142)*VLOOKUP(C142,'2-Uren per locatie'!$B$15:$D$74,3,FALSE)</f>
        <v>#DIV/0!</v>
      </c>
      <c r="U142" s="295" t="e">
        <f>IF(K142="nio",0,(N142*Q142)/AA142)*VLOOKUP(C142,'2-Uren per locatie'!$B$15:$D$74,3,FALSE)</f>
        <v>#DIV/0!</v>
      </c>
      <c r="V142" s="295" t="e">
        <f>IF(K142="nio",0,(O142*Q142)/Z142)*VLOOKUP(C142,'2-Uren per locatie'!$B$15:$D$74,3,FALSE)</f>
        <v>#DIV/0!</v>
      </c>
      <c r="W142" s="295" t="e">
        <f>IF(K142="nio",0,(P142*Q142)/AA142)*VLOOKUP(C142,'2-Uren per locatie'!$B$15:$D$74,3,FALSE)</f>
        <v>#DIV/0!</v>
      </c>
      <c r="X142" s="485">
        <f>IF(K142="nio",0,IF(K142&gt;0,VLOOKUP(H142,'3-Productie normen'!A:F,VLOOKUP(K142,'3-Productie normen'!$B$29:$C$34,2,FALSE),FALSE)))</f>
        <v>0</v>
      </c>
      <c r="Y142" s="485">
        <f>VLOOKUP(H142,'3-Productie normen'!$A$10:$J$24,8,FALSE)*'3-Ruimtestaat'!X142</f>
        <v>0</v>
      </c>
      <c r="Z142" s="485">
        <f>VLOOKUP(H142,'3-Productie normen'!$A$10:$J$24,9,FALSE)*'3-Ruimtestaat'!X142</f>
        <v>0</v>
      </c>
      <c r="AA142" s="485">
        <f>VLOOKUP(H142,'3-Productie normen'!$A$10:$J$24,10,FALSE)*'3-Ruimtestaat'!X142</f>
        <v>0</v>
      </c>
      <c r="AB142" s="292" t="str">
        <f>IF(H142="",0,VLOOKUP(H142,'3-Productie normen'!$A$10:$N$23,14,FALSE))</f>
        <v>V</v>
      </c>
      <c r="AD142" s="296">
        <f t="shared" si="5"/>
        <v>404776.97000000003</v>
      </c>
      <c r="AE142" s="78"/>
      <c r="AF142" s="297"/>
      <c r="AG142" s="297">
        <v>526</v>
      </c>
      <c r="AH142" s="297"/>
      <c r="AI142" s="297">
        <v>6</v>
      </c>
      <c r="AJ142" s="297">
        <v>47</v>
      </c>
      <c r="AK142" s="298"/>
      <c r="AL142" s="298"/>
      <c r="AM142" s="298">
        <v>853</v>
      </c>
      <c r="AN142" s="298"/>
      <c r="AO142" s="299" t="s">
        <v>289</v>
      </c>
    </row>
    <row r="143" spans="1:41" ht="15" customHeight="1">
      <c r="A143" s="254">
        <v>143</v>
      </c>
      <c r="B143" s="253">
        <v>104</v>
      </c>
      <c r="C143" s="240" t="s">
        <v>53</v>
      </c>
      <c r="D143" s="288" t="s">
        <v>50</v>
      </c>
      <c r="E143" s="289" t="s">
        <v>249</v>
      </c>
      <c r="F143" s="239" t="s">
        <v>214</v>
      </c>
      <c r="G143" s="290" t="s">
        <v>359</v>
      </c>
      <c r="H143" s="291" t="s">
        <v>152</v>
      </c>
      <c r="I143" s="239" t="s">
        <v>209</v>
      </c>
      <c r="J143" s="424">
        <f t="shared" si="4"/>
        <v>365</v>
      </c>
      <c r="K143" s="425">
        <v>127</v>
      </c>
      <c r="L143" s="425">
        <v>126</v>
      </c>
      <c r="M143" s="425">
        <v>52</v>
      </c>
      <c r="N143" s="425">
        <v>52</v>
      </c>
      <c r="O143" s="425">
        <v>4</v>
      </c>
      <c r="P143" s="425">
        <v>4</v>
      </c>
      <c r="Q143" s="294">
        <v>0</v>
      </c>
      <c r="R143" s="295" t="e">
        <f>IF(K143="nio",0,(K143*Q143)/X143)*VLOOKUP(C143,'2-Uren per locatie'!$B$15:$D$74,3,FALSE)</f>
        <v>#DIV/0!</v>
      </c>
      <c r="S143" s="295" t="e">
        <f>IF(K143="nio",0,(L143*Q143)/Y143)*VLOOKUP(C143,'2-Uren per locatie'!$B$15:$D$74,3,FALSE)</f>
        <v>#DIV/0!</v>
      </c>
      <c r="T143" s="295" t="e">
        <f>IF(K143="nio",0,(M143*Q143)/Z143)*VLOOKUP(C143,'2-Uren per locatie'!$B$15:$D$74,3,FALSE)</f>
        <v>#DIV/0!</v>
      </c>
      <c r="U143" s="295" t="e">
        <f>IF(K143="nio",0,(N143*Q143)/AA143)*VLOOKUP(C143,'2-Uren per locatie'!$B$15:$D$74,3,FALSE)</f>
        <v>#DIV/0!</v>
      </c>
      <c r="V143" s="295" t="e">
        <f>IF(K143="nio",0,(O143*Q143)/Z143)*VLOOKUP(C143,'2-Uren per locatie'!$B$15:$D$74,3,FALSE)</f>
        <v>#DIV/0!</v>
      </c>
      <c r="W143" s="295" t="e">
        <f>IF(K143="nio",0,(P143*Q143)/AA143)*VLOOKUP(C143,'2-Uren per locatie'!$B$15:$D$74,3,FALSE)</f>
        <v>#DIV/0!</v>
      </c>
      <c r="X143" s="485">
        <f>IF(K143="nio",0,IF(K143&gt;0,VLOOKUP(H143,'3-Productie normen'!A:F,VLOOKUP(K143,'3-Productie normen'!$B$29:$C$34,2,FALSE),FALSE)))</f>
        <v>0</v>
      </c>
      <c r="Y143" s="485">
        <f>VLOOKUP(H143,'3-Productie normen'!$A$10:$J$24,8,FALSE)*'3-Ruimtestaat'!X143</f>
        <v>0</v>
      </c>
      <c r="Z143" s="485">
        <f>VLOOKUP(H143,'3-Productie normen'!$A$10:$J$24,9,FALSE)*'3-Ruimtestaat'!X143</f>
        <v>0</v>
      </c>
      <c r="AA143" s="485">
        <f>VLOOKUP(H143,'3-Productie normen'!$A$10:$J$24,10,FALSE)*'3-Ruimtestaat'!X143</f>
        <v>0</v>
      </c>
      <c r="AB143" s="292" t="str">
        <f>IF(H143="",0,VLOOKUP(H143,'3-Productie normen'!$A$10:$N$23,14,FALSE))</f>
        <v>V</v>
      </c>
      <c r="AD143" s="296">
        <f t="shared" si="5"/>
        <v>0</v>
      </c>
      <c r="AE143" s="78"/>
      <c r="AF143" s="297"/>
      <c r="AG143" s="297"/>
      <c r="AH143" s="297"/>
      <c r="AI143" s="297"/>
      <c r="AJ143" s="297"/>
      <c r="AK143" s="298"/>
      <c r="AL143" s="298"/>
      <c r="AM143" s="298"/>
      <c r="AN143" s="298"/>
      <c r="AO143" s="299" t="s">
        <v>360</v>
      </c>
    </row>
    <row r="144" spans="1:41" ht="15" customHeight="1">
      <c r="A144" s="254">
        <v>144</v>
      </c>
      <c r="B144" s="253">
        <v>104</v>
      </c>
      <c r="C144" s="240" t="s">
        <v>53</v>
      </c>
      <c r="D144" s="288" t="s">
        <v>50</v>
      </c>
      <c r="E144" s="289" t="s">
        <v>249</v>
      </c>
      <c r="F144" s="239" t="s">
        <v>212</v>
      </c>
      <c r="G144" s="290" t="s">
        <v>361</v>
      </c>
      <c r="H144" s="291" t="s">
        <v>155</v>
      </c>
      <c r="I144" s="239" t="s">
        <v>206</v>
      </c>
      <c r="J144" s="424">
        <f t="shared" si="4"/>
        <v>365</v>
      </c>
      <c r="K144" s="425">
        <v>127</v>
      </c>
      <c r="L144" s="425">
        <v>126</v>
      </c>
      <c r="M144" s="425">
        <v>52</v>
      </c>
      <c r="N144" s="425">
        <v>52</v>
      </c>
      <c r="O144" s="425">
        <v>4</v>
      </c>
      <c r="P144" s="425">
        <v>4</v>
      </c>
      <c r="Q144" s="294">
        <v>0</v>
      </c>
      <c r="R144" s="295" t="e">
        <f>IF(K144="nio",0,(K144*Q144)/X144)*VLOOKUP(C144,'2-Uren per locatie'!$B$15:$D$74,3,FALSE)</f>
        <v>#DIV/0!</v>
      </c>
      <c r="S144" s="295" t="e">
        <f>IF(K144="nio",0,(L144*Q144)/Y144)*VLOOKUP(C144,'2-Uren per locatie'!$B$15:$D$74,3,FALSE)</f>
        <v>#DIV/0!</v>
      </c>
      <c r="T144" s="295" t="e">
        <f>IF(K144="nio",0,(M144*Q144)/Z144)*VLOOKUP(C144,'2-Uren per locatie'!$B$15:$D$74,3,FALSE)</f>
        <v>#DIV/0!</v>
      </c>
      <c r="U144" s="295" t="e">
        <f>IF(K144="nio",0,(N144*Q144)/AA144)*VLOOKUP(C144,'2-Uren per locatie'!$B$15:$D$74,3,FALSE)</f>
        <v>#DIV/0!</v>
      </c>
      <c r="V144" s="295" t="e">
        <f>IF(K144="nio",0,(O144*Q144)/Z144)*VLOOKUP(C144,'2-Uren per locatie'!$B$15:$D$74,3,FALSE)</f>
        <v>#DIV/0!</v>
      </c>
      <c r="W144" s="295" t="e">
        <f>IF(K144="nio",0,(P144*Q144)/AA144)*VLOOKUP(C144,'2-Uren per locatie'!$B$15:$D$74,3,FALSE)</f>
        <v>#DIV/0!</v>
      </c>
      <c r="X144" s="485">
        <f>IF(K144="nio",0,IF(K144&gt;0,VLOOKUP(H144,'3-Productie normen'!A:F,VLOOKUP(K144,'3-Productie normen'!$B$29:$C$34,2,FALSE),FALSE)))</f>
        <v>0</v>
      </c>
      <c r="Y144" s="485">
        <f>VLOOKUP(H144,'3-Productie normen'!$A$10:$J$24,8,FALSE)*'3-Ruimtestaat'!X144</f>
        <v>0</v>
      </c>
      <c r="Z144" s="485">
        <f>VLOOKUP(H144,'3-Productie normen'!$A$10:$J$24,9,FALSE)*'3-Ruimtestaat'!X144</f>
        <v>0</v>
      </c>
      <c r="AA144" s="485">
        <f>VLOOKUP(H144,'3-Productie normen'!$A$10:$J$24,10,FALSE)*'3-Ruimtestaat'!X144</f>
        <v>0</v>
      </c>
      <c r="AB144" s="292" t="str">
        <f>IF(H144="",0,VLOOKUP(H144,'3-Productie normen'!$A$10:$N$23,14,FALSE))</f>
        <v>V</v>
      </c>
      <c r="AD144" s="296">
        <f t="shared" si="5"/>
        <v>0</v>
      </c>
      <c r="AE144" s="78"/>
      <c r="AF144" s="297"/>
      <c r="AG144" s="297"/>
      <c r="AH144" s="297"/>
      <c r="AI144" s="297"/>
      <c r="AJ144" s="297"/>
      <c r="AK144" s="298"/>
      <c r="AL144" s="298"/>
      <c r="AM144" s="298"/>
      <c r="AN144" s="298"/>
      <c r="AO144" s="299" t="s">
        <v>362</v>
      </c>
    </row>
    <row r="145" spans="1:41" ht="15" customHeight="1">
      <c r="A145" s="254">
        <v>145</v>
      </c>
      <c r="B145" s="253">
        <v>104</v>
      </c>
      <c r="C145" s="240" t="s">
        <v>53</v>
      </c>
      <c r="D145" s="288" t="s">
        <v>50</v>
      </c>
      <c r="E145" s="289" t="s">
        <v>249</v>
      </c>
      <c r="F145" s="239" t="s">
        <v>249</v>
      </c>
      <c r="G145" s="290" t="s">
        <v>363</v>
      </c>
      <c r="H145" s="291" t="s">
        <v>151</v>
      </c>
      <c r="I145" s="239" t="s">
        <v>203</v>
      </c>
      <c r="J145" s="424">
        <f t="shared" si="4"/>
        <v>365</v>
      </c>
      <c r="K145" s="425">
        <v>127</v>
      </c>
      <c r="L145" s="425">
        <v>126</v>
      </c>
      <c r="M145" s="425">
        <v>52</v>
      </c>
      <c r="N145" s="425">
        <v>52</v>
      </c>
      <c r="O145" s="425">
        <v>4</v>
      </c>
      <c r="P145" s="425">
        <v>4</v>
      </c>
      <c r="Q145" s="294">
        <v>1022.1250000000002</v>
      </c>
      <c r="R145" s="295" t="e">
        <f>IF(K145="nio",0,(K145*Q145)/X145)*VLOOKUP(C145,'2-Uren per locatie'!$B$15:$D$74,3,FALSE)</f>
        <v>#DIV/0!</v>
      </c>
      <c r="S145" s="295" t="e">
        <f>IF(K145="nio",0,(L145*Q145)/Y145)*VLOOKUP(C145,'2-Uren per locatie'!$B$15:$D$74,3,FALSE)</f>
        <v>#DIV/0!</v>
      </c>
      <c r="T145" s="295" t="e">
        <f>IF(K145="nio",0,(M145*Q145)/Z145)*VLOOKUP(C145,'2-Uren per locatie'!$B$15:$D$74,3,FALSE)</f>
        <v>#DIV/0!</v>
      </c>
      <c r="U145" s="295" t="e">
        <f>IF(K145="nio",0,(N145*Q145)/AA145)*VLOOKUP(C145,'2-Uren per locatie'!$B$15:$D$74,3,FALSE)</f>
        <v>#DIV/0!</v>
      </c>
      <c r="V145" s="295" t="e">
        <f>IF(K145="nio",0,(O145*Q145)/Z145)*VLOOKUP(C145,'2-Uren per locatie'!$B$15:$D$74,3,FALSE)</f>
        <v>#DIV/0!</v>
      </c>
      <c r="W145" s="295" t="e">
        <f>IF(K145="nio",0,(P145*Q145)/AA145)*VLOOKUP(C145,'2-Uren per locatie'!$B$15:$D$74,3,FALSE)</f>
        <v>#DIV/0!</v>
      </c>
      <c r="X145" s="485">
        <f>IF(K145="nio",0,IF(K145&gt;0,VLOOKUP(H145,'3-Productie normen'!A:F,VLOOKUP(K145,'3-Productie normen'!$B$29:$C$34,2,FALSE),FALSE)))</f>
        <v>0</v>
      </c>
      <c r="Y145" s="485">
        <f>VLOOKUP(H145,'3-Productie normen'!$A$10:$J$24,8,FALSE)*'3-Ruimtestaat'!X145</f>
        <v>0</v>
      </c>
      <c r="Z145" s="485">
        <f>VLOOKUP(H145,'3-Productie normen'!$A$10:$J$24,9,FALSE)*'3-Ruimtestaat'!X145</f>
        <v>0</v>
      </c>
      <c r="AA145" s="485">
        <f>VLOOKUP(H145,'3-Productie normen'!$A$10:$J$24,10,FALSE)*'3-Ruimtestaat'!X145</f>
        <v>0</v>
      </c>
      <c r="AB145" s="292" t="str">
        <f>IF(H145="",0,VLOOKUP(H145,'3-Productie normen'!$A$10:$N$23,14,FALSE))</f>
        <v>V</v>
      </c>
      <c r="AD145" s="296">
        <f t="shared" si="5"/>
        <v>373075.62500000006</v>
      </c>
      <c r="AE145" s="78"/>
      <c r="AF145" s="297"/>
      <c r="AG145" s="297">
        <v>504</v>
      </c>
      <c r="AH145" s="297"/>
      <c r="AI145" s="297">
        <v>6</v>
      </c>
      <c r="AJ145" s="297">
        <v>47</v>
      </c>
      <c r="AK145" s="298"/>
      <c r="AL145" s="298"/>
      <c r="AM145" s="298">
        <v>786</v>
      </c>
      <c r="AN145" s="298"/>
      <c r="AO145" s="299" t="s">
        <v>289</v>
      </c>
    </row>
    <row r="146" spans="1:41" ht="15" customHeight="1">
      <c r="A146" s="254">
        <v>146</v>
      </c>
      <c r="B146" s="253">
        <v>104</v>
      </c>
      <c r="C146" s="240" t="s">
        <v>53</v>
      </c>
      <c r="D146" s="288" t="s">
        <v>50</v>
      </c>
      <c r="E146" s="289" t="s">
        <v>249</v>
      </c>
      <c r="F146" s="239" t="s">
        <v>349</v>
      </c>
      <c r="G146" s="290" t="s">
        <v>350</v>
      </c>
      <c r="H146" s="291" t="s">
        <v>149</v>
      </c>
      <c r="I146" s="239" t="s">
        <v>245</v>
      </c>
      <c r="J146" s="424">
        <f t="shared" si="4"/>
        <v>365</v>
      </c>
      <c r="K146" s="425">
        <v>127</v>
      </c>
      <c r="L146" s="425">
        <v>126</v>
      </c>
      <c r="M146" s="425">
        <v>52</v>
      </c>
      <c r="N146" s="425">
        <v>52</v>
      </c>
      <c r="O146" s="425">
        <v>4</v>
      </c>
      <c r="P146" s="425">
        <v>4</v>
      </c>
      <c r="Q146" s="294">
        <v>0</v>
      </c>
      <c r="R146" s="295" t="e">
        <f>IF(K146="nio",0,(K146*Q146)/X146)*VLOOKUP(C146,'2-Uren per locatie'!$B$15:$D$74,3,FALSE)</f>
        <v>#DIV/0!</v>
      </c>
      <c r="S146" s="295" t="e">
        <f>IF(K146="nio",0,(L146*Q146)/Y146)*VLOOKUP(C146,'2-Uren per locatie'!$B$15:$D$74,3,FALSE)</f>
        <v>#DIV/0!</v>
      </c>
      <c r="T146" s="295" t="e">
        <f>IF(K146="nio",0,(M146*Q146)/Z146)*VLOOKUP(C146,'2-Uren per locatie'!$B$15:$D$74,3,FALSE)</f>
        <v>#DIV/0!</v>
      </c>
      <c r="U146" s="295" t="e">
        <f>IF(K146="nio",0,(N146*Q146)/AA146)*VLOOKUP(C146,'2-Uren per locatie'!$B$15:$D$74,3,FALSE)</f>
        <v>#DIV/0!</v>
      </c>
      <c r="V146" s="295" t="e">
        <f>IF(K146="nio",0,(O146*Q146)/Z146)*VLOOKUP(C146,'2-Uren per locatie'!$B$15:$D$74,3,FALSE)</f>
        <v>#DIV/0!</v>
      </c>
      <c r="W146" s="295" t="e">
        <f>IF(K146="nio",0,(P146*Q146)/AA146)*VLOOKUP(C146,'2-Uren per locatie'!$B$15:$D$74,3,FALSE)</f>
        <v>#DIV/0!</v>
      </c>
      <c r="X146" s="485">
        <f>IF(K146="nio",0,IF(K146&gt;0,VLOOKUP(H146,'3-Productie normen'!A:F,VLOOKUP(K146,'3-Productie normen'!$B$29:$C$34,2,FALSE),FALSE)))</f>
        <v>0</v>
      </c>
      <c r="Y146" s="485">
        <f>VLOOKUP(H146,'3-Productie normen'!$A$10:$J$24,8,FALSE)*'3-Ruimtestaat'!X146</f>
        <v>0</v>
      </c>
      <c r="Z146" s="485">
        <f>VLOOKUP(H146,'3-Productie normen'!$A$10:$J$24,9,FALSE)*'3-Ruimtestaat'!X146</f>
        <v>0</v>
      </c>
      <c r="AA146" s="485">
        <f>VLOOKUP(H146,'3-Productie normen'!$A$10:$J$24,10,FALSE)*'3-Ruimtestaat'!X146</f>
        <v>0</v>
      </c>
      <c r="AB146" s="292" t="str">
        <f>IF(H146="",0,VLOOKUP(H146,'3-Productie normen'!$A$10:$N$23,14,FALSE))</f>
        <v>V</v>
      </c>
      <c r="AD146" s="296">
        <f t="shared" si="5"/>
        <v>0</v>
      </c>
      <c r="AE146" s="78"/>
      <c r="AF146" s="297"/>
      <c r="AG146" s="297"/>
      <c r="AH146" s="297"/>
      <c r="AI146" s="297"/>
      <c r="AJ146" s="297"/>
      <c r="AK146" s="298"/>
      <c r="AL146" s="298"/>
      <c r="AM146" s="298"/>
      <c r="AN146" s="298"/>
      <c r="AO146" s="299" t="s">
        <v>294</v>
      </c>
    </row>
    <row r="147" spans="1:41" ht="15" customHeight="1">
      <c r="A147" s="254">
        <v>147</v>
      </c>
      <c r="B147" s="253">
        <v>104</v>
      </c>
      <c r="C147" s="240" t="s">
        <v>53</v>
      </c>
      <c r="D147" s="288" t="s">
        <v>50</v>
      </c>
      <c r="E147" s="289" t="s">
        <v>249</v>
      </c>
      <c r="F147" s="239" t="s">
        <v>351</v>
      </c>
      <c r="G147" s="290" t="s">
        <v>352</v>
      </c>
      <c r="H147" s="291" t="s">
        <v>149</v>
      </c>
      <c r="I147" s="239" t="s">
        <v>245</v>
      </c>
      <c r="J147" s="424">
        <f t="shared" si="4"/>
        <v>365</v>
      </c>
      <c r="K147" s="425">
        <v>127</v>
      </c>
      <c r="L147" s="425">
        <v>126</v>
      </c>
      <c r="M147" s="425">
        <v>52</v>
      </c>
      <c r="N147" s="425">
        <v>52</v>
      </c>
      <c r="O147" s="425">
        <v>4</v>
      </c>
      <c r="P147" s="425">
        <v>4</v>
      </c>
      <c r="Q147" s="294">
        <v>0</v>
      </c>
      <c r="R147" s="295" t="e">
        <f>IF(K147="nio",0,(K147*Q147)/X147)*VLOOKUP(C147,'2-Uren per locatie'!$B$15:$D$74,3,FALSE)</f>
        <v>#DIV/0!</v>
      </c>
      <c r="S147" s="295" t="e">
        <f>IF(K147="nio",0,(L147*Q147)/Y147)*VLOOKUP(C147,'2-Uren per locatie'!$B$15:$D$74,3,FALSE)</f>
        <v>#DIV/0!</v>
      </c>
      <c r="T147" s="295" t="e">
        <f>IF(K147="nio",0,(M147*Q147)/Z147)*VLOOKUP(C147,'2-Uren per locatie'!$B$15:$D$74,3,FALSE)</f>
        <v>#DIV/0!</v>
      </c>
      <c r="U147" s="295" t="e">
        <f>IF(K147="nio",0,(N147*Q147)/AA147)*VLOOKUP(C147,'2-Uren per locatie'!$B$15:$D$74,3,FALSE)</f>
        <v>#DIV/0!</v>
      </c>
      <c r="V147" s="295" t="e">
        <f>IF(K147="nio",0,(O147*Q147)/Z147)*VLOOKUP(C147,'2-Uren per locatie'!$B$15:$D$74,3,FALSE)</f>
        <v>#DIV/0!</v>
      </c>
      <c r="W147" s="295" t="e">
        <f>IF(K147="nio",0,(P147*Q147)/AA147)*VLOOKUP(C147,'2-Uren per locatie'!$B$15:$D$74,3,FALSE)</f>
        <v>#DIV/0!</v>
      </c>
      <c r="X147" s="485">
        <f>IF(K147="nio",0,IF(K147&gt;0,VLOOKUP(H147,'3-Productie normen'!A:F,VLOOKUP(K147,'3-Productie normen'!$B$29:$C$34,2,FALSE),FALSE)))</f>
        <v>0</v>
      </c>
      <c r="Y147" s="485">
        <f>VLOOKUP(H147,'3-Productie normen'!$A$10:$J$24,8,FALSE)*'3-Ruimtestaat'!X147</f>
        <v>0</v>
      </c>
      <c r="Z147" s="485">
        <f>VLOOKUP(H147,'3-Productie normen'!$A$10:$J$24,9,FALSE)*'3-Ruimtestaat'!X147</f>
        <v>0</v>
      </c>
      <c r="AA147" s="485">
        <f>VLOOKUP(H147,'3-Productie normen'!$A$10:$J$24,10,FALSE)*'3-Ruimtestaat'!X147</f>
        <v>0</v>
      </c>
      <c r="AB147" s="292" t="str">
        <f>IF(H147="",0,VLOOKUP(H147,'3-Productie normen'!$A$10:$N$23,14,FALSE))</f>
        <v>V</v>
      </c>
      <c r="AD147" s="296">
        <f t="shared" si="5"/>
        <v>0</v>
      </c>
      <c r="AE147" s="78"/>
      <c r="AF147" s="297"/>
      <c r="AG147" s="297"/>
      <c r="AH147" s="297"/>
      <c r="AI147" s="297"/>
      <c r="AJ147" s="297"/>
      <c r="AK147" s="298"/>
      <c r="AL147" s="298"/>
      <c r="AM147" s="298"/>
      <c r="AN147" s="298"/>
      <c r="AO147" s="299" t="s">
        <v>294</v>
      </c>
    </row>
    <row r="148" spans="1:41" ht="15" customHeight="1">
      <c r="A148" s="254">
        <v>148</v>
      </c>
      <c r="B148" s="253">
        <v>105</v>
      </c>
      <c r="C148" s="240" t="s">
        <v>54</v>
      </c>
      <c r="D148" s="288" t="s">
        <v>50</v>
      </c>
      <c r="E148" s="289" t="s">
        <v>207</v>
      </c>
      <c r="F148" s="239" t="s">
        <v>364</v>
      </c>
      <c r="G148" s="290" t="s">
        <v>279</v>
      </c>
      <c r="H148" s="291" t="s">
        <v>152</v>
      </c>
      <c r="I148" s="239" t="s">
        <v>265</v>
      </c>
      <c r="J148" s="424">
        <f t="shared" si="4"/>
        <v>365</v>
      </c>
      <c r="K148" s="425">
        <v>127</v>
      </c>
      <c r="L148" s="425">
        <v>126</v>
      </c>
      <c r="M148" s="425">
        <v>52</v>
      </c>
      <c r="N148" s="425">
        <v>52</v>
      </c>
      <c r="O148" s="425">
        <v>4</v>
      </c>
      <c r="P148" s="425">
        <v>4</v>
      </c>
      <c r="Q148" s="294">
        <v>21</v>
      </c>
      <c r="R148" s="295" t="e">
        <f>IF(K148="nio",0,(K148*Q148)/X148)*VLOOKUP(C148,'2-Uren per locatie'!$B$15:$D$74,3,FALSE)</f>
        <v>#DIV/0!</v>
      </c>
      <c r="S148" s="295" t="e">
        <f>IF(K148="nio",0,(L148*Q148)/Y148)*VLOOKUP(C148,'2-Uren per locatie'!$B$15:$D$74,3,FALSE)</f>
        <v>#DIV/0!</v>
      </c>
      <c r="T148" s="295" t="e">
        <f>IF(K148="nio",0,(M148*Q148)/Z148)*VLOOKUP(C148,'2-Uren per locatie'!$B$15:$D$74,3,FALSE)</f>
        <v>#DIV/0!</v>
      </c>
      <c r="U148" s="295" t="e">
        <f>IF(K148="nio",0,(N148*Q148)/AA148)*VLOOKUP(C148,'2-Uren per locatie'!$B$15:$D$74,3,FALSE)</f>
        <v>#DIV/0!</v>
      </c>
      <c r="V148" s="295" t="e">
        <f>IF(K148="nio",0,(O148*Q148)/Z148)*VLOOKUP(C148,'2-Uren per locatie'!$B$15:$D$74,3,FALSE)</f>
        <v>#DIV/0!</v>
      </c>
      <c r="W148" s="295" t="e">
        <f>IF(K148="nio",0,(P148*Q148)/AA148)*VLOOKUP(C148,'2-Uren per locatie'!$B$15:$D$74,3,FALSE)</f>
        <v>#DIV/0!</v>
      </c>
      <c r="X148" s="485">
        <f>IF(K148="nio",0,IF(K148&gt;0,VLOOKUP(H148,'3-Productie normen'!A:F,VLOOKUP(K148,'3-Productie normen'!$B$29:$C$34,2,FALSE),FALSE)))</f>
        <v>0</v>
      </c>
      <c r="Y148" s="485">
        <f>VLOOKUP(H148,'3-Productie normen'!$A$10:$J$24,8,FALSE)*'3-Ruimtestaat'!X148</f>
        <v>0</v>
      </c>
      <c r="Z148" s="485">
        <f>VLOOKUP(H148,'3-Productie normen'!$A$10:$J$24,9,FALSE)*'3-Ruimtestaat'!X148</f>
        <v>0</v>
      </c>
      <c r="AA148" s="485">
        <f>VLOOKUP(H148,'3-Productie normen'!$A$10:$J$24,10,FALSE)*'3-Ruimtestaat'!X148</f>
        <v>0</v>
      </c>
      <c r="AB148" s="292" t="str">
        <f>IF(H148="",0,VLOOKUP(H148,'3-Productie normen'!$A$10:$N$23,14,FALSE))</f>
        <v>V</v>
      </c>
      <c r="AD148" s="296">
        <f t="shared" si="5"/>
        <v>7665</v>
      </c>
      <c r="AE148" s="78"/>
      <c r="AF148" s="297"/>
      <c r="AG148" s="297"/>
      <c r="AH148" s="297"/>
      <c r="AI148" s="297"/>
      <c r="AJ148" s="297"/>
      <c r="AK148" s="298"/>
      <c r="AL148" s="298"/>
      <c r="AM148" s="298"/>
      <c r="AN148" s="298"/>
      <c r="AO148" s="299"/>
    </row>
    <row r="149" spans="1:41" ht="15" customHeight="1">
      <c r="A149" s="254">
        <v>149</v>
      </c>
      <c r="B149" s="253">
        <v>105</v>
      </c>
      <c r="C149" s="240" t="s">
        <v>54</v>
      </c>
      <c r="D149" s="288" t="s">
        <v>50</v>
      </c>
      <c r="E149" s="289" t="s">
        <v>207</v>
      </c>
      <c r="F149" s="239" t="s">
        <v>365</v>
      </c>
      <c r="G149" s="290" t="s">
        <v>281</v>
      </c>
      <c r="H149" s="291" t="s">
        <v>155</v>
      </c>
      <c r="I149" s="239" t="s">
        <v>206</v>
      </c>
      <c r="J149" s="424">
        <f t="shared" si="4"/>
        <v>365</v>
      </c>
      <c r="K149" s="425">
        <v>127</v>
      </c>
      <c r="L149" s="425">
        <v>126</v>
      </c>
      <c r="M149" s="425">
        <v>52</v>
      </c>
      <c r="N149" s="425">
        <v>52</v>
      </c>
      <c r="O149" s="425">
        <v>4</v>
      </c>
      <c r="P149" s="425">
        <v>4</v>
      </c>
      <c r="Q149" s="294">
        <v>65.747500000000002</v>
      </c>
      <c r="R149" s="295" t="e">
        <f>IF(K149="nio",0,(K149*Q149)/X149)*VLOOKUP(C149,'2-Uren per locatie'!$B$15:$D$74,3,FALSE)</f>
        <v>#DIV/0!</v>
      </c>
      <c r="S149" s="295" t="e">
        <f>IF(K149="nio",0,(L149*Q149)/Y149)*VLOOKUP(C149,'2-Uren per locatie'!$B$15:$D$74,3,FALSE)</f>
        <v>#DIV/0!</v>
      </c>
      <c r="T149" s="295" t="e">
        <f>IF(K149="nio",0,(M149*Q149)/Z149)*VLOOKUP(C149,'2-Uren per locatie'!$B$15:$D$74,3,FALSE)</f>
        <v>#DIV/0!</v>
      </c>
      <c r="U149" s="295" t="e">
        <f>IF(K149="nio",0,(N149*Q149)/AA149)*VLOOKUP(C149,'2-Uren per locatie'!$B$15:$D$74,3,FALSE)</f>
        <v>#DIV/0!</v>
      </c>
      <c r="V149" s="295" t="e">
        <f>IF(K149="nio",0,(O149*Q149)/Z149)*VLOOKUP(C149,'2-Uren per locatie'!$B$15:$D$74,3,FALSE)</f>
        <v>#DIV/0!</v>
      </c>
      <c r="W149" s="295" t="e">
        <f>IF(K149="nio",0,(P149*Q149)/AA149)*VLOOKUP(C149,'2-Uren per locatie'!$B$15:$D$74,3,FALSE)</f>
        <v>#DIV/0!</v>
      </c>
      <c r="X149" s="485">
        <f>IF(K149="nio",0,IF(K149&gt;0,VLOOKUP(H149,'3-Productie normen'!A:F,VLOOKUP(K149,'3-Productie normen'!$B$29:$C$34,2,FALSE),FALSE)))</f>
        <v>0</v>
      </c>
      <c r="Y149" s="485">
        <f>VLOOKUP(H149,'3-Productie normen'!$A$10:$J$24,8,FALSE)*'3-Ruimtestaat'!X149</f>
        <v>0</v>
      </c>
      <c r="Z149" s="485">
        <f>VLOOKUP(H149,'3-Productie normen'!$A$10:$J$24,9,FALSE)*'3-Ruimtestaat'!X149</f>
        <v>0</v>
      </c>
      <c r="AA149" s="485">
        <f>VLOOKUP(H149,'3-Productie normen'!$A$10:$J$24,10,FALSE)*'3-Ruimtestaat'!X149</f>
        <v>0</v>
      </c>
      <c r="AB149" s="292" t="str">
        <f>IF(H149="",0,VLOOKUP(H149,'3-Productie normen'!$A$10:$N$23,14,FALSE))</f>
        <v>V</v>
      </c>
      <c r="AD149" s="296">
        <f t="shared" si="5"/>
        <v>23997.837500000001</v>
      </c>
      <c r="AE149" s="78"/>
      <c r="AF149" s="297"/>
      <c r="AG149" s="297">
        <v>32</v>
      </c>
      <c r="AH149" s="297"/>
      <c r="AI149" s="297">
        <f>(5.4*0.3)*2</f>
        <v>3.24</v>
      </c>
      <c r="AJ149" s="297">
        <f>(9.35+4.25+9.35)*2.7</f>
        <v>61.965000000000003</v>
      </c>
      <c r="AK149" s="298"/>
      <c r="AL149" s="298"/>
      <c r="AM149" s="298">
        <f>Q149</f>
        <v>65.747500000000002</v>
      </c>
      <c r="AN149" s="298"/>
      <c r="AO149" s="299" t="s">
        <v>366</v>
      </c>
    </row>
    <row r="150" spans="1:41" ht="15" customHeight="1">
      <c r="A150" s="254">
        <v>150</v>
      </c>
      <c r="B150" s="253">
        <v>105</v>
      </c>
      <c r="C150" s="240" t="s">
        <v>54</v>
      </c>
      <c r="D150" s="288" t="s">
        <v>50</v>
      </c>
      <c r="E150" s="289" t="s">
        <v>207</v>
      </c>
      <c r="F150" s="239" t="s">
        <v>210</v>
      </c>
      <c r="G150" s="290" t="s">
        <v>283</v>
      </c>
      <c r="H150" s="291" t="s">
        <v>145</v>
      </c>
      <c r="I150" s="239" t="s">
        <v>203</v>
      </c>
      <c r="J150" s="424">
        <f t="shared" si="4"/>
        <v>365</v>
      </c>
      <c r="K150" s="425">
        <v>127</v>
      </c>
      <c r="L150" s="425">
        <v>126</v>
      </c>
      <c r="M150" s="425">
        <v>52</v>
      </c>
      <c r="N150" s="425">
        <v>52</v>
      </c>
      <c r="O150" s="425">
        <v>4</v>
      </c>
      <c r="P150" s="425">
        <v>4</v>
      </c>
      <c r="Q150" s="294">
        <v>725.4</v>
      </c>
      <c r="R150" s="295" t="e">
        <f>IF(K150="nio",0,(K150*Q150)/X150)*VLOOKUP(C150,'2-Uren per locatie'!$B$15:$D$74,3,FALSE)</f>
        <v>#DIV/0!</v>
      </c>
      <c r="S150" s="295" t="e">
        <f>IF(K150="nio",0,(L150*Q150)/Y150)*VLOOKUP(C150,'2-Uren per locatie'!$B$15:$D$74,3,FALSE)</f>
        <v>#DIV/0!</v>
      </c>
      <c r="T150" s="295" t="e">
        <f>IF(K150="nio",0,(M150*Q150)/Z150)*VLOOKUP(C150,'2-Uren per locatie'!$B$15:$D$74,3,FALSE)</f>
        <v>#DIV/0!</v>
      </c>
      <c r="U150" s="295" t="e">
        <f>IF(K150="nio",0,(N150*Q150)/AA150)*VLOOKUP(C150,'2-Uren per locatie'!$B$15:$D$74,3,FALSE)</f>
        <v>#DIV/0!</v>
      </c>
      <c r="V150" s="295" t="e">
        <f>IF(K150="nio",0,(O150*Q150)/Z150)*VLOOKUP(C150,'2-Uren per locatie'!$B$15:$D$74,3,FALSE)</f>
        <v>#DIV/0!</v>
      </c>
      <c r="W150" s="295" t="e">
        <f>IF(K150="nio",0,(P150*Q150)/AA150)*VLOOKUP(C150,'2-Uren per locatie'!$B$15:$D$74,3,FALSE)</f>
        <v>#DIV/0!</v>
      </c>
      <c r="X150" s="485">
        <f>IF(K150="nio",0,IF(K150&gt;0,VLOOKUP(H150,'3-Productie normen'!A:F,VLOOKUP(K150,'3-Productie normen'!$B$29:$C$34,2,FALSE),FALSE)))</f>
        <v>0</v>
      </c>
      <c r="Y150" s="485">
        <f>VLOOKUP(H150,'3-Productie normen'!$A$10:$J$24,8,FALSE)*'3-Ruimtestaat'!X150</f>
        <v>0</v>
      </c>
      <c r="Z150" s="485">
        <f>VLOOKUP(H150,'3-Productie normen'!$A$10:$J$24,9,FALSE)*'3-Ruimtestaat'!X150</f>
        <v>0</v>
      </c>
      <c r="AA150" s="485">
        <f>VLOOKUP(H150,'3-Productie normen'!$A$10:$J$24,10,FALSE)*'3-Ruimtestaat'!X150</f>
        <v>0</v>
      </c>
      <c r="AB150" s="292" t="str">
        <f>IF(H150="",0,VLOOKUP(H150,'3-Productie normen'!$A$10:$N$23,14,FALSE))</f>
        <v>V</v>
      </c>
      <c r="AD150" s="296">
        <f t="shared" si="5"/>
        <v>264771</v>
      </c>
      <c r="AE150" s="78"/>
      <c r="AF150" s="297"/>
      <c r="AG150" s="297"/>
      <c r="AH150" s="297"/>
      <c r="AI150" s="297">
        <f>0.5*(25+15)</f>
        <v>20</v>
      </c>
      <c r="AJ150" s="297">
        <f>((1.5+3.4+0.8+6+0.8+4.3+1.6+3.5+0.65+4+2.1+0.95+6.3+0.8+3.2+0.6+1.3+0.7+2.8+0.6+3+0.6+5+1.5+1.9+1+2.9+2.85+2+0.8+3.9+0.8+5+1.4+7+5.6+2.3+3.9+2.6+2.1+1.5+5+1.1+7.5+1.55+2+1.5+2+2.5+12.5+4.8+2.4+1.9+10.6+8.5)*3)+(37.7*3)</f>
        <v>615.30000000000007</v>
      </c>
      <c r="AK150" s="298"/>
      <c r="AL150" s="298">
        <f>Q150+(14.8*11.5)</f>
        <v>895.6</v>
      </c>
      <c r="AM150" s="298"/>
      <c r="AN150" s="298"/>
      <c r="AO150" s="299" t="s">
        <v>367</v>
      </c>
    </row>
    <row r="151" spans="1:41" ht="15" customHeight="1">
      <c r="A151" s="254">
        <v>151</v>
      </c>
      <c r="B151" s="253">
        <v>105</v>
      </c>
      <c r="C151" s="240" t="s">
        <v>54</v>
      </c>
      <c r="D151" s="288" t="s">
        <v>50</v>
      </c>
      <c r="E151" s="289" t="s">
        <v>207</v>
      </c>
      <c r="F151" s="239" t="s">
        <v>368</v>
      </c>
      <c r="G151" s="290" t="s">
        <v>208</v>
      </c>
      <c r="H151" s="291" t="s">
        <v>152</v>
      </c>
      <c r="I151" s="239" t="s">
        <v>265</v>
      </c>
      <c r="J151" s="424">
        <f t="shared" si="4"/>
        <v>365</v>
      </c>
      <c r="K151" s="425">
        <v>127</v>
      </c>
      <c r="L151" s="425">
        <v>126</v>
      </c>
      <c r="M151" s="425">
        <v>52</v>
      </c>
      <c r="N151" s="425">
        <v>52</v>
      </c>
      <c r="O151" s="425">
        <v>4</v>
      </c>
      <c r="P151" s="425">
        <v>4</v>
      </c>
      <c r="Q151" s="294">
        <v>21</v>
      </c>
      <c r="R151" s="295" t="e">
        <f>IF(K151="nio",0,(K151*Q151)/X151)*VLOOKUP(C151,'2-Uren per locatie'!$B$15:$D$74,3,FALSE)</f>
        <v>#DIV/0!</v>
      </c>
      <c r="S151" s="295" t="e">
        <f>IF(K151="nio",0,(L151*Q151)/Y151)*VLOOKUP(C151,'2-Uren per locatie'!$B$15:$D$74,3,FALSE)</f>
        <v>#DIV/0!</v>
      </c>
      <c r="T151" s="295" t="e">
        <f>IF(K151="nio",0,(M151*Q151)/Z151)*VLOOKUP(C151,'2-Uren per locatie'!$B$15:$D$74,3,FALSE)</f>
        <v>#DIV/0!</v>
      </c>
      <c r="U151" s="295" t="e">
        <f>IF(K151="nio",0,(N151*Q151)/AA151)*VLOOKUP(C151,'2-Uren per locatie'!$B$15:$D$74,3,FALSE)</f>
        <v>#DIV/0!</v>
      </c>
      <c r="V151" s="295" t="e">
        <f>IF(K151="nio",0,(O151*Q151)/Z151)*VLOOKUP(C151,'2-Uren per locatie'!$B$15:$D$74,3,FALSE)</f>
        <v>#DIV/0!</v>
      </c>
      <c r="W151" s="295" t="e">
        <f>IF(K151="nio",0,(P151*Q151)/AA151)*VLOOKUP(C151,'2-Uren per locatie'!$B$15:$D$74,3,FALSE)</f>
        <v>#DIV/0!</v>
      </c>
      <c r="X151" s="485">
        <f>IF(K151="nio",0,IF(K151&gt;0,VLOOKUP(H151,'3-Productie normen'!A:F,VLOOKUP(K151,'3-Productie normen'!$B$29:$C$34,2,FALSE),FALSE)))</f>
        <v>0</v>
      </c>
      <c r="Y151" s="485">
        <f>VLOOKUP(H151,'3-Productie normen'!$A$10:$J$24,8,FALSE)*'3-Ruimtestaat'!X151</f>
        <v>0</v>
      </c>
      <c r="Z151" s="485">
        <f>VLOOKUP(H151,'3-Productie normen'!$A$10:$J$24,9,FALSE)*'3-Ruimtestaat'!X151</f>
        <v>0</v>
      </c>
      <c r="AA151" s="485">
        <f>VLOOKUP(H151,'3-Productie normen'!$A$10:$J$24,10,FALSE)*'3-Ruimtestaat'!X151</f>
        <v>0</v>
      </c>
      <c r="AB151" s="292" t="str">
        <f>IF(H151="",0,VLOOKUP(H151,'3-Productie normen'!$A$10:$N$23,14,FALSE))</f>
        <v>V</v>
      </c>
      <c r="AD151" s="296">
        <f t="shared" si="5"/>
        <v>7665</v>
      </c>
      <c r="AE151" s="78"/>
      <c r="AF151" s="297"/>
      <c r="AG151" s="297"/>
      <c r="AH151" s="297"/>
      <c r="AI151" s="297"/>
      <c r="AJ151" s="297"/>
      <c r="AK151" s="298"/>
      <c r="AL151" s="298"/>
      <c r="AM151" s="298"/>
      <c r="AN151" s="298"/>
      <c r="AO151" s="299"/>
    </row>
    <row r="152" spans="1:41" ht="15" customHeight="1">
      <c r="A152" s="254">
        <v>152</v>
      </c>
      <c r="B152" s="253">
        <v>105</v>
      </c>
      <c r="C152" s="240" t="s">
        <v>54</v>
      </c>
      <c r="D152" s="288" t="s">
        <v>50</v>
      </c>
      <c r="E152" s="289" t="s">
        <v>207</v>
      </c>
      <c r="F152" s="239" t="s">
        <v>369</v>
      </c>
      <c r="G152" s="290" t="s">
        <v>211</v>
      </c>
      <c r="H152" s="291" t="s">
        <v>155</v>
      </c>
      <c r="I152" s="239" t="s">
        <v>206</v>
      </c>
      <c r="J152" s="424">
        <f t="shared" si="4"/>
        <v>365</v>
      </c>
      <c r="K152" s="425">
        <v>127</v>
      </c>
      <c r="L152" s="425">
        <v>126</v>
      </c>
      <c r="M152" s="425">
        <v>52</v>
      </c>
      <c r="N152" s="425">
        <v>52</v>
      </c>
      <c r="O152" s="425">
        <v>4</v>
      </c>
      <c r="P152" s="425">
        <v>4</v>
      </c>
      <c r="Q152" s="294">
        <v>65.747500000000002</v>
      </c>
      <c r="R152" s="295" t="e">
        <f>IF(K152="nio",0,(K152*Q152)/X152)*VLOOKUP(C152,'2-Uren per locatie'!$B$15:$D$74,3,FALSE)</f>
        <v>#DIV/0!</v>
      </c>
      <c r="S152" s="295" t="e">
        <f>IF(K152="nio",0,(L152*Q152)/Y152)*VLOOKUP(C152,'2-Uren per locatie'!$B$15:$D$74,3,FALSE)</f>
        <v>#DIV/0!</v>
      </c>
      <c r="T152" s="295" t="e">
        <f>IF(K152="nio",0,(M152*Q152)/Z152)*VLOOKUP(C152,'2-Uren per locatie'!$B$15:$D$74,3,FALSE)</f>
        <v>#DIV/0!</v>
      </c>
      <c r="U152" s="295" t="e">
        <f>IF(K152="nio",0,(N152*Q152)/AA152)*VLOOKUP(C152,'2-Uren per locatie'!$B$15:$D$74,3,FALSE)</f>
        <v>#DIV/0!</v>
      </c>
      <c r="V152" s="295" t="e">
        <f>IF(K152="nio",0,(O152*Q152)/Z152)*VLOOKUP(C152,'2-Uren per locatie'!$B$15:$D$74,3,FALSE)</f>
        <v>#DIV/0!</v>
      </c>
      <c r="W152" s="295" t="e">
        <f>IF(K152="nio",0,(P152*Q152)/AA152)*VLOOKUP(C152,'2-Uren per locatie'!$B$15:$D$74,3,FALSE)</f>
        <v>#DIV/0!</v>
      </c>
      <c r="X152" s="485">
        <f>IF(K152="nio",0,IF(K152&gt;0,VLOOKUP(H152,'3-Productie normen'!A:F,VLOOKUP(K152,'3-Productie normen'!$B$29:$C$34,2,FALSE),FALSE)))</f>
        <v>0</v>
      </c>
      <c r="Y152" s="485">
        <f>VLOOKUP(H152,'3-Productie normen'!$A$10:$J$24,8,FALSE)*'3-Ruimtestaat'!X152</f>
        <v>0</v>
      </c>
      <c r="Z152" s="485">
        <f>VLOOKUP(H152,'3-Productie normen'!$A$10:$J$24,9,FALSE)*'3-Ruimtestaat'!X152</f>
        <v>0</v>
      </c>
      <c r="AA152" s="485">
        <f>VLOOKUP(H152,'3-Productie normen'!$A$10:$J$24,10,FALSE)*'3-Ruimtestaat'!X152</f>
        <v>0</v>
      </c>
      <c r="AB152" s="292" t="str">
        <f>IF(H152="",0,VLOOKUP(H152,'3-Productie normen'!$A$10:$N$23,14,FALSE))</f>
        <v>V</v>
      </c>
      <c r="AD152" s="296">
        <f t="shared" si="5"/>
        <v>23997.837500000001</v>
      </c>
      <c r="AE152" s="78"/>
      <c r="AF152" s="297"/>
      <c r="AG152" s="297">
        <v>32</v>
      </c>
      <c r="AH152" s="297"/>
      <c r="AI152" s="297">
        <f>(5.4*0.3)*2</f>
        <v>3.24</v>
      </c>
      <c r="AJ152" s="297">
        <f>(9.35+4.25+9.35)*2.7</f>
        <v>61.965000000000003</v>
      </c>
      <c r="AK152" s="298"/>
      <c r="AL152" s="298"/>
      <c r="AM152" s="298">
        <f>Q152</f>
        <v>65.747500000000002</v>
      </c>
      <c r="AN152" s="298"/>
      <c r="AO152" s="299" t="s">
        <v>366</v>
      </c>
    </row>
    <row r="153" spans="1:41" ht="15" customHeight="1">
      <c r="A153" s="254">
        <v>153</v>
      </c>
      <c r="B153" s="253">
        <v>105</v>
      </c>
      <c r="C153" s="240" t="s">
        <v>54</v>
      </c>
      <c r="D153" s="288" t="s">
        <v>50</v>
      </c>
      <c r="E153" s="289" t="s">
        <v>207</v>
      </c>
      <c r="F153" s="239" t="s">
        <v>214</v>
      </c>
      <c r="G153" s="290" t="s">
        <v>213</v>
      </c>
      <c r="H153" s="291" t="s">
        <v>152</v>
      </c>
      <c r="I153" s="239" t="s">
        <v>265</v>
      </c>
      <c r="J153" s="424">
        <f t="shared" si="4"/>
        <v>365</v>
      </c>
      <c r="K153" s="425">
        <v>127</v>
      </c>
      <c r="L153" s="425">
        <v>126</v>
      </c>
      <c r="M153" s="425">
        <v>52</v>
      </c>
      <c r="N153" s="425">
        <v>52</v>
      </c>
      <c r="O153" s="425">
        <v>4</v>
      </c>
      <c r="P153" s="425">
        <v>4</v>
      </c>
      <c r="Q153" s="294">
        <v>21</v>
      </c>
      <c r="R153" s="295" t="e">
        <f>IF(K153="nio",0,(K153*Q153)/X153)*VLOOKUP(C153,'2-Uren per locatie'!$B$15:$D$74,3,FALSE)</f>
        <v>#DIV/0!</v>
      </c>
      <c r="S153" s="295" t="e">
        <f>IF(K153="nio",0,(L153*Q153)/Y153)*VLOOKUP(C153,'2-Uren per locatie'!$B$15:$D$74,3,FALSE)</f>
        <v>#DIV/0!</v>
      </c>
      <c r="T153" s="295" t="e">
        <f>IF(K153="nio",0,(M153*Q153)/Z153)*VLOOKUP(C153,'2-Uren per locatie'!$B$15:$D$74,3,FALSE)</f>
        <v>#DIV/0!</v>
      </c>
      <c r="U153" s="295" t="e">
        <f>IF(K153="nio",0,(N153*Q153)/AA153)*VLOOKUP(C153,'2-Uren per locatie'!$B$15:$D$74,3,FALSE)</f>
        <v>#DIV/0!</v>
      </c>
      <c r="V153" s="295" t="e">
        <f>IF(K153="nio",0,(O153*Q153)/Z153)*VLOOKUP(C153,'2-Uren per locatie'!$B$15:$D$74,3,FALSE)</f>
        <v>#DIV/0!</v>
      </c>
      <c r="W153" s="295" t="e">
        <f>IF(K153="nio",0,(P153*Q153)/AA153)*VLOOKUP(C153,'2-Uren per locatie'!$B$15:$D$74,3,FALSE)</f>
        <v>#DIV/0!</v>
      </c>
      <c r="X153" s="485">
        <f>IF(K153="nio",0,IF(K153&gt;0,VLOOKUP(H153,'3-Productie normen'!A:F,VLOOKUP(K153,'3-Productie normen'!$B$29:$C$34,2,FALSE),FALSE)))</f>
        <v>0</v>
      </c>
      <c r="Y153" s="485">
        <f>VLOOKUP(H153,'3-Productie normen'!$A$10:$J$24,8,FALSE)*'3-Ruimtestaat'!X153</f>
        <v>0</v>
      </c>
      <c r="Z153" s="485">
        <f>VLOOKUP(H153,'3-Productie normen'!$A$10:$J$24,9,FALSE)*'3-Ruimtestaat'!X153</f>
        <v>0</v>
      </c>
      <c r="AA153" s="485">
        <f>VLOOKUP(H153,'3-Productie normen'!$A$10:$J$24,10,FALSE)*'3-Ruimtestaat'!X153</f>
        <v>0</v>
      </c>
      <c r="AB153" s="292" t="str">
        <f>IF(H153="",0,VLOOKUP(H153,'3-Productie normen'!$A$10:$N$23,14,FALSE))</f>
        <v>V</v>
      </c>
      <c r="AD153" s="296">
        <f t="shared" si="5"/>
        <v>7665</v>
      </c>
      <c r="AE153" s="78"/>
      <c r="AF153" s="297"/>
      <c r="AG153" s="297"/>
      <c r="AH153" s="297"/>
      <c r="AI153" s="297"/>
      <c r="AJ153" s="297"/>
      <c r="AK153" s="298"/>
      <c r="AL153" s="298"/>
      <c r="AM153" s="298"/>
      <c r="AN153" s="298"/>
      <c r="AO153" s="299"/>
    </row>
    <row r="154" spans="1:41" ht="15" customHeight="1">
      <c r="A154" s="254">
        <v>154</v>
      </c>
      <c r="B154" s="253">
        <v>105</v>
      </c>
      <c r="C154" s="240" t="s">
        <v>54</v>
      </c>
      <c r="D154" s="288" t="s">
        <v>50</v>
      </c>
      <c r="E154" s="289" t="s">
        <v>207</v>
      </c>
      <c r="F154" s="239" t="s">
        <v>212</v>
      </c>
      <c r="G154" s="290" t="s">
        <v>215</v>
      </c>
      <c r="H154" s="291" t="s">
        <v>155</v>
      </c>
      <c r="I154" s="239" t="s">
        <v>206</v>
      </c>
      <c r="J154" s="424">
        <f t="shared" si="4"/>
        <v>365</v>
      </c>
      <c r="K154" s="425">
        <v>127</v>
      </c>
      <c r="L154" s="425">
        <v>126</v>
      </c>
      <c r="M154" s="425">
        <v>52</v>
      </c>
      <c r="N154" s="425">
        <v>52</v>
      </c>
      <c r="O154" s="425">
        <v>4</v>
      </c>
      <c r="P154" s="425">
        <v>4</v>
      </c>
      <c r="Q154" s="294">
        <v>30.735249999999997</v>
      </c>
      <c r="R154" s="295" t="e">
        <f>IF(K154="nio",0,(K154*Q154)/X154)*VLOOKUP(C154,'2-Uren per locatie'!$B$15:$D$74,3,FALSE)</f>
        <v>#DIV/0!</v>
      </c>
      <c r="S154" s="295" t="e">
        <f>IF(K154="nio",0,(L154*Q154)/Y154)*VLOOKUP(C154,'2-Uren per locatie'!$B$15:$D$74,3,FALSE)</f>
        <v>#DIV/0!</v>
      </c>
      <c r="T154" s="295" t="e">
        <f>IF(K154="nio",0,(M154*Q154)/Z154)*VLOOKUP(C154,'2-Uren per locatie'!$B$15:$D$74,3,FALSE)</f>
        <v>#DIV/0!</v>
      </c>
      <c r="U154" s="295" t="e">
        <f>IF(K154="nio",0,(N154*Q154)/AA154)*VLOOKUP(C154,'2-Uren per locatie'!$B$15:$D$74,3,FALSE)</f>
        <v>#DIV/0!</v>
      </c>
      <c r="V154" s="295" t="e">
        <f>IF(K154="nio",0,(O154*Q154)/Z154)*VLOOKUP(C154,'2-Uren per locatie'!$B$15:$D$74,3,FALSE)</f>
        <v>#DIV/0!</v>
      </c>
      <c r="W154" s="295" t="e">
        <f>IF(K154="nio",0,(P154*Q154)/AA154)*VLOOKUP(C154,'2-Uren per locatie'!$B$15:$D$74,3,FALSE)</f>
        <v>#DIV/0!</v>
      </c>
      <c r="X154" s="485">
        <f>IF(K154="nio",0,IF(K154&gt;0,VLOOKUP(H154,'3-Productie normen'!A:F,VLOOKUP(K154,'3-Productie normen'!$B$29:$C$34,2,FALSE),FALSE)))</f>
        <v>0</v>
      </c>
      <c r="Y154" s="485">
        <f>VLOOKUP(H154,'3-Productie normen'!$A$10:$J$24,8,FALSE)*'3-Ruimtestaat'!X154</f>
        <v>0</v>
      </c>
      <c r="Z154" s="485">
        <f>VLOOKUP(H154,'3-Productie normen'!$A$10:$J$24,9,FALSE)*'3-Ruimtestaat'!X154</f>
        <v>0</v>
      </c>
      <c r="AA154" s="485">
        <f>VLOOKUP(H154,'3-Productie normen'!$A$10:$J$24,10,FALSE)*'3-Ruimtestaat'!X154</f>
        <v>0</v>
      </c>
      <c r="AB154" s="292" t="str">
        <f>IF(H154="",0,VLOOKUP(H154,'3-Productie normen'!$A$10:$N$23,14,FALSE))</f>
        <v>V</v>
      </c>
      <c r="AD154" s="296">
        <f t="shared" si="5"/>
        <v>11218.366249999999</v>
      </c>
      <c r="AE154" s="78"/>
      <c r="AF154" s="297"/>
      <c r="AG154" s="297"/>
      <c r="AH154" s="297"/>
      <c r="AI154" s="297"/>
      <c r="AJ154" s="297"/>
      <c r="AK154" s="298"/>
      <c r="AL154" s="298"/>
      <c r="AM154" s="298"/>
      <c r="AN154" s="298"/>
      <c r="AO154" s="299"/>
    </row>
    <row r="155" spans="1:41" ht="15" customHeight="1">
      <c r="A155" s="254">
        <v>155</v>
      </c>
      <c r="B155" s="253">
        <v>105</v>
      </c>
      <c r="C155" s="240" t="s">
        <v>54</v>
      </c>
      <c r="D155" s="288" t="s">
        <v>50</v>
      </c>
      <c r="E155" s="289" t="s">
        <v>207</v>
      </c>
      <c r="F155" s="239" t="s">
        <v>212</v>
      </c>
      <c r="G155" s="290" t="s">
        <v>218</v>
      </c>
      <c r="H155" s="291" t="s">
        <v>155</v>
      </c>
      <c r="I155" s="239" t="s">
        <v>206</v>
      </c>
      <c r="J155" s="424">
        <f t="shared" si="4"/>
        <v>365</v>
      </c>
      <c r="K155" s="425">
        <v>127</v>
      </c>
      <c r="L155" s="425">
        <v>126</v>
      </c>
      <c r="M155" s="425">
        <v>52</v>
      </c>
      <c r="N155" s="425">
        <v>52</v>
      </c>
      <c r="O155" s="425">
        <v>4</v>
      </c>
      <c r="P155" s="425">
        <v>4</v>
      </c>
      <c r="Q155" s="294">
        <v>30.735249999999997</v>
      </c>
      <c r="R155" s="295" t="e">
        <f>IF(K155="nio",0,(K155*Q155)/X155)*VLOOKUP(C155,'2-Uren per locatie'!$B$15:$D$74,3,FALSE)</f>
        <v>#DIV/0!</v>
      </c>
      <c r="S155" s="295" t="e">
        <f>IF(K155="nio",0,(L155*Q155)/Y155)*VLOOKUP(C155,'2-Uren per locatie'!$B$15:$D$74,3,FALSE)</f>
        <v>#DIV/0!</v>
      </c>
      <c r="T155" s="295" t="e">
        <f>IF(K155="nio",0,(M155*Q155)/Z155)*VLOOKUP(C155,'2-Uren per locatie'!$B$15:$D$74,3,FALSE)</f>
        <v>#DIV/0!</v>
      </c>
      <c r="U155" s="295" t="e">
        <f>IF(K155="nio",0,(N155*Q155)/AA155)*VLOOKUP(C155,'2-Uren per locatie'!$B$15:$D$74,3,FALSE)</f>
        <v>#DIV/0!</v>
      </c>
      <c r="V155" s="295" t="e">
        <f>IF(K155="nio",0,(O155*Q155)/Z155)*VLOOKUP(C155,'2-Uren per locatie'!$B$15:$D$74,3,FALSE)</f>
        <v>#DIV/0!</v>
      </c>
      <c r="W155" s="295" t="e">
        <f>IF(K155="nio",0,(P155*Q155)/AA155)*VLOOKUP(C155,'2-Uren per locatie'!$B$15:$D$74,3,FALSE)</f>
        <v>#DIV/0!</v>
      </c>
      <c r="X155" s="485">
        <f>IF(K155="nio",0,IF(K155&gt;0,VLOOKUP(H155,'3-Productie normen'!A:F,VLOOKUP(K155,'3-Productie normen'!$B$29:$C$34,2,FALSE),FALSE)))</f>
        <v>0</v>
      </c>
      <c r="Y155" s="485">
        <f>VLOOKUP(H155,'3-Productie normen'!$A$10:$J$24,8,FALSE)*'3-Ruimtestaat'!X155</f>
        <v>0</v>
      </c>
      <c r="Z155" s="485">
        <f>VLOOKUP(H155,'3-Productie normen'!$A$10:$J$24,9,FALSE)*'3-Ruimtestaat'!X155</f>
        <v>0</v>
      </c>
      <c r="AA155" s="485">
        <f>VLOOKUP(H155,'3-Productie normen'!$A$10:$J$24,10,FALSE)*'3-Ruimtestaat'!X155</f>
        <v>0</v>
      </c>
      <c r="AB155" s="292" t="str">
        <f>IF(H155="",0,VLOOKUP(H155,'3-Productie normen'!$A$10:$N$23,14,FALSE))</f>
        <v>V</v>
      </c>
      <c r="AD155" s="296">
        <f t="shared" si="5"/>
        <v>11218.366249999999</v>
      </c>
      <c r="AE155" s="78"/>
      <c r="AF155" s="297"/>
      <c r="AG155" s="297"/>
      <c r="AH155" s="297"/>
      <c r="AI155" s="297"/>
      <c r="AJ155" s="297"/>
      <c r="AK155" s="298"/>
      <c r="AL155" s="298"/>
      <c r="AM155" s="298"/>
      <c r="AN155" s="298"/>
      <c r="AO155" s="299"/>
    </row>
    <row r="156" spans="1:41" ht="15" customHeight="1">
      <c r="A156" s="254">
        <v>156</v>
      </c>
      <c r="B156" s="253">
        <v>105</v>
      </c>
      <c r="C156" s="240" t="s">
        <v>54</v>
      </c>
      <c r="D156" s="288" t="s">
        <v>50</v>
      </c>
      <c r="E156" s="289" t="s">
        <v>207</v>
      </c>
      <c r="F156" s="239" t="s">
        <v>214</v>
      </c>
      <c r="G156" s="290" t="s">
        <v>219</v>
      </c>
      <c r="H156" s="291" t="s">
        <v>152</v>
      </c>
      <c r="I156" s="239" t="s">
        <v>265</v>
      </c>
      <c r="J156" s="424">
        <f t="shared" si="4"/>
        <v>365</v>
      </c>
      <c r="K156" s="425">
        <v>127</v>
      </c>
      <c r="L156" s="425">
        <v>126</v>
      </c>
      <c r="M156" s="425">
        <v>52</v>
      </c>
      <c r="N156" s="425">
        <v>52</v>
      </c>
      <c r="O156" s="425">
        <v>4</v>
      </c>
      <c r="P156" s="425">
        <v>4</v>
      </c>
      <c r="Q156" s="294">
        <v>20</v>
      </c>
      <c r="R156" s="295" t="e">
        <f>IF(K156="nio",0,(K156*Q156)/X156)*VLOOKUP(C156,'2-Uren per locatie'!$B$15:$D$74,3,FALSE)</f>
        <v>#DIV/0!</v>
      </c>
      <c r="S156" s="295" t="e">
        <f>IF(K156="nio",0,(L156*Q156)/Y156)*VLOOKUP(C156,'2-Uren per locatie'!$B$15:$D$74,3,FALSE)</f>
        <v>#DIV/0!</v>
      </c>
      <c r="T156" s="295" t="e">
        <f>IF(K156="nio",0,(M156*Q156)/Z156)*VLOOKUP(C156,'2-Uren per locatie'!$B$15:$D$74,3,FALSE)</f>
        <v>#DIV/0!</v>
      </c>
      <c r="U156" s="295" t="e">
        <f>IF(K156="nio",0,(N156*Q156)/AA156)*VLOOKUP(C156,'2-Uren per locatie'!$B$15:$D$74,3,FALSE)</f>
        <v>#DIV/0!</v>
      </c>
      <c r="V156" s="295" t="e">
        <f>IF(K156="nio",0,(O156*Q156)/Z156)*VLOOKUP(C156,'2-Uren per locatie'!$B$15:$D$74,3,FALSE)</f>
        <v>#DIV/0!</v>
      </c>
      <c r="W156" s="295" t="e">
        <f>IF(K156="nio",0,(P156*Q156)/AA156)*VLOOKUP(C156,'2-Uren per locatie'!$B$15:$D$74,3,FALSE)</f>
        <v>#DIV/0!</v>
      </c>
      <c r="X156" s="485">
        <f>IF(K156="nio",0,IF(K156&gt;0,VLOOKUP(H156,'3-Productie normen'!A:F,VLOOKUP(K156,'3-Productie normen'!$B$29:$C$34,2,FALSE),FALSE)))</f>
        <v>0</v>
      </c>
      <c r="Y156" s="485">
        <f>VLOOKUP(H156,'3-Productie normen'!$A$10:$J$24,8,FALSE)*'3-Ruimtestaat'!X156</f>
        <v>0</v>
      </c>
      <c r="Z156" s="485">
        <f>VLOOKUP(H156,'3-Productie normen'!$A$10:$J$24,9,FALSE)*'3-Ruimtestaat'!X156</f>
        <v>0</v>
      </c>
      <c r="AA156" s="485">
        <f>VLOOKUP(H156,'3-Productie normen'!$A$10:$J$24,10,FALSE)*'3-Ruimtestaat'!X156</f>
        <v>0</v>
      </c>
      <c r="AB156" s="292" t="str">
        <f>IF(H156="",0,VLOOKUP(H156,'3-Productie normen'!$A$10:$N$23,14,FALSE))</f>
        <v>V</v>
      </c>
      <c r="AD156" s="296">
        <f t="shared" si="5"/>
        <v>7300</v>
      </c>
      <c r="AE156" s="78"/>
      <c r="AF156" s="297"/>
      <c r="AG156" s="297"/>
      <c r="AH156" s="297"/>
      <c r="AI156" s="297"/>
      <c r="AJ156" s="297"/>
      <c r="AK156" s="298"/>
      <c r="AL156" s="298"/>
      <c r="AM156" s="298"/>
      <c r="AN156" s="298"/>
      <c r="AO156" s="299"/>
    </row>
    <row r="157" spans="1:41" ht="15" customHeight="1">
      <c r="A157" s="254">
        <v>157</v>
      </c>
      <c r="B157" s="253">
        <v>105</v>
      </c>
      <c r="C157" s="240" t="s">
        <v>54</v>
      </c>
      <c r="D157" s="288" t="s">
        <v>50</v>
      </c>
      <c r="E157" s="289" t="s">
        <v>207</v>
      </c>
      <c r="F157" s="239" t="s">
        <v>210</v>
      </c>
      <c r="G157" s="290" t="s">
        <v>290</v>
      </c>
      <c r="H157" s="291" t="s">
        <v>145</v>
      </c>
      <c r="I157" s="239" t="s">
        <v>203</v>
      </c>
      <c r="J157" s="424">
        <f t="shared" si="4"/>
        <v>365</v>
      </c>
      <c r="K157" s="425">
        <v>127</v>
      </c>
      <c r="L157" s="425">
        <v>126</v>
      </c>
      <c r="M157" s="425">
        <v>52</v>
      </c>
      <c r="N157" s="425">
        <v>52</v>
      </c>
      <c r="O157" s="425">
        <v>4</v>
      </c>
      <c r="P157" s="425">
        <v>4</v>
      </c>
      <c r="Q157" s="294">
        <v>620.1</v>
      </c>
      <c r="R157" s="295" t="e">
        <f>IF(K157="nio",0,(K157*Q157)/X157)*VLOOKUP(C157,'2-Uren per locatie'!$B$15:$D$74,3,FALSE)</f>
        <v>#DIV/0!</v>
      </c>
      <c r="S157" s="295" t="e">
        <f>IF(K157="nio",0,(L157*Q157)/Y157)*VLOOKUP(C157,'2-Uren per locatie'!$B$15:$D$74,3,FALSE)</f>
        <v>#DIV/0!</v>
      </c>
      <c r="T157" s="295" t="e">
        <f>IF(K157="nio",0,(M157*Q157)/Z157)*VLOOKUP(C157,'2-Uren per locatie'!$B$15:$D$74,3,FALSE)</f>
        <v>#DIV/0!</v>
      </c>
      <c r="U157" s="295" t="e">
        <f>IF(K157="nio",0,(N157*Q157)/AA157)*VLOOKUP(C157,'2-Uren per locatie'!$B$15:$D$74,3,FALSE)</f>
        <v>#DIV/0!</v>
      </c>
      <c r="V157" s="295" t="e">
        <f>IF(K157="nio",0,(O157*Q157)/Z157)*VLOOKUP(C157,'2-Uren per locatie'!$B$15:$D$74,3,FALSE)</f>
        <v>#DIV/0!</v>
      </c>
      <c r="W157" s="295" t="e">
        <f>IF(K157="nio",0,(P157*Q157)/AA157)*VLOOKUP(C157,'2-Uren per locatie'!$B$15:$D$74,3,FALSE)</f>
        <v>#DIV/0!</v>
      </c>
      <c r="X157" s="485">
        <f>IF(K157="nio",0,IF(K157&gt;0,VLOOKUP(H157,'3-Productie normen'!A:F,VLOOKUP(K157,'3-Productie normen'!$B$29:$C$34,2,FALSE),FALSE)))</f>
        <v>0</v>
      </c>
      <c r="Y157" s="485">
        <f>VLOOKUP(H157,'3-Productie normen'!$A$10:$J$24,8,FALSE)*'3-Ruimtestaat'!X157</f>
        <v>0</v>
      </c>
      <c r="Z157" s="485">
        <f>VLOOKUP(H157,'3-Productie normen'!$A$10:$J$24,9,FALSE)*'3-Ruimtestaat'!X157</f>
        <v>0</v>
      </c>
      <c r="AA157" s="485">
        <f>VLOOKUP(H157,'3-Productie normen'!$A$10:$J$24,10,FALSE)*'3-Ruimtestaat'!X157</f>
        <v>0</v>
      </c>
      <c r="AB157" s="292" t="str">
        <f>IF(H157="",0,VLOOKUP(H157,'3-Productie normen'!$A$10:$N$23,14,FALSE))</f>
        <v>V</v>
      </c>
      <c r="AD157" s="296">
        <f t="shared" si="5"/>
        <v>226336.5</v>
      </c>
      <c r="AE157" s="78"/>
      <c r="AF157" s="297"/>
      <c r="AG157" s="297"/>
      <c r="AH157" s="297"/>
      <c r="AI157" s="297">
        <f>(19+17)*0.5</f>
        <v>18</v>
      </c>
      <c r="AJ157" s="297">
        <f>(6.75+7.15+1.4+8.15+7.1+4.3+3.35+1.7+1+0.8+3.7+0.8+14.7+17.3+1+1.4+3.35+4.3+7.1+4.8+0.8+3+0.8+3.6+1.4+7.15+6.75+11.5+11.5+15)*3</f>
        <v>484.94999999999993</v>
      </c>
      <c r="AK157" s="298"/>
      <c r="AL157" s="298"/>
      <c r="AM157" s="298">
        <f>Q157+(11.5*15)</f>
        <v>792.6</v>
      </c>
      <c r="AN157" s="298"/>
      <c r="AO157" s="299" t="s">
        <v>367</v>
      </c>
    </row>
    <row r="158" spans="1:41" ht="15" customHeight="1">
      <c r="A158" s="254">
        <v>158</v>
      </c>
      <c r="B158" s="253">
        <v>105</v>
      </c>
      <c r="C158" s="240" t="s">
        <v>54</v>
      </c>
      <c r="D158" s="288" t="s">
        <v>50</v>
      </c>
      <c r="E158" s="289" t="s">
        <v>207</v>
      </c>
      <c r="F158" s="239" t="s">
        <v>370</v>
      </c>
      <c r="G158" s="290" t="s">
        <v>220</v>
      </c>
      <c r="H158" s="291" t="s">
        <v>155</v>
      </c>
      <c r="I158" s="239" t="s">
        <v>206</v>
      </c>
      <c r="J158" s="424">
        <f t="shared" si="4"/>
        <v>365</v>
      </c>
      <c r="K158" s="425">
        <v>127</v>
      </c>
      <c r="L158" s="425">
        <v>126</v>
      </c>
      <c r="M158" s="425">
        <v>52</v>
      </c>
      <c r="N158" s="425">
        <v>52</v>
      </c>
      <c r="O158" s="425">
        <v>4</v>
      </c>
      <c r="P158" s="425">
        <v>4</v>
      </c>
      <c r="Q158" s="294">
        <v>65.747500000000002</v>
      </c>
      <c r="R158" s="295" t="e">
        <f>IF(K158="nio",0,(K158*Q158)/X158)*VLOOKUP(C158,'2-Uren per locatie'!$B$15:$D$74,3,FALSE)</f>
        <v>#DIV/0!</v>
      </c>
      <c r="S158" s="295" t="e">
        <f>IF(K158="nio",0,(L158*Q158)/Y158)*VLOOKUP(C158,'2-Uren per locatie'!$B$15:$D$74,3,FALSE)</f>
        <v>#DIV/0!</v>
      </c>
      <c r="T158" s="295" t="e">
        <f>IF(K158="nio",0,(M158*Q158)/Z158)*VLOOKUP(C158,'2-Uren per locatie'!$B$15:$D$74,3,FALSE)</f>
        <v>#DIV/0!</v>
      </c>
      <c r="U158" s="295" t="e">
        <f>IF(K158="nio",0,(N158*Q158)/AA158)*VLOOKUP(C158,'2-Uren per locatie'!$B$15:$D$74,3,FALSE)</f>
        <v>#DIV/0!</v>
      </c>
      <c r="V158" s="295" t="e">
        <f>IF(K158="nio",0,(O158*Q158)/Z158)*VLOOKUP(C158,'2-Uren per locatie'!$B$15:$D$74,3,FALSE)</f>
        <v>#DIV/0!</v>
      </c>
      <c r="W158" s="295" t="e">
        <f>IF(K158="nio",0,(P158*Q158)/AA158)*VLOOKUP(C158,'2-Uren per locatie'!$B$15:$D$74,3,FALSE)</f>
        <v>#DIV/0!</v>
      </c>
      <c r="X158" s="485">
        <f>IF(K158="nio",0,IF(K158&gt;0,VLOOKUP(H158,'3-Productie normen'!A:F,VLOOKUP(K158,'3-Productie normen'!$B$29:$C$34,2,FALSE),FALSE)))</f>
        <v>0</v>
      </c>
      <c r="Y158" s="485">
        <f>VLOOKUP(H158,'3-Productie normen'!$A$10:$J$24,8,FALSE)*'3-Ruimtestaat'!X158</f>
        <v>0</v>
      </c>
      <c r="Z158" s="485">
        <f>VLOOKUP(H158,'3-Productie normen'!$A$10:$J$24,9,FALSE)*'3-Ruimtestaat'!X158</f>
        <v>0</v>
      </c>
      <c r="AA158" s="485">
        <f>VLOOKUP(H158,'3-Productie normen'!$A$10:$J$24,10,FALSE)*'3-Ruimtestaat'!X158</f>
        <v>0</v>
      </c>
      <c r="AB158" s="292" t="str">
        <f>IF(H158="",0,VLOOKUP(H158,'3-Productie normen'!$A$10:$N$23,14,FALSE))</f>
        <v>V</v>
      </c>
      <c r="AD158" s="296">
        <f t="shared" si="5"/>
        <v>23997.837500000001</v>
      </c>
      <c r="AE158" s="78"/>
      <c r="AF158" s="297"/>
      <c r="AG158" s="297">
        <v>32</v>
      </c>
      <c r="AH158" s="297"/>
      <c r="AI158" s="297">
        <f>(5.4*0.3)*2</f>
        <v>3.24</v>
      </c>
      <c r="AJ158" s="297">
        <f>(9.35+4.25+9.35)*2.7</f>
        <v>61.965000000000003</v>
      </c>
      <c r="AK158" s="298"/>
      <c r="AL158" s="298"/>
      <c r="AM158" s="298">
        <f>Q158</f>
        <v>65.747500000000002</v>
      </c>
      <c r="AN158" s="298"/>
      <c r="AO158" s="299" t="s">
        <v>366</v>
      </c>
    </row>
    <row r="159" spans="1:41" ht="15" customHeight="1">
      <c r="A159" s="254">
        <v>159</v>
      </c>
      <c r="B159" s="253">
        <v>105</v>
      </c>
      <c r="C159" s="240" t="s">
        <v>54</v>
      </c>
      <c r="D159" s="288" t="s">
        <v>50</v>
      </c>
      <c r="E159" s="289" t="s">
        <v>207</v>
      </c>
      <c r="F159" s="239" t="s">
        <v>371</v>
      </c>
      <c r="G159" s="290" t="s">
        <v>221</v>
      </c>
      <c r="H159" s="291" t="s">
        <v>152</v>
      </c>
      <c r="I159" s="239" t="s">
        <v>265</v>
      </c>
      <c r="J159" s="424">
        <f t="shared" si="4"/>
        <v>365</v>
      </c>
      <c r="K159" s="425">
        <v>127</v>
      </c>
      <c r="L159" s="425">
        <v>126</v>
      </c>
      <c r="M159" s="425">
        <v>52</v>
      </c>
      <c r="N159" s="425">
        <v>52</v>
      </c>
      <c r="O159" s="425">
        <v>4</v>
      </c>
      <c r="P159" s="425">
        <v>4</v>
      </c>
      <c r="Q159" s="294">
        <v>22</v>
      </c>
      <c r="R159" s="295" t="e">
        <f>IF(K159="nio",0,(K159*Q159)/X159)*VLOOKUP(C159,'2-Uren per locatie'!$B$15:$D$74,3,FALSE)</f>
        <v>#DIV/0!</v>
      </c>
      <c r="S159" s="295" t="e">
        <f>IF(K159="nio",0,(L159*Q159)/Y159)*VLOOKUP(C159,'2-Uren per locatie'!$B$15:$D$74,3,FALSE)</f>
        <v>#DIV/0!</v>
      </c>
      <c r="T159" s="295" t="e">
        <f>IF(K159="nio",0,(M159*Q159)/Z159)*VLOOKUP(C159,'2-Uren per locatie'!$B$15:$D$74,3,FALSE)</f>
        <v>#DIV/0!</v>
      </c>
      <c r="U159" s="295" t="e">
        <f>IF(K159="nio",0,(N159*Q159)/AA159)*VLOOKUP(C159,'2-Uren per locatie'!$B$15:$D$74,3,FALSE)</f>
        <v>#DIV/0!</v>
      </c>
      <c r="V159" s="295" t="e">
        <f>IF(K159="nio",0,(O159*Q159)/Z159)*VLOOKUP(C159,'2-Uren per locatie'!$B$15:$D$74,3,FALSE)</f>
        <v>#DIV/0!</v>
      </c>
      <c r="W159" s="295" t="e">
        <f>IF(K159="nio",0,(P159*Q159)/AA159)*VLOOKUP(C159,'2-Uren per locatie'!$B$15:$D$74,3,FALSE)</f>
        <v>#DIV/0!</v>
      </c>
      <c r="X159" s="485">
        <f>IF(K159="nio",0,IF(K159&gt;0,VLOOKUP(H159,'3-Productie normen'!A:F,VLOOKUP(K159,'3-Productie normen'!$B$29:$C$34,2,FALSE),FALSE)))</f>
        <v>0</v>
      </c>
      <c r="Y159" s="485">
        <f>VLOOKUP(H159,'3-Productie normen'!$A$10:$J$24,8,FALSE)*'3-Ruimtestaat'!X159</f>
        <v>0</v>
      </c>
      <c r="Z159" s="485">
        <f>VLOOKUP(H159,'3-Productie normen'!$A$10:$J$24,9,FALSE)*'3-Ruimtestaat'!X159</f>
        <v>0</v>
      </c>
      <c r="AA159" s="485">
        <f>VLOOKUP(H159,'3-Productie normen'!$A$10:$J$24,10,FALSE)*'3-Ruimtestaat'!X159</f>
        <v>0</v>
      </c>
      <c r="AB159" s="292" t="str">
        <f>IF(H159="",0,VLOOKUP(H159,'3-Productie normen'!$A$10:$N$23,14,FALSE))</f>
        <v>V</v>
      </c>
      <c r="AD159" s="296">
        <f t="shared" si="5"/>
        <v>8030</v>
      </c>
      <c r="AE159" s="78"/>
      <c r="AF159" s="297"/>
      <c r="AG159" s="297"/>
      <c r="AH159" s="297"/>
      <c r="AI159" s="297"/>
      <c r="AJ159" s="297"/>
      <c r="AK159" s="298"/>
      <c r="AL159" s="298"/>
      <c r="AM159" s="298"/>
      <c r="AN159" s="298"/>
      <c r="AO159" s="299"/>
    </row>
    <row r="160" spans="1:41" ht="15" customHeight="1">
      <c r="A160" s="254">
        <v>160</v>
      </c>
      <c r="B160" s="253">
        <v>105</v>
      </c>
      <c r="C160" s="240" t="s">
        <v>54</v>
      </c>
      <c r="D160" s="288" t="s">
        <v>50</v>
      </c>
      <c r="E160" s="289" t="s">
        <v>207</v>
      </c>
      <c r="F160" s="239" t="s">
        <v>372</v>
      </c>
      <c r="G160" s="290" t="s">
        <v>223</v>
      </c>
      <c r="H160" s="291" t="s">
        <v>155</v>
      </c>
      <c r="I160" s="239" t="s">
        <v>206</v>
      </c>
      <c r="J160" s="424">
        <f t="shared" si="4"/>
        <v>365</v>
      </c>
      <c r="K160" s="425">
        <v>127</v>
      </c>
      <c r="L160" s="425">
        <v>126</v>
      </c>
      <c r="M160" s="425">
        <v>52</v>
      </c>
      <c r="N160" s="425">
        <v>52</v>
      </c>
      <c r="O160" s="425">
        <v>4</v>
      </c>
      <c r="P160" s="425">
        <v>4</v>
      </c>
      <c r="Q160" s="294">
        <v>65.747500000000002</v>
      </c>
      <c r="R160" s="295" t="e">
        <f>IF(K160="nio",0,(K160*Q160)/X160)*VLOOKUP(C160,'2-Uren per locatie'!$B$15:$D$74,3,FALSE)</f>
        <v>#DIV/0!</v>
      </c>
      <c r="S160" s="295" t="e">
        <f>IF(K160="nio",0,(L160*Q160)/Y160)*VLOOKUP(C160,'2-Uren per locatie'!$B$15:$D$74,3,FALSE)</f>
        <v>#DIV/0!</v>
      </c>
      <c r="T160" s="295" t="e">
        <f>IF(K160="nio",0,(M160*Q160)/Z160)*VLOOKUP(C160,'2-Uren per locatie'!$B$15:$D$74,3,FALSE)</f>
        <v>#DIV/0!</v>
      </c>
      <c r="U160" s="295" t="e">
        <f>IF(K160="nio",0,(N160*Q160)/AA160)*VLOOKUP(C160,'2-Uren per locatie'!$B$15:$D$74,3,FALSE)</f>
        <v>#DIV/0!</v>
      </c>
      <c r="V160" s="295" t="e">
        <f>IF(K160="nio",0,(O160*Q160)/Z160)*VLOOKUP(C160,'2-Uren per locatie'!$B$15:$D$74,3,FALSE)</f>
        <v>#DIV/0!</v>
      </c>
      <c r="W160" s="295" t="e">
        <f>IF(K160="nio",0,(P160*Q160)/AA160)*VLOOKUP(C160,'2-Uren per locatie'!$B$15:$D$74,3,FALSE)</f>
        <v>#DIV/0!</v>
      </c>
      <c r="X160" s="485">
        <f>IF(K160="nio",0,IF(K160&gt;0,VLOOKUP(H160,'3-Productie normen'!A:F,VLOOKUP(K160,'3-Productie normen'!$B$29:$C$34,2,FALSE),FALSE)))</f>
        <v>0</v>
      </c>
      <c r="Y160" s="485">
        <f>VLOOKUP(H160,'3-Productie normen'!$A$10:$J$24,8,FALSE)*'3-Ruimtestaat'!X160</f>
        <v>0</v>
      </c>
      <c r="Z160" s="485">
        <f>VLOOKUP(H160,'3-Productie normen'!$A$10:$J$24,9,FALSE)*'3-Ruimtestaat'!X160</f>
        <v>0</v>
      </c>
      <c r="AA160" s="485">
        <f>VLOOKUP(H160,'3-Productie normen'!$A$10:$J$24,10,FALSE)*'3-Ruimtestaat'!X160</f>
        <v>0</v>
      </c>
      <c r="AB160" s="292" t="str">
        <f>IF(H160="",0,VLOOKUP(H160,'3-Productie normen'!$A$10:$N$23,14,FALSE))</f>
        <v>V</v>
      </c>
      <c r="AD160" s="296">
        <f t="shared" si="5"/>
        <v>23997.837500000001</v>
      </c>
      <c r="AE160" s="78"/>
      <c r="AF160" s="297"/>
      <c r="AG160" s="297">
        <v>32</v>
      </c>
      <c r="AH160" s="297"/>
      <c r="AI160" s="297">
        <f>(5.4*0.3)*2</f>
        <v>3.24</v>
      </c>
      <c r="AJ160" s="297">
        <f>(9.35+4.25+9.35)*2.7</f>
        <v>61.965000000000003</v>
      </c>
      <c r="AK160" s="298"/>
      <c r="AL160" s="298"/>
      <c r="AM160" s="298">
        <f>Q160</f>
        <v>65.747500000000002</v>
      </c>
      <c r="AN160" s="298"/>
      <c r="AO160" s="299" t="s">
        <v>366</v>
      </c>
    </row>
    <row r="161" spans="1:41" ht="15" customHeight="1">
      <c r="A161" s="254">
        <v>161</v>
      </c>
      <c r="B161" s="253">
        <v>105</v>
      </c>
      <c r="C161" s="240" t="s">
        <v>54</v>
      </c>
      <c r="D161" s="288" t="s">
        <v>50</v>
      </c>
      <c r="E161" s="289" t="s">
        <v>207</v>
      </c>
      <c r="F161" s="239" t="s">
        <v>373</v>
      </c>
      <c r="G161" s="290" t="s">
        <v>225</v>
      </c>
      <c r="H161" s="291" t="s">
        <v>152</v>
      </c>
      <c r="I161" s="239" t="s">
        <v>265</v>
      </c>
      <c r="J161" s="424">
        <f t="shared" si="4"/>
        <v>365</v>
      </c>
      <c r="K161" s="425">
        <v>127</v>
      </c>
      <c r="L161" s="425">
        <v>126</v>
      </c>
      <c r="M161" s="425">
        <v>52</v>
      </c>
      <c r="N161" s="425">
        <v>52</v>
      </c>
      <c r="O161" s="425">
        <v>4</v>
      </c>
      <c r="P161" s="425">
        <v>4</v>
      </c>
      <c r="Q161" s="294">
        <v>22</v>
      </c>
      <c r="R161" s="295" t="e">
        <f>IF(K161="nio",0,(K161*Q161)/X161)*VLOOKUP(C161,'2-Uren per locatie'!$B$15:$D$74,3,FALSE)</f>
        <v>#DIV/0!</v>
      </c>
      <c r="S161" s="295" t="e">
        <f>IF(K161="nio",0,(L161*Q161)/Y161)*VLOOKUP(C161,'2-Uren per locatie'!$B$15:$D$74,3,FALSE)</f>
        <v>#DIV/0!</v>
      </c>
      <c r="T161" s="295" t="e">
        <f>IF(K161="nio",0,(M161*Q161)/Z161)*VLOOKUP(C161,'2-Uren per locatie'!$B$15:$D$74,3,FALSE)</f>
        <v>#DIV/0!</v>
      </c>
      <c r="U161" s="295" t="e">
        <f>IF(K161="nio",0,(N161*Q161)/AA161)*VLOOKUP(C161,'2-Uren per locatie'!$B$15:$D$74,3,FALSE)</f>
        <v>#DIV/0!</v>
      </c>
      <c r="V161" s="295" t="e">
        <f>IF(K161="nio",0,(O161*Q161)/Z161)*VLOOKUP(C161,'2-Uren per locatie'!$B$15:$D$74,3,FALSE)</f>
        <v>#DIV/0!</v>
      </c>
      <c r="W161" s="295" t="e">
        <f>IF(K161="nio",0,(P161*Q161)/AA161)*VLOOKUP(C161,'2-Uren per locatie'!$B$15:$D$74,3,FALSE)</f>
        <v>#DIV/0!</v>
      </c>
      <c r="X161" s="485">
        <f>IF(K161="nio",0,IF(K161&gt;0,VLOOKUP(H161,'3-Productie normen'!A:F,VLOOKUP(K161,'3-Productie normen'!$B$29:$C$34,2,FALSE),FALSE)))</f>
        <v>0</v>
      </c>
      <c r="Y161" s="485">
        <f>VLOOKUP(H161,'3-Productie normen'!$A$10:$J$24,8,FALSE)*'3-Ruimtestaat'!X161</f>
        <v>0</v>
      </c>
      <c r="Z161" s="485">
        <f>VLOOKUP(H161,'3-Productie normen'!$A$10:$J$24,9,FALSE)*'3-Ruimtestaat'!X161</f>
        <v>0</v>
      </c>
      <c r="AA161" s="485">
        <f>VLOOKUP(H161,'3-Productie normen'!$A$10:$J$24,10,FALSE)*'3-Ruimtestaat'!X161</f>
        <v>0</v>
      </c>
      <c r="AB161" s="292" t="str">
        <f>IF(H161="",0,VLOOKUP(H161,'3-Productie normen'!$A$10:$N$23,14,FALSE))</f>
        <v>V</v>
      </c>
      <c r="AD161" s="296">
        <f t="shared" si="5"/>
        <v>8030</v>
      </c>
      <c r="AE161" s="78"/>
      <c r="AF161" s="297"/>
      <c r="AG161" s="297"/>
      <c r="AH161" s="297"/>
      <c r="AI161" s="297"/>
      <c r="AJ161" s="297"/>
      <c r="AK161" s="298"/>
      <c r="AL161" s="298"/>
      <c r="AM161" s="298"/>
      <c r="AN161" s="298"/>
      <c r="AO161" s="299"/>
    </row>
    <row r="162" spans="1:41" ht="15" customHeight="1">
      <c r="A162" s="254">
        <v>162</v>
      </c>
      <c r="B162" s="253">
        <v>105</v>
      </c>
      <c r="C162" s="240" t="s">
        <v>54</v>
      </c>
      <c r="D162" s="288" t="s">
        <v>50</v>
      </c>
      <c r="E162" s="289" t="s">
        <v>207</v>
      </c>
      <c r="F162" s="239" t="s">
        <v>374</v>
      </c>
      <c r="G162" s="290" t="s">
        <v>296</v>
      </c>
      <c r="H162" s="291" t="s">
        <v>149</v>
      </c>
      <c r="I162" s="239"/>
      <c r="J162" s="424">
        <f t="shared" si="4"/>
        <v>365</v>
      </c>
      <c r="K162" s="425">
        <v>127</v>
      </c>
      <c r="L162" s="425">
        <v>126</v>
      </c>
      <c r="M162" s="425">
        <v>52</v>
      </c>
      <c r="N162" s="425">
        <v>52</v>
      </c>
      <c r="O162" s="425">
        <v>4</v>
      </c>
      <c r="P162" s="425">
        <v>4</v>
      </c>
      <c r="Q162" s="294">
        <v>2</v>
      </c>
      <c r="R162" s="295" t="e">
        <f>IF(K162="nio",0,(K162*Q162)/X162)*VLOOKUP(C162,'2-Uren per locatie'!$B$15:$D$74,3,FALSE)</f>
        <v>#DIV/0!</v>
      </c>
      <c r="S162" s="295" t="e">
        <f>IF(K162="nio",0,(L162*Q162)/Y162)*VLOOKUP(C162,'2-Uren per locatie'!$B$15:$D$74,3,FALSE)</f>
        <v>#DIV/0!</v>
      </c>
      <c r="T162" s="295" t="e">
        <f>IF(K162="nio",0,(M162*Q162)/Z162)*VLOOKUP(C162,'2-Uren per locatie'!$B$15:$D$74,3,FALSE)</f>
        <v>#DIV/0!</v>
      </c>
      <c r="U162" s="295" t="e">
        <f>IF(K162="nio",0,(N162*Q162)/AA162)*VLOOKUP(C162,'2-Uren per locatie'!$B$15:$D$74,3,FALSE)</f>
        <v>#DIV/0!</v>
      </c>
      <c r="V162" s="295" t="e">
        <f>IF(K162="nio",0,(O162*Q162)/Z162)*VLOOKUP(C162,'2-Uren per locatie'!$B$15:$D$74,3,FALSE)</f>
        <v>#DIV/0!</v>
      </c>
      <c r="W162" s="295" t="e">
        <f>IF(K162="nio",0,(P162*Q162)/AA162)*VLOOKUP(C162,'2-Uren per locatie'!$B$15:$D$74,3,FALSE)</f>
        <v>#DIV/0!</v>
      </c>
      <c r="X162" s="485">
        <f>IF(K162="nio",0,IF(K162&gt;0,VLOOKUP(H162,'3-Productie normen'!A:F,VLOOKUP(K162,'3-Productie normen'!$B$29:$C$34,2,FALSE),FALSE)))</f>
        <v>0</v>
      </c>
      <c r="Y162" s="485">
        <f>VLOOKUP(H162,'3-Productie normen'!$A$10:$J$24,8,FALSE)*'3-Ruimtestaat'!X162</f>
        <v>0</v>
      </c>
      <c r="Z162" s="485">
        <f>VLOOKUP(H162,'3-Productie normen'!$A$10:$J$24,9,FALSE)*'3-Ruimtestaat'!X162</f>
        <v>0</v>
      </c>
      <c r="AA162" s="485">
        <f>VLOOKUP(H162,'3-Productie normen'!$A$10:$J$24,10,FALSE)*'3-Ruimtestaat'!X162</f>
        <v>0</v>
      </c>
      <c r="AB162" s="292" t="str">
        <f>IF(H162="",0,VLOOKUP(H162,'3-Productie normen'!$A$10:$N$23,14,FALSE))</f>
        <v>V</v>
      </c>
      <c r="AD162" s="296">
        <f t="shared" si="5"/>
        <v>730</v>
      </c>
      <c r="AE162" s="78"/>
      <c r="AF162" s="297"/>
      <c r="AG162" s="297">
        <v>46</v>
      </c>
      <c r="AH162" s="297"/>
      <c r="AI162" s="297"/>
      <c r="AJ162" s="297"/>
      <c r="AK162" s="298"/>
      <c r="AL162" s="298"/>
      <c r="AM162" s="298"/>
      <c r="AN162" s="298"/>
      <c r="AO162" s="299" t="s">
        <v>366</v>
      </c>
    </row>
    <row r="163" spans="1:41" ht="15" customHeight="1">
      <c r="A163" s="254">
        <v>163</v>
      </c>
      <c r="B163" s="253">
        <v>105</v>
      </c>
      <c r="C163" s="240" t="s">
        <v>54</v>
      </c>
      <c r="D163" s="288" t="s">
        <v>50</v>
      </c>
      <c r="E163" s="289" t="s">
        <v>207</v>
      </c>
      <c r="F163" s="239" t="s">
        <v>375</v>
      </c>
      <c r="G163" s="290" t="s">
        <v>319</v>
      </c>
      <c r="H163" s="291" t="s">
        <v>149</v>
      </c>
      <c r="I163" s="239" t="s">
        <v>245</v>
      </c>
      <c r="J163" s="424">
        <f t="shared" si="4"/>
        <v>365</v>
      </c>
      <c r="K163" s="425">
        <v>127</v>
      </c>
      <c r="L163" s="425">
        <v>126</v>
      </c>
      <c r="M163" s="425">
        <v>52</v>
      </c>
      <c r="N163" s="425">
        <v>52</v>
      </c>
      <c r="O163" s="425">
        <v>4</v>
      </c>
      <c r="P163" s="425">
        <v>4</v>
      </c>
      <c r="Q163" s="294">
        <v>2</v>
      </c>
      <c r="R163" s="295" t="e">
        <f>IF(K163="nio",0,(K163*Q163)/X163)*VLOOKUP(C163,'2-Uren per locatie'!$B$15:$D$74,3,FALSE)</f>
        <v>#DIV/0!</v>
      </c>
      <c r="S163" s="295" t="e">
        <f>IF(K163="nio",0,(L163*Q163)/Y163)*VLOOKUP(C163,'2-Uren per locatie'!$B$15:$D$74,3,FALSE)</f>
        <v>#DIV/0!</v>
      </c>
      <c r="T163" s="295" t="e">
        <f>IF(K163="nio",0,(M163*Q163)/Z163)*VLOOKUP(C163,'2-Uren per locatie'!$B$15:$D$74,3,FALSE)</f>
        <v>#DIV/0!</v>
      </c>
      <c r="U163" s="295" t="e">
        <f>IF(K163="nio",0,(N163*Q163)/AA163)*VLOOKUP(C163,'2-Uren per locatie'!$B$15:$D$74,3,FALSE)</f>
        <v>#DIV/0!</v>
      </c>
      <c r="V163" s="295" t="e">
        <f>IF(K163="nio",0,(O163*Q163)/Z163)*VLOOKUP(C163,'2-Uren per locatie'!$B$15:$D$74,3,FALSE)</f>
        <v>#DIV/0!</v>
      </c>
      <c r="W163" s="295" t="e">
        <f>IF(K163="nio",0,(P163*Q163)/AA163)*VLOOKUP(C163,'2-Uren per locatie'!$B$15:$D$74,3,FALSE)</f>
        <v>#DIV/0!</v>
      </c>
      <c r="X163" s="485">
        <f>IF(K163="nio",0,IF(K163&gt;0,VLOOKUP(H163,'3-Productie normen'!A:F,VLOOKUP(K163,'3-Productie normen'!$B$29:$C$34,2,FALSE),FALSE)))</f>
        <v>0</v>
      </c>
      <c r="Y163" s="485">
        <f>VLOOKUP(H163,'3-Productie normen'!$A$10:$J$24,8,FALSE)*'3-Ruimtestaat'!X163</f>
        <v>0</v>
      </c>
      <c r="Z163" s="485">
        <f>VLOOKUP(H163,'3-Productie normen'!$A$10:$J$24,9,FALSE)*'3-Ruimtestaat'!X163</f>
        <v>0</v>
      </c>
      <c r="AA163" s="485">
        <f>VLOOKUP(H163,'3-Productie normen'!$A$10:$J$24,10,FALSE)*'3-Ruimtestaat'!X163</f>
        <v>0</v>
      </c>
      <c r="AB163" s="292" t="str">
        <f>IF(H163="",0,VLOOKUP(H163,'3-Productie normen'!$A$10:$N$23,14,FALSE))</f>
        <v>V</v>
      </c>
      <c r="AD163" s="296">
        <f t="shared" si="5"/>
        <v>730</v>
      </c>
      <c r="AE163" s="78"/>
      <c r="AF163" s="297"/>
      <c r="AG163" s="297">
        <v>46</v>
      </c>
      <c r="AH163" s="297"/>
      <c r="AI163" s="297"/>
      <c r="AJ163" s="297"/>
      <c r="AK163" s="298"/>
      <c r="AL163" s="298"/>
      <c r="AM163" s="298"/>
      <c r="AN163" s="298"/>
      <c r="AO163" s="299" t="s">
        <v>366</v>
      </c>
    </row>
    <row r="164" spans="1:41" ht="15" customHeight="1">
      <c r="A164" s="254">
        <v>164</v>
      </c>
      <c r="B164" s="253">
        <v>105</v>
      </c>
      <c r="C164" s="240" t="s">
        <v>54</v>
      </c>
      <c r="D164" s="288" t="s">
        <v>50</v>
      </c>
      <c r="E164" s="289" t="s">
        <v>207</v>
      </c>
      <c r="F164" s="239" t="s">
        <v>376</v>
      </c>
      <c r="G164" s="290" t="s">
        <v>285</v>
      </c>
      <c r="H164" s="291" t="s">
        <v>149</v>
      </c>
      <c r="I164" s="239" t="s">
        <v>245</v>
      </c>
      <c r="J164" s="424">
        <f t="shared" si="4"/>
        <v>365</v>
      </c>
      <c r="K164" s="425">
        <v>127</v>
      </c>
      <c r="L164" s="425">
        <v>126</v>
      </c>
      <c r="M164" s="425">
        <v>52</v>
      </c>
      <c r="N164" s="425">
        <v>52</v>
      </c>
      <c r="O164" s="425">
        <v>4</v>
      </c>
      <c r="P164" s="425">
        <v>4</v>
      </c>
      <c r="Q164" s="294">
        <v>7.5952499999999992</v>
      </c>
      <c r="R164" s="295" t="e">
        <f>IF(K164="nio",0,(K164*Q164)/X164)*VLOOKUP(C164,'2-Uren per locatie'!$B$15:$D$74,3,FALSE)</f>
        <v>#DIV/0!</v>
      </c>
      <c r="S164" s="295" t="e">
        <f>IF(K164="nio",0,(L164*Q164)/Y164)*VLOOKUP(C164,'2-Uren per locatie'!$B$15:$D$74,3,FALSE)</f>
        <v>#DIV/0!</v>
      </c>
      <c r="T164" s="295" t="e">
        <f>IF(K164="nio",0,(M164*Q164)/Z164)*VLOOKUP(C164,'2-Uren per locatie'!$B$15:$D$74,3,FALSE)</f>
        <v>#DIV/0!</v>
      </c>
      <c r="U164" s="295" t="e">
        <f>IF(K164="nio",0,(N164*Q164)/AA164)*VLOOKUP(C164,'2-Uren per locatie'!$B$15:$D$74,3,FALSE)</f>
        <v>#DIV/0!</v>
      </c>
      <c r="V164" s="295" t="e">
        <f>IF(K164="nio",0,(O164*Q164)/Z164)*VLOOKUP(C164,'2-Uren per locatie'!$B$15:$D$74,3,FALSE)</f>
        <v>#DIV/0!</v>
      </c>
      <c r="W164" s="295" t="e">
        <f>IF(K164="nio",0,(P164*Q164)/AA164)*VLOOKUP(C164,'2-Uren per locatie'!$B$15:$D$74,3,FALSE)</f>
        <v>#DIV/0!</v>
      </c>
      <c r="X164" s="485">
        <f>IF(K164="nio",0,IF(K164&gt;0,VLOOKUP(H164,'3-Productie normen'!A:F,VLOOKUP(K164,'3-Productie normen'!$B$29:$C$34,2,FALSE),FALSE)))</f>
        <v>0</v>
      </c>
      <c r="Y164" s="485">
        <f>VLOOKUP(H164,'3-Productie normen'!$A$10:$J$24,8,FALSE)*'3-Ruimtestaat'!X164</f>
        <v>0</v>
      </c>
      <c r="Z164" s="485">
        <f>VLOOKUP(H164,'3-Productie normen'!$A$10:$J$24,9,FALSE)*'3-Ruimtestaat'!X164</f>
        <v>0</v>
      </c>
      <c r="AA164" s="485">
        <f>VLOOKUP(H164,'3-Productie normen'!$A$10:$J$24,10,FALSE)*'3-Ruimtestaat'!X164</f>
        <v>0</v>
      </c>
      <c r="AB164" s="292" t="str">
        <f>IF(H164="",0,VLOOKUP(H164,'3-Productie normen'!$A$10:$N$23,14,FALSE))</f>
        <v>V</v>
      </c>
      <c r="AD164" s="296">
        <f t="shared" si="5"/>
        <v>2772.2662499999997</v>
      </c>
      <c r="AE164" s="78"/>
      <c r="AF164" s="297"/>
      <c r="AG164" s="297"/>
      <c r="AH164" s="297">
        <f>(2.85+2.05+2.85+2.05)*3</f>
        <v>29.400000000000002</v>
      </c>
      <c r="AI164" s="297"/>
      <c r="AJ164" s="297"/>
      <c r="AK164" s="298"/>
      <c r="AL164" s="298">
        <f>Q164</f>
        <v>7.5952499999999992</v>
      </c>
      <c r="AM164" s="298"/>
      <c r="AN164" s="298"/>
      <c r="AO164" s="299" t="s">
        <v>367</v>
      </c>
    </row>
    <row r="165" spans="1:41" ht="15" customHeight="1">
      <c r="A165" s="254">
        <v>165</v>
      </c>
      <c r="B165" s="253">
        <v>105</v>
      </c>
      <c r="C165" s="240" t="s">
        <v>54</v>
      </c>
      <c r="D165" s="288" t="s">
        <v>50</v>
      </c>
      <c r="E165" s="289" t="s">
        <v>207</v>
      </c>
      <c r="F165" s="239" t="s">
        <v>231</v>
      </c>
      <c r="G165" s="290" t="s">
        <v>301</v>
      </c>
      <c r="H165" s="291" t="s">
        <v>153</v>
      </c>
      <c r="I165" s="239" t="s">
        <v>299</v>
      </c>
      <c r="J165" s="424">
        <f t="shared" si="4"/>
        <v>365</v>
      </c>
      <c r="K165" s="425">
        <v>255</v>
      </c>
      <c r="L165" s="425"/>
      <c r="M165" s="425">
        <v>102</v>
      </c>
      <c r="N165" s="425"/>
      <c r="O165" s="425">
        <v>8</v>
      </c>
      <c r="P165" s="425"/>
      <c r="Q165" s="294">
        <v>1.456</v>
      </c>
      <c r="R165" s="295" t="e">
        <f>IF(K165="nio",0,(K165*Q165)/X165)*VLOOKUP(C165,'2-Uren per locatie'!$B$15:$D$74,3,FALSE)</f>
        <v>#DIV/0!</v>
      </c>
      <c r="S165" s="295" t="e">
        <f>IF(K165="nio",0,(L165*Q165)/Y165)*VLOOKUP(C165,'2-Uren per locatie'!$B$15:$D$74,3,FALSE)</f>
        <v>#DIV/0!</v>
      </c>
      <c r="T165" s="295" t="e">
        <f>IF(K165="nio",0,(M165*Q165)/Z165)*VLOOKUP(C165,'2-Uren per locatie'!$B$15:$D$74,3,FALSE)</f>
        <v>#DIV/0!</v>
      </c>
      <c r="U165" s="295" t="e">
        <f>IF(K165="nio",0,(N165*Q165)/AA165)*VLOOKUP(C165,'2-Uren per locatie'!$B$15:$D$74,3,FALSE)</f>
        <v>#DIV/0!</v>
      </c>
      <c r="V165" s="295" t="e">
        <f>IF(K165="nio",0,(O165*Q165)/Z165)*VLOOKUP(C165,'2-Uren per locatie'!$B$15:$D$74,3,FALSE)</f>
        <v>#DIV/0!</v>
      </c>
      <c r="W165" s="295" t="e">
        <f>IF(K165="nio",0,(P165*Q165)/AA165)*VLOOKUP(C165,'2-Uren per locatie'!$B$15:$D$74,3,FALSE)</f>
        <v>#DIV/0!</v>
      </c>
      <c r="X165" s="485">
        <f>IF(K165="nio",0,IF(K165&gt;0,VLOOKUP(H165,'3-Productie normen'!A:F,VLOOKUP(K165,'3-Productie normen'!$B$29:$C$34,2,FALSE),FALSE)))</f>
        <v>0</v>
      </c>
      <c r="Y165" s="485">
        <f>VLOOKUP(H165,'3-Productie normen'!$A$10:$J$24,8,FALSE)*'3-Ruimtestaat'!X165</f>
        <v>0</v>
      </c>
      <c r="Z165" s="485">
        <f>VLOOKUP(H165,'3-Productie normen'!$A$10:$J$24,9,FALSE)*'3-Ruimtestaat'!X165</f>
        <v>0</v>
      </c>
      <c r="AA165" s="485">
        <f>VLOOKUP(H165,'3-Productie normen'!$A$10:$J$24,10,FALSE)*'3-Ruimtestaat'!X165</f>
        <v>0</v>
      </c>
      <c r="AB165" s="292" t="str">
        <f>IF(H165="",0,VLOOKUP(H165,'3-Productie normen'!$A$10:$N$23,14,FALSE))</f>
        <v>S</v>
      </c>
      <c r="AD165" s="296">
        <f t="shared" si="5"/>
        <v>531.43999999999994</v>
      </c>
      <c r="AE165" s="78"/>
      <c r="AF165" s="297">
        <f>(1.4+0.8+1.4+0.8)*2.45</f>
        <v>10.780000000000001</v>
      </c>
      <c r="AG165" s="297"/>
      <c r="AH165" s="297"/>
      <c r="AI165" s="297"/>
      <c r="AJ165" s="297"/>
      <c r="AK165" s="298"/>
      <c r="AL165" s="298">
        <f>Q165</f>
        <v>1.456</v>
      </c>
      <c r="AM165" s="298"/>
      <c r="AN165" s="298"/>
      <c r="AO165" s="299" t="s">
        <v>377</v>
      </c>
    </row>
    <row r="166" spans="1:41" ht="15" customHeight="1">
      <c r="A166" s="254">
        <v>166</v>
      </c>
      <c r="B166" s="253">
        <v>105</v>
      </c>
      <c r="C166" s="240" t="s">
        <v>54</v>
      </c>
      <c r="D166" s="288" t="s">
        <v>50</v>
      </c>
      <c r="E166" s="289" t="s">
        <v>207</v>
      </c>
      <c r="F166" s="239" t="s">
        <v>231</v>
      </c>
      <c r="G166" s="290" t="s">
        <v>302</v>
      </c>
      <c r="H166" s="291" t="s">
        <v>153</v>
      </c>
      <c r="I166" s="239" t="s">
        <v>299</v>
      </c>
      <c r="J166" s="424">
        <f t="shared" si="4"/>
        <v>365</v>
      </c>
      <c r="K166" s="425">
        <v>255</v>
      </c>
      <c r="L166" s="425"/>
      <c r="M166" s="425">
        <v>102</v>
      </c>
      <c r="N166" s="425"/>
      <c r="O166" s="425">
        <v>8</v>
      </c>
      <c r="P166" s="425"/>
      <c r="Q166" s="294">
        <v>2.1840000000000002</v>
      </c>
      <c r="R166" s="295" t="e">
        <f>IF(K166="nio",0,(K166*Q166)/X166)*VLOOKUP(C166,'2-Uren per locatie'!$B$15:$D$74,3,FALSE)</f>
        <v>#DIV/0!</v>
      </c>
      <c r="S166" s="295" t="e">
        <f>IF(K166="nio",0,(L166*Q166)/Y166)*VLOOKUP(C166,'2-Uren per locatie'!$B$15:$D$74,3,FALSE)</f>
        <v>#DIV/0!</v>
      </c>
      <c r="T166" s="295" t="e">
        <f>IF(K166="nio",0,(M166*Q166)/Z166)*VLOOKUP(C166,'2-Uren per locatie'!$B$15:$D$74,3,FALSE)</f>
        <v>#DIV/0!</v>
      </c>
      <c r="U166" s="295" t="e">
        <f>IF(K166="nio",0,(N166*Q166)/AA166)*VLOOKUP(C166,'2-Uren per locatie'!$B$15:$D$74,3,FALSE)</f>
        <v>#DIV/0!</v>
      </c>
      <c r="V166" s="295" t="e">
        <f>IF(K166="nio",0,(O166*Q166)/Z166)*VLOOKUP(C166,'2-Uren per locatie'!$B$15:$D$74,3,FALSE)</f>
        <v>#DIV/0!</v>
      </c>
      <c r="W166" s="295" t="e">
        <f>IF(K166="nio",0,(P166*Q166)/AA166)*VLOOKUP(C166,'2-Uren per locatie'!$B$15:$D$74,3,FALSE)</f>
        <v>#DIV/0!</v>
      </c>
      <c r="X166" s="485">
        <f>IF(K166="nio",0,IF(K166&gt;0,VLOOKUP(H166,'3-Productie normen'!A:F,VLOOKUP(K166,'3-Productie normen'!$B$29:$C$34,2,FALSE),FALSE)))</f>
        <v>0</v>
      </c>
      <c r="Y166" s="485">
        <f>VLOOKUP(H166,'3-Productie normen'!$A$10:$J$24,8,FALSE)*'3-Ruimtestaat'!X166</f>
        <v>0</v>
      </c>
      <c r="Z166" s="485">
        <f>VLOOKUP(H166,'3-Productie normen'!$A$10:$J$24,9,FALSE)*'3-Ruimtestaat'!X166</f>
        <v>0</v>
      </c>
      <c r="AA166" s="485">
        <f>VLOOKUP(H166,'3-Productie normen'!$A$10:$J$24,10,FALSE)*'3-Ruimtestaat'!X166</f>
        <v>0</v>
      </c>
      <c r="AB166" s="292" t="str">
        <f>IF(H166="",0,VLOOKUP(H166,'3-Productie normen'!$A$10:$N$23,14,FALSE))</f>
        <v>S</v>
      </c>
      <c r="AD166" s="296">
        <f t="shared" si="5"/>
        <v>797.16000000000008</v>
      </c>
      <c r="AE166" s="78"/>
      <c r="AF166" s="297">
        <f>(1.4+1.2+1.4+1.2)*2.45</f>
        <v>12.739999999999998</v>
      </c>
      <c r="AG166" s="297"/>
      <c r="AH166" s="297"/>
      <c r="AI166" s="297"/>
      <c r="AJ166" s="297"/>
      <c r="AK166" s="298"/>
      <c r="AL166" s="298">
        <f>Q166</f>
        <v>2.1840000000000002</v>
      </c>
      <c r="AM166" s="298"/>
      <c r="AN166" s="298"/>
      <c r="AO166" s="299" t="s">
        <v>377</v>
      </c>
    </row>
    <row r="167" spans="1:41" ht="15" customHeight="1">
      <c r="A167" s="254">
        <v>167</v>
      </c>
      <c r="B167" s="253">
        <v>105</v>
      </c>
      <c r="C167" s="240" t="s">
        <v>54</v>
      </c>
      <c r="D167" s="288" t="s">
        <v>50</v>
      </c>
      <c r="E167" s="289" t="s">
        <v>207</v>
      </c>
      <c r="F167" s="239" t="s">
        <v>231</v>
      </c>
      <c r="G167" s="290" t="s">
        <v>303</v>
      </c>
      <c r="H167" s="291" t="s">
        <v>153</v>
      </c>
      <c r="I167" s="239" t="s">
        <v>299</v>
      </c>
      <c r="J167" s="424">
        <f t="shared" si="4"/>
        <v>365</v>
      </c>
      <c r="K167" s="425">
        <v>255</v>
      </c>
      <c r="L167" s="425"/>
      <c r="M167" s="425">
        <v>102</v>
      </c>
      <c r="N167" s="425"/>
      <c r="O167" s="425">
        <v>8</v>
      </c>
      <c r="P167" s="425"/>
      <c r="Q167" s="294">
        <v>1.456</v>
      </c>
      <c r="R167" s="295" t="e">
        <f>IF(K167="nio",0,(K167*Q167)/X167)*VLOOKUP(C167,'2-Uren per locatie'!$B$15:$D$74,3,FALSE)</f>
        <v>#DIV/0!</v>
      </c>
      <c r="S167" s="295" t="e">
        <f>IF(K167="nio",0,(L167*Q167)/Y167)*VLOOKUP(C167,'2-Uren per locatie'!$B$15:$D$74,3,FALSE)</f>
        <v>#DIV/0!</v>
      </c>
      <c r="T167" s="295" t="e">
        <f>IF(K167="nio",0,(M167*Q167)/Z167)*VLOOKUP(C167,'2-Uren per locatie'!$B$15:$D$74,3,FALSE)</f>
        <v>#DIV/0!</v>
      </c>
      <c r="U167" s="295" t="e">
        <f>IF(K167="nio",0,(N167*Q167)/AA167)*VLOOKUP(C167,'2-Uren per locatie'!$B$15:$D$74,3,FALSE)</f>
        <v>#DIV/0!</v>
      </c>
      <c r="V167" s="295" t="e">
        <f>IF(K167="nio",0,(O167*Q167)/Z167)*VLOOKUP(C167,'2-Uren per locatie'!$B$15:$D$74,3,FALSE)</f>
        <v>#DIV/0!</v>
      </c>
      <c r="W167" s="295" t="e">
        <f>IF(K167="nio",0,(P167*Q167)/AA167)*VLOOKUP(C167,'2-Uren per locatie'!$B$15:$D$74,3,FALSE)</f>
        <v>#DIV/0!</v>
      </c>
      <c r="X167" s="485">
        <f>IF(K167="nio",0,IF(K167&gt;0,VLOOKUP(H167,'3-Productie normen'!A:F,VLOOKUP(K167,'3-Productie normen'!$B$29:$C$34,2,FALSE),FALSE)))</f>
        <v>0</v>
      </c>
      <c r="Y167" s="485">
        <f>VLOOKUP(H167,'3-Productie normen'!$A$10:$J$24,8,FALSE)*'3-Ruimtestaat'!X167</f>
        <v>0</v>
      </c>
      <c r="Z167" s="485">
        <f>VLOOKUP(H167,'3-Productie normen'!$A$10:$J$24,9,FALSE)*'3-Ruimtestaat'!X167</f>
        <v>0</v>
      </c>
      <c r="AA167" s="485">
        <f>VLOOKUP(H167,'3-Productie normen'!$A$10:$J$24,10,FALSE)*'3-Ruimtestaat'!X167</f>
        <v>0</v>
      </c>
      <c r="AB167" s="292" t="str">
        <f>IF(H167="",0,VLOOKUP(H167,'3-Productie normen'!$A$10:$N$23,14,FALSE))</f>
        <v>S</v>
      </c>
      <c r="AD167" s="296">
        <f t="shared" si="5"/>
        <v>531.43999999999994</v>
      </c>
      <c r="AE167" s="78"/>
      <c r="AF167" s="297">
        <f>(1.4+0.8+1.4+0.8)*2.45</f>
        <v>10.780000000000001</v>
      </c>
      <c r="AG167" s="297"/>
      <c r="AH167" s="297"/>
      <c r="AI167" s="297"/>
      <c r="AJ167" s="297"/>
      <c r="AK167" s="298"/>
      <c r="AL167" s="298">
        <f>Q167</f>
        <v>1.456</v>
      </c>
      <c r="AM167" s="298"/>
      <c r="AN167" s="298"/>
      <c r="AO167" s="299" t="s">
        <v>377</v>
      </c>
    </row>
    <row r="168" spans="1:41" ht="15" customHeight="1">
      <c r="A168" s="254">
        <v>168</v>
      </c>
      <c r="B168" s="253">
        <v>105</v>
      </c>
      <c r="C168" s="240" t="s">
        <v>54</v>
      </c>
      <c r="D168" s="288" t="s">
        <v>50</v>
      </c>
      <c r="E168" s="289" t="s">
        <v>207</v>
      </c>
      <c r="F168" s="239" t="s">
        <v>231</v>
      </c>
      <c r="G168" s="290" t="s">
        <v>304</v>
      </c>
      <c r="H168" s="291" t="s">
        <v>153</v>
      </c>
      <c r="I168" s="239" t="s">
        <v>299</v>
      </c>
      <c r="J168" s="424">
        <f t="shared" si="4"/>
        <v>365</v>
      </c>
      <c r="K168" s="425">
        <v>255</v>
      </c>
      <c r="L168" s="425"/>
      <c r="M168" s="425">
        <v>102</v>
      </c>
      <c r="N168" s="425"/>
      <c r="O168" s="425">
        <v>8</v>
      </c>
      <c r="P168" s="425"/>
      <c r="Q168" s="294">
        <v>2.1840000000000002</v>
      </c>
      <c r="R168" s="295" t="e">
        <f>IF(K168="nio",0,(K168*Q168)/X168)*VLOOKUP(C168,'2-Uren per locatie'!$B$15:$D$74,3,FALSE)</f>
        <v>#DIV/0!</v>
      </c>
      <c r="S168" s="295" t="e">
        <f>IF(K168="nio",0,(L168*Q168)/Y168)*VLOOKUP(C168,'2-Uren per locatie'!$B$15:$D$74,3,FALSE)</f>
        <v>#DIV/0!</v>
      </c>
      <c r="T168" s="295" t="e">
        <f>IF(K168="nio",0,(M168*Q168)/Z168)*VLOOKUP(C168,'2-Uren per locatie'!$B$15:$D$74,3,FALSE)</f>
        <v>#DIV/0!</v>
      </c>
      <c r="U168" s="295" t="e">
        <f>IF(K168="nio",0,(N168*Q168)/AA168)*VLOOKUP(C168,'2-Uren per locatie'!$B$15:$D$74,3,FALSE)</f>
        <v>#DIV/0!</v>
      </c>
      <c r="V168" s="295" t="e">
        <f>IF(K168="nio",0,(O168*Q168)/Z168)*VLOOKUP(C168,'2-Uren per locatie'!$B$15:$D$74,3,FALSE)</f>
        <v>#DIV/0!</v>
      </c>
      <c r="W168" s="295" t="e">
        <f>IF(K168="nio",0,(P168*Q168)/AA168)*VLOOKUP(C168,'2-Uren per locatie'!$B$15:$D$74,3,FALSE)</f>
        <v>#DIV/0!</v>
      </c>
      <c r="X168" s="485">
        <f>IF(K168="nio",0,IF(K168&gt;0,VLOOKUP(H168,'3-Productie normen'!A:F,VLOOKUP(K168,'3-Productie normen'!$B$29:$C$34,2,FALSE),FALSE)))</f>
        <v>0</v>
      </c>
      <c r="Y168" s="485">
        <f>VLOOKUP(H168,'3-Productie normen'!$A$10:$J$24,8,FALSE)*'3-Ruimtestaat'!X168</f>
        <v>0</v>
      </c>
      <c r="Z168" s="485">
        <f>VLOOKUP(H168,'3-Productie normen'!$A$10:$J$24,9,FALSE)*'3-Ruimtestaat'!X168</f>
        <v>0</v>
      </c>
      <c r="AA168" s="485">
        <f>VLOOKUP(H168,'3-Productie normen'!$A$10:$J$24,10,FALSE)*'3-Ruimtestaat'!X168</f>
        <v>0</v>
      </c>
      <c r="AB168" s="292" t="str">
        <f>IF(H168="",0,VLOOKUP(H168,'3-Productie normen'!$A$10:$N$23,14,FALSE))</f>
        <v>S</v>
      </c>
      <c r="AD168" s="296">
        <f t="shared" si="5"/>
        <v>797.16000000000008</v>
      </c>
      <c r="AE168" s="78"/>
      <c r="AF168" s="297">
        <f>(1.4+1.2+1.4+1.2)*2.45</f>
        <v>12.739999999999998</v>
      </c>
      <c r="AG168" s="297"/>
      <c r="AH168" s="297"/>
      <c r="AI168" s="297"/>
      <c r="AJ168" s="297"/>
      <c r="AK168" s="298"/>
      <c r="AL168" s="298">
        <f>Q168</f>
        <v>2.1840000000000002</v>
      </c>
      <c r="AM168" s="298"/>
      <c r="AN168" s="298"/>
      <c r="AO168" s="299" t="s">
        <v>377</v>
      </c>
    </row>
    <row r="169" spans="1:41" ht="15" customHeight="1">
      <c r="A169" s="254">
        <v>169</v>
      </c>
      <c r="B169" s="253">
        <v>105</v>
      </c>
      <c r="C169" s="240" t="s">
        <v>54</v>
      </c>
      <c r="D169" s="288" t="s">
        <v>50</v>
      </c>
      <c r="E169" s="428" t="s">
        <v>320</v>
      </c>
      <c r="F169" s="429" t="s">
        <v>150</v>
      </c>
      <c r="G169" s="431"/>
      <c r="H169" s="426" t="s">
        <v>150</v>
      </c>
      <c r="I169" s="429" t="s">
        <v>355</v>
      </c>
      <c r="J169" s="424">
        <f t="shared" si="4"/>
        <v>365</v>
      </c>
      <c r="K169" s="425">
        <v>255</v>
      </c>
      <c r="L169" s="425"/>
      <c r="M169" s="425">
        <v>102</v>
      </c>
      <c r="N169" s="425"/>
      <c r="O169" s="425">
        <v>8</v>
      </c>
      <c r="P169" s="425"/>
      <c r="Q169" s="427">
        <v>8</v>
      </c>
      <c r="R169" s="295" t="e">
        <f>IF(K169="nio",0,(K169*Q169)/X169)*VLOOKUP(C169,'2-Uren per locatie'!$B$15:$D$74,3,FALSE)</f>
        <v>#DIV/0!</v>
      </c>
      <c r="S169" s="295" t="e">
        <f>IF(K169="nio",0,(L169*Q169)/Y169)*VLOOKUP(C169,'2-Uren per locatie'!$B$15:$D$74,3,FALSE)</f>
        <v>#DIV/0!</v>
      </c>
      <c r="T169" s="295" t="e">
        <f>IF(K169="nio",0,(M169*Q169)/Z169)*VLOOKUP(C169,'2-Uren per locatie'!$B$15:$D$74,3,FALSE)</f>
        <v>#DIV/0!</v>
      </c>
      <c r="U169" s="295" t="e">
        <f>IF(K169="nio",0,(N169*Q169)/AA169)*VLOOKUP(C169,'2-Uren per locatie'!$B$15:$D$74,3,FALSE)</f>
        <v>#DIV/0!</v>
      </c>
      <c r="V169" s="295" t="e">
        <f>IF(K169="nio",0,(O169*Q169)/Z169)*VLOOKUP(C169,'2-Uren per locatie'!$B$15:$D$74,3,FALSE)</f>
        <v>#DIV/0!</v>
      </c>
      <c r="W169" s="295" t="e">
        <f>IF(K169="nio",0,(P169*Q169)/AA169)*VLOOKUP(C169,'2-Uren per locatie'!$B$15:$D$74,3,FALSE)</f>
        <v>#DIV/0!</v>
      </c>
      <c r="X169" s="485">
        <f>IF(K169="nio",0,IF(K169&gt;0,VLOOKUP(H169,'3-Productie normen'!A:F,VLOOKUP(K169,'3-Productie normen'!$B$29:$C$34,2,FALSE),FALSE)))</f>
        <v>0</v>
      </c>
      <c r="Y169" s="485">
        <f>VLOOKUP(H169,'3-Productie normen'!$A$10:$J$24,8,FALSE)*'3-Ruimtestaat'!X169</f>
        <v>0</v>
      </c>
      <c r="Z169" s="485">
        <f>VLOOKUP(H169,'3-Productie normen'!$A$10:$J$24,9,FALSE)*'3-Ruimtestaat'!X169</f>
        <v>0</v>
      </c>
      <c r="AA169" s="485">
        <f>VLOOKUP(H169,'3-Productie normen'!$A$10:$J$24,10,FALSE)*'3-Ruimtestaat'!X169</f>
        <v>0</v>
      </c>
      <c r="AB169" s="292" t="str">
        <f>IF(H169="",0,VLOOKUP(H169,'3-Productie normen'!$A$10:$N$23,14,FALSE))</f>
        <v>V</v>
      </c>
      <c r="AD169" s="296">
        <f t="shared" si="5"/>
        <v>2920</v>
      </c>
      <c r="AE169" s="78"/>
      <c r="AF169" s="297">
        <f>(1.2+0.95+1.2+0.95)*2.3</f>
        <v>9.8899999999999988</v>
      </c>
      <c r="AG169" s="297"/>
      <c r="AH169" s="297"/>
      <c r="AI169" s="297"/>
      <c r="AJ169" s="297"/>
      <c r="AK169" s="298"/>
      <c r="AL169" s="298"/>
      <c r="AM169" s="298"/>
      <c r="AN169" s="298">
        <v>1.1000000000000001</v>
      </c>
      <c r="AO169" s="299" t="s">
        <v>300</v>
      </c>
    </row>
    <row r="170" spans="1:41" ht="15" customHeight="1">
      <c r="A170" s="254">
        <v>170</v>
      </c>
      <c r="B170" s="253">
        <v>105</v>
      </c>
      <c r="C170" s="240" t="s">
        <v>54</v>
      </c>
      <c r="D170" s="288" t="s">
        <v>50</v>
      </c>
      <c r="E170" s="289" t="s">
        <v>249</v>
      </c>
      <c r="F170" s="239" t="s">
        <v>375</v>
      </c>
      <c r="G170" s="290" t="s">
        <v>319</v>
      </c>
      <c r="H170" s="291" t="s">
        <v>149</v>
      </c>
      <c r="I170" s="239" t="s">
        <v>245</v>
      </c>
      <c r="J170" s="424">
        <f t="shared" si="4"/>
        <v>365</v>
      </c>
      <c r="K170" s="425">
        <v>127</v>
      </c>
      <c r="L170" s="425">
        <v>126</v>
      </c>
      <c r="M170" s="425">
        <v>52</v>
      </c>
      <c r="N170" s="425">
        <v>52</v>
      </c>
      <c r="O170" s="425">
        <v>4</v>
      </c>
      <c r="P170" s="425">
        <v>4</v>
      </c>
      <c r="Q170" s="294">
        <v>0</v>
      </c>
      <c r="R170" s="295" t="e">
        <f>IF(K170="nio",0,(K170*Q170)/X170)*VLOOKUP(C170,'2-Uren per locatie'!$B$15:$D$74,3,FALSE)</f>
        <v>#DIV/0!</v>
      </c>
      <c r="S170" s="295" t="e">
        <f>IF(K170="nio",0,(L170*Q170)/Y170)*VLOOKUP(C170,'2-Uren per locatie'!$B$15:$D$74,3,FALSE)</f>
        <v>#DIV/0!</v>
      </c>
      <c r="T170" s="295" t="e">
        <f>IF(K170="nio",0,(M170*Q170)/Z170)*VLOOKUP(C170,'2-Uren per locatie'!$B$15:$D$74,3,FALSE)</f>
        <v>#DIV/0!</v>
      </c>
      <c r="U170" s="295" t="e">
        <f>IF(K170="nio",0,(N170*Q170)/AA170)*VLOOKUP(C170,'2-Uren per locatie'!$B$15:$D$74,3,FALSE)</f>
        <v>#DIV/0!</v>
      </c>
      <c r="V170" s="295" t="e">
        <f>IF(K170="nio",0,(O170*Q170)/Z170)*VLOOKUP(C170,'2-Uren per locatie'!$B$15:$D$74,3,FALSE)</f>
        <v>#DIV/0!</v>
      </c>
      <c r="W170" s="295" t="e">
        <f>IF(K170="nio",0,(P170*Q170)/AA170)*VLOOKUP(C170,'2-Uren per locatie'!$B$15:$D$74,3,FALSE)</f>
        <v>#DIV/0!</v>
      </c>
      <c r="X170" s="485">
        <f>IF(K170="nio",0,IF(K170&gt;0,VLOOKUP(H170,'3-Productie normen'!A:F,VLOOKUP(K170,'3-Productie normen'!$B$29:$C$34,2,FALSE),FALSE)))</f>
        <v>0</v>
      </c>
      <c r="Y170" s="485">
        <f>VLOOKUP(H170,'3-Productie normen'!$A$10:$J$24,8,FALSE)*'3-Ruimtestaat'!X170</f>
        <v>0</v>
      </c>
      <c r="Z170" s="485">
        <f>VLOOKUP(H170,'3-Productie normen'!$A$10:$J$24,9,FALSE)*'3-Ruimtestaat'!X170</f>
        <v>0</v>
      </c>
      <c r="AA170" s="485">
        <f>VLOOKUP(H170,'3-Productie normen'!$A$10:$J$24,10,FALSE)*'3-Ruimtestaat'!X170</f>
        <v>0</v>
      </c>
      <c r="AB170" s="292" t="str">
        <f>IF(H170="",0,VLOOKUP(H170,'3-Productie normen'!$A$10:$N$23,14,FALSE))</f>
        <v>V</v>
      </c>
      <c r="AD170" s="296">
        <f t="shared" si="5"/>
        <v>0</v>
      </c>
      <c r="AE170" s="78"/>
      <c r="AF170" s="297"/>
      <c r="AG170" s="297"/>
      <c r="AH170" s="297"/>
      <c r="AI170" s="297"/>
      <c r="AJ170" s="297"/>
      <c r="AK170" s="298"/>
      <c r="AL170" s="298"/>
      <c r="AM170" s="298"/>
      <c r="AN170" s="298"/>
      <c r="AO170" s="299"/>
    </row>
    <row r="171" spans="1:41" ht="15" customHeight="1">
      <c r="A171" s="254">
        <v>171</v>
      </c>
      <c r="B171" s="253">
        <v>105</v>
      </c>
      <c r="C171" s="240" t="s">
        <v>54</v>
      </c>
      <c r="D171" s="288" t="s">
        <v>50</v>
      </c>
      <c r="E171" s="289" t="s">
        <v>249</v>
      </c>
      <c r="F171" s="239" t="s">
        <v>214</v>
      </c>
      <c r="G171" s="290" t="s">
        <v>252</v>
      </c>
      <c r="H171" s="291" t="s">
        <v>152</v>
      </c>
      <c r="I171" s="239"/>
      <c r="J171" s="424">
        <f t="shared" si="4"/>
        <v>365</v>
      </c>
      <c r="K171" s="425">
        <v>127</v>
      </c>
      <c r="L171" s="425">
        <v>126</v>
      </c>
      <c r="M171" s="425">
        <v>52</v>
      </c>
      <c r="N171" s="425">
        <v>52</v>
      </c>
      <c r="O171" s="425">
        <v>4</v>
      </c>
      <c r="P171" s="425">
        <v>4</v>
      </c>
      <c r="Q171" s="294">
        <v>0</v>
      </c>
      <c r="R171" s="295" t="e">
        <f>IF(K171="nio",0,(K171*Q171)/X171)*VLOOKUP(C171,'2-Uren per locatie'!$B$15:$D$74,3,FALSE)</f>
        <v>#DIV/0!</v>
      </c>
      <c r="S171" s="295" t="e">
        <f>IF(K171="nio",0,(L171*Q171)/Y171)*VLOOKUP(C171,'2-Uren per locatie'!$B$15:$D$74,3,FALSE)</f>
        <v>#DIV/0!</v>
      </c>
      <c r="T171" s="295" t="e">
        <f>IF(K171="nio",0,(M171*Q171)/Z171)*VLOOKUP(C171,'2-Uren per locatie'!$B$15:$D$74,3,FALSE)</f>
        <v>#DIV/0!</v>
      </c>
      <c r="U171" s="295" t="e">
        <f>IF(K171="nio",0,(N171*Q171)/AA171)*VLOOKUP(C171,'2-Uren per locatie'!$B$15:$D$74,3,FALSE)</f>
        <v>#DIV/0!</v>
      </c>
      <c r="V171" s="295" t="e">
        <f>IF(K171="nio",0,(O171*Q171)/Z171)*VLOOKUP(C171,'2-Uren per locatie'!$B$15:$D$74,3,FALSE)</f>
        <v>#DIV/0!</v>
      </c>
      <c r="W171" s="295" t="e">
        <f>IF(K171="nio",0,(P171*Q171)/AA171)*VLOOKUP(C171,'2-Uren per locatie'!$B$15:$D$74,3,FALSE)</f>
        <v>#DIV/0!</v>
      </c>
      <c r="X171" s="485">
        <f>IF(K171="nio",0,IF(K171&gt;0,VLOOKUP(H171,'3-Productie normen'!A:F,VLOOKUP(K171,'3-Productie normen'!$B$29:$C$34,2,FALSE),FALSE)))</f>
        <v>0</v>
      </c>
      <c r="Y171" s="485">
        <f>VLOOKUP(H171,'3-Productie normen'!$A$10:$J$24,8,FALSE)*'3-Ruimtestaat'!X171</f>
        <v>0</v>
      </c>
      <c r="Z171" s="485">
        <f>VLOOKUP(H171,'3-Productie normen'!$A$10:$J$24,9,FALSE)*'3-Ruimtestaat'!X171</f>
        <v>0</v>
      </c>
      <c r="AA171" s="485">
        <f>VLOOKUP(H171,'3-Productie normen'!$A$10:$J$24,10,FALSE)*'3-Ruimtestaat'!X171</f>
        <v>0</v>
      </c>
      <c r="AB171" s="292" t="str">
        <f>IF(H171="",0,VLOOKUP(H171,'3-Productie normen'!$A$10:$N$23,14,FALSE))</f>
        <v>V</v>
      </c>
      <c r="AD171" s="296">
        <f t="shared" si="5"/>
        <v>0</v>
      </c>
      <c r="AE171" s="78"/>
      <c r="AF171" s="297"/>
      <c r="AG171" s="297"/>
      <c r="AH171" s="297"/>
      <c r="AI171" s="297"/>
      <c r="AJ171" s="297"/>
      <c r="AK171" s="298"/>
      <c r="AL171" s="298"/>
      <c r="AM171" s="298"/>
      <c r="AN171" s="298"/>
      <c r="AO171" s="299" t="s">
        <v>378</v>
      </c>
    </row>
    <row r="172" spans="1:41" ht="15" customHeight="1">
      <c r="A172" s="254">
        <v>172</v>
      </c>
      <c r="B172" s="253">
        <v>105</v>
      </c>
      <c r="C172" s="240" t="s">
        <v>54</v>
      </c>
      <c r="D172" s="288" t="s">
        <v>50</v>
      </c>
      <c r="E172" s="289" t="s">
        <v>249</v>
      </c>
      <c r="F172" s="239" t="s">
        <v>212</v>
      </c>
      <c r="G172" s="290" t="s">
        <v>253</v>
      </c>
      <c r="H172" s="291" t="s">
        <v>155</v>
      </c>
      <c r="I172" s="239"/>
      <c r="J172" s="424">
        <f t="shared" si="4"/>
        <v>365</v>
      </c>
      <c r="K172" s="425">
        <v>127</v>
      </c>
      <c r="L172" s="425">
        <v>126</v>
      </c>
      <c r="M172" s="425">
        <v>52</v>
      </c>
      <c r="N172" s="425">
        <v>52</v>
      </c>
      <c r="O172" s="425">
        <v>4</v>
      </c>
      <c r="P172" s="425">
        <v>4</v>
      </c>
      <c r="Q172" s="294">
        <v>0</v>
      </c>
      <c r="R172" s="295" t="e">
        <f>IF(K172="nio",0,(K172*Q172)/X172)*VLOOKUP(C172,'2-Uren per locatie'!$B$15:$D$74,3,FALSE)</f>
        <v>#DIV/0!</v>
      </c>
      <c r="S172" s="295" t="e">
        <f>IF(K172="nio",0,(L172*Q172)/Y172)*VLOOKUP(C172,'2-Uren per locatie'!$B$15:$D$74,3,FALSE)</f>
        <v>#DIV/0!</v>
      </c>
      <c r="T172" s="295" t="e">
        <f>IF(K172="nio",0,(M172*Q172)/Z172)*VLOOKUP(C172,'2-Uren per locatie'!$B$15:$D$74,3,FALSE)</f>
        <v>#DIV/0!</v>
      </c>
      <c r="U172" s="295" t="e">
        <f>IF(K172="nio",0,(N172*Q172)/AA172)*VLOOKUP(C172,'2-Uren per locatie'!$B$15:$D$74,3,FALSE)</f>
        <v>#DIV/0!</v>
      </c>
      <c r="V172" s="295" t="e">
        <f>IF(K172="nio",0,(O172*Q172)/Z172)*VLOOKUP(C172,'2-Uren per locatie'!$B$15:$D$74,3,FALSE)</f>
        <v>#DIV/0!</v>
      </c>
      <c r="W172" s="295" t="e">
        <f>IF(K172="nio",0,(P172*Q172)/AA172)*VLOOKUP(C172,'2-Uren per locatie'!$B$15:$D$74,3,FALSE)</f>
        <v>#DIV/0!</v>
      </c>
      <c r="X172" s="485">
        <f>IF(K172="nio",0,IF(K172&gt;0,VLOOKUP(H172,'3-Productie normen'!A:F,VLOOKUP(K172,'3-Productie normen'!$B$29:$C$34,2,FALSE),FALSE)))</f>
        <v>0</v>
      </c>
      <c r="Y172" s="485">
        <f>VLOOKUP(H172,'3-Productie normen'!$A$10:$J$24,8,FALSE)*'3-Ruimtestaat'!X172</f>
        <v>0</v>
      </c>
      <c r="Z172" s="485">
        <f>VLOOKUP(H172,'3-Productie normen'!$A$10:$J$24,9,FALSE)*'3-Ruimtestaat'!X172</f>
        <v>0</v>
      </c>
      <c r="AA172" s="485">
        <f>VLOOKUP(H172,'3-Productie normen'!$A$10:$J$24,10,FALSE)*'3-Ruimtestaat'!X172</f>
        <v>0</v>
      </c>
      <c r="AB172" s="292" t="str">
        <f>IF(H172="",0,VLOOKUP(H172,'3-Productie normen'!$A$10:$N$23,14,FALSE))</f>
        <v>V</v>
      </c>
      <c r="AD172" s="296">
        <f t="shared" si="5"/>
        <v>0</v>
      </c>
      <c r="AE172" s="78"/>
      <c r="AF172" s="297"/>
      <c r="AG172" s="297"/>
      <c r="AH172" s="297"/>
      <c r="AI172" s="297"/>
      <c r="AJ172" s="297"/>
      <c r="AK172" s="298"/>
      <c r="AL172" s="298"/>
      <c r="AM172" s="298"/>
      <c r="AN172" s="298"/>
      <c r="AO172" s="299" t="s">
        <v>379</v>
      </c>
    </row>
    <row r="173" spans="1:41" ht="15" customHeight="1">
      <c r="A173" s="254">
        <v>173</v>
      </c>
      <c r="B173" s="253">
        <v>105</v>
      </c>
      <c r="C173" s="240" t="s">
        <v>54</v>
      </c>
      <c r="D173" s="288" t="s">
        <v>50</v>
      </c>
      <c r="E173" s="289" t="s">
        <v>249</v>
      </c>
      <c r="F173" s="239" t="s">
        <v>249</v>
      </c>
      <c r="G173" s="290" t="s">
        <v>254</v>
      </c>
      <c r="H173" s="291" t="s">
        <v>151</v>
      </c>
      <c r="I173" s="239" t="s">
        <v>203</v>
      </c>
      <c r="J173" s="424">
        <f t="shared" si="4"/>
        <v>365</v>
      </c>
      <c r="K173" s="425">
        <v>127</v>
      </c>
      <c r="L173" s="425">
        <v>126</v>
      </c>
      <c r="M173" s="425">
        <v>52</v>
      </c>
      <c r="N173" s="425">
        <v>52</v>
      </c>
      <c r="O173" s="425">
        <v>4</v>
      </c>
      <c r="P173" s="425">
        <v>4</v>
      </c>
      <c r="Q173" s="294">
        <v>1618.24</v>
      </c>
      <c r="R173" s="295" t="e">
        <f>IF(K173="nio",0,(K173*Q173)/X173)*VLOOKUP(C173,'2-Uren per locatie'!$B$15:$D$74,3,FALSE)</f>
        <v>#DIV/0!</v>
      </c>
      <c r="S173" s="295" t="e">
        <f>IF(K173="nio",0,(L173*Q173)/Y173)*VLOOKUP(C173,'2-Uren per locatie'!$B$15:$D$74,3,FALSE)</f>
        <v>#DIV/0!</v>
      </c>
      <c r="T173" s="295" t="e">
        <f>IF(K173="nio",0,(M173*Q173)/Z173)*VLOOKUP(C173,'2-Uren per locatie'!$B$15:$D$74,3,FALSE)</f>
        <v>#DIV/0!</v>
      </c>
      <c r="U173" s="295" t="e">
        <f>IF(K173="nio",0,(N173*Q173)/AA173)*VLOOKUP(C173,'2-Uren per locatie'!$B$15:$D$74,3,FALSE)</f>
        <v>#DIV/0!</v>
      </c>
      <c r="V173" s="295" t="e">
        <f>IF(K173="nio",0,(O173*Q173)/Z173)*VLOOKUP(C173,'2-Uren per locatie'!$B$15:$D$74,3,FALSE)</f>
        <v>#DIV/0!</v>
      </c>
      <c r="W173" s="295" t="e">
        <f>IF(K173="nio",0,(P173*Q173)/AA173)*VLOOKUP(C173,'2-Uren per locatie'!$B$15:$D$74,3,FALSE)</f>
        <v>#DIV/0!</v>
      </c>
      <c r="X173" s="485">
        <f>IF(K173="nio",0,IF(K173&gt;0,VLOOKUP(H173,'3-Productie normen'!A:F,VLOOKUP(K173,'3-Productie normen'!$B$29:$C$34,2,FALSE),FALSE)))</f>
        <v>0</v>
      </c>
      <c r="Y173" s="485">
        <f>VLOOKUP(H173,'3-Productie normen'!$A$10:$J$24,8,FALSE)*'3-Ruimtestaat'!X173</f>
        <v>0</v>
      </c>
      <c r="Z173" s="485">
        <f>VLOOKUP(H173,'3-Productie normen'!$A$10:$J$24,9,FALSE)*'3-Ruimtestaat'!X173</f>
        <v>0</v>
      </c>
      <c r="AA173" s="485">
        <f>VLOOKUP(H173,'3-Productie normen'!$A$10:$J$24,10,FALSE)*'3-Ruimtestaat'!X173</f>
        <v>0</v>
      </c>
      <c r="AB173" s="292" t="str">
        <f>IF(H173="",0,VLOOKUP(H173,'3-Productie normen'!$A$10:$N$23,14,FALSE))</f>
        <v>V</v>
      </c>
      <c r="AD173" s="296">
        <f t="shared" si="5"/>
        <v>590657.6</v>
      </c>
      <c r="AE173" s="78"/>
      <c r="AF173" s="297"/>
      <c r="AG173" s="297"/>
      <c r="AH173" s="297"/>
      <c r="AI173" s="297">
        <f>(0.5*42)+(((1.7+0.6+1.7+0.6)*1.35)*2)</f>
        <v>33.42</v>
      </c>
      <c r="AJ173" s="297">
        <f>((3.3+3.3+2.3)*8.2)+18+18+((2.1*6.5)*2)+(((36+28+27+10+14+40.6)*3.5)*2)+(2.5*18)+(((1.5+0.3+1.5+0.3)*2.5)*2)</f>
        <v>1288.48</v>
      </c>
      <c r="AK173" s="298"/>
      <c r="AL173" s="298"/>
      <c r="AM173" s="298">
        <f>(36+28+27+10+14+40.6)*15</f>
        <v>2334</v>
      </c>
      <c r="AN173" s="298"/>
      <c r="AO173" s="299" t="s">
        <v>367</v>
      </c>
    </row>
    <row r="174" spans="1:41" ht="15" customHeight="1">
      <c r="A174" s="254">
        <v>174</v>
      </c>
      <c r="B174" s="253">
        <v>105</v>
      </c>
      <c r="C174" s="240" t="s">
        <v>54</v>
      </c>
      <c r="D174" s="288" t="s">
        <v>50</v>
      </c>
      <c r="E174" s="289" t="s">
        <v>249</v>
      </c>
      <c r="F174" s="239" t="s">
        <v>212</v>
      </c>
      <c r="G174" s="290" t="s">
        <v>255</v>
      </c>
      <c r="H174" s="291" t="s">
        <v>155</v>
      </c>
      <c r="I174" s="239"/>
      <c r="J174" s="424">
        <f t="shared" si="4"/>
        <v>365</v>
      </c>
      <c r="K174" s="425">
        <v>127</v>
      </c>
      <c r="L174" s="425">
        <v>126</v>
      </c>
      <c r="M174" s="425">
        <v>52</v>
      </c>
      <c r="N174" s="425">
        <v>52</v>
      </c>
      <c r="O174" s="425">
        <v>4</v>
      </c>
      <c r="P174" s="425">
        <v>4</v>
      </c>
      <c r="Q174" s="294">
        <v>0</v>
      </c>
      <c r="R174" s="295" t="e">
        <f>IF(K174="nio",0,(K174*Q174)/X174)*VLOOKUP(C174,'2-Uren per locatie'!$B$15:$D$74,3,FALSE)</f>
        <v>#DIV/0!</v>
      </c>
      <c r="S174" s="295" t="e">
        <f>IF(K174="nio",0,(L174*Q174)/Y174)*VLOOKUP(C174,'2-Uren per locatie'!$B$15:$D$74,3,FALSE)</f>
        <v>#DIV/0!</v>
      </c>
      <c r="T174" s="295" t="e">
        <f>IF(K174="nio",0,(M174*Q174)/Z174)*VLOOKUP(C174,'2-Uren per locatie'!$B$15:$D$74,3,FALSE)</f>
        <v>#DIV/0!</v>
      </c>
      <c r="U174" s="295" t="e">
        <f>IF(K174="nio",0,(N174*Q174)/AA174)*VLOOKUP(C174,'2-Uren per locatie'!$B$15:$D$74,3,FALSE)</f>
        <v>#DIV/0!</v>
      </c>
      <c r="V174" s="295" t="e">
        <f>IF(K174="nio",0,(O174*Q174)/Z174)*VLOOKUP(C174,'2-Uren per locatie'!$B$15:$D$74,3,FALSE)</f>
        <v>#DIV/0!</v>
      </c>
      <c r="W174" s="295" t="e">
        <f>IF(K174="nio",0,(P174*Q174)/AA174)*VLOOKUP(C174,'2-Uren per locatie'!$B$15:$D$74,3,FALSE)</f>
        <v>#DIV/0!</v>
      </c>
      <c r="X174" s="485">
        <f>IF(K174="nio",0,IF(K174&gt;0,VLOOKUP(H174,'3-Productie normen'!A:F,VLOOKUP(K174,'3-Productie normen'!$B$29:$C$34,2,FALSE),FALSE)))</f>
        <v>0</v>
      </c>
      <c r="Y174" s="485">
        <f>VLOOKUP(H174,'3-Productie normen'!$A$10:$J$24,8,FALSE)*'3-Ruimtestaat'!X174</f>
        <v>0</v>
      </c>
      <c r="Z174" s="485">
        <f>VLOOKUP(H174,'3-Productie normen'!$A$10:$J$24,9,FALSE)*'3-Ruimtestaat'!X174</f>
        <v>0</v>
      </c>
      <c r="AA174" s="485">
        <f>VLOOKUP(H174,'3-Productie normen'!$A$10:$J$24,10,FALSE)*'3-Ruimtestaat'!X174</f>
        <v>0</v>
      </c>
      <c r="AB174" s="292" t="str">
        <f>IF(H174="",0,VLOOKUP(H174,'3-Productie normen'!$A$10:$N$23,14,FALSE))</f>
        <v>V</v>
      </c>
      <c r="AD174" s="296">
        <f t="shared" si="5"/>
        <v>0</v>
      </c>
      <c r="AE174" s="78"/>
      <c r="AF174" s="297"/>
      <c r="AG174" s="297"/>
      <c r="AH174" s="297"/>
      <c r="AI174" s="297"/>
      <c r="AJ174" s="297"/>
      <c r="AK174" s="298"/>
      <c r="AL174" s="298"/>
      <c r="AM174" s="298"/>
      <c r="AN174" s="298"/>
      <c r="AO174" s="299" t="s">
        <v>380</v>
      </c>
    </row>
    <row r="175" spans="1:41" ht="15" customHeight="1">
      <c r="A175" s="254">
        <v>175</v>
      </c>
      <c r="B175" s="253">
        <v>105</v>
      </c>
      <c r="C175" s="240" t="s">
        <v>54</v>
      </c>
      <c r="D175" s="288" t="s">
        <v>50</v>
      </c>
      <c r="E175" s="289" t="s">
        <v>249</v>
      </c>
      <c r="F175" s="239" t="s">
        <v>214</v>
      </c>
      <c r="G175" s="290" t="s">
        <v>256</v>
      </c>
      <c r="H175" s="291" t="s">
        <v>152</v>
      </c>
      <c r="I175" s="239"/>
      <c r="J175" s="424">
        <f t="shared" si="4"/>
        <v>365</v>
      </c>
      <c r="K175" s="425">
        <v>127</v>
      </c>
      <c r="L175" s="425">
        <v>126</v>
      </c>
      <c r="M175" s="425">
        <v>52</v>
      </c>
      <c r="N175" s="425">
        <v>52</v>
      </c>
      <c r="O175" s="425">
        <v>4</v>
      </c>
      <c r="P175" s="425">
        <v>4</v>
      </c>
      <c r="Q175" s="294">
        <v>0</v>
      </c>
      <c r="R175" s="295" t="e">
        <f>IF(K175="nio",0,(K175*Q175)/X175)*VLOOKUP(C175,'2-Uren per locatie'!$B$15:$D$74,3,FALSE)</f>
        <v>#DIV/0!</v>
      </c>
      <c r="S175" s="295" t="e">
        <f>IF(K175="nio",0,(L175*Q175)/Y175)*VLOOKUP(C175,'2-Uren per locatie'!$B$15:$D$74,3,FALSE)</f>
        <v>#DIV/0!</v>
      </c>
      <c r="T175" s="295" t="e">
        <f>IF(K175="nio",0,(M175*Q175)/Z175)*VLOOKUP(C175,'2-Uren per locatie'!$B$15:$D$74,3,FALSE)</f>
        <v>#DIV/0!</v>
      </c>
      <c r="U175" s="295" t="e">
        <f>IF(K175="nio",0,(N175*Q175)/AA175)*VLOOKUP(C175,'2-Uren per locatie'!$B$15:$D$74,3,FALSE)</f>
        <v>#DIV/0!</v>
      </c>
      <c r="V175" s="295" t="e">
        <f>IF(K175="nio",0,(O175*Q175)/Z175)*VLOOKUP(C175,'2-Uren per locatie'!$B$15:$D$74,3,FALSE)</f>
        <v>#DIV/0!</v>
      </c>
      <c r="W175" s="295" t="e">
        <f>IF(K175="nio",0,(P175*Q175)/AA175)*VLOOKUP(C175,'2-Uren per locatie'!$B$15:$D$74,3,FALSE)</f>
        <v>#DIV/0!</v>
      </c>
      <c r="X175" s="485">
        <f>IF(K175="nio",0,IF(K175&gt;0,VLOOKUP(H175,'3-Productie normen'!A:F,VLOOKUP(K175,'3-Productie normen'!$B$29:$C$34,2,FALSE),FALSE)))</f>
        <v>0</v>
      </c>
      <c r="Y175" s="485">
        <f>VLOOKUP(H175,'3-Productie normen'!$A$10:$J$24,8,FALSE)*'3-Ruimtestaat'!X175</f>
        <v>0</v>
      </c>
      <c r="Z175" s="485">
        <f>VLOOKUP(H175,'3-Productie normen'!$A$10:$J$24,9,FALSE)*'3-Ruimtestaat'!X175</f>
        <v>0</v>
      </c>
      <c r="AA175" s="485">
        <f>VLOOKUP(H175,'3-Productie normen'!$A$10:$J$24,10,FALSE)*'3-Ruimtestaat'!X175</f>
        <v>0</v>
      </c>
      <c r="AB175" s="292" t="str">
        <f>IF(H175="",0,VLOOKUP(H175,'3-Productie normen'!$A$10:$N$23,14,FALSE))</f>
        <v>V</v>
      </c>
      <c r="AD175" s="296">
        <f t="shared" si="5"/>
        <v>0</v>
      </c>
      <c r="AE175" s="78"/>
      <c r="AF175" s="297"/>
      <c r="AG175" s="297"/>
      <c r="AH175" s="297"/>
      <c r="AI175" s="297"/>
      <c r="AJ175" s="297"/>
      <c r="AK175" s="298"/>
      <c r="AL175" s="298"/>
      <c r="AM175" s="298"/>
      <c r="AN175" s="298"/>
      <c r="AO175" s="299" t="s">
        <v>381</v>
      </c>
    </row>
    <row r="176" spans="1:41" ht="15" customHeight="1">
      <c r="A176" s="254">
        <v>176</v>
      </c>
      <c r="B176" s="253">
        <v>107</v>
      </c>
      <c r="C176" s="240" t="s">
        <v>57</v>
      </c>
      <c r="D176" s="288" t="s">
        <v>56</v>
      </c>
      <c r="E176" s="289"/>
      <c r="F176" s="239" t="s">
        <v>382</v>
      </c>
      <c r="G176" s="290" t="s">
        <v>383</v>
      </c>
      <c r="H176" s="291" t="s">
        <v>151</v>
      </c>
      <c r="I176" s="239" t="s">
        <v>384</v>
      </c>
      <c r="J176" s="424">
        <f t="shared" si="4"/>
        <v>365</v>
      </c>
      <c r="K176" s="425">
        <v>102</v>
      </c>
      <c r="L176" s="425">
        <v>153</v>
      </c>
      <c r="M176" s="425"/>
      <c r="N176" s="425">
        <v>102</v>
      </c>
      <c r="O176" s="425"/>
      <c r="P176" s="425">
        <v>8</v>
      </c>
      <c r="Q176" s="294">
        <v>1200.48</v>
      </c>
      <c r="R176" s="295" t="e">
        <f>IF(K176="nio",0,(K176*Q176)/X176)*VLOOKUP(C176,'2-Uren per locatie'!$B$15:$D$74,3,FALSE)</f>
        <v>#DIV/0!</v>
      </c>
      <c r="S176" s="295" t="e">
        <f>IF(K176="nio",0,(L176*Q176)/Y176)*VLOOKUP(C176,'2-Uren per locatie'!$B$15:$D$74,3,FALSE)</f>
        <v>#DIV/0!</v>
      </c>
      <c r="T176" s="295" t="e">
        <f>IF(K176="nio",0,(M176*Q176)/Z176)*VLOOKUP(C176,'2-Uren per locatie'!$B$15:$D$74,3,FALSE)</f>
        <v>#DIV/0!</v>
      </c>
      <c r="U176" s="295" t="e">
        <f>IF(K176="nio",0,(N176*Q176)/AA176)*VLOOKUP(C176,'2-Uren per locatie'!$B$15:$D$74,3,FALSE)</f>
        <v>#DIV/0!</v>
      </c>
      <c r="V176" s="295" t="e">
        <f>IF(K176="nio",0,(O176*Q176)/Z176)*VLOOKUP(C176,'2-Uren per locatie'!$B$15:$D$74,3,FALSE)</f>
        <v>#DIV/0!</v>
      </c>
      <c r="W176" s="295" t="e">
        <f>IF(K176="nio",0,(P176*Q176)/AA176)*VLOOKUP(C176,'2-Uren per locatie'!$B$15:$D$74,3,FALSE)</f>
        <v>#DIV/0!</v>
      </c>
      <c r="X176" s="485">
        <f>IF(K176="nio",0,IF(K176&gt;0,VLOOKUP(H176,'3-Productie normen'!A:F,VLOOKUP(K176,'3-Productie normen'!$B$29:$C$34,2,FALSE),FALSE)))</f>
        <v>0</v>
      </c>
      <c r="Y176" s="485">
        <f>VLOOKUP(H176,'3-Productie normen'!$A$10:$J$24,8,FALSE)*'3-Ruimtestaat'!X176</f>
        <v>0</v>
      </c>
      <c r="Z176" s="485">
        <f>VLOOKUP(H176,'3-Productie normen'!$A$10:$J$24,9,FALSE)*'3-Ruimtestaat'!X176</f>
        <v>0</v>
      </c>
      <c r="AA176" s="485">
        <f>VLOOKUP(H176,'3-Productie normen'!$A$10:$J$24,10,FALSE)*'3-Ruimtestaat'!X176</f>
        <v>0</v>
      </c>
      <c r="AB176" s="292" t="str">
        <f>IF(H176="",0,VLOOKUP(H176,'3-Productie normen'!$A$10:$N$23,14,FALSE))</f>
        <v>V</v>
      </c>
      <c r="AD176" s="296">
        <f t="shared" si="5"/>
        <v>438175.2</v>
      </c>
      <c r="AE176" s="78"/>
      <c r="AF176" s="297"/>
      <c r="AG176" s="297"/>
      <c r="AH176" s="297"/>
      <c r="AI176" s="297"/>
      <c r="AJ176" s="297"/>
      <c r="AK176" s="298">
        <f>34.84*10.13</f>
        <v>352.92920000000004</v>
      </c>
      <c r="AL176" s="298"/>
      <c r="AM176" s="298"/>
      <c r="AN176" s="298"/>
      <c r="AO176" s="299"/>
    </row>
    <row r="177" spans="1:41" ht="15" customHeight="1">
      <c r="A177" s="254">
        <v>177</v>
      </c>
      <c r="B177" s="253">
        <v>107</v>
      </c>
      <c r="C177" s="240" t="s">
        <v>57</v>
      </c>
      <c r="D177" s="288" t="s">
        <v>56</v>
      </c>
      <c r="E177" s="289"/>
      <c r="F177" s="239" t="s">
        <v>385</v>
      </c>
      <c r="G177" s="290" t="s">
        <v>386</v>
      </c>
      <c r="H177" s="291" t="s">
        <v>151</v>
      </c>
      <c r="I177" s="239" t="s">
        <v>384</v>
      </c>
      <c r="J177" s="424">
        <f t="shared" si="4"/>
        <v>365</v>
      </c>
      <c r="K177" s="425">
        <v>102</v>
      </c>
      <c r="L177" s="425">
        <v>153</v>
      </c>
      <c r="M177" s="425"/>
      <c r="N177" s="425">
        <v>102</v>
      </c>
      <c r="O177" s="425"/>
      <c r="P177" s="425">
        <v>8</v>
      </c>
      <c r="Q177" s="294">
        <v>1345.42</v>
      </c>
      <c r="R177" s="295" t="e">
        <f>IF(K177="nio",0,(K177*Q177)/X177)*VLOOKUP(C177,'2-Uren per locatie'!$B$15:$D$74,3,FALSE)</f>
        <v>#DIV/0!</v>
      </c>
      <c r="S177" s="295" t="e">
        <f>IF(K177="nio",0,(L177*Q177)/Y177)*VLOOKUP(C177,'2-Uren per locatie'!$B$15:$D$74,3,FALSE)</f>
        <v>#DIV/0!</v>
      </c>
      <c r="T177" s="295" t="e">
        <f>IF(K177="nio",0,(M177*Q177)/Z177)*VLOOKUP(C177,'2-Uren per locatie'!$B$15:$D$74,3,FALSE)</f>
        <v>#DIV/0!</v>
      </c>
      <c r="U177" s="295" t="e">
        <f>IF(K177="nio",0,(N177*Q177)/AA177)*VLOOKUP(C177,'2-Uren per locatie'!$B$15:$D$74,3,FALSE)</f>
        <v>#DIV/0!</v>
      </c>
      <c r="V177" s="295" t="e">
        <f>IF(K177="nio",0,(O177*Q177)/Z177)*VLOOKUP(C177,'2-Uren per locatie'!$B$15:$D$74,3,FALSE)</f>
        <v>#DIV/0!</v>
      </c>
      <c r="W177" s="295" t="e">
        <f>IF(K177="nio",0,(P177*Q177)/AA177)*VLOOKUP(C177,'2-Uren per locatie'!$B$15:$D$74,3,FALSE)</f>
        <v>#DIV/0!</v>
      </c>
      <c r="X177" s="485">
        <f>IF(K177="nio",0,IF(K177&gt;0,VLOOKUP(H177,'3-Productie normen'!A:F,VLOOKUP(K177,'3-Productie normen'!$B$29:$C$34,2,FALSE),FALSE)))</f>
        <v>0</v>
      </c>
      <c r="Y177" s="485">
        <f>VLOOKUP(H177,'3-Productie normen'!$A$10:$J$24,8,FALSE)*'3-Ruimtestaat'!X177</f>
        <v>0</v>
      </c>
      <c r="Z177" s="485">
        <f>VLOOKUP(H177,'3-Productie normen'!$A$10:$J$24,9,FALSE)*'3-Ruimtestaat'!X177</f>
        <v>0</v>
      </c>
      <c r="AA177" s="485">
        <f>VLOOKUP(H177,'3-Productie normen'!$A$10:$J$24,10,FALSE)*'3-Ruimtestaat'!X177</f>
        <v>0</v>
      </c>
      <c r="AB177" s="292" t="str">
        <f>IF(H177="",0,VLOOKUP(H177,'3-Productie normen'!$A$10:$N$23,14,FALSE))</f>
        <v>V</v>
      </c>
      <c r="AD177" s="296">
        <f t="shared" si="5"/>
        <v>491078.30000000005</v>
      </c>
      <c r="AE177" s="78"/>
      <c r="AF177" s="297"/>
      <c r="AG177" s="297"/>
      <c r="AH177" s="297"/>
      <c r="AI177" s="297"/>
      <c r="AJ177" s="297"/>
      <c r="AK177" s="298">
        <f>34.84*10.13</f>
        <v>352.92920000000004</v>
      </c>
      <c r="AL177" s="298"/>
      <c r="AM177" s="298"/>
      <c r="AN177" s="298"/>
      <c r="AO177" s="299"/>
    </row>
    <row r="178" spans="1:41" ht="15" customHeight="1">
      <c r="A178" s="254">
        <v>178</v>
      </c>
      <c r="B178" s="253">
        <v>107</v>
      </c>
      <c r="C178" s="240" t="s">
        <v>57</v>
      </c>
      <c r="D178" s="288" t="s">
        <v>56</v>
      </c>
      <c r="E178" s="289"/>
      <c r="F178" s="239" t="s">
        <v>387</v>
      </c>
      <c r="G178" s="290" t="s">
        <v>388</v>
      </c>
      <c r="H178" s="291" t="s">
        <v>152</v>
      </c>
      <c r="I178" s="239" t="s">
        <v>265</v>
      </c>
      <c r="J178" s="424">
        <f t="shared" si="4"/>
        <v>365</v>
      </c>
      <c r="K178" s="425">
        <v>102</v>
      </c>
      <c r="L178" s="425">
        <v>153</v>
      </c>
      <c r="M178" s="425"/>
      <c r="N178" s="425">
        <v>102</v>
      </c>
      <c r="O178" s="425"/>
      <c r="P178" s="425">
        <v>8</v>
      </c>
      <c r="Q178" s="294">
        <v>27.6</v>
      </c>
      <c r="R178" s="295" t="e">
        <f>IF(K178="nio",0,(K178*Q178)/X178)*VLOOKUP(C178,'2-Uren per locatie'!$B$15:$D$74,3,FALSE)</f>
        <v>#DIV/0!</v>
      </c>
      <c r="S178" s="295" t="e">
        <f>IF(K178="nio",0,(L178*Q178)/Y178)*VLOOKUP(C178,'2-Uren per locatie'!$B$15:$D$74,3,FALSE)</f>
        <v>#DIV/0!</v>
      </c>
      <c r="T178" s="295" t="e">
        <f>IF(K178="nio",0,(M178*Q178)/Z178)*VLOOKUP(C178,'2-Uren per locatie'!$B$15:$D$74,3,FALSE)</f>
        <v>#DIV/0!</v>
      </c>
      <c r="U178" s="295" t="e">
        <f>IF(K178="nio",0,(N178*Q178)/AA178)*VLOOKUP(C178,'2-Uren per locatie'!$B$15:$D$74,3,FALSE)</f>
        <v>#DIV/0!</v>
      </c>
      <c r="V178" s="295" t="e">
        <f>IF(K178="nio",0,(O178*Q178)/Z178)*VLOOKUP(C178,'2-Uren per locatie'!$B$15:$D$74,3,FALSE)</f>
        <v>#DIV/0!</v>
      </c>
      <c r="W178" s="295" t="e">
        <f>IF(K178="nio",0,(P178*Q178)/AA178)*VLOOKUP(C178,'2-Uren per locatie'!$B$15:$D$74,3,FALSE)</f>
        <v>#DIV/0!</v>
      </c>
      <c r="X178" s="485">
        <f>IF(K178="nio",0,IF(K178&gt;0,VLOOKUP(H178,'3-Productie normen'!A:F,VLOOKUP(K178,'3-Productie normen'!$B$29:$C$34,2,FALSE),FALSE)))</f>
        <v>0</v>
      </c>
      <c r="Y178" s="485">
        <f>VLOOKUP(H178,'3-Productie normen'!$A$10:$J$24,8,FALSE)*'3-Ruimtestaat'!X178</f>
        <v>0</v>
      </c>
      <c r="Z178" s="485">
        <f>VLOOKUP(H178,'3-Productie normen'!$A$10:$J$24,9,FALSE)*'3-Ruimtestaat'!X178</f>
        <v>0</v>
      </c>
      <c r="AA178" s="485">
        <f>VLOOKUP(H178,'3-Productie normen'!$A$10:$J$24,10,FALSE)*'3-Ruimtestaat'!X178</f>
        <v>0</v>
      </c>
      <c r="AB178" s="292" t="str">
        <f>IF(H178="",0,VLOOKUP(H178,'3-Productie normen'!$A$10:$N$23,14,FALSE))</f>
        <v>V</v>
      </c>
      <c r="AD178" s="296">
        <f t="shared" si="5"/>
        <v>10074</v>
      </c>
      <c r="AE178" s="78"/>
      <c r="AF178" s="297"/>
      <c r="AG178" s="297"/>
      <c r="AH178" s="297"/>
      <c r="AI178" s="297"/>
      <c r="AJ178" s="297"/>
      <c r="AK178" s="298"/>
      <c r="AL178" s="298"/>
      <c r="AM178" s="298"/>
      <c r="AN178" s="298"/>
      <c r="AO178" s="299"/>
    </row>
    <row r="179" spans="1:41" ht="15" customHeight="1">
      <c r="A179" s="254">
        <v>179</v>
      </c>
      <c r="B179" s="253">
        <v>107</v>
      </c>
      <c r="C179" s="240" t="s">
        <v>57</v>
      </c>
      <c r="D179" s="288" t="s">
        <v>56</v>
      </c>
      <c r="E179" s="289"/>
      <c r="F179" s="239" t="s">
        <v>389</v>
      </c>
      <c r="G179" s="290" t="s">
        <v>388</v>
      </c>
      <c r="H179" s="291" t="s">
        <v>152</v>
      </c>
      <c r="I179" s="239" t="s">
        <v>265</v>
      </c>
      <c r="J179" s="424">
        <f t="shared" si="4"/>
        <v>365</v>
      </c>
      <c r="K179" s="425">
        <v>102</v>
      </c>
      <c r="L179" s="425">
        <v>153</v>
      </c>
      <c r="M179" s="425"/>
      <c r="N179" s="425">
        <v>102</v>
      </c>
      <c r="O179" s="425"/>
      <c r="P179" s="425">
        <v>8</v>
      </c>
      <c r="Q179" s="294">
        <v>27.68</v>
      </c>
      <c r="R179" s="295" t="e">
        <f>IF(K179="nio",0,(K179*Q179)/X179)*VLOOKUP(C179,'2-Uren per locatie'!$B$15:$D$74,3,FALSE)</f>
        <v>#DIV/0!</v>
      </c>
      <c r="S179" s="295" t="e">
        <f>IF(K179="nio",0,(L179*Q179)/Y179)*VLOOKUP(C179,'2-Uren per locatie'!$B$15:$D$74,3,FALSE)</f>
        <v>#DIV/0!</v>
      </c>
      <c r="T179" s="295" t="e">
        <f>IF(K179="nio",0,(M179*Q179)/Z179)*VLOOKUP(C179,'2-Uren per locatie'!$B$15:$D$74,3,FALSE)</f>
        <v>#DIV/0!</v>
      </c>
      <c r="U179" s="295" t="e">
        <f>IF(K179="nio",0,(N179*Q179)/AA179)*VLOOKUP(C179,'2-Uren per locatie'!$B$15:$D$74,3,FALSE)</f>
        <v>#DIV/0!</v>
      </c>
      <c r="V179" s="295" t="e">
        <f>IF(K179="nio",0,(O179*Q179)/Z179)*VLOOKUP(C179,'2-Uren per locatie'!$B$15:$D$74,3,FALSE)</f>
        <v>#DIV/0!</v>
      </c>
      <c r="W179" s="295" t="e">
        <f>IF(K179="nio",0,(P179*Q179)/AA179)*VLOOKUP(C179,'2-Uren per locatie'!$B$15:$D$74,3,FALSE)</f>
        <v>#DIV/0!</v>
      </c>
      <c r="X179" s="485">
        <f>IF(K179="nio",0,IF(K179&gt;0,VLOOKUP(H179,'3-Productie normen'!A:F,VLOOKUP(K179,'3-Productie normen'!$B$29:$C$34,2,FALSE),FALSE)))</f>
        <v>0</v>
      </c>
      <c r="Y179" s="485">
        <f>VLOOKUP(H179,'3-Productie normen'!$A$10:$J$24,8,FALSE)*'3-Ruimtestaat'!X179</f>
        <v>0</v>
      </c>
      <c r="Z179" s="485">
        <f>VLOOKUP(H179,'3-Productie normen'!$A$10:$J$24,9,FALSE)*'3-Ruimtestaat'!X179</f>
        <v>0</v>
      </c>
      <c r="AA179" s="485">
        <f>VLOOKUP(H179,'3-Productie normen'!$A$10:$J$24,10,FALSE)*'3-Ruimtestaat'!X179</f>
        <v>0</v>
      </c>
      <c r="AB179" s="292" t="str">
        <f>IF(H179="",0,VLOOKUP(H179,'3-Productie normen'!$A$10:$N$23,14,FALSE))</f>
        <v>V</v>
      </c>
      <c r="AD179" s="296">
        <f t="shared" si="5"/>
        <v>10103.200000000001</v>
      </c>
      <c r="AE179" s="78"/>
      <c r="AF179" s="297"/>
      <c r="AG179" s="297"/>
      <c r="AH179" s="297"/>
      <c r="AI179" s="297"/>
      <c r="AJ179" s="297"/>
      <c r="AK179" s="298"/>
      <c r="AL179" s="298"/>
      <c r="AM179" s="298"/>
      <c r="AN179" s="298"/>
      <c r="AO179" s="299"/>
    </row>
    <row r="180" spans="1:41" ht="15" customHeight="1">
      <c r="A180" s="254">
        <v>180</v>
      </c>
      <c r="B180" s="253">
        <v>107</v>
      </c>
      <c r="C180" s="240" t="s">
        <v>57</v>
      </c>
      <c r="D180" s="288" t="s">
        <v>56</v>
      </c>
      <c r="E180" s="289"/>
      <c r="F180" s="239" t="s">
        <v>390</v>
      </c>
      <c r="G180" s="290" t="s">
        <v>391</v>
      </c>
      <c r="H180" s="291" t="s">
        <v>155</v>
      </c>
      <c r="I180" s="239" t="s">
        <v>392</v>
      </c>
      <c r="J180" s="424">
        <f t="shared" si="4"/>
        <v>365</v>
      </c>
      <c r="K180" s="425">
        <v>102</v>
      </c>
      <c r="L180" s="425">
        <v>153</v>
      </c>
      <c r="M180" s="425"/>
      <c r="N180" s="425">
        <v>102</v>
      </c>
      <c r="O180" s="425"/>
      <c r="P180" s="425">
        <v>8</v>
      </c>
      <c r="Q180" s="294">
        <v>61.9</v>
      </c>
      <c r="R180" s="295" t="e">
        <f>IF(K180="nio",0,(K180*Q180)/X180)*VLOOKUP(C180,'2-Uren per locatie'!$B$15:$D$74,3,FALSE)</f>
        <v>#DIV/0!</v>
      </c>
      <c r="S180" s="295" t="e">
        <f>IF(K180="nio",0,(L180*Q180)/Y180)*VLOOKUP(C180,'2-Uren per locatie'!$B$15:$D$74,3,FALSE)</f>
        <v>#DIV/0!</v>
      </c>
      <c r="T180" s="295" t="e">
        <f>IF(K180="nio",0,(M180*Q180)/Z180)*VLOOKUP(C180,'2-Uren per locatie'!$B$15:$D$74,3,FALSE)</f>
        <v>#DIV/0!</v>
      </c>
      <c r="U180" s="295" t="e">
        <f>IF(K180="nio",0,(N180*Q180)/AA180)*VLOOKUP(C180,'2-Uren per locatie'!$B$15:$D$74,3,FALSE)</f>
        <v>#DIV/0!</v>
      </c>
      <c r="V180" s="295" t="e">
        <f>IF(K180="nio",0,(O180*Q180)/Z180)*VLOOKUP(C180,'2-Uren per locatie'!$B$15:$D$74,3,FALSE)</f>
        <v>#DIV/0!</v>
      </c>
      <c r="W180" s="295" t="e">
        <f>IF(K180="nio",0,(P180*Q180)/AA180)*VLOOKUP(C180,'2-Uren per locatie'!$B$15:$D$74,3,FALSE)</f>
        <v>#DIV/0!</v>
      </c>
      <c r="X180" s="485">
        <f>IF(K180="nio",0,IF(K180&gt;0,VLOOKUP(H180,'3-Productie normen'!A:F,VLOOKUP(K180,'3-Productie normen'!$B$29:$C$34,2,FALSE),FALSE)))</f>
        <v>0</v>
      </c>
      <c r="Y180" s="485">
        <f>VLOOKUP(H180,'3-Productie normen'!$A$10:$J$24,8,FALSE)*'3-Ruimtestaat'!X180</f>
        <v>0</v>
      </c>
      <c r="Z180" s="485">
        <f>VLOOKUP(H180,'3-Productie normen'!$A$10:$J$24,9,FALSE)*'3-Ruimtestaat'!X180</f>
        <v>0</v>
      </c>
      <c r="AA180" s="485">
        <f>VLOOKUP(H180,'3-Productie normen'!$A$10:$J$24,10,FALSE)*'3-Ruimtestaat'!X180</f>
        <v>0</v>
      </c>
      <c r="AB180" s="292" t="str">
        <f>IF(H180="",0,VLOOKUP(H180,'3-Productie normen'!$A$10:$N$23,14,FALSE))</f>
        <v>V</v>
      </c>
      <c r="AD180" s="296">
        <f t="shared" si="5"/>
        <v>22593.5</v>
      </c>
      <c r="AE180" s="78"/>
      <c r="AF180" s="300" t="s">
        <v>393</v>
      </c>
      <c r="AG180" s="297"/>
      <c r="AH180" s="297"/>
      <c r="AI180" s="297"/>
      <c r="AJ180" s="297"/>
      <c r="AK180" s="298"/>
      <c r="AL180" s="298"/>
      <c r="AM180" s="298"/>
      <c r="AN180" s="298"/>
      <c r="AO180" s="299"/>
    </row>
    <row r="181" spans="1:41" ht="15" customHeight="1">
      <c r="A181" s="254">
        <v>181</v>
      </c>
      <c r="B181" s="253">
        <v>107</v>
      </c>
      <c r="C181" s="240" t="s">
        <v>57</v>
      </c>
      <c r="D181" s="288" t="s">
        <v>56</v>
      </c>
      <c r="E181" s="289"/>
      <c r="F181" s="239" t="s">
        <v>390</v>
      </c>
      <c r="G181" s="290" t="s">
        <v>394</v>
      </c>
      <c r="H181" s="291" t="s">
        <v>155</v>
      </c>
      <c r="I181" s="239" t="s">
        <v>392</v>
      </c>
      <c r="J181" s="424">
        <f t="shared" si="4"/>
        <v>365</v>
      </c>
      <c r="K181" s="425">
        <v>102</v>
      </c>
      <c r="L181" s="425">
        <v>153</v>
      </c>
      <c r="M181" s="425"/>
      <c r="N181" s="425">
        <v>102</v>
      </c>
      <c r="O181" s="425"/>
      <c r="P181" s="425">
        <v>8</v>
      </c>
      <c r="Q181" s="294">
        <v>61.9</v>
      </c>
      <c r="R181" s="295" t="e">
        <f>IF(K181="nio",0,(K181*Q181)/X181)*VLOOKUP(C181,'2-Uren per locatie'!$B$15:$D$74,3,FALSE)</f>
        <v>#DIV/0!</v>
      </c>
      <c r="S181" s="295" t="e">
        <f>IF(K181="nio",0,(L181*Q181)/Y181)*VLOOKUP(C181,'2-Uren per locatie'!$B$15:$D$74,3,FALSE)</f>
        <v>#DIV/0!</v>
      </c>
      <c r="T181" s="295" t="e">
        <f>IF(K181="nio",0,(M181*Q181)/Z181)*VLOOKUP(C181,'2-Uren per locatie'!$B$15:$D$74,3,FALSE)</f>
        <v>#DIV/0!</v>
      </c>
      <c r="U181" s="295" t="e">
        <f>IF(K181="nio",0,(N181*Q181)/AA181)*VLOOKUP(C181,'2-Uren per locatie'!$B$15:$D$74,3,FALSE)</f>
        <v>#DIV/0!</v>
      </c>
      <c r="V181" s="295" t="e">
        <f>IF(K181="nio",0,(O181*Q181)/Z181)*VLOOKUP(C181,'2-Uren per locatie'!$B$15:$D$74,3,FALSE)</f>
        <v>#DIV/0!</v>
      </c>
      <c r="W181" s="295" t="e">
        <f>IF(K181="nio",0,(P181*Q181)/AA181)*VLOOKUP(C181,'2-Uren per locatie'!$B$15:$D$74,3,FALSE)</f>
        <v>#DIV/0!</v>
      </c>
      <c r="X181" s="485">
        <f>IF(K181="nio",0,IF(K181&gt;0,VLOOKUP(H181,'3-Productie normen'!A:F,VLOOKUP(K181,'3-Productie normen'!$B$29:$C$34,2,FALSE),FALSE)))</f>
        <v>0</v>
      </c>
      <c r="Y181" s="485">
        <f>VLOOKUP(H181,'3-Productie normen'!$A$10:$J$24,8,FALSE)*'3-Ruimtestaat'!X181</f>
        <v>0</v>
      </c>
      <c r="Z181" s="485">
        <f>VLOOKUP(H181,'3-Productie normen'!$A$10:$J$24,9,FALSE)*'3-Ruimtestaat'!X181</f>
        <v>0</v>
      </c>
      <c r="AA181" s="485">
        <f>VLOOKUP(H181,'3-Productie normen'!$A$10:$J$24,10,FALSE)*'3-Ruimtestaat'!X181</f>
        <v>0</v>
      </c>
      <c r="AB181" s="292" t="str">
        <f>IF(H181="",0,VLOOKUP(H181,'3-Productie normen'!$A$10:$N$23,14,FALSE))</f>
        <v>V</v>
      </c>
      <c r="AD181" s="296">
        <f t="shared" si="5"/>
        <v>22593.5</v>
      </c>
      <c r="AE181" s="78"/>
      <c r="AF181" s="300" t="s">
        <v>393</v>
      </c>
      <c r="AG181" s="297"/>
      <c r="AH181" s="297"/>
      <c r="AI181" s="297"/>
      <c r="AJ181" s="297"/>
      <c r="AK181" s="298"/>
      <c r="AL181" s="298"/>
      <c r="AM181" s="298"/>
      <c r="AN181" s="298"/>
      <c r="AO181" s="299"/>
    </row>
    <row r="182" spans="1:41" ht="15" customHeight="1">
      <c r="A182" s="254">
        <v>182</v>
      </c>
      <c r="B182" s="253">
        <v>107</v>
      </c>
      <c r="C182" s="240" t="s">
        <v>57</v>
      </c>
      <c r="D182" s="288" t="s">
        <v>50</v>
      </c>
      <c r="E182" s="289"/>
      <c r="F182" s="429" t="s">
        <v>231</v>
      </c>
      <c r="G182" s="431"/>
      <c r="H182" s="426" t="s">
        <v>153</v>
      </c>
      <c r="I182" s="429" t="s">
        <v>299</v>
      </c>
      <c r="J182" s="442">
        <f t="shared" si="4"/>
        <v>365</v>
      </c>
      <c r="K182" s="443">
        <v>255</v>
      </c>
      <c r="L182" s="443"/>
      <c r="M182" s="443">
        <v>102</v>
      </c>
      <c r="N182" s="443"/>
      <c r="O182" s="443">
        <v>8</v>
      </c>
      <c r="P182" s="443"/>
      <c r="Q182" s="427">
        <v>2.1840000000000002</v>
      </c>
      <c r="R182" s="295" t="e">
        <f>IF(K182="nio",0,(K182*Q182)/X182)*VLOOKUP(C182,'2-Uren per locatie'!$B$15:$D$74,3,FALSE)</f>
        <v>#DIV/0!</v>
      </c>
      <c r="S182" s="295" t="e">
        <f>IF(K182="nio",0,(L182*Q182)/Y182)*VLOOKUP(C182,'2-Uren per locatie'!$B$15:$D$74,3,FALSE)</f>
        <v>#DIV/0!</v>
      </c>
      <c r="T182" s="295" t="e">
        <f>IF(K182="nio",0,(M182*Q182)/Z182)*VLOOKUP(C182,'2-Uren per locatie'!$B$15:$D$74,3,FALSE)</f>
        <v>#DIV/0!</v>
      </c>
      <c r="U182" s="295" t="e">
        <f>IF(K182="nio",0,(N182*Q182)/AA182)*VLOOKUP(C182,'2-Uren per locatie'!$B$15:$D$74,3,FALSE)</f>
        <v>#DIV/0!</v>
      </c>
      <c r="V182" s="295" t="e">
        <f>IF(K182="nio",0,(O182*Q182)/Z182)*VLOOKUP(C182,'2-Uren per locatie'!$B$15:$D$74,3,FALSE)</f>
        <v>#DIV/0!</v>
      </c>
      <c r="W182" s="295" t="e">
        <f>IF(K182="nio",0,(P182*Q182)/AA182)*VLOOKUP(C182,'2-Uren per locatie'!$B$15:$D$74,3,FALSE)</f>
        <v>#DIV/0!</v>
      </c>
      <c r="X182" s="485">
        <f>IF(K182="nio",0,IF(K182&gt;0,VLOOKUP(H182,'3-Productie normen'!A:F,VLOOKUP(K182,'3-Productie normen'!$B$29:$C$34,2,FALSE),FALSE)))</f>
        <v>0</v>
      </c>
      <c r="Y182" s="485">
        <f>VLOOKUP(H182,'3-Productie normen'!$A$10:$J$24,8,FALSE)*'3-Ruimtestaat'!X182</f>
        <v>0</v>
      </c>
      <c r="Z182" s="485">
        <f>VLOOKUP(H182,'3-Productie normen'!$A$10:$J$24,9,FALSE)*'3-Ruimtestaat'!X182</f>
        <v>0</v>
      </c>
      <c r="AA182" s="485">
        <f>VLOOKUP(H182,'3-Productie normen'!$A$10:$J$24,10,FALSE)*'3-Ruimtestaat'!X182</f>
        <v>0</v>
      </c>
      <c r="AB182" s="292" t="str">
        <f>IF(H182="",0,VLOOKUP(H182,'3-Productie normen'!$A$10:$N$23,14,FALSE))</f>
        <v>S</v>
      </c>
      <c r="AD182" s="296">
        <f t="shared" si="5"/>
        <v>797.16000000000008</v>
      </c>
      <c r="AE182" s="78"/>
      <c r="AF182" s="297">
        <f>(1.4+1.2+1.4+1.2)*2.45</f>
        <v>12.739999999999998</v>
      </c>
      <c r="AG182" s="297"/>
      <c r="AH182" s="297"/>
      <c r="AI182" s="297"/>
      <c r="AJ182" s="297"/>
      <c r="AK182" s="298"/>
      <c r="AL182" s="298">
        <f>Q182</f>
        <v>2.1840000000000002</v>
      </c>
      <c r="AM182" s="298"/>
      <c r="AN182" s="298"/>
      <c r="AO182" s="299" t="s">
        <v>377</v>
      </c>
    </row>
    <row r="183" spans="1:41" ht="15" customHeight="1">
      <c r="A183" s="254">
        <v>183</v>
      </c>
      <c r="B183" s="253">
        <v>107</v>
      </c>
      <c r="C183" s="240" t="s">
        <v>57</v>
      </c>
      <c r="D183" s="288" t="s">
        <v>56</v>
      </c>
      <c r="E183" s="289"/>
      <c r="F183" s="239" t="s">
        <v>395</v>
      </c>
      <c r="G183" s="290" t="s">
        <v>396</v>
      </c>
      <c r="H183" s="291" t="s">
        <v>145</v>
      </c>
      <c r="I183" s="239" t="s">
        <v>203</v>
      </c>
      <c r="J183" s="424">
        <f t="shared" si="4"/>
        <v>365</v>
      </c>
      <c r="K183" s="425">
        <v>102</v>
      </c>
      <c r="L183" s="425">
        <v>153</v>
      </c>
      <c r="M183" s="425"/>
      <c r="N183" s="425">
        <v>102</v>
      </c>
      <c r="O183" s="425"/>
      <c r="P183" s="425">
        <v>8</v>
      </c>
      <c r="Q183" s="294">
        <v>367.11864406779659</v>
      </c>
      <c r="R183" s="295" t="e">
        <f>IF(K183="nio",0,(K183*Q183)/X183)*VLOOKUP(C183,'2-Uren per locatie'!$B$15:$D$74,3,FALSE)</f>
        <v>#DIV/0!</v>
      </c>
      <c r="S183" s="295" t="e">
        <f>IF(K183="nio",0,(L183*Q183)/Y183)*VLOOKUP(C183,'2-Uren per locatie'!$B$15:$D$74,3,FALSE)</f>
        <v>#DIV/0!</v>
      </c>
      <c r="T183" s="295" t="e">
        <f>IF(K183="nio",0,(M183*Q183)/Z183)*VLOOKUP(C183,'2-Uren per locatie'!$B$15:$D$74,3,FALSE)</f>
        <v>#DIV/0!</v>
      </c>
      <c r="U183" s="295" t="e">
        <f>IF(K183="nio",0,(N183*Q183)/AA183)*VLOOKUP(C183,'2-Uren per locatie'!$B$15:$D$74,3,FALSE)</f>
        <v>#DIV/0!</v>
      </c>
      <c r="V183" s="295" t="e">
        <f>IF(K183="nio",0,(O183*Q183)/Z183)*VLOOKUP(C183,'2-Uren per locatie'!$B$15:$D$74,3,FALSE)</f>
        <v>#DIV/0!</v>
      </c>
      <c r="W183" s="295" t="e">
        <f>IF(K183="nio",0,(P183*Q183)/AA183)*VLOOKUP(C183,'2-Uren per locatie'!$B$15:$D$74,3,FALSE)</f>
        <v>#DIV/0!</v>
      </c>
      <c r="X183" s="485">
        <f>IF(K183="nio",0,IF(K183&gt;0,VLOOKUP(H183,'3-Productie normen'!A:F,VLOOKUP(K183,'3-Productie normen'!$B$29:$C$34,2,FALSE),FALSE)))</f>
        <v>0</v>
      </c>
      <c r="Y183" s="485">
        <f>VLOOKUP(H183,'3-Productie normen'!$A$10:$J$24,8,FALSE)*'3-Ruimtestaat'!X183</f>
        <v>0</v>
      </c>
      <c r="Z183" s="485">
        <f>VLOOKUP(H183,'3-Productie normen'!$A$10:$J$24,9,FALSE)*'3-Ruimtestaat'!X183</f>
        <v>0</v>
      </c>
      <c r="AA183" s="485">
        <f>VLOOKUP(H183,'3-Productie normen'!$A$10:$J$24,10,FALSE)*'3-Ruimtestaat'!X183</f>
        <v>0</v>
      </c>
      <c r="AB183" s="292" t="str">
        <f>IF(H183="",0,VLOOKUP(H183,'3-Productie normen'!$A$10:$N$23,14,FALSE))</f>
        <v>V</v>
      </c>
      <c r="AD183" s="296">
        <f t="shared" si="5"/>
        <v>133998.30508474575</v>
      </c>
      <c r="AE183" s="78"/>
      <c r="AF183" s="297"/>
      <c r="AG183" s="297"/>
      <c r="AH183" s="297"/>
      <c r="AI183" s="297"/>
      <c r="AJ183" s="297">
        <v>721</v>
      </c>
      <c r="AK183" s="298"/>
      <c r="AL183" s="298"/>
      <c r="AM183" s="298">
        <v>198.8</v>
      </c>
      <c r="AN183" s="298"/>
      <c r="AO183" s="299" t="s">
        <v>397</v>
      </c>
    </row>
    <row r="184" spans="1:41" ht="15" customHeight="1">
      <c r="A184" s="254">
        <v>184</v>
      </c>
      <c r="B184" s="253">
        <v>107</v>
      </c>
      <c r="C184" s="240" t="s">
        <v>57</v>
      </c>
      <c r="D184" s="288" t="s">
        <v>56</v>
      </c>
      <c r="E184" s="289"/>
      <c r="F184" s="239" t="s">
        <v>398</v>
      </c>
      <c r="G184" s="290" t="s">
        <v>399</v>
      </c>
      <c r="H184" s="291" t="s">
        <v>141</v>
      </c>
      <c r="I184" s="239" t="s">
        <v>384</v>
      </c>
      <c r="J184" s="424">
        <f t="shared" si="4"/>
        <v>365</v>
      </c>
      <c r="K184" s="425">
        <v>102</v>
      </c>
      <c r="L184" s="425">
        <v>153</v>
      </c>
      <c r="M184" s="425"/>
      <c r="N184" s="425">
        <v>102</v>
      </c>
      <c r="O184" s="425"/>
      <c r="P184" s="425">
        <v>8</v>
      </c>
      <c r="Q184" s="294">
        <v>19.899999999999999</v>
      </c>
      <c r="R184" s="295" t="e">
        <f>IF(K184="nio",0,(K184*Q184)/X184)*VLOOKUP(C184,'2-Uren per locatie'!$B$15:$D$74,3,FALSE)</f>
        <v>#DIV/0!</v>
      </c>
      <c r="S184" s="295" t="e">
        <f>IF(K184="nio",0,(L184*Q184)/Y184)*VLOOKUP(C184,'2-Uren per locatie'!$B$15:$D$74,3,FALSE)</f>
        <v>#DIV/0!</v>
      </c>
      <c r="T184" s="295" t="e">
        <f>IF(K184="nio",0,(M184*Q184)/Z184)*VLOOKUP(C184,'2-Uren per locatie'!$B$15:$D$74,3,FALSE)</f>
        <v>#DIV/0!</v>
      </c>
      <c r="U184" s="295" t="e">
        <f>IF(K184="nio",0,(N184*Q184)/AA184)*VLOOKUP(C184,'2-Uren per locatie'!$B$15:$D$74,3,FALSE)</f>
        <v>#DIV/0!</v>
      </c>
      <c r="V184" s="295" t="e">
        <f>IF(K184="nio",0,(O184*Q184)/Z184)*VLOOKUP(C184,'2-Uren per locatie'!$B$15:$D$74,3,FALSE)</f>
        <v>#DIV/0!</v>
      </c>
      <c r="W184" s="295" t="e">
        <f>IF(K184="nio",0,(P184*Q184)/AA184)*VLOOKUP(C184,'2-Uren per locatie'!$B$15:$D$74,3,FALSE)</f>
        <v>#DIV/0!</v>
      </c>
      <c r="X184" s="485">
        <f>IF(K184="nio",0,IF(K184&gt;0,VLOOKUP(H184,'3-Productie normen'!A:F,VLOOKUP(K184,'3-Productie normen'!$B$29:$C$34,2,FALSE),FALSE)))</f>
        <v>0</v>
      </c>
      <c r="Y184" s="485">
        <f>VLOOKUP(H184,'3-Productie normen'!$A$10:$J$24,8,FALSE)*'3-Ruimtestaat'!X184</f>
        <v>0</v>
      </c>
      <c r="Z184" s="485">
        <f>VLOOKUP(H184,'3-Productie normen'!$A$10:$J$24,9,FALSE)*'3-Ruimtestaat'!X184</f>
        <v>0</v>
      </c>
      <c r="AA184" s="485">
        <f>VLOOKUP(H184,'3-Productie normen'!$A$10:$J$24,10,FALSE)*'3-Ruimtestaat'!X184</f>
        <v>0</v>
      </c>
      <c r="AB184" s="292" t="str">
        <f>IF(H184="",0,VLOOKUP(H184,'3-Productie normen'!$A$10:$N$23,14,FALSE))</f>
        <v>V</v>
      </c>
      <c r="AD184" s="296">
        <f t="shared" si="5"/>
        <v>7263.4999999999991</v>
      </c>
      <c r="AE184" s="78"/>
      <c r="AF184" s="297"/>
      <c r="AG184" s="297"/>
      <c r="AH184" s="297"/>
      <c r="AI184" s="297"/>
      <c r="AJ184" s="297">
        <v>27.6</v>
      </c>
      <c r="AK184" s="298"/>
      <c r="AL184" s="298"/>
      <c r="AM184" s="298">
        <f>Q184</f>
        <v>19.899999999999999</v>
      </c>
      <c r="AN184" s="298"/>
      <c r="AO184" s="299"/>
    </row>
    <row r="185" spans="1:41" ht="15" customHeight="1">
      <c r="A185" s="254">
        <v>185</v>
      </c>
      <c r="B185" s="253">
        <v>107</v>
      </c>
      <c r="C185" s="240" t="s">
        <v>57</v>
      </c>
      <c r="D185" s="288" t="s">
        <v>56</v>
      </c>
      <c r="E185" s="289"/>
      <c r="F185" s="239" t="s">
        <v>376</v>
      </c>
      <c r="G185" s="290" t="s">
        <v>400</v>
      </c>
      <c r="H185" s="291" t="s">
        <v>149</v>
      </c>
      <c r="I185" s="239" t="s">
        <v>401</v>
      </c>
      <c r="J185" s="424">
        <f t="shared" si="4"/>
        <v>365</v>
      </c>
      <c r="K185" s="425">
        <v>102</v>
      </c>
      <c r="L185" s="425">
        <v>153</v>
      </c>
      <c r="M185" s="425"/>
      <c r="N185" s="425">
        <v>102</v>
      </c>
      <c r="O185" s="425"/>
      <c r="P185" s="425">
        <v>8</v>
      </c>
      <c r="Q185" s="294">
        <v>2.8</v>
      </c>
      <c r="R185" s="295" t="e">
        <f>IF(K185="nio",0,(K185*Q185)/X185)*VLOOKUP(C185,'2-Uren per locatie'!$B$15:$D$74,3,FALSE)</f>
        <v>#DIV/0!</v>
      </c>
      <c r="S185" s="295" t="e">
        <f>IF(K185="nio",0,(L185*Q185)/Y185)*VLOOKUP(C185,'2-Uren per locatie'!$B$15:$D$74,3,FALSE)</f>
        <v>#DIV/0!</v>
      </c>
      <c r="T185" s="295" t="e">
        <f>IF(K185="nio",0,(M185*Q185)/Z185)*VLOOKUP(C185,'2-Uren per locatie'!$B$15:$D$74,3,FALSE)</f>
        <v>#DIV/0!</v>
      </c>
      <c r="U185" s="295" t="e">
        <f>IF(K185="nio",0,(N185*Q185)/AA185)*VLOOKUP(C185,'2-Uren per locatie'!$B$15:$D$74,3,FALSE)</f>
        <v>#DIV/0!</v>
      </c>
      <c r="V185" s="295" t="e">
        <f>IF(K185="nio",0,(O185*Q185)/Z185)*VLOOKUP(C185,'2-Uren per locatie'!$B$15:$D$74,3,FALSE)</f>
        <v>#DIV/0!</v>
      </c>
      <c r="W185" s="295" t="e">
        <f>IF(K185="nio",0,(P185*Q185)/AA185)*VLOOKUP(C185,'2-Uren per locatie'!$B$15:$D$74,3,FALSE)</f>
        <v>#DIV/0!</v>
      </c>
      <c r="X185" s="485">
        <f>IF(K185="nio",0,IF(K185&gt;0,VLOOKUP(H185,'3-Productie normen'!A:F,VLOOKUP(K185,'3-Productie normen'!$B$29:$C$34,2,FALSE),FALSE)))</f>
        <v>0</v>
      </c>
      <c r="Y185" s="485">
        <f>VLOOKUP(H185,'3-Productie normen'!$A$10:$J$24,8,FALSE)*'3-Ruimtestaat'!X185</f>
        <v>0</v>
      </c>
      <c r="Z185" s="485">
        <f>VLOOKUP(H185,'3-Productie normen'!$A$10:$J$24,9,FALSE)*'3-Ruimtestaat'!X185</f>
        <v>0</v>
      </c>
      <c r="AA185" s="485">
        <f>VLOOKUP(H185,'3-Productie normen'!$A$10:$J$24,10,FALSE)*'3-Ruimtestaat'!X185</f>
        <v>0</v>
      </c>
      <c r="AB185" s="292" t="str">
        <f>IF(H185="",0,VLOOKUP(H185,'3-Productie normen'!$A$10:$N$23,14,FALSE))</f>
        <v>V</v>
      </c>
      <c r="AD185" s="296">
        <f t="shared" si="5"/>
        <v>1021.9999999999999</v>
      </c>
      <c r="AE185" s="78"/>
      <c r="AF185" s="297"/>
      <c r="AG185" s="297"/>
      <c r="AH185" s="297"/>
      <c r="AI185" s="297">
        <v>11.5</v>
      </c>
      <c r="AJ185" s="297">
        <v>3.5</v>
      </c>
      <c r="AK185" s="298"/>
      <c r="AL185" s="298"/>
      <c r="AM185" s="298"/>
      <c r="AN185" s="298">
        <f>Q185</f>
        <v>2.8</v>
      </c>
      <c r="AO185" s="299" t="s">
        <v>402</v>
      </c>
    </row>
    <row r="186" spans="1:41" ht="15" customHeight="1">
      <c r="A186" s="254">
        <v>186</v>
      </c>
      <c r="B186" s="253">
        <v>107</v>
      </c>
      <c r="C186" s="240" t="s">
        <v>57</v>
      </c>
      <c r="D186" s="288" t="s">
        <v>56</v>
      </c>
      <c r="E186" s="289"/>
      <c r="F186" s="239" t="s">
        <v>376</v>
      </c>
      <c r="G186" s="290" t="s">
        <v>403</v>
      </c>
      <c r="H186" s="291" t="s">
        <v>149</v>
      </c>
      <c r="I186" s="239" t="s">
        <v>401</v>
      </c>
      <c r="J186" s="424">
        <f t="shared" si="4"/>
        <v>365</v>
      </c>
      <c r="K186" s="425">
        <v>102</v>
      </c>
      <c r="L186" s="425">
        <v>153</v>
      </c>
      <c r="M186" s="425"/>
      <c r="N186" s="425">
        <v>102</v>
      </c>
      <c r="O186" s="425"/>
      <c r="P186" s="425">
        <v>8</v>
      </c>
      <c r="Q186" s="294">
        <v>2.8</v>
      </c>
      <c r="R186" s="295" t="e">
        <f>IF(K186="nio",0,(K186*Q186)/X186)*VLOOKUP(C186,'2-Uren per locatie'!$B$15:$D$74,3,FALSE)</f>
        <v>#DIV/0!</v>
      </c>
      <c r="S186" s="295" t="e">
        <f>IF(K186="nio",0,(L186*Q186)/Y186)*VLOOKUP(C186,'2-Uren per locatie'!$B$15:$D$74,3,FALSE)</f>
        <v>#DIV/0!</v>
      </c>
      <c r="T186" s="295" t="e">
        <f>IF(K186="nio",0,(M186*Q186)/Z186)*VLOOKUP(C186,'2-Uren per locatie'!$B$15:$D$74,3,FALSE)</f>
        <v>#DIV/0!</v>
      </c>
      <c r="U186" s="295" t="e">
        <f>IF(K186="nio",0,(N186*Q186)/AA186)*VLOOKUP(C186,'2-Uren per locatie'!$B$15:$D$74,3,FALSE)</f>
        <v>#DIV/0!</v>
      </c>
      <c r="V186" s="295" t="e">
        <f>IF(K186="nio",0,(O186*Q186)/Z186)*VLOOKUP(C186,'2-Uren per locatie'!$B$15:$D$74,3,FALSE)</f>
        <v>#DIV/0!</v>
      </c>
      <c r="W186" s="295" t="e">
        <f>IF(K186="nio",0,(P186*Q186)/AA186)*VLOOKUP(C186,'2-Uren per locatie'!$B$15:$D$74,3,FALSE)</f>
        <v>#DIV/0!</v>
      </c>
      <c r="X186" s="485">
        <f>IF(K186="nio",0,IF(K186&gt;0,VLOOKUP(H186,'3-Productie normen'!A:F,VLOOKUP(K186,'3-Productie normen'!$B$29:$C$34,2,FALSE),FALSE)))</f>
        <v>0</v>
      </c>
      <c r="Y186" s="485">
        <f>VLOOKUP(H186,'3-Productie normen'!$A$10:$J$24,8,FALSE)*'3-Ruimtestaat'!X186</f>
        <v>0</v>
      </c>
      <c r="Z186" s="485">
        <f>VLOOKUP(H186,'3-Productie normen'!$A$10:$J$24,9,FALSE)*'3-Ruimtestaat'!X186</f>
        <v>0</v>
      </c>
      <c r="AA186" s="485">
        <f>VLOOKUP(H186,'3-Productie normen'!$A$10:$J$24,10,FALSE)*'3-Ruimtestaat'!X186</f>
        <v>0</v>
      </c>
      <c r="AB186" s="292" t="str">
        <f>IF(H186="",0,VLOOKUP(H186,'3-Productie normen'!$A$10:$N$23,14,FALSE))</f>
        <v>V</v>
      </c>
      <c r="AD186" s="296">
        <f t="shared" si="5"/>
        <v>1021.9999999999999</v>
      </c>
      <c r="AE186" s="78"/>
      <c r="AF186" s="297"/>
      <c r="AG186" s="297"/>
      <c r="AH186" s="297"/>
      <c r="AI186" s="297">
        <v>11.5</v>
      </c>
      <c r="AJ186" s="297">
        <v>3.5</v>
      </c>
      <c r="AK186" s="298"/>
      <c r="AL186" s="298"/>
      <c r="AM186" s="298"/>
      <c r="AN186" s="298">
        <f>Q186</f>
        <v>2.8</v>
      </c>
      <c r="AO186" s="299" t="s">
        <v>402</v>
      </c>
    </row>
    <row r="187" spans="1:41" ht="15" customHeight="1">
      <c r="A187" s="254">
        <v>187</v>
      </c>
      <c r="B187" s="253">
        <v>107</v>
      </c>
      <c r="C187" s="240" t="s">
        <v>57</v>
      </c>
      <c r="D187" s="288" t="s">
        <v>56</v>
      </c>
      <c r="E187" s="289"/>
      <c r="F187" s="239" t="s">
        <v>231</v>
      </c>
      <c r="G187" s="290" t="s">
        <v>404</v>
      </c>
      <c r="H187" s="291" t="s">
        <v>153</v>
      </c>
      <c r="I187" s="239" t="s">
        <v>392</v>
      </c>
      <c r="J187" s="424">
        <f t="shared" si="4"/>
        <v>365</v>
      </c>
      <c r="K187" s="425">
        <v>255</v>
      </c>
      <c r="L187" s="425"/>
      <c r="M187" s="425">
        <v>102</v>
      </c>
      <c r="N187" s="425"/>
      <c r="O187" s="425">
        <v>8</v>
      </c>
      <c r="P187" s="425"/>
      <c r="Q187" s="294">
        <v>3</v>
      </c>
      <c r="R187" s="295" t="e">
        <f>IF(K187="nio",0,(K187*Q187)/X187)*VLOOKUP(C187,'2-Uren per locatie'!$B$15:$D$74,3,FALSE)</f>
        <v>#DIV/0!</v>
      </c>
      <c r="S187" s="295" t="e">
        <f>IF(K187="nio",0,(L187*Q187)/Y187)*VLOOKUP(C187,'2-Uren per locatie'!$B$15:$D$74,3,FALSE)</f>
        <v>#DIV/0!</v>
      </c>
      <c r="T187" s="295" t="e">
        <f>IF(K187="nio",0,(M187*Q187)/Z187)*VLOOKUP(C187,'2-Uren per locatie'!$B$15:$D$74,3,FALSE)</f>
        <v>#DIV/0!</v>
      </c>
      <c r="U187" s="295" t="e">
        <f>IF(K187="nio",0,(N187*Q187)/AA187)*VLOOKUP(C187,'2-Uren per locatie'!$B$15:$D$74,3,FALSE)</f>
        <v>#DIV/0!</v>
      </c>
      <c r="V187" s="295" t="e">
        <f>IF(K187="nio",0,(O187*Q187)/Z187)*VLOOKUP(C187,'2-Uren per locatie'!$B$15:$D$74,3,FALSE)</f>
        <v>#DIV/0!</v>
      </c>
      <c r="W187" s="295" t="e">
        <f>IF(K187="nio",0,(P187*Q187)/AA187)*VLOOKUP(C187,'2-Uren per locatie'!$B$15:$D$74,3,FALSE)</f>
        <v>#DIV/0!</v>
      </c>
      <c r="X187" s="485">
        <f>IF(K187="nio",0,IF(K187&gt;0,VLOOKUP(H187,'3-Productie normen'!A:F,VLOOKUP(K187,'3-Productie normen'!$B$29:$C$34,2,FALSE),FALSE)))</f>
        <v>0</v>
      </c>
      <c r="Y187" s="485">
        <f>VLOOKUP(H187,'3-Productie normen'!$A$10:$J$24,8,FALSE)*'3-Ruimtestaat'!X187</f>
        <v>0</v>
      </c>
      <c r="Z187" s="485">
        <f>VLOOKUP(H187,'3-Productie normen'!$A$10:$J$24,9,FALSE)*'3-Ruimtestaat'!X187</f>
        <v>0</v>
      </c>
      <c r="AA187" s="485">
        <f>VLOOKUP(H187,'3-Productie normen'!$A$10:$J$24,10,FALSE)*'3-Ruimtestaat'!X187</f>
        <v>0</v>
      </c>
      <c r="AB187" s="292" t="str">
        <f>IF(H187="",0,VLOOKUP(H187,'3-Productie normen'!$A$10:$N$23,14,FALSE))</f>
        <v>S</v>
      </c>
      <c r="AD187" s="296">
        <f t="shared" si="5"/>
        <v>1095</v>
      </c>
      <c r="AE187" s="78"/>
      <c r="AF187" s="297">
        <v>9.4</v>
      </c>
      <c r="AG187" s="297"/>
      <c r="AH187" s="297"/>
      <c r="AI187" s="297"/>
      <c r="AJ187" s="297">
        <v>14.8</v>
      </c>
      <c r="AK187" s="298"/>
      <c r="AL187" s="298"/>
      <c r="AM187" s="298">
        <f>Q187</f>
        <v>3</v>
      </c>
      <c r="AN187" s="298"/>
      <c r="AO187" s="299" t="s">
        <v>405</v>
      </c>
    </row>
    <row r="188" spans="1:41" ht="15" customHeight="1">
      <c r="A188" s="254">
        <v>188</v>
      </c>
      <c r="B188" s="253">
        <v>108</v>
      </c>
      <c r="C188" s="240" t="s">
        <v>58</v>
      </c>
      <c r="D188" s="288" t="s">
        <v>56</v>
      </c>
      <c r="E188" s="289"/>
      <c r="F188" s="239" t="s">
        <v>406</v>
      </c>
      <c r="G188" s="290" t="s">
        <v>407</v>
      </c>
      <c r="H188" s="291" t="s">
        <v>151</v>
      </c>
      <c r="I188" s="239" t="s">
        <v>384</v>
      </c>
      <c r="J188" s="424">
        <f t="shared" si="4"/>
        <v>365</v>
      </c>
      <c r="K188" s="425">
        <v>102</v>
      </c>
      <c r="L188" s="425">
        <v>153</v>
      </c>
      <c r="M188" s="425"/>
      <c r="N188" s="425">
        <v>102</v>
      </c>
      <c r="O188" s="425"/>
      <c r="P188" s="425">
        <v>8</v>
      </c>
      <c r="Q188" s="294">
        <v>1452.88</v>
      </c>
      <c r="R188" s="295" t="e">
        <f>IF(K188="nio",0,(K188*Q188)/X188)*VLOOKUP(C188,'2-Uren per locatie'!$B$15:$D$74,3,FALSE)</f>
        <v>#DIV/0!</v>
      </c>
      <c r="S188" s="295" t="e">
        <f>IF(K188="nio",0,(L188*Q188)/Y188)*VLOOKUP(C188,'2-Uren per locatie'!$B$15:$D$74,3,FALSE)</f>
        <v>#DIV/0!</v>
      </c>
      <c r="T188" s="295" t="e">
        <f>IF(K188="nio",0,(M188*Q188)/Z188)*VLOOKUP(C188,'2-Uren per locatie'!$B$15:$D$74,3,FALSE)</f>
        <v>#DIV/0!</v>
      </c>
      <c r="U188" s="295" t="e">
        <f>IF(K188="nio",0,(N188*Q188)/AA188)*VLOOKUP(C188,'2-Uren per locatie'!$B$15:$D$74,3,FALSE)</f>
        <v>#DIV/0!</v>
      </c>
      <c r="V188" s="295" t="e">
        <f>IF(K188="nio",0,(O188*Q188)/Z188)*VLOOKUP(C188,'2-Uren per locatie'!$B$15:$D$74,3,FALSE)</f>
        <v>#DIV/0!</v>
      </c>
      <c r="W188" s="295" t="e">
        <f>IF(K188="nio",0,(P188*Q188)/AA188)*VLOOKUP(C188,'2-Uren per locatie'!$B$15:$D$74,3,FALSE)</f>
        <v>#DIV/0!</v>
      </c>
      <c r="X188" s="485">
        <f>IF(K188="nio",0,IF(K188&gt;0,VLOOKUP(H188,'3-Productie normen'!A:F,VLOOKUP(K188,'3-Productie normen'!$B$29:$C$34,2,FALSE),FALSE)))</f>
        <v>0</v>
      </c>
      <c r="Y188" s="485">
        <f>VLOOKUP(H188,'3-Productie normen'!$A$10:$J$24,8,FALSE)*'3-Ruimtestaat'!X188</f>
        <v>0</v>
      </c>
      <c r="Z188" s="485">
        <f>VLOOKUP(H188,'3-Productie normen'!$A$10:$J$24,9,FALSE)*'3-Ruimtestaat'!X188</f>
        <v>0</v>
      </c>
      <c r="AA188" s="485">
        <f>VLOOKUP(H188,'3-Productie normen'!$A$10:$J$24,10,FALSE)*'3-Ruimtestaat'!X188</f>
        <v>0</v>
      </c>
      <c r="AB188" s="292" t="str">
        <f>IF(H188="",0,VLOOKUP(H188,'3-Productie normen'!$A$10:$N$23,14,FALSE))</f>
        <v>V</v>
      </c>
      <c r="AD188" s="296">
        <f t="shared" si="5"/>
        <v>530301.20000000007</v>
      </c>
      <c r="AE188" s="78"/>
      <c r="AF188" s="297"/>
      <c r="AG188" s="297"/>
      <c r="AH188" s="297"/>
      <c r="AI188" s="297"/>
      <c r="AJ188" s="297"/>
      <c r="AK188" s="298">
        <f>49.49*10.2</f>
        <v>504.798</v>
      </c>
      <c r="AL188" s="298"/>
      <c r="AM188" s="298"/>
      <c r="AN188" s="298"/>
      <c r="AO188" s="299"/>
    </row>
    <row r="189" spans="1:41" ht="15" customHeight="1">
      <c r="A189" s="254">
        <v>189</v>
      </c>
      <c r="B189" s="253">
        <v>108</v>
      </c>
      <c r="C189" s="240" t="s">
        <v>58</v>
      </c>
      <c r="D189" s="288" t="s">
        <v>56</v>
      </c>
      <c r="E189" s="289"/>
      <c r="F189" s="239" t="s">
        <v>408</v>
      </c>
      <c r="G189" s="290" t="s">
        <v>409</v>
      </c>
      <c r="H189" s="291" t="s">
        <v>151</v>
      </c>
      <c r="I189" s="239" t="s">
        <v>384</v>
      </c>
      <c r="J189" s="424">
        <f t="shared" si="4"/>
        <v>365</v>
      </c>
      <c r="K189" s="425">
        <v>102</v>
      </c>
      <c r="L189" s="425">
        <v>153</v>
      </c>
      <c r="M189" s="425"/>
      <c r="N189" s="425">
        <v>102</v>
      </c>
      <c r="O189" s="425"/>
      <c r="P189" s="425">
        <v>8</v>
      </c>
      <c r="Q189" s="294">
        <v>1460.63</v>
      </c>
      <c r="R189" s="295" t="e">
        <f>IF(K189="nio",0,(K189*Q189)/X189)*VLOOKUP(C189,'2-Uren per locatie'!$B$15:$D$74,3,FALSE)</f>
        <v>#DIV/0!</v>
      </c>
      <c r="S189" s="295" t="e">
        <f>IF(K189="nio",0,(L189*Q189)/Y189)*VLOOKUP(C189,'2-Uren per locatie'!$B$15:$D$74,3,FALSE)</f>
        <v>#DIV/0!</v>
      </c>
      <c r="T189" s="295" t="e">
        <f>IF(K189="nio",0,(M189*Q189)/Z189)*VLOOKUP(C189,'2-Uren per locatie'!$B$15:$D$74,3,FALSE)</f>
        <v>#DIV/0!</v>
      </c>
      <c r="U189" s="295" t="e">
        <f>IF(K189="nio",0,(N189*Q189)/AA189)*VLOOKUP(C189,'2-Uren per locatie'!$B$15:$D$74,3,FALSE)</f>
        <v>#DIV/0!</v>
      </c>
      <c r="V189" s="295" t="e">
        <f>IF(K189="nio",0,(O189*Q189)/Z189)*VLOOKUP(C189,'2-Uren per locatie'!$B$15:$D$74,3,FALSE)</f>
        <v>#DIV/0!</v>
      </c>
      <c r="W189" s="295" t="e">
        <f>IF(K189="nio",0,(P189*Q189)/AA189)*VLOOKUP(C189,'2-Uren per locatie'!$B$15:$D$74,3,FALSE)</f>
        <v>#DIV/0!</v>
      </c>
      <c r="X189" s="485">
        <f>IF(K189="nio",0,IF(K189&gt;0,VLOOKUP(H189,'3-Productie normen'!A:F,VLOOKUP(K189,'3-Productie normen'!$B$29:$C$34,2,FALSE),FALSE)))</f>
        <v>0</v>
      </c>
      <c r="Y189" s="485">
        <f>VLOOKUP(H189,'3-Productie normen'!$A$10:$J$24,8,FALSE)*'3-Ruimtestaat'!X189</f>
        <v>0</v>
      </c>
      <c r="Z189" s="485">
        <f>VLOOKUP(H189,'3-Productie normen'!$A$10:$J$24,9,FALSE)*'3-Ruimtestaat'!X189</f>
        <v>0</v>
      </c>
      <c r="AA189" s="485">
        <f>VLOOKUP(H189,'3-Productie normen'!$A$10:$J$24,10,FALSE)*'3-Ruimtestaat'!X189</f>
        <v>0</v>
      </c>
      <c r="AB189" s="292" t="str">
        <f>IF(H189="",0,VLOOKUP(H189,'3-Productie normen'!$A$10:$N$23,14,FALSE))</f>
        <v>V</v>
      </c>
      <c r="AD189" s="296">
        <f t="shared" si="5"/>
        <v>533129.95000000007</v>
      </c>
      <c r="AE189" s="78"/>
      <c r="AF189" s="297"/>
      <c r="AG189" s="297"/>
      <c r="AH189" s="297"/>
      <c r="AI189" s="297"/>
      <c r="AJ189" s="297"/>
      <c r="AK189" s="298">
        <f>49.49*10.2</f>
        <v>504.798</v>
      </c>
      <c r="AL189" s="298"/>
      <c r="AM189" s="298"/>
      <c r="AN189" s="298"/>
      <c r="AO189" s="299"/>
    </row>
    <row r="190" spans="1:41" ht="15" customHeight="1">
      <c r="A190" s="254">
        <v>190</v>
      </c>
      <c r="B190" s="253">
        <v>108</v>
      </c>
      <c r="C190" s="240" t="s">
        <v>58</v>
      </c>
      <c r="D190" s="288" t="s">
        <v>56</v>
      </c>
      <c r="E190" s="289"/>
      <c r="F190" s="239" t="s">
        <v>410</v>
      </c>
      <c r="G190" s="290" t="s">
        <v>411</v>
      </c>
      <c r="H190" s="291" t="s">
        <v>155</v>
      </c>
      <c r="I190" s="239" t="s">
        <v>392</v>
      </c>
      <c r="J190" s="424">
        <f t="shared" si="4"/>
        <v>365</v>
      </c>
      <c r="K190" s="425">
        <v>102</v>
      </c>
      <c r="L190" s="425">
        <v>153</v>
      </c>
      <c r="M190" s="425"/>
      <c r="N190" s="425">
        <v>102</v>
      </c>
      <c r="O190" s="425"/>
      <c r="P190" s="425">
        <v>8</v>
      </c>
      <c r="Q190" s="294">
        <v>45.6</v>
      </c>
      <c r="R190" s="295" t="e">
        <f>IF(K190="nio",0,(K190*Q190)/X190)*VLOOKUP(C190,'2-Uren per locatie'!$B$15:$D$74,3,FALSE)</f>
        <v>#DIV/0!</v>
      </c>
      <c r="S190" s="295" t="e">
        <f>IF(K190="nio",0,(L190*Q190)/Y190)*VLOOKUP(C190,'2-Uren per locatie'!$B$15:$D$74,3,FALSE)</f>
        <v>#DIV/0!</v>
      </c>
      <c r="T190" s="295" t="e">
        <f>IF(K190="nio",0,(M190*Q190)/Z190)*VLOOKUP(C190,'2-Uren per locatie'!$B$15:$D$74,3,FALSE)</f>
        <v>#DIV/0!</v>
      </c>
      <c r="U190" s="295" t="e">
        <f>IF(K190="nio",0,(N190*Q190)/AA190)*VLOOKUP(C190,'2-Uren per locatie'!$B$15:$D$74,3,FALSE)</f>
        <v>#DIV/0!</v>
      </c>
      <c r="V190" s="295" t="e">
        <f>IF(K190="nio",0,(O190*Q190)/Z190)*VLOOKUP(C190,'2-Uren per locatie'!$B$15:$D$74,3,FALSE)</f>
        <v>#DIV/0!</v>
      </c>
      <c r="W190" s="295" t="e">
        <f>IF(K190="nio",0,(P190*Q190)/AA190)*VLOOKUP(C190,'2-Uren per locatie'!$B$15:$D$74,3,FALSE)</f>
        <v>#DIV/0!</v>
      </c>
      <c r="X190" s="485">
        <f>IF(K190="nio",0,IF(K190&gt;0,VLOOKUP(H190,'3-Productie normen'!A:F,VLOOKUP(K190,'3-Productie normen'!$B$29:$C$34,2,FALSE),FALSE)))</f>
        <v>0</v>
      </c>
      <c r="Y190" s="485">
        <f>VLOOKUP(H190,'3-Productie normen'!$A$10:$J$24,8,FALSE)*'3-Ruimtestaat'!X190</f>
        <v>0</v>
      </c>
      <c r="Z190" s="485">
        <f>VLOOKUP(H190,'3-Productie normen'!$A$10:$J$24,9,FALSE)*'3-Ruimtestaat'!X190</f>
        <v>0</v>
      </c>
      <c r="AA190" s="485">
        <f>VLOOKUP(H190,'3-Productie normen'!$A$10:$J$24,10,FALSE)*'3-Ruimtestaat'!X190</f>
        <v>0</v>
      </c>
      <c r="AB190" s="292" t="str">
        <f>IF(H190="",0,VLOOKUP(H190,'3-Productie normen'!$A$10:$N$23,14,FALSE))</f>
        <v>V</v>
      </c>
      <c r="AD190" s="296">
        <f t="shared" si="5"/>
        <v>16644</v>
      </c>
      <c r="AE190" s="78"/>
      <c r="AF190" s="297"/>
      <c r="AG190" s="297"/>
      <c r="AH190" s="297"/>
      <c r="AI190" s="297"/>
      <c r="AJ190" s="297"/>
      <c r="AK190" s="298"/>
      <c r="AL190" s="298"/>
      <c r="AM190" s="298"/>
      <c r="AN190" s="298"/>
      <c r="AO190" s="299"/>
    </row>
    <row r="191" spans="1:41" ht="15" customHeight="1">
      <c r="A191" s="254">
        <v>191</v>
      </c>
      <c r="B191" s="253">
        <v>108</v>
      </c>
      <c r="C191" s="240" t="s">
        <v>58</v>
      </c>
      <c r="D191" s="288" t="s">
        <v>56</v>
      </c>
      <c r="E191" s="289"/>
      <c r="F191" s="239" t="s">
        <v>412</v>
      </c>
      <c r="G191" s="290" t="s">
        <v>413</v>
      </c>
      <c r="H191" s="291" t="s">
        <v>155</v>
      </c>
      <c r="I191" s="239" t="s">
        <v>392</v>
      </c>
      <c r="J191" s="424">
        <f t="shared" si="4"/>
        <v>365</v>
      </c>
      <c r="K191" s="425">
        <v>102</v>
      </c>
      <c r="L191" s="425">
        <v>153</v>
      </c>
      <c r="M191" s="425"/>
      <c r="N191" s="425">
        <v>102</v>
      </c>
      <c r="O191" s="425"/>
      <c r="P191" s="425">
        <v>8</v>
      </c>
      <c r="Q191" s="294">
        <v>45.6</v>
      </c>
      <c r="R191" s="295" t="e">
        <f>IF(K191="nio",0,(K191*Q191)/X191)*VLOOKUP(C191,'2-Uren per locatie'!$B$15:$D$74,3,FALSE)</f>
        <v>#DIV/0!</v>
      </c>
      <c r="S191" s="295" t="e">
        <f>IF(K191="nio",0,(L191*Q191)/Y191)*VLOOKUP(C191,'2-Uren per locatie'!$B$15:$D$74,3,FALSE)</f>
        <v>#DIV/0!</v>
      </c>
      <c r="T191" s="295" t="e">
        <f>IF(K191="nio",0,(M191*Q191)/Z191)*VLOOKUP(C191,'2-Uren per locatie'!$B$15:$D$74,3,FALSE)</f>
        <v>#DIV/0!</v>
      </c>
      <c r="U191" s="295" t="e">
        <f>IF(K191="nio",0,(N191*Q191)/AA191)*VLOOKUP(C191,'2-Uren per locatie'!$B$15:$D$74,3,FALSE)</f>
        <v>#DIV/0!</v>
      </c>
      <c r="V191" s="295" t="e">
        <f>IF(K191="nio",0,(O191*Q191)/Z191)*VLOOKUP(C191,'2-Uren per locatie'!$B$15:$D$74,3,FALSE)</f>
        <v>#DIV/0!</v>
      </c>
      <c r="W191" s="295" t="e">
        <f>IF(K191="nio",0,(P191*Q191)/AA191)*VLOOKUP(C191,'2-Uren per locatie'!$B$15:$D$74,3,FALSE)</f>
        <v>#DIV/0!</v>
      </c>
      <c r="X191" s="485">
        <f>IF(K191="nio",0,IF(K191&gt;0,VLOOKUP(H191,'3-Productie normen'!A:F,VLOOKUP(K191,'3-Productie normen'!$B$29:$C$34,2,FALSE),FALSE)))</f>
        <v>0</v>
      </c>
      <c r="Y191" s="485">
        <f>VLOOKUP(H191,'3-Productie normen'!$A$10:$J$24,8,FALSE)*'3-Ruimtestaat'!X191</f>
        <v>0</v>
      </c>
      <c r="Z191" s="485">
        <f>VLOOKUP(H191,'3-Productie normen'!$A$10:$J$24,9,FALSE)*'3-Ruimtestaat'!X191</f>
        <v>0</v>
      </c>
      <c r="AA191" s="485">
        <f>VLOOKUP(H191,'3-Productie normen'!$A$10:$J$24,10,FALSE)*'3-Ruimtestaat'!X191</f>
        <v>0</v>
      </c>
      <c r="AB191" s="292" t="str">
        <f>IF(H191="",0,VLOOKUP(H191,'3-Productie normen'!$A$10:$N$23,14,FALSE))</f>
        <v>V</v>
      </c>
      <c r="AD191" s="296">
        <f t="shared" si="5"/>
        <v>16644</v>
      </c>
      <c r="AE191" s="78"/>
      <c r="AF191" s="297"/>
      <c r="AG191" s="297"/>
      <c r="AH191" s="297"/>
      <c r="AI191" s="297"/>
      <c r="AJ191" s="297"/>
      <c r="AK191" s="298"/>
      <c r="AL191" s="298"/>
      <c r="AM191" s="298"/>
      <c r="AN191" s="298"/>
      <c r="AO191" s="299"/>
    </row>
    <row r="192" spans="1:41" ht="15" customHeight="1">
      <c r="A192" s="254">
        <v>192</v>
      </c>
      <c r="B192" s="253">
        <v>108</v>
      </c>
      <c r="C192" s="240" t="s">
        <v>58</v>
      </c>
      <c r="D192" s="288" t="s">
        <v>56</v>
      </c>
      <c r="E192" s="289"/>
      <c r="F192" s="239" t="s">
        <v>387</v>
      </c>
      <c r="G192" s="290" t="s">
        <v>414</v>
      </c>
      <c r="H192" s="291" t="s">
        <v>152</v>
      </c>
      <c r="I192" s="239" t="s">
        <v>265</v>
      </c>
      <c r="J192" s="424">
        <f t="shared" si="4"/>
        <v>365</v>
      </c>
      <c r="K192" s="425">
        <v>102</v>
      </c>
      <c r="L192" s="425">
        <v>153</v>
      </c>
      <c r="M192" s="425"/>
      <c r="N192" s="425">
        <v>102</v>
      </c>
      <c r="O192" s="425"/>
      <c r="P192" s="425">
        <v>8</v>
      </c>
      <c r="Q192" s="294">
        <v>27.6</v>
      </c>
      <c r="R192" s="295" t="e">
        <f>IF(K192="nio",0,(K192*Q192)/X192)*VLOOKUP(C192,'2-Uren per locatie'!$B$15:$D$74,3,FALSE)</f>
        <v>#DIV/0!</v>
      </c>
      <c r="S192" s="295" t="e">
        <f>IF(K192="nio",0,(L192*Q192)/Y192)*VLOOKUP(C192,'2-Uren per locatie'!$B$15:$D$74,3,FALSE)</f>
        <v>#DIV/0!</v>
      </c>
      <c r="T192" s="295" t="e">
        <f>IF(K192="nio",0,(M192*Q192)/Z192)*VLOOKUP(C192,'2-Uren per locatie'!$B$15:$D$74,3,FALSE)</f>
        <v>#DIV/0!</v>
      </c>
      <c r="U192" s="295" t="e">
        <f>IF(K192="nio",0,(N192*Q192)/AA192)*VLOOKUP(C192,'2-Uren per locatie'!$B$15:$D$74,3,FALSE)</f>
        <v>#DIV/0!</v>
      </c>
      <c r="V192" s="295" t="e">
        <f>IF(K192="nio",0,(O192*Q192)/Z192)*VLOOKUP(C192,'2-Uren per locatie'!$B$15:$D$74,3,FALSE)</f>
        <v>#DIV/0!</v>
      </c>
      <c r="W192" s="295" t="e">
        <f>IF(K192="nio",0,(P192*Q192)/AA192)*VLOOKUP(C192,'2-Uren per locatie'!$B$15:$D$74,3,FALSE)</f>
        <v>#DIV/0!</v>
      </c>
      <c r="X192" s="485">
        <f>IF(K192="nio",0,IF(K192&gt;0,VLOOKUP(H192,'3-Productie normen'!A:F,VLOOKUP(K192,'3-Productie normen'!$B$29:$C$34,2,FALSE),FALSE)))</f>
        <v>0</v>
      </c>
      <c r="Y192" s="485">
        <f>VLOOKUP(H192,'3-Productie normen'!$A$10:$J$24,8,FALSE)*'3-Ruimtestaat'!X192</f>
        <v>0</v>
      </c>
      <c r="Z192" s="485">
        <f>VLOOKUP(H192,'3-Productie normen'!$A$10:$J$24,9,FALSE)*'3-Ruimtestaat'!X192</f>
        <v>0</v>
      </c>
      <c r="AA192" s="485">
        <f>VLOOKUP(H192,'3-Productie normen'!$A$10:$J$24,10,FALSE)*'3-Ruimtestaat'!X192</f>
        <v>0</v>
      </c>
      <c r="AB192" s="292" t="str">
        <f>IF(H192="",0,VLOOKUP(H192,'3-Productie normen'!$A$10:$N$23,14,FALSE))</f>
        <v>V</v>
      </c>
      <c r="AD192" s="296">
        <f t="shared" si="5"/>
        <v>10074</v>
      </c>
      <c r="AE192" s="78"/>
      <c r="AF192" s="297"/>
      <c r="AG192" s="297"/>
      <c r="AH192" s="297"/>
      <c r="AI192" s="297"/>
      <c r="AJ192" s="297"/>
      <c r="AK192" s="298"/>
      <c r="AL192" s="298"/>
      <c r="AM192" s="298"/>
      <c r="AN192" s="298"/>
      <c r="AO192" s="299"/>
    </row>
    <row r="193" spans="1:41" ht="15" customHeight="1">
      <c r="A193" s="254">
        <v>193</v>
      </c>
      <c r="B193" s="253">
        <v>108</v>
      </c>
      <c r="C193" s="240" t="s">
        <v>58</v>
      </c>
      <c r="D193" s="288" t="s">
        <v>56</v>
      </c>
      <c r="E193" s="289"/>
      <c r="F193" s="239" t="s">
        <v>389</v>
      </c>
      <c r="G193" s="290" t="s">
        <v>415</v>
      </c>
      <c r="H193" s="291" t="s">
        <v>152</v>
      </c>
      <c r="I193" s="239" t="s">
        <v>265</v>
      </c>
      <c r="J193" s="424">
        <f t="shared" si="4"/>
        <v>365</v>
      </c>
      <c r="K193" s="425">
        <v>102</v>
      </c>
      <c r="L193" s="425">
        <v>153</v>
      </c>
      <c r="M193" s="425"/>
      <c r="N193" s="425">
        <v>102</v>
      </c>
      <c r="O193" s="425"/>
      <c r="P193" s="425">
        <v>8</v>
      </c>
      <c r="Q193" s="294">
        <v>27.68</v>
      </c>
      <c r="R193" s="295" t="e">
        <f>IF(K193="nio",0,(K193*Q193)/X193)*VLOOKUP(C193,'2-Uren per locatie'!$B$15:$D$74,3,FALSE)</f>
        <v>#DIV/0!</v>
      </c>
      <c r="S193" s="295" t="e">
        <f>IF(K193="nio",0,(L193*Q193)/Y193)*VLOOKUP(C193,'2-Uren per locatie'!$B$15:$D$74,3,FALSE)</f>
        <v>#DIV/0!</v>
      </c>
      <c r="T193" s="295" t="e">
        <f>IF(K193="nio",0,(M193*Q193)/Z193)*VLOOKUP(C193,'2-Uren per locatie'!$B$15:$D$74,3,FALSE)</f>
        <v>#DIV/0!</v>
      </c>
      <c r="U193" s="295" t="e">
        <f>IF(K193="nio",0,(N193*Q193)/AA193)*VLOOKUP(C193,'2-Uren per locatie'!$B$15:$D$74,3,FALSE)</f>
        <v>#DIV/0!</v>
      </c>
      <c r="V193" s="295" t="e">
        <f>IF(K193="nio",0,(O193*Q193)/Z193)*VLOOKUP(C193,'2-Uren per locatie'!$B$15:$D$74,3,FALSE)</f>
        <v>#DIV/0!</v>
      </c>
      <c r="W193" s="295" t="e">
        <f>IF(K193="nio",0,(P193*Q193)/AA193)*VLOOKUP(C193,'2-Uren per locatie'!$B$15:$D$74,3,FALSE)</f>
        <v>#DIV/0!</v>
      </c>
      <c r="X193" s="485">
        <f>IF(K193="nio",0,IF(K193&gt;0,VLOOKUP(H193,'3-Productie normen'!A:F,VLOOKUP(K193,'3-Productie normen'!$B$29:$C$34,2,FALSE),FALSE)))</f>
        <v>0</v>
      </c>
      <c r="Y193" s="485">
        <f>VLOOKUP(H193,'3-Productie normen'!$A$10:$J$24,8,FALSE)*'3-Ruimtestaat'!X193</f>
        <v>0</v>
      </c>
      <c r="Z193" s="485">
        <f>VLOOKUP(H193,'3-Productie normen'!$A$10:$J$24,9,FALSE)*'3-Ruimtestaat'!X193</f>
        <v>0</v>
      </c>
      <c r="AA193" s="485">
        <f>VLOOKUP(H193,'3-Productie normen'!$A$10:$J$24,10,FALSE)*'3-Ruimtestaat'!X193</f>
        <v>0</v>
      </c>
      <c r="AB193" s="292" t="str">
        <f>IF(H193="",0,VLOOKUP(H193,'3-Productie normen'!$A$10:$N$23,14,FALSE))</f>
        <v>V</v>
      </c>
      <c r="AD193" s="296">
        <f t="shared" si="5"/>
        <v>10103.200000000001</v>
      </c>
      <c r="AE193" s="78"/>
      <c r="AF193" s="297"/>
      <c r="AG193" s="297"/>
      <c r="AH193" s="297"/>
      <c r="AI193" s="297"/>
      <c r="AJ193" s="297"/>
      <c r="AK193" s="298"/>
      <c r="AL193" s="298"/>
      <c r="AM193" s="298"/>
      <c r="AN193" s="298"/>
      <c r="AO193" s="299"/>
    </row>
    <row r="194" spans="1:41" ht="15" customHeight="1">
      <c r="A194" s="254">
        <v>194</v>
      </c>
      <c r="B194" s="253">
        <v>108</v>
      </c>
      <c r="C194" s="240" t="s">
        <v>58</v>
      </c>
      <c r="D194" s="288" t="s">
        <v>56</v>
      </c>
      <c r="E194" s="289"/>
      <c r="F194" s="239" t="s">
        <v>395</v>
      </c>
      <c r="G194" s="290" t="s">
        <v>416</v>
      </c>
      <c r="H194" s="291" t="s">
        <v>145</v>
      </c>
      <c r="I194" s="239" t="s">
        <v>203</v>
      </c>
      <c r="J194" s="424">
        <f t="shared" si="4"/>
        <v>365</v>
      </c>
      <c r="K194" s="425">
        <v>102</v>
      </c>
      <c r="L194" s="425">
        <v>153</v>
      </c>
      <c r="M194" s="425"/>
      <c r="N194" s="425">
        <v>102</v>
      </c>
      <c r="O194" s="425"/>
      <c r="P194" s="425">
        <v>8</v>
      </c>
      <c r="Q194" s="294">
        <v>338.83</v>
      </c>
      <c r="R194" s="295" t="e">
        <f>IF(K194="nio",0,(K194*Q194)/X194)*VLOOKUP(C194,'2-Uren per locatie'!$B$15:$D$74,3,FALSE)</f>
        <v>#DIV/0!</v>
      </c>
      <c r="S194" s="295" t="e">
        <f>IF(K194="nio",0,(L194*Q194)/Y194)*VLOOKUP(C194,'2-Uren per locatie'!$B$15:$D$74,3,FALSE)</f>
        <v>#DIV/0!</v>
      </c>
      <c r="T194" s="295" t="e">
        <f>IF(K194="nio",0,(M194*Q194)/Z194)*VLOOKUP(C194,'2-Uren per locatie'!$B$15:$D$74,3,FALSE)</f>
        <v>#DIV/0!</v>
      </c>
      <c r="U194" s="295" t="e">
        <f>IF(K194="nio",0,(N194*Q194)/AA194)*VLOOKUP(C194,'2-Uren per locatie'!$B$15:$D$74,3,FALSE)</f>
        <v>#DIV/0!</v>
      </c>
      <c r="V194" s="295" t="e">
        <f>IF(K194="nio",0,(O194*Q194)/Z194)*VLOOKUP(C194,'2-Uren per locatie'!$B$15:$D$74,3,FALSE)</f>
        <v>#DIV/0!</v>
      </c>
      <c r="W194" s="295" t="e">
        <f>IF(K194="nio",0,(P194*Q194)/AA194)*VLOOKUP(C194,'2-Uren per locatie'!$B$15:$D$74,3,FALSE)</f>
        <v>#DIV/0!</v>
      </c>
      <c r="X194" s="485">
        <f>IF(K194="nio",0,IF(K194&gt;0,VLOOKUP(H194,'3-Productie normen'!A:F,VLOOKUP(K194,'3-Productie normen'!$B$29:$C$34,2,FALSE),FALSE)))</f>
        <v>0</v>
      </c>
      <c r="Y194" s="485">
        <f>VLOOKUP(H194,'3-Productie normen'!$A$10:$J$24,8,FALSE)*'3-Ruimtestaat'!X194</f>
        <v>0</v>
      </c>
      <c r="Z194" s="485">
        <f>VLOOKUP(H194,'3-Productie normen'!$A$10:$J$24,9,FALSE)*'3-Ruimtestaat'!X194</f>
        <v>0</v>
      </c>
      <c r="AA194" s="485">
        <f>VLOOKUP(H194,'3-Productie normen'!$A$10:$J$24,10,FALSE)*'3-Ruimtestaat'!X194</f>
        <v>0</v>
      </c>
      <c r="AB194" s="292" t="str">
        <f>IF(H194="",0,VLOOKUP(H194,'3-Productie normen'!$A$10:$N$23,14,FALSE))</f>
        <v>V</v>
      </c>
      <c r="AD194" s="296">
        <f t="shared" si="5"/>
        <v>123672.95</v>
      </c>
      <c r="AE194" s="78"/>
      <c r="AF194" s="297"/>
      <c r="AG194" s="297"/>
      <c r="AH194" s="297"/>
      <c r="AI194" s="297"/>
      <c r="AJ194" s="297">
        <v>975</v>
      </c>
      <c r="AK194" s="298"/>
      <c r="AL194" s="298"/>
      <c r="AM194" s="298">
        <f>Q194</f>
        <v>338.83</v>
      </c>
      <c r="AN194" s="298"/>
      <c r="AO194" s="299" t="s">
        <v>417</v>
      </c>
    </row>
    <row r="195" spans="1:41" ht="15" customHeight="1">
      <c r="A195" s="254">
        <v>195</v>
      </c>
      <c r="B195" s="253">
        <v>108</v>
      </c>
      <c r="C195" s="240" t="s">
        <v>58</v>
      </c>
      <c r="D195" s="288" t="s">
        <v>56</v>
      </c>
      <c r="E195" s="289"/>
      <c r="F195" s="239" t="s">
        <v>418</v>
      </c>
      <c r="G195" s="290" t="s">
        <v>419</v>
      </c>
      <c r="H195" s="291" t="s">
        <v>146</v>
      </c>
      <c r="I195" s="239" t="s">
        <v>420</v>
      </c>
      <c r="J195" s="424">
        <f t="shared" si="4"/>
        <v>183</v>
      </c>
      <c r="K195" s="425">
        <v>127</v>
      </c>
      <c r="L195" s="425"/>
      <c r="M195" s="425">
        <v>52</v>
      </c>
      <c r="N195" s="425"/>
      <c r="O195" s="425">
        <v>4</v>
      </c>
      <c r="P195" s="425"/>
      <c r="Q195" s="294">
        <v>26.18</v>
      </c>
      <c r="R195" s="295" t="e">
        <f>IF(K195="nio",0,(K195*Q195)/X195)*VLOOKUP(C195,'2-Uren per locatie'!$B$15:$D$74,3,FALSE)</f>
        <v>#DIV/0!</v>
      </c>
      <c r="S195" s="295" t="e">
        <f>IF(K195="nio",0,(L195*Q195)/Y195)*VLOOKUP(C195,'2-Uren per locatie'!$B$15:$D$74,3,FALSE)</f>
        <v>#DIV/0!</v>
      </c>
      <c r="T195" s="295" t="e">
        <f>IF(K195="nio",0,(M195*Q195)/Z195)*VLOOKUP(C195,'2-Uren per locatie'!$B$15:$D$74,3,FALSE)</f>
        <v>#DIV/0!</v>
      </c>
      <c r="U195" s="295" t="e">
        <f>IF(K195="nio",0,(N195*Q195)/AA195)*VLOOKUP(C195,'2-Uren per locatie'!$B$15:$D$74,3,FALSE)</f>
        <v>#DIV/0!</v>
      </c>
      <c r="V195" s="295" t="e">
        <f>IF(K195="nio",0,(O195*Q195)/Z195)*VLOOKUP(C195,'2-Uren per locatie'!$B$15:$D$74,3,FALSE)</f>
        <v>#DIV/0!</v>
      </c>
      <c r="W195" s="295" t="e">
        <f>IF(K195="nio",0,(P195*Q195)/AA195)*VLOOKUP(C195,'2-Uren per locatie'!$B$15:$D$74,3,FALSE)</f>
        <v>#DIV/0!</v>
      </c>
      <c r="X195" s="485">
        <f>IF(K195="nio",0,IF(K195&gt;0,VLOOKUP(H195,'3-Productie normen'!A:F,VLOOKUP(K195,'3-Productie normen'!$B$29:$C$34,2,FALSE),FALSE)))</f>
        <v>0</v>
      </c>
      <c r="Y195" s="485">
        <f>VLOOKUP(H195,'3-Productie normen'!$A$10:$J$24,8,FALSE)*'3-Ruimtestaat'!X195</f>
        <v>0</v>
      </c>
      <c r="Z195" s="485">
        <f>VLOOKUP(H195,'3-Productie normen'!$A$10:$J$24,9,FALSE)*'3-Ruimtestaat'!X195</f>
        <v>0</v>
      </c>
      <c r="AA195" s="485">
        <f>VLOOKUP(H195,'3-Productie normen'!$A$10:$J$24,10,FALSE)*'3-Ruimtestaat'!X195</f>
        <v>0</v>
      </c>
      <c r="AB195" s="292" t="str">
        <f>IF(H195="",0,VLOOKUP(H195,'3-Productie normen'!$A$10:$N$23,14,FALSE))</f>
        <v>B</v>
      </c>
      <c r="AD195" s="296">
        <f t="shared" si="5"/>
        <v>4790.9399999999996</v>
      </c>
      <c r="AE195" s="78"/>
      <c r="AF195" s="297">
        <v>1.4</v>
      </c>
      <c r="AG195" s="297"/>
      <c r="AH195" s="297"/>
      <c r="AI195" s="297"/>
      <c r="AJ195" s="297">
        <v>47.5</v>
      </c>
      <c r="AK195" s="298"/>
      <c r="AL195" s="298"/>
      <c r="AM195" s="298">
        <f>Q195</f>
        <v>26.18</v>
      </c>
      <c r="AN195" s="298"/>
      <c r="AO195" s="299"/>
    </row>
    <row r="196" spans="1:41" ht="15" customHeight="1">
      <c r="A196" s="254">
        <v>196</v>
      </c>
      <c r="B196" s="253">
        <v>108</v>
      </c>
      <c r="C196" s="240" t="s">
        <v>58</v>
      </c>
      <c r="D196" s="288" t="s">
        <v>56</v>
      </c>
      <c r="E196" s="289"/>
      <c r="F196" s="239" t="s">
        <v>421</v>
      </c>
      <c r="G196" s="290" t="s">
        <v>422</v>
      </c>
      <c r="H196" s="291" t="s">
        <v>153</v>
      </c>
      <c r="I196" s="239" t="s">
        <v>299</v>
      </c>
      <c r="J196" s="424">
        <f t="shared" si="4"/>
        <v>365</v>
      </c>
      <c r="K196" s="425">
        <v>255</v>
      </c>
      <c r="L196" s="425"/>
      <c r="M196" s="425">
        <v>102</v>
      </c>
      <c r="N196" s="425"/>
      <c r="O196" s="425">
        <v>8</v>
      </c>
      <c r="P196" s="425"/>
      <c r="Q196" s="294">
        <v>3.17</v>
      </c>
      <c r="R196" s="295" t="e">
        <f>IF(K196="nio",0,(K196*Q196)/X196)*VLOOKUP(C196,'2-Uren per locatie'!$B$15:$D$74,3,FALSE)</f>
        <v>#DIV/0!</v>
      </c>
      <c r="S196" s="295" t="e">
        <f>IF(K196="nio",0,(L196*Q196)/Y196)*VLOOKUP(C196,'2-Uren per locatie'!$B$15:$D$74,3,FALSE)</f>
        <v>#DIV/0!</v>
      </c>
      <c r="T196" s="295" t="e">
        <f>IF(K196="nio",0,(M196*Q196)/Z196)*VLOOKUP(C196,'2-Uren per locatie'!$B$15:$D$74,3,FALSE)</f>
        <v>#DIV/0!</v>
      </c>
      <c r="U196" s="295" t="e">
        <f>IF(K196="nio",0,(N196*Q196)/AA196)*VLOOKUP(C196,'2-Uren per locatie'!$B$15:$D$74,3,FALSE)</f>
        <v>#DIV/0!</v>
      </c>
      <c r="V196" s="295" t="e">
        <f>IF(K196="nio",0,(O196*Q196)/Z196)*VLOOKUP(C196,'2-Uren per locatie'!$B$15:$D$74,3,FALSE)</f>
        <v>#DIV/0!</v>
      </c>
      <c r="W196" s="295" t="e">
        <f>IF(K196="nio",0,(P196*Q196)/AA196)*VLOOKUP(C196,'2-Uren per locatie'!$B$15:$D$74,3,FALSE)</f>
        <v>#DIV/0!</v>
      </c>
      <c r="X196" s="485">
        <f>IF(K196="nio",0,IF(K196&gt;0,VLOOKUP(H196,'3-Productie normen'!A:F,VLOOKUP(K196,'3-Productie normen'!$B$29:$C$34,2,FALSE),FALSE)))</f>
        <v>0</v>
      </c>
      <c r="Y196" s="485">
        <f>VLOOKUP(H196,'3-Productie normen'!$A$10:$J$24,8,FALSE)*'3-Ruimtestaat'!X196</f>
        <v>0</v>
      </c>
      <c r="Z196" s="485">
        <f>VLOOKUP(H196,'3-Productie normen'!$A$10:$J$24,9,FALSE)*'3-Ruimtestaat'!X196</f>
        <v>0</v>
      </c>
      <c r="AA196" s="485">
        <f>VLOOKUP(H196,'3-Productie normen'!$A$10:$J$24,10,FALSE)*'3-Ruimtestaat'!X196</f>
        <v>0</v>
      </c>
      <c r="AB196" s="292" t="str">
        <f>IF(H196="",0,VLOOKUP(H196,'3-Productie normen'!$A$10:$N$23,14,FALSE))</f>
        <v>S</v>
      </c>
      <c r="AD196" s="296">
        <f t="shared" si="5"/>
        <v>1157.05</v>
      </c>
      <c r="AE196" s="78"/>
      <c r="AF196" s="297">
        <v>16.8</v>
      </c>
      <c r="AG196" s="297"/>
      <c r="AH196" s="297"/>
      <c r="AI196" s="297"/>
      <c r="AJ196" s="297"/>
      <c r="AK196" s="298"/>
      <c r="AL196" s="298"/>
      <c r="AM196" s="298"/>
      <c r="AN196" s="298">
        <f>Q196</f>
        <v>3.17</v>
      </c>
      <c r="AO196" s="299"/>
    </row>
    <row r="197" spans="1:41" ht="15" customHeight="1">
      <c r="A197" s="254">
        <v>197</v>
      </c>
      <c r="B197" s="253">
        <v>108</v>
      </c>
      <c r="C197" s="240" t="s">
        <v>58</v>
      </c>
      <c r="D197" s="288" t="s">
        <v>56</v>
      </c>
      <c r="E197" s="289"/>
      <c r="F197" s="239" t="s">
        <v>423</v>
      </c>
      <c r="G197" s="290" t="s">
        <v>424</v>
      </c>
      <c r="H197" s="291" t="s">
        <v>153</v>
      </c>
      <c r="I197" s="239" t="s">
        <v>299</v>
      </c>
      <c r="J197" s="424">
        <f t="shared" si="4"/>
        <v>365</v>
      </c>
      <c r="K197" s="425">
        <v>255</v>
      </c>
      <c r="L197" s="425"/>
      <c r="M197" s="425">
        <v>102</v>
      </c>
      <c r="N197" s="425"/>
      <c r="O197" s="425">
        <v>8</v>
      </c>
      <c r="P197" s="425"/>
      <c r="Q197" s="294">
        <v>3.17</v>
      </c>
      <c r="R197" s="295" t="e">
        <f>IF(K197="nio",0,(K197*Q197)/X197)*VLOOKUP(C197,'2-Uren per locatie'!$B$15:$D$74,3,FALSE)</f>
        <v>#DIV/0!</v>
      </c>
      <c r="S197" s="295" t="e">
        <f>IF(K197="nio",0,(L197*Q197)/Y197)*VLOOKUP(C197,'2-Uren per locatie'!$B$15:$D$74,3,FALSE)</f>
        <v>#DIV/0!</v>
      </c>
      <c r="T197" s="295" t="e">
        <f>IF(K197="nio",0,(M197*Q197)/Z197)*VLOOKUP(C197,'2-Uren per locatie'!$B$15:$D$74,3,FALSE)</f>
        <v>#DIV/0!</v>
      </c>
      <c r="U197" s="295" t="e">
        <f>IF(K197="nio",0,(N197*Q197)/AA197)*VLOOKUP(C197,'2-Uren per locatie'!$B$15:$D$74,3,FALSE)</f>
        <v>#DIV/0!</v>
      </c>
      <c r="V197" s="295" t="e">
        <f>IF(K197="nio",0,(O197*Q197)/Z197)*VLOOKUP(C197,'2-Uren per locatie'!$B$15:$D$74,3,FALSE)</f>
        <v>#DIV/0!</v>
      </c>
      <c r="W197" s="295" t="e">
        <f>IF(K197="nio",0,(P197*Q197)/AA197)*VLOOKUP(C197,'2-Uren per locatie'!$B$15:$D$74,3,FALSE)</f>
        <v>#DIV/0!</v>
      </c>
      <c r="X197" s="485">
        <f>IF(K197="nio",0,IF(K197&gt;0,VLOOKUP(H197,'3-Productie normen'!A:F,VLOOKUP(K197,'3-Productie normen'!$B$29:$C$34,2,FALSE),FALSE)))</f>
        <v>0</v>
      </c>
      <c r="Y197" s="485">
        <f>VLOOKUP(H197,'3-Productie normen'!$A$10:$J$24,8,FALSE)*'3-Ruimtestaat'!X197</f>
        <v>0</v>
      </c>
      <c r="Z197" s="485">
        <f>VLOOKUP(H197,'3-Productie normen'!$A$10:$J$24,9,FALSE)*'3-Ruimtestaat'!X197</f>
        <v>0</v>
      </c>
      <c r="AA197" s="485">
        <f>VLOOKUP(H197,'3-Productie normen'!$A$10:$J$24,10,FALSE)*'3-Ruimtestaat'!X197</f>
        <v>0</v>
      </c>
      <c r="AB197" s="292" t="str">
        <f>IF(H197="",0,VLOOKUP(H197,'3-Productie normen'!$A$10:$N$23,14,FALSE))</f>
        <v>S</v>
      </c>
      <c r="AD197" s="296">
        <f t="shared" si="5"/>
        <v>1157.05</v>
      </c>
      <c r="AE197" s="78"/>
      <c r="AF197" s="297">
        <v>16.8</v>
      </c>
      <c r="AG197" s="297"/>
      <c r="AH197" s="297"/>
      <c r="AI197" s="297"/>
      <c r="AJ197" s="297"/>
      <c r="AK197" s="298"/>
      <c r="AL197" s="298"/>
      <c r="AM197" s="298"/>
      <c r="AN197" s="298">
        <f>Q197</f>
        <v>3.17</v>
      </c>
      <c r="AO197" s="299"/>
    </row>
    <row r="198" spans="1:41" ht="15" customHeight="1">
      <c r="A198" s="254">
        <v>198</v>
      </c>
      <c r="B198" s="253">
        <v>108</v>
      </c>
      <c r="C198" s="240" t="s">
        <v>58</v>
      </c>
      <c r="D198" s="288" t="s">
        <v>56</v>
      </c>
      <c r="E198" s="289"/>
      <c r="F198" s="239" t="s">
        <v>425</v>
      </c>
      <c r="G198" s="290" t="s">
        <v>426</v>
      </c>
      <c r="H198" s="291" t="s">
        <v>149</v>
      </c>
      <c r="I198" s="239" t="s">
        <v>401</v>
      </c>
      <c r="J198" s="424">
        <f t="shared" si="4"/>
        <v>365</v>
      </c>
      <c r="K198" s="425">
        <v>102</v>
      </c>
      <c r="L198" s="425">
        <v>153</v>
      </c>
      <c r="M198" s="425"/>
      <c r="N198" s="425">
        <v>102</v>
      </c>
      <c r="O198" s="425"/>
      <c r="P198" s="425">
        <v>8</v>
      </c>
      <c r="Q198" s="294">
        <v>2.8</v>
      </c>
      <c r="R198" s="295" t="e">
        <f>IF(K198="nio",0,(K198*Q198)/X198)*VLOOKUP(C198,'2-Uren per locatie'!$B$15:$D$74,3,FALSE)</f>
        <v>#DIV/0!</v>
      </c>
      <c r="S198" s="295" t="e">
        <f>IF(K198="nio",0,(L198*Q198)/Y198)*VLOOKUP(C198,'2-Uren per locatie'!$B$15:$D$74,3,FALSE)</f>
        <v>#DIV/0!</v>
      </c>
      <c r="T198" s="295" t="e">
        <f>IF(K198="nio",0,(M198*Q198)/Z198)*VLOOKUP(C198,'2-Uren per locatie'!$B$15:$D$74,3,FALSE)</f>
        <v>#DIV/0!</v>
      </c>
      <c r="U198" s="295" t="e">
        <f>IF(K198="nio",0,(N198*Q198)/AA198)*VLOOKUP(C198,'2-Uren per locatie'!$B$15:$D$74,3,FALSE)</f>
        <v>#DIV/0!</v>
      </c>
      <c r="V198" s="295" t="e">
        <f>IF(K198="nio",0,(O198*Q198)/Z198)*VLOOKUP(C198,'2-Uren per locatie'!$B$15:$D$74,3,FALSE)</f>
        <v>#DIV/0!</v>
      </c>
      <c r="W198" s="295" t="e">
        <f>IF(K198="nio",0,(P198*Q198)/AA198)*VLOOKUP(C198,'2-Uren per locatie'!$B$15:$D$74,3,FALSE)</f>
        <v>#DIV/0!</v>
      </c>
      <c r="X198" s="485">
        <f>IF(K198="nio",0,IF(K198&gt;0,VLOOKUP(H198,'3-Productie normen'!A:F,VLOOKUP(K198,'3-Productie normen'!$B$29:$C$34,2,FALSE),FALSE)))</f>
        <v>0</v>
      </c>
      <c r="Y198" s="485">
        <f>VLOOKUP(H198,'3-Productie normen'!$A$10:$J$24,8,FALSE)*'3-Ruimtestaat'!X198</f>
        <v>0</v>
      </c>
      <c r="Z198" s="485">
        <f>VLOOKUP(H198,'3-Productie normen'!$A$10:$J$24,9,FALSE)*'3-Ruimtestaat'!X198</f>
        <v>0</v>
      </c>
      <c r="AA198" s="485">
        <f>VLOOKUP(H198,'3-Productie normen'!$A$10:$J$24,10,FALSE)*'3-Ruimtestaat'!X198</f>
        <v>0</v>
      </c>
      <c r="AB198" s="292" t="str">
        <f>IF(H198="",0,VLOOKUP(H198,'3-Productie normen'!$A$10:$N$23,14,FALSE))</f>
        <v>V</v>
      </c>
      <c r="AD198" s="296">
        <f t="shared" si="5"/>
        <v>1021.9999999999999</v>
      </c>
      <c r="AE198" s="78"/>
      <c r="AF198" s="297"/>
      <c r="AG198" s="297"/>
      <c r="AH198" s="297"/>
      <c r="AI198" s="297">
        <v>11.5</v>
      </c>
      <c r="AJ198" s="297">
        <v>3.5</v>
      </c>
      <c r="AK198" s="298"/>
      <c r="AL198" s="298"/>
      <c r="AM198" s="298"/>
      <c r="AN198" s="298">
        <f>Q198</f>
        <v>2.8</v>
      </c>
      <c r="AO198" s="299" t="s">
        <v>402</v>
      </c>
    </row>
    <row r="199" spans="1:41" ht="15" customHeight="1">
      <c r="A199" s="254">
        <v>199</v>
      </c>
      <c r="B199" s="253">
        <v>108</v>
      </c>
      <c r="C199" s="240" t="s">
        <v>58</v>
      </c>
      <c r="D199" s="288" t="s">
        <v>56</v>
      </c>
      <c r="E199" s="289"/>
      <c r="F199" s="239" t="s">
        <v>427</v>
      </c>
      <c r="G199" s="290" t="s">
        <v>428</v>
      </c>
      <c r="H199" s="291" t="s">
        <v>149</v>
      </c>
      <c r="I199" s="239" t="s">
        <v>401</v>
      </c>
      <c r="J199" s="424">
        <f t="shared" si="4"/>
        <v>365</v>
      </c>
      <c r="K199" s="425">
        <v>102</v>
      </c>
      <c r="L199" s="425">
        <v>153</v>
      </c>
      <c r="M199" s="425"/>
      <c r="N199" s="425">
        <v>102</v>
      </c>
      <c r="O199" s="425"/>
      <c r="P199" s="425">
        <v>8</v>
      </c>
      <c r="Q199" s="294">
        <v>2.8</v>
      </c>
      <c r="R199" s="295" t="e">
        <f>IF(K199="nio",0,(K199*Q199)/X199)*VLOOKUP(C199,'2-Uren per locatie'!$B$15:$D$74,3,FALSE)</f>
        <v>#DIV/0!</v>
      </c>
      <c r="S199" s="295" t="e">
        <f>IF(K199="nio",0,(L199*Q199)/Y199)*VLOOKUP(C199,'2-Uren per locatie'!$B$15:$D$74,3,FALSE)</f>
        <v>#DIV/0!</v>
      </c>
      <c r="T199" s="295" t="e">
        <f>IF(K199="nio",0,(M199*Q199)/Z199)*VLOOKUP(C199,'2-Uren per locatie'!$B$15:$D$74,3,FALSE)</f>
        <v>#DIV/0!</v>
      </c>
      <c r="U199" s="295" t="e">
        <f>IF(K199="nio",0,(N199*Q199)/AA199)*VLOOKUP(C199,'2-Uren per locatie'!$B$15:$D$74,3,FALSE)</f>
        <v>#DIV/0!</v>
      </c>
      <c r="V199" s="295" t="e">
        <f>IF(K199="nio",0,(O199*Q199)/Z199)*VLOOKUP(C199,'2-Uren per locatie'!$B$15:$D$74,3,FALSE)</f>
        <v>#DIV/0!</v>
      </c>
      <c r="W199" s="295" t="e">
        <f>IF(K199="nio",0,(P199*Q199)/AA199)*VLOOKUP(C199,'2-Uren per locatie'!$B$15:$D$74,3,FALSE)</f>
        <v>#DIV/0!</v>
      </c>
      <c r="X199" s="485">
        <f>IF(K199="nio",0,IF(K199&gt;0,VLOOKUP(H199,'3-Productie normen'!A:F,VLOOKUP(K199,'3-Productie normen'!$B$29:$C$34,2,FALSE),FALSE)))</f>
        <v>0</v>
      </c>
      <c r="Y199" s="485">
        <f>VLOOKUP(H199,'3-Productie normen'!$A$10:$J$24,8,FALSE)*'3-Ruimtestaat'!X199</f>
        <v>0</v>
      </c>
      <c r="Z199" s="485">
        <f>VLOOKUP(H199,'3-Productie normen'!$A$10:$J$24,9,FALSE)*'3-Ruimtestaat'!X199</f>
        <v>0</v>
      </c>
      <c r="AA199" s="485">
        <f>VLOOKUP(H199,'3-Productie normen'!$A$10:$J$24,10,FALSE)*'3-Ruimtestaat'!X199</f>
        <v>0</v>
      </c>
      <c r="AB199" s="292" t="str">
        <f>IF(H199="",0,VLOOKUP(H199,'3-Productie normen'!$A$10:$N$23,14,FALSE))</f>
        <v>V</v>
      </c>
      <c r="AD199" s="296">
        <f t="shared" si="5"/>
        <v>1021.9999999999999</v>
      </c>
      <c r="AE199" s="78"/>
      <c r="AF199" s="297"/>
      <c r="AG199" s="297"/>
      <c r="AH199" s="297"/>
      <c r="AI199" s="297">
        <v>11.5</v>
      </c>
      <c r="AJ199" s="297">
        <v>3.5</v>
      </c>
      <c r="AK199" s="298"/>
      <c r="AL199" s="298"/>
      <c r="AM199" s="298"/>
      <c r="AN199" s="298">
        <f>Q199</f>
        <v>2.8</v>
      </c>
      <c r="AO199" s="299" t="s">
        <v>402</v>
      </c>
    </row>
    <row r="200" spans="1:41" ht="15" customHeight="1">
      <c r="A200" s="254">
        <v>200</v>
      </c>
      <c r="B200" s="253">
        <v>108</v>
      </c>
      <c r="C200" s="240" t="s">
        <v>58</v>
      </c>
      <c r="D200" s="288" t="s">
        <v>56</v>
      </c>
      <c r="E200" s="289"/>
      <c r="F200" s="239" t="s">
        <v>429</v>
      </c>
      <c r="G200" s="290" t="s">
        <v>430</v>
      </c>
      <c r="H200" s="291" t="s">
        <v>149</v>
      </c>
      <c r="I200" s="239" t="s">
        <v>401</v>
      </c>
      <c r="J200" s="424">
        <f t="shared" si="4"/>
        <v>365</v>
      </c>
      <c r="K200" s="425">
        <v>102</v>
      </c>
      <c r="L200" s="425">
        <v>153</v>
      </c>
      <c r="M200" s="425"/>
      <c r="N200" s="425">
        <v>102</v>
      </c>
      <c r="O200" s="425"/>
      <c r="P200" s="425">
        <v>8</v>
      </c>
      <c r="Q200" s="294">
        <v>2.8</v>
      </c>
      <c r="R200" s="295" t="e">
        <f>IF(K200="nio",0,(K200*Q200)/X200)*VLOOKUP(C200,'2-Uren per locatie'!$B$15:$D$74,3,FALSE)</f>
        <v>#DIV/0!</v>
      </c>
      <c r="S200" s="295" t="e">
        <f>IF(K200="nio",0,(L200*Q200)/Y200)*VLOOKUP(C200,'2-Uren per locatie'!$B$15:$D$74,3,FALSE)</f>
        <v>#DIV/0!</v>
      </c>
      <c r="T200" s="295" t="e">
        <f>IF(K200="nio",0,(M200*Q200)/Z200)*VLOOKUP(C200,'2-Uren per locatie'!$B$15:$D$74,3,FALSE)</f>
        <v>#DIV/0!</v>
      </c>
      <c r="U200" s="295" t="e">
        <f>IF(K200="nio",0,(N200*Q200)/AA200)*VLOOKUP(C200,'2-Uren per locatie'!$B$15:$D$74,3,FALSE)</f>
        <v>#DIV/0!</v>
      </c>
      <c r="V200" s="295" t="e">
        <f>IF(K200="nio",0,(O200*Q200)/Z200)*VLOOKUP(C200,'2-Uren per locatie'!$B$15:$D$74,3,FALSE)</f>
        <v>#DIV/0!</v>
      </c>
      <c r="W200" s="295" t="e">
        <f>IF(K200="nio",0,(P200*Q200)/AA200)*VLOOKUP(C200,'2-Uren per locatie'!$B$15:$D$74,3,FALSE)</f>
        <v>#DIV/0!</v>
      </c>
      <c r="X200" s="485">
        <f>IF(K200="nio",0,IF(K200&gt;0,VLOOKUP(H200,'3-Productie normen'!A:F,VLOOKUP(K200,'3-Productie normen'!$B$29:$C$34,2,FALSE),FALSE)))</f>
        <v>0</v>
      </c>
      <c r="Y200" s="485">
        <f>VLOOKUP(H200,'3-Productie normen'!$A$10:$J$24,8,FALSE)*'3-Ruimtestaat'!X200</f>
        <v>0</v>
      </c>
      <c r="Z200" s="485">
        <f>VLOOKUP(H200,'3-Productie normen'!$A$10:$J$24,9,FALSE)*'3-Ruimtestaat'!X200</f>
        <v>0</v>
      </c>
      <c r="AA200" s="485">
        <f>VLOOKUP(H200,'3-Productie normen'!$A$10:$J$24,10,FALSE)*'3-Ruimtestaat'!X200</f>
        <v>0</v>
      </c>
      <c r="AB200" s="292" t="str">
        <f>IF(H200="",0,VLOOKUP(H200,'3-Productie normen'!$A$10:$N$23,14,FALSE))</f>
        <v>V</v>
      </c>
      <c r="AD200" s="296">
        <f t="shared" si="5"/>
        <v>1021.9999999999999</v>
      </c>
      <c r="AE200" s="78"/>
      <c r="AF200" s="297"/>
      <c r="AG200" s="297"/>
      <c r="AH200" s="297"/>
      <c r="AI200" s="297">
        <v>11.5</v>
      </c>
      <c r="AJ200" s="297">
        <v>3.5</v>
      </c>
      <c r="AK200" s="298"/>
      <c r="AL200" s="298"/>
      <c r="AM200" s="298"/>
      <c r="AN200" s="298">
        <f>Q200</f>
        <v>2.8</v>
      </c>
      <c r="AO200" s="299" t="s">
        <v>402</v>
      </c>
    </row>
    <row r="201" spans="1:41" ht="15" customHeight="1">
      <c r="A201" s="254">
        <v>201</v>
      </c>
      <c r="B201" s="253">
        <v>108</v>
      </c>
      <c r="C201" s="240" t="s">
        <v>58</v>
      </c>
      <c r="D201" s="288" t="s">
        <v>56</v>
      </c>
      <c r="E201" s="289"/>
      <c r="F201" s="239" t="s">
        <v>431</v>
      </c>
      <c r="G201" s="290" t="s">
        <v>209</v>
      </c>
      <c r="H201" s="291" t="s">
        <v>155</v>
      </c>
      <c r="I201" s="239" t="s">
        <v>392</v>
      </c>
      <c r="J201" s="424">
        <f t="shared" si="4"/>
        <v>365</v>
      </c>
      <c r="K201" s="425">
        <v>102</v>
      </c>
      <c r="L201" s="425">
        <v>153</v>
      </c>
      <c r="M201" s="425"/>
      <c r="N201" s="425">
        <v>102</v>
      </c>
      <c r="O201" s="425"/>
      <c r="P201" s="425">
        <v>8</v>
      </c>
      <c r="Q201" s="294">
        <v>21.4</v>
      </c>
      <c r="R201" s="295" t="e">
        <f>IF(K201="nio",0,(K201*Q201)/X201)*VLOOKUP(C201,'2-Uren per locatie'!$B$15:$D$74,3,FALSE)</f>
        <v>#DIV/0!</v>
      </c>
      <c r="S201" s="295" t="e">
        <f>IF(K201="nio",0,(L201*Q201)/Y201)*VLOOKUP(C201,'2-Uren per locatie'!$B$15:$D$74,3,FALSE)</f>
        <v>#DIV/0!</v>
      </c>
      <c r="T201" s="295" t="e">
        <f>IF(K201="nio",0,(M201*Q201)/Z201)*VLOOKUP(C201,'2-Uren per locatie'!$B$15:$D$74,3,FALSE)</f>
        <v>#DIV/0!</v>
      </c>
      <c r="U201" s="295" t="e">
        <f>IF(K201="nio",0,(N201*Q201)/AA201)*VLOOKUP(C201,'2-Uren per locatie'!$B$15:$D$74,3,FALSE)</f>
        <v>#DIV/0!</v>
      </c>
      <c r="V201" s="295" t="e">
        <f>IF(K201="nio",0,(O201*Q201)/Z201)*VLOOKUP(C201,'2-Uren per locatie'!$B$15:$D$74,3,FALSE)</f>
        <v>#DIV/0!</v>
      </c>
      <c r="W201" s="295" t="e">
        <f>IF(K201="nio",0,(P201*Q201)/AA201)*VLOOKUP(C201,'2-Uren per locatie'!$B$15:$D$74,3,FALSE)</f>
        <v>#DIV/0!</v>
      </c>
      <c r="X201" s="485">
        <f>IF(K201="nio",0,IF(K201&gt;0,VLOOKUP(H201,'3-Productie normen'!A:F,VLOOKUP(K201,'3-Productie normen'!$B$29:$C$34,2,FALSE),FALSE)))</f>
        <v>0</v>
      </c>
      <c r="Y201" s="485">
        <f>VLOOKUP(H201,'3-Productie normen'!$A$10:$J$24,8,FALSE)*'3-Ruimtestaat'!X201</f>
        <v>0</v>
      </c>
      <c r="Z201" s="485">
        <f>VLOOKUP(H201,'3-Productie normen'!$A$10:$J$24,9,FALSE)*'3-Ruimtestaat'!X201</f>
        <v>0</v>
      </c>
      <c r="AA201" s="485">
        <f>VLOOKUP(H201,'3-Productie normen'!$A$10:$J$24,10,FALSE)*'3-Ruimtestaat'!X201</f>
        <v>0</v>
      </c>
      <c r="AB201" s="292" t="str">
        <f>IF(H201="",0,VLOOKUP(H201,'3-Productie normen'!$A$10:$N$23,14,FALSE))</f>
        <v>V</v>
      </c>
      <c r="AD201" s="296">
        <f t="shared" si="5"/>
        <v>7810.9999999999991</v>
      </c>
      <c r="AE201" s="78"/>
      <c r="AF201" s="297"/>
      <c r="AG201" s="297"/>
      <c r="AH201" s="297"/>
      <c r="AI201" s="297"/>
      <c r="AJ201" s="297"/>
      <c r="AK201" s="298"/>
      <c r="AL201" s="298"/>
      <c r="AM201" s="298"/>
      <c r="AN201" s="298"/>
      <c r="AO201" s="299"/>
    </row>
    <row r="202" spans="1:41" ht="15" customHeight="1">
      <c r="A202" s="254">
        <v>202</v>
      </c>
      <c r="B202" s="253">
        <v>110</v>
      </c>
      <c r="C202" s="240" t="s">
        <v>60</v>
      </c>
      <c r="D202" s="288" t="s">
        <v>56</v>
      </c>
      <c r="E202" s="289"/>
      <c r="F202" s="429" t="s">
        <v>432</v>
      </c>
      <c r="G202" s="431"/>
      <c r="H202" s="426" t="s">
        <v>143</v>
      </c>
      <c r="I202" s="429" t="s">
        <v>433</v>
      </c>
      <c r="J202" s="424">
        <f t="shared" ref="J202:J263" si="6">SUM(K202:P202)</f>
        <v>12</v>
      </c>
      <c r="K202" s="425">
        <v>12</v>
      </c>
      <c r="L202" s="425"/>
      <c r="M202" s="425"/>
      <c r="N202" s="425"/>
      <c r="O202" s="425"/>
      <c r="P202" s="425"/>
      <c r="Q202" s="294">
        <v>48</v>
      </c>
      <c r="R202" s="295" t="e">
        <f>IF(K202="nio",0,(K202*Q202)/X202)*VLOOKUP(C202,'2-Uren per locatie'!$B$15:$D$74,3,FALSE)</f>
        <v>#DIV/0!</v>
      </c>
      <c r="S202" s="295" t="e">
        <f>IF(K202="nio",0,(L202*Q202)/Y202)*VLOOKUP(C202,'2-Uren per locatie'!$B$15:$D$74,3,FALSE)</f>
        <v>#DIV/0!</v>
      </c>
      <c r="T202" s="295" t="e">
        <f>IF(K202="nio",0,(M202*Q202)/Z202)*VLOOKUP(C202,'2-Uren per locatie'!$B$15:$D$74,3,FALSE)</f>
        <v>#DIV/0!</v>
      </c>
      <c r="U202" s="295" t="e">
        <f>IF(K202="nio",0,(N202*Q202)/AA202)*VLOOKUP(C202,'2-Uren per locatie'!$B$15:$D$74,3,FALSE)</f>
        <v>#DIV/0!</v>
      </c>
      <c r="V202" s="295" t="e">
        <f>IF(K202="nio",0,(O202*Q202)/Z202)*VLOOKUP(C202,'2-Uren per locatie'!$B$15:$D$74,3,FALSE)</f>
        <v>#DIV/0!</v>
      </c>
      <c r="W202" s="295" t="e">
        <f>IF(K202="nio",0,(P202*Q202)/AA202)*VLOOKUP(C202,'2-Uren per locatie'!$B$15:$D$74,3,FALSE)</f>
        <v>#DIV/0!</v>
      </c>
      <c r="X202" s="485">
        <f>IF(K202="nio",0,IF(K202&gt;0,VLOOKUP(H202,'3-Productie normen'!A:F,VLOOKUP(K202,'3-Productie normen'!$B$29:$C$34,2,FALSE),FALSE)))</f>
        <v>0</v>
      </c>
      <c r="Y202" s="485">
        <f>VLOOKUP(H202,'3-Productie normen'!$A$10:$J$24,8,FALSE)*'3-Ruimtestaat'!X202</f>
        <v>0</v>
      </c>
      <c r="Z202" s="485">
        <f>VLOOKUP(H202,'3-Productie normen'!$A$10:$J$24,9,FALSE)*'3-Ruimtestaat'!X202</f>
        <v>0</v>
      </c>
      <c r="AA202" s="485">
        <f>VLOOKUP(H202,'3-Productie normen'!$A$10:$J$24,10,FALSE)*'3-Ruimtestaat'!X202</f>
        <v>0</v>
      </c>
      <c r="AB202" s="292" t="str">
        <f>IF(H202="",0,VLOOKUP(H202,'3-Productie normen'!$A$10:$N$23,14,FALSE))</f>
        <v>V</v>
      </c>
      <c r="AD202" s="296">
        <f t="shared" si="5"/>
        <v>576</v>
      </c>
      <c r="AE202" s="78"/>
      <c r="AF202" s="297"/>
      <c r="AG202" s="297"/>
      <c r="AH202" s="297"/>
      <c r="AI202" s="297"/>
      <c r="AJ202" s="297"/>
      <c r="AK202" s="298"/>
      <c r="AL202" s="298"/>
      <c r="AM202" s="298"/>
      <c r="AN202" s="298"/>
      <c r="AO202" s="299"/>
    </row>
    <row r="203" spans="1:41" ht="15" customHeight="1">
      <c r="A203" s="254">
        <v>203</v>
      </c>
      <c r="B203" s="253">
        <v>110</v>
      </c>
      <c r="C203" s="240" t="s">
        <v>60</v>
      </c>
      <c r="D203" s="288" t="s">
        <v>56</v>
      </c>
      <c r="E203" s="289"/>
      <c r="F203" s="239" t="s">
        <v>249</v>
      </c>
      <c r="G203" s="290" t="s">
        <v>409</v>
      </c>
      <c r="H203" s="291" t="s">
        <v>151</v>
      </c>
      <c r="I203" s="239" t="s">
        <v>434</v>
      </c>
      <c r="J203" s="424">
        <f t="shared" si="6"/>
        <v>365</v>
      </c>
      <c r="K203" s="425">
        <v>102</v>
      </c>
      <c r="L203" s="425">
        <v>153</v>
      </c>
      <c r="M203" s="425"/>
      <c r="N203" s="425">
        <v>102</v>
      </c>
      <c r="O203" s="425"/>
      <c r="P203" s="425">
        <v>8</v>
      </c>
      <c r="Q203" s="294">
        <v>1503.23</v>
      </c>
      <c r="R203" s="295" t="e">
        <f>IF(K203="nio",0,(K203*Q203)/X203)*VLOOKUP(C203,'2-Uren per locatie'!$B$15:$D$74,3,FALSE)</f>
        <v>#DIV/0!</v>
      </c>
      <c r="S203" s="295" t="e">
        <f>IF(K203="nio",0,(L203*Q203)/Y203)*VLOOKUP(C203,'2-Uren per locatie'!$B$15:$D$74,3,FALSE)</f>
        <v>#DIV/0!</v>
      </c>
      <c r="T203" s="295" t="e">
        <f>IF(K203="nio",0,(M203*Q203)/Z203)*VLOOKUP(C203,'2-Uren per locatie'!$B$15:$D$74,3,FALSE)</f>
        <v>#DIV/0!</v>
      </c>
      <c r="U203" s="295" t="e">
        <f>IF(K203="nio",0,(N203*Q203)/AA203)*VLOOKUP(C203,'2-Uren per locatie'!$B$15:$D$74,3,FALSE)</f>
        <v>#DIV/0!</v>
      </c>
      <c r="V203" s="295" t="e">
        <f>IF(K203="nio",0,(O203*Q203)/Z203)*VLOOKUP(C203,'2-Uren per locatie'!$B$15:$D$74,3,FALSE)</f>
        <v>#DIV/0!</v>
      </c>
      <c r="W203" s="295" t="e">
        <f>IF(K203="nio",0,(P203*Q203)/AA203)*VLOOKUP(C203,'2-Uren per locatie'!$B$15:$D$74,3,FALSE)</f>
        <v>#DIV/0!</v>
      </c>
      <c r="X203" s="485">
        <f>IF(K203="nio",0,IF(K203&gt;0,VLOOKUP(H203,'3-Productie normen'!A:F,VLOOKUP(K203,'3-Productie normen'!$B$29:$C$34,2,FALSE),FALSE)))</f>
        <v>0</v>
      </c>
      <c r="Y203" s="485">
        <f>VLOOKUP(H203,'3-Productie normen'!$A$10:$J$24,8,FALSE)*'3-Ruimtestaat'!X203</f>
        <v>0</v>
      </c>
      <c r="Z203" s="485">
        <f>VLOOKUP(H203,'3-Productie normen'!$A$10:$J$24,9,FALSE)*'3-Ruimtestaat'!X203</f>
        <v>0</v>
      </c>
      <c r="AA203" s="485">
        <f>VLOOKUP(H203,'3-Productie normen'!$A$10:$J$24,10,FALSE)*'3-Ruimtestaat'!X203</f>
        <v>0</v>
      </c>
      <c r="AB203" s="292" t="str">
        <f>IF(H203="",0,VLOOKUP(H203,'3-Productie normen'!$A$10:$N$23,14,FALSE))</f>
        <v>V</v>
      </c>
      <c r="AD203" s="296">
        <f t="shared" si="5"/>
        <v>548678.94999999995</v>
      </c>
      <c r="AE203" s="78"/>
      <c r="AF203" s="297"/>
      <c r="AG203" s="297"/>
      <c r="AH203" s="297"/>
      <c r="AI203" s="297"/>
      <c r="AJ203" s="297"/>
      <c r="AK203" s="298">
        <f>165.16*9.82</f>
        <v>1621.8712</v>
      </c>
      <c r="AL203" s="298"/>
      <c r="AM203" s="298"/>
      <c r="AN203" s="298"/>
      <c r="AO203" s="299"/>
    </row>
    <row r="204" spans="1:41" ht="15" customHeight="1">
      <c r="A204" s="254">
        <v>204</v>
      </c>
      <c r="B204" s="253">
        <v>110</v>
      </c>
      <c r="C204" s="240" t="s">
        <v>60</v>
      </c>
      <c r="D204" s="288" t="s">
        <v>56</v>
      </c>
      <c r="E204" s="289"/>
      <c r="F204" s="239" t="s">
        <v>435</v>
      </c>
      <c r="G204" s="290" t="s">
        <v>411</v>
      </c>
      <c r="H204" s="291" t="s">
        <v>155</v>
      </c>
      <c r="I204" s="239" t="s">
        <v>392</v>
      </c>
      <c r="J204" s="424">
        <f t="shared" si="6"/>
        <v>365</v>
      </c>
      <c r="K204" s="425">
        <v>102</v>
      </c>
      <c r="L204" s="425">
        <v>153</v>
      </c>
      <c r="M204" s="425"/>
      <c r="N204" s="425">
        <v>102</v>
      </c>
      <c r="O204" s="425"/>
      <c r="P204" s="425">
        <v>8</v>
      </c>
      <c r="Q204" s="294">
        <v>42.69</v>
      </c>
      <c r="R204" s="295" t="e">
        <f>IF(K204="nio",0,(K204*Q204)/X204)*VLOOKUP(C204,'2-Uren per locatie'!$B$15:$D$74,3,FALSE)</f>
        <v>#DIV/0!</v>
      </c>
      <c r="S204" s="295" t="e">
        <f>IF(K204="nio",0,(L204*Q204)/Y204)*VLOOKUP(C204,'2-Uren per locatie'!$B$15:$D$74,3,FALSE)</f>
        <v>#DIV/0!</v>
      </c>
      <c r="T204" s="295" t="e">
        <f>IF(K204="nio",0,(M204*Q204)/Z204)*VLOOKUP(C204,'2-Uren per locatie'!$B$15:$D$74,3,FALSE)</f>
        <v>#DIV/0!</v>
      </c>
      <c r="U204" s="295" t="e">
        <f>IF(K204="nio",0,(N204*Q204)/AA204)*VLOOKUP(C204,'2-Uren per locatie'!$B$15:$D$74,3,FALSE)</f>
        <v>#DIV/0!</v>
      </c>
      <c r="V204" s="295" t="e">
        <f>IF(K204="nio",0,(O204*Q204)/Z204)*VLOOKUP(C204,'2-Uren per locatie'!$B$15:$D$74,3,FALSE)</f>
        <v>#DIV/0!</v>
      </c>
      <c r="W204" s="295" t="e">
        <f>IF(K204="nio",0,(P204*Q204)/AA204)*VLOOKUP(C204,'2-Uren per locatie'!$B$15:$D$74,3,FALSE)</f>
        <v>#DIV/0!</v>
      </c>
      <c r="X204" s="485">
        <f>IF(K204="nio",0,IF(K204&gt;0,VLOOKUP(H204,'3-Productie normen'!A:F,VLOOKUP(K204,'3-Productie normen'!$B$29:$C$34,2,FALSE),FALSE)))</f>
        <v>0</v>
      </c>
      <c r="Y204" s="485">
        <f>VLOOKUP(H204,'3-Productie normen'!$A$10:$J$24,8,FALSE)*'3-Ruimtestaat'!X204</f>
        <v>0</v>
      </c>
      <c r="Z204" s="485">
        <f>VLOOKUP(H204,'3-Productie normen'!$A$10:$J$24,9,FALSE)*'3-Ruimtestaat'!X204</f>
        <v>0</v>
      </c>
      <c r="AA204" s="485">
        <f>VLOOKUP(H204,'3-Productie normen'!$A$10:$J$24,10,FALSE)*'3-Ruimtestaat'!X204</f>
        <v>0</v>
      </c>
      <c r="AB204" s="292" t="str">
        <f>IF(H204="",0,VLOOKUP(H204,'3-Productie normen'!$A$10:$N$23,14,FALSE))</f>
        <v>V</v>
      </c>
      <c r="AD204" s="296">
        <f t="shared" ref="AD204:AD267" si="7">Q204*J204</f>
        <v>15581.849999999999</v>
      </c>
      <c r="AE204" s="78"/>
      <c r="AF204" s="300" t="s">
        <v>393</v>
      </c>
      <c r="AG204" s="297"/>
      <c r="AH204" s="297"/>
      <c r="AI204" s="297"/>
      <c r="AJ204" s="297"/>
      <c r="AK204" s="298"/>
      <c r="AL204" s="298"/>
      <c r="AM204" s="298"/>
      <c r="AN204" s="298"/>
      <c r="AO204" s="299" t="s">
        <v>115</v>
      </c>
    </row>
    <row r="205" spans="1:41" ht="15" customHeight="1">
      <c r="A205" s="254">
        <v>205</v>
      </c>
      <c r="B205" s="253">
        <v>110</v>
      </c>
      <c r="C205" s="240" t="s">
        <v>60</v>
      </c>
      <c r="D205" s="288" t="s">
        <v>56</v>
      </c>
      <c r="E205" s="289"/>
      <c r="F205" s="239" t="s">
        <v>436</v>
      </c>
      <c r="G205" s="290" t="s">
        <v>413</v>
      </c>
      <c r="H205" s="291" t="s">
        <v>155</v>
      </c>
      <c r="I205" s="239" t="s">
        <v>392</v>
      </c>
      <c r="J205" s="424">
        <f t="shared" si="6"/>
        <v>365</v>
      </c>
      <c r="K205" s="425">
        <v>102</v>
      </c>
      <c r="L205" s="425">
        <v>153</v>
      </c>
      <c r="M205" s="425"/>
      <c r="N205" s="425">
        <v>102</v>
      </c>
      <c r="O205" s="425"/>
      <c r="P205" s="425">
        <v>8</v>
      </c>
      <c r="Q205" s="294">
        <v>42.68</v>
      </c>
      <c r="R205" s="295" t="e">
        <f>IF(K205="nio",0,(K205*Q205)/X205)*VLOOKUP(C205,'2-Uren per locatie'!$B$15:$D$74,3,FALSE)</f>
        <v>#DIV/0!</v>
      </c>
      <c r="S205" s="295" t="e">
        <f>IF(K205="nio",0,(L205*Q205)/Y205)*VLOOKUP(C205,'2-Uren per locatie'!$B$15:$D$74,3,FALSE)</f>
        <v>#DIV/0!</v>
      </c>
      <c r="T205" s="295" t="e">
        <f>IF(K205="nio",0,(M205*Q205)/Z205)*VLOOKUP(C205,'2-Uren per locatie'!$B$15:$D$74,3,FALSE)</f>
        <v>#DIV/0!</v>
      </c>
      <c r="U205" s="295" t="e">
        <f>IF(K205="nio",0,(N205*Q205)/AA205)*VLOOKUP(C205,'2-Uren per locatie'!$B$15:$D$74,3,FALSE)</f>
        <v>#DIV/0!</v>
      </c>
      <c r="V205" s="295" t="e">
        <f>IF(K205="nio",0,(O205*Q205)/Z205)*VLOOKUP(C205,'2-Uren per locatie'!$B$15:$D$74,3,FALSE)</f>
        <v>#DIV/0!</v>
      </c>
      <c r="W205" s="295" t="e">
        <f>IF(K205="nio",0,(P205*Q205)/AA205)*VLOOKUP(C205,'2-Uren per locatie'!$B$15:$D$74,3,FALSE)</f>
        <v>#DIV/0!</v>
      </c>
      <c r="X205" s="485">
        <f>IF(K205="nio",0,IF(K205&gt;0,VLOOKUP(H205,'3-Productie normen'!A:F,VLOOKUP(K205,'3-Productie normen'!$B$29:$C$34,2,FALSE),FALSE)))</f>
        <v>0</v>
      </c>
      <c r="Y205" s="485">
        <f>VLOOKUP(H205,'3-Productie normen'!$A$10:$J$24,8,FALSE)*'3-Ruimtestaat'!X205</f>
        <v>0</v>
      </c>
      <c r="Z205" s="485">
        <f>VLOOKUP(H205,'3-Productie normen'!$A$10:$J$24,9,FALSE)*'3-Ruimtestaat'!X205</f>
        <v>0</v>
      </c>
      <c r="AA205" s="485">
        <f>VLOOKUP(H205,'3-Productie normen'!$A$10:$J$24,10,FALSE)*'3-Ruimtestaat'!X205</f>
        <v>0</v>
      </c>
      <c r="AB205" s="292" t="str">
        <f>IF(H205="",0,VLOOKUP(H205,'3-Productie normen'!$A$10:$N$23,14,FALSE))</f>
        <v>V</v>
      </c>
      <c r="AD205" s="296">
        <f t="shared" si="7"/>
        <v>15578.2</v>
      </c>
      <c r="AE205" s="78"/>
      <c r="AF205" s="300" t="s">
        <v>393</v>
      </c>
      <c r="AG205" s="297"/>
      <c r="AH205" s="297"/>
      <c r="AI205" s="297"/>
      <c r="AJ205" s="297"/>
      <c r="AK205" s="298"/>
      <c r="AL205" s="298"/>
      <c r="AM205" s="298"/>
      <c r="AN205" s="298"/>
      <c r="AO205" s="299" t="s">
        <v>98</v>
      </c>
    </row>
    <row r="206" spans="1:41" ht="15" customHeight="1">
      <c r="A206" s="254">
        <v>206</v>
      </c>
      <c r="B206" s="253">
        <v>110</v>
      </c>
      <c r="C206" s="240" t="s">
        <v>60</v>
      </c>
      <c r="D206" s="288" t="s">
        <v>56</v>
      </c>
      <c r="E206" s="289"/>
      <c r="F206" s="239" t="s">
        <v>437</v>
      </c>
      <c r="G206" s="290" t="s">
        <v>414</v>
      </c>
      <c r="H206" s="291" t="s">
        <v>152</v>
      </c>
      <c r="I206" s="239" t="s">
        <v>265</v>
      </c>
      <c r="J206" s="424">
        <f t="shared" si="6"/>
        <v>365</v>
      </c>
      <c r="K206" s="425">
        <v>102</v>
      </c>
      <c r="L206" s="425">
        <v>153</v>
      </c>
      <c r="M206" s="425"/>
      <c r="N206" s="425">
        <v>102</v>
      </c>
      <c r="O206" s="425"/>
      <c r="P206" s="425">
        <v>8</v>
      </c>
      <c r="Q206" s="294">
        <v>31.63</v>
      </c>
      <c r="R206" s="295" t="e">
        <f>IF(K206="nio",0,(K206*Q206)/X206)*VLOOKUP(C206,'2-Uren per locatie'!$B$15:$D$74,3,FALSE)</f>
        <v>#DIV/0!</v>
      </c>
      <c r="S206" s="295" t="e">
        <f>IF(K206="nio",0,(L206*Q206)/Y206)*VLOOKUP(C206,'2-Uren per locatie'!$B$15:$D$74,3,FALSE)</f>
        <v>#DIV/0!</v>
      </c>
      <c r="T206" s="295" t="e">
        <f>IF(K206="nio",0,(M206*Q206)/Z206)*VLOOKUP(C206,'2-Uren per locatie'!$B$15:$D$74,3,FALSE)</f>
        <v>#DIV/0!</v>
      </c>
      <c r="U206" s="295" t="e">
        <f>IF(K206="nio",0,(N206*Q206)/AA206)*VLOOKUP(C206,'2-Uren per locatie'!$B$15:$D$74,3,FALSE)</f>
        <v>#DIV/0!</v>
      </c>
      <c r="V206" s="295" t="e">
        <f>IF(K206="nio",0,(O206*Q206)/Z206)*VLOOKUP(C206,'2-Uren per locatie'!$B$15:$D$74,3,FALSE)</f>
        <v>#DIV/0!</v>
      </c>
      <c r="W206" s="295" t="e">
        <f>IF(K206="nio",0,(P206*Q206)/AA206)*VLOOKUP(C206,'2-Uren per locatie'!$B$15:$D$74,3,FALSE)</f>
        <v>#DIV/0!</v>
      </c>
      <c r="X206" s="485">
        <f>IF(K206="nio",0,IF(K206&gt;0,VLOOKUP(H206,'3-Productie normen'!A:F,VLOOKUP(K206,'3-Productie normen'!$B$29:$C$34,2,FALSE),FALSE)))</f>
        <v>0</v>
      </c>
      <c r="Y206" s="485">
        <f>VLOOKUP(H206,'3-Productie normen'!$A$10:$J$24,8,FALSE)*'3-Ruimtestaat'!X206</f>
        <v>0</v>
      </c>
      <c r="Z206" s="485">
        <f>VLOOKUP(H206,'3-Productie normen'!$A$10:$J$24,9,FALSE)*'3-Ruimtestaat'!X206</f>
        <v>0</v>
      </c>
      <c r="AA206" s="485">
        <f>VLOOKUP(H206,'3-Productie normen'!$A$10:$J$24,10,FALSE)*'3-Ruimtestaat'!X206</f>
        <v>0</v>
      </c>
      <c r="AB206" s="292" t="str">
        <f>IF(H206="",0,VLOOKUP(H206,'3-Productie normen'!$A$10:$N$23,14,FALSE))</f>
        <v>V</v>
      </c>
      <c r="AD206" s="296">
        <f t="shared" si="7"/>
        <v>11544.949999999999</v>
      </c>
      <c r="AE206" s="78"/>
      <c r="AF206" s="297"/>
      <c r="AG206" s="297"/>
      <c r="AH206" s="297"/>
      <c r="AI206" s="297"/>
      <c r="AJ206" s="297"/>
      <c r="AK206" s="298"/>
      <c r="AL206" s="298"/>
      <c r="AM206" s="298"/>
      <c r="AN206" s="298"/>
      <c r="AO206" s="299" t="s">
        <v>115</v>
      </c>
    </row>
    <row r="207" spans="1:41" ht="15" customHeight="1">
      <c r="A207" s="254">
        <v>207</v>
      </c>
      <c r="B207" s="253">
        <v>110</v>
      </c>
      <c r="C207" s="240" t="s">
        <v>60</v>
      </c>
      <c r="D207" s="288" t="s">
        <v>56</v>
      </c>
      <c r="E207" s="289"/>
      <c r="F207" s="239" t="s">
        <v>438</v>
      </c>
      <c r="G207" s="290" t="s">
        <v>415</v>
      </c>
      <c r="H207" s="291" t="s">
        <v>152</v>
      </c>
      <c r="I207" s="239" t="s">
        <v>216</v>
      </c>
      <c r="J207" s="424">
        <f t="shared" si="6"/>
        <v>365</v>
      </c>
      <c r="K207" s="425">
        <v>102</v>
      </c>
      <c r="L207" s="425">
        <v>153</v>
      </c>
      <c r="M207" s="425"/>
      <c r="N207" s="425">
        <v>102</v>
      </c>
      <c r="O207" s="425"/>
      <c r="P207" s="425">
        <v>8</v>
      </c>
      <c r="Q207" s="294">
        <v>31.68</v>
      </c>
      <c r="R207" s="295" t="e">
        <f>IF(K207="nio",0,(K207*Q207)/X207)*VLOOKUP(C207,'2-Uren per locatie'!$B$15:$D$74,3,FALSE)</f>
        <v>#DIV/0!</v>
      </c>
      <c r="S207" s="295" t="e">
        <f>IF(K207="nio",0,(L207*Q207)/Y207)*VLOOKUP(C207,'2-Uren per locatie'!$B$15:$D$74,3,FALSE)</f>
        <v>#DIV/0!</v>
      </c>
      <c r="T207" s="295" t="e">
        <f>IF(K207="nio",0,(M207*Q207)/Z207)*VLOOKUP(C207,'2-Uren per locatie'!$B$15:$D$74,3,FALSE)</f>
        <v>#DIV/0!</v>
      </c>
      <c r="U207" s="295" t="e">
        <f>IF(K207="nio",0,(N207*Q207)/AA207)*VLOOKUP(C207,'2-Uren per locatie'!$B$15:$D$74,3,FALSE)</f>
        <v>#DIV/0!</v>
      </c>
      <c r="V207" s="295" t="e">
        <f>IF(K207="nio",0,(O207*Q207)/Z207)*VLOOKUP(C207,'2-Uren per locatie'!$B$15:$D$74,3,FALSE)</f>
        <v>#DIV/0!</v>
      </c>
      <c r="W207" s="295" t="e">
        <f>IF(K207="nio",0,(P207*Q207)/AA207)*VLOOKUP(C207,'2-Uren per locatie'!$B$15:$D$74,3,FALSE)</f>
        <v>#DIV/0!</v>
      </c>
      <c r="X207" s="485">
        <f>IF(K207="nio",0,IF(K207&gt;0,VLOOKUP(H207,'3-Productie normen'!A:F,VLOOKUP(K207,'3-Productie normen'!$B$29:$C$34,2,FALSE),FALSE)))</f>
        <v>0</v>
      </c>
      <c r="Y207" s="485">
        <f>VLOOKUP(H207,'3-Productie normen'!$A$10:$J$24,8,FALSE)*'3-Ruimtestaat'!X207</f>
        <v>0</v>
      </c>
      <c r="Z207" s="485">
        <f>VLOOKUP(H207,'3-Productie normen'!$A$10:$J$24,9,FALSE)*'3-Ruimtestaat'!X207</f>
        <v>0</v>
      </c>
      <c r="AA207" s="485">
        <f>VLOOKUP(H207,'3-Productie normen'!$A$10:$J$24,10,FALSE)*'3-Ruimtestaat'!X207</f>
        <v>0</v>
      </c>
      <c r="AB207" s="292" t="str">
        <f>IF(H207="",0,VLOOKUP(H207,'3-Productie normen'!$A$10:$N$23,14,FALSE))</f>
        <v>V</v>
      </c>
      <c r="AD207" s="296">
        <f t="shared" si="7"/>
        <v>11563.2</v>
      </c>
      <c r="AE207" s="78"/>
      <c r="AF207" s="297"/>
      <c r="AG207" s="297"/>
      <c r="AH207" s="297"/>
      <c r="AI207" s="297"/>
      <c r="AJ207" s="297"/>
      <c r="AK207" s="298"/>
      <c r="AL207" s="298"/>
      <c r="AM207" s="298"/>
      <c r="AN207" s="298"/>
      <c r="AO207" s="299" t="s">
        <v>98</v>
      </c>
    </row>
    <row r="208" spans="1:41" ht="15" customHeight="1">
      <c r="A208" s="254">
        <v>208</v>
      </c>
      <c r="B208" s="253">
        <v>110</v>
      </c>
      <c r="C208" s="240" t="s">
        <v>60</v>
      </c>
      <c r="D208" s="288" t="s">
        <v>56</v>
      </c>
      <c r="E208" s="289"/>
      <c r="F208" s="239" t="s">
        <v>439</v>
      </c>
      <c r="G208" s="290" t="s">
        <v>396</v>
      </c>
      <c r="H208" s="291" t="s">
        <v>145</v>
      </c>
      <c r="I208" s="239" t="s">
        <v>203</v>
      </c>
      <c r="J208" s="424">
        <f t="shared" si="6"/>
        <v>365</v>
      </c>
      <c r="K208" s="425">
        <v>102</v>
      </c>
      <c r="L208" s="425">
        <v>153</v>
      </c>
      <c r="M208" s="425"/>
      <c r="N208" s="425">
        <v>102</v>
      </c>
      <c r="O208" s="425"/>
      <c r="P208" s="425">
        <v>8</v>
      </c>
      <c r="Q208" s="294">
        <v>224.45</v>
      </c>
      <c r="R208" s="295" t="e">
        <f>IF(K208="nio",0,(K208*Q208)/X208)*VLOOKUP(C208,'2-Uren per locatie'!$B$15:$D$74,3,FALSE)</f>
        <v>#DIV/0!</v>
      </c>
      <c r="S208" s="295" t="e">
        <f>IF(K208="nio",0,(L208*Q208)/Y208)*VLOOKUP(C208,'2-Uren per locatie'!$B$15:$D$74,3,FALSE)</f>
        <v>#DIV/0!</v>
      </c>
      <c r="T208" s="295" t="e">
        <f>IF(K208="nio",0,(M208*Q208)/Z208)*VLOOKUP(C208,'2-Uren per locatie'!$B$15:$D$74,3,FALSE)</f>
        <v>#DIV/0!</v>
      </c>
      <c r="U208" s="295" t="e">
        <f>IF(K208="nio",0,(N208*Q208)/AA208)*VLOOKUP(C208,'2-Uren per locatie'!$B$15:$D$74,3,FALSE)</f>
        <v>#DIV/0!</v>
      </c>
      <c r="V208" s="295" t="e">
        <f>IF(K208="nio",0,(O208*Q208)/Z208)*VLOOKUP(C208,'2-Uren per locatie'!$B$15:$D$74,3,FALSE)</f>
        <v>#DIV/0!</v>
      </c>
      <c r="W208" s="295" t="e">
        <f>IF(K208="nio",0,(P208*Q208)/AA208)*VLOOKUP(C208,'2-Uren per locatie'!$B$15:$D$74,3,FALSE)</f>
        <v>#DIV/0!</v>
      </c>
      <c r="X208" s="485">
        <f>IF(K208="nio",0,IF(K208&gt;0,VLOOKUP(H208,'3-Productie normen'!A:F,VLOOKUP(K208,'3-Productie normen'!$B$29:$C$34,2,FALSE),FALSE)))</f>
        <v>0</v>
      </c>
      <c r="Y208" s="485">
        <f>VLOOKUP(H208,'3-Productie normen'!$A$10:$J$24,8,FALSE)*'3-Ruimtestaat'!X208</f>
        <v>0</v>
      </c>
      <c r="Z208" s="485">
        <f>VLOOKUP(H208,'3-Productie normen'!$A$10:$J$24,9,FALSE)*'3-Ruimtestaat'!X208</f>
        <v>0</v>
      </c>
      <c r="AA208" s="485">
        <f>VLOOKUP(H208,'3-Productie normen'!$A$10:$J$24,10,FALSE)*'3-Ruimtestaat'!X208</f>
        <v>0</v>
      </c>
      <c r="AB208" s="292" t="str">
        <f>IF(H208="",0,VLOOKUP(H208,'3-Productie normen'!$A$10:$N$23,14,FALSE))</f>
        <v>V</v>
      </c>
      <c r="AD208" s="296">
        <f t="shared" si="7"/>
        <v>81924.25</v>
      </c>
      <c r="AE208" s="78"/>
      <c r="AF208" s="297"/>
      <c r="AG208" s="297"/>
      <c r="AH208" s="297"/>
      <c r="AI208" s="297">
        <v>20</v>
      </c>
      <c r="AJ208" s="297">
        <v>589</v>
      </c>
      <c r="AK208" s="298"/>
      <c r="AL208" s="298"/>
      <c r="AM208" s="298">
        <f>224.5+33.6/1.5+(12.7+2.9+3)</f>
        <v>265.5</v>
      </c>
      <c r="AN208" s="298"/>
      <c r="AO208" s="299" t="s">
        <v>98</v>
      </c>
    </row>
    <row r="209" spans="1:41" ht="15" customHeight="1">
      <c r="A209" s="254">
        <v>209</v>
      </c>
      <c r="B209" s="253">
        <v>110</v>
      </c>
      <c r="C209" s="240" t="s">
        <v>60</v>
      </c>
      <c r="D209" s="288" t="s">
        <v>56</v>
      </c>
      <c r="E209" s="289"/>
      <c r="F209" s="239" t="s">
        <v>440</v>
      </c>
      <c r="G209" s="290" t="s">
        <v>441</v>
      </c>
      <c r="H209" s="291" t="s">
        <v>145</v>
      </c>
      <c r="I209" s="239" t="s">
        <v>203</v>
      </c>
      <c r="J209" s="424">
        <f t="shared" si="6"/>
        <v>365</v>
      </c>
      <c r="K209" s="425">
        <v>102</v>
      </c>
      <c r="L209" s="425">
        <v>153</v>
      </c>
      <c r="M209" s="425"/>
      <c r="N209" s="425">
        <v>102</v>
      </c>
      <c r="O209" s="425"/>
      <c r="P209" s="425">
        <v>8</v>
      </c>
      <c r="Q209" s="294">
        <v>243.2</v>
      </c>
      <c r="R209" s="295" t="e">
        <f>IF(K209="nio",0,(K209*Q209)/X209)*VLOOKUP(C209,'2-Uren per locatie'!$B$15:$D$74,3,FALSE)</f>
        <v>#DIV/0!</v>
      </c>
      <c r="S209" s="295" t="e">
        <f>IF(K209="nio",0,(L209*Q209)/Y209)*VLOOKUP(C209,'2-Uren per locatie'!$B$15:$D$74,3,FALSE)</f>
        <v>#DIV/0!</v>
      </c>
      <c r="T209" s="295" t="e">
        <f>IF(K209="nio",0,(M209*Q209)/Z209)*VLOOKUP(C209,'2-Uren per locatie'!$B$15:$D$74,3,FALSE)</f>
        <v>#DIV/0!</v>
      </c>
      <c r="U209" s="295" t="e">
        <f>IF(K209="nio",0,(N209*Q209)/AA209)*VLOOKUP(C209,'2-Uren per locatie'!$B$15:$D$74,3,FALSE)</f>
        <v>#DIV/0!</v>
      </c>
      <c r="V209" s="295" t="e">
        <f>IF(K209="nio",0,(O209*Q209)/Z209)*VLOOKUP(C209,'2-Uren per locatie'!$B$15:$D$74,3,FALSE)</f>
        <v>#DIV/0!</v>
      </c>
      <c r="W209" s="295" t="e">
        <f>IF(K209="nio",0,(P209*Q209)/AA209)*VLOOKUP(C209,'2-Uren per locatie'!$B$15:$D$74,3,FALSE)</f>
        <v>#DIV/0!</v>
      </c>
      <c r="X209" s="485">
        <f>IF(K209="nio",0,IF(K209&gt;0,VLOOKUP(H209,'3-Productie normen'!A:F,VLOOKUP(K209,'3-Productie normen'!$B$29:$C$34,2,FALSE),FALSE)))</f>
        <v>0</v>
      </c>
      <c r="Y209" s="485">
        <f>VLOOKUP(H209,'3-Productie normen'!$A$10:$J$24,8,FALSE)*'3-Ruimtestaat'!X209</f>
        <v>0</v>
      </c>
      <c r="Z209" s="485">
        <f>VLOOKUP(H209,'3-Productie normen'!$A$10:$J$24,9,FALSE)*'3-Ruimtestaat'!X209</f>
        <v>0</v>
      </c>
      <c r="AA209" s="485">
        <f>VLOOKUP(H209,'3-Productie normen'!$A$10:$J$24,10,FALSE)*'3-Ruimtestaat'!X209</f>
        <v>0</v>
      </c>
      <c r="AB209" s="292" t="str">
        <f>IF(H209="",0,VLOOKUP(H209,'3-Productie normen'!$A$10:$N$23,14,FALSE))</f>
        <v>V</v>
      </c>
      <c r="AD209" s="296">
        <f t="shared" si="7"/>
        <v>88768</v>
      </c>
      <c r="AE209" s="78"/>
      <c r="AF209" s="297"/>
      <c r="AG209" s="297"/>
      <c r="AH209" s="297"/>
      <c r="AI209" s="297">
        <v>20</v>
      </c>
      <c r="AJ209" s="297">
        <v>593</v>
      </c>
      <c r="AK209" s="298"/>
      <c r="AL209" s="298"/>
      <c r="AM209" s="298">
        <f>243.2+33.6/1.5+(12.7+2.9+3)</f>
        <v>284.2</v>
      </c>
      <c r="AN209" s="298"/>
      <c r="AO209" s="299" t="s">
        <v>115</v>
      </c>
    </row>
    <row r="210" spans="1:41" ht="15" customHeight="1">
      <c r="A210" s="254">
        <v>210</v>
      </c>
      <c r="B210" s="253">
        <v>110</v>
      </c>
      <c r="C210" s="240" t="s">
        <v>60</v>
      </c>
      <c r="D210" s="288" t="s">
        <v>56</v>
      </c>
      <c r="E210" s="289"/>
      <c r="F210" s="239" t="s">
        <v>423</v>
      </c>
      <c r="G210" s="290" t="s">
        <v>442</v>
      </c>
      <c r="H210" s="291" t="s">
        <v>153</v>
      </c>
      <c r="I210" s="239" t="s">
        <v>299</v>
      </c>
      <c r="J210" s="424">
        <f t="shared" si="6"/>
        <v>365</v>
      </c>
      <c r="K210" s="425">
        <v>255</v>
      </c>
      <c r="L210" s="425"/>
      <c r="M210" s="425">
        <v>102</v>
      </c>
      <c r="N210" s="425"/>
      <c r="O210" s="425">
        <v>8</v>
      </c>
      <c r="P210" s="425"/>
      <c r="Q210" s="294">
        <v>2.9</v>
      </c>
      <c r="R210" s="295" t="e">
        <f>IF(K210="nio",0,(K210*Q210)/X210)*VLOOKUP(C210,'2-Uren per locatie'!$B$15:$D$74,3,FALSE)</f>
        <v>#DIV/0!</v>
      </c>
      <c r="S210" s="295" t="e">
        <f>IF(K210="nio",0,(L210*Q210)/Y210)*VLOOKUP(C210,'2-Uren per locatie'!$B$15:$D$74,3,FALSE)</f>
        <v>#DIV/0!</v>
      </c>
      <c r="T210" s="295" t="e">
        <f>IF(K210="nio",0,(M210*Q210)/Z210)*VLOOKUP(C210,'2-Uren per locatie'!$B$15:$D$74,3,FALSE)</f>
        <v>#DIV/0!</v>
      </c>
      <c r="U210" s="295" t="e">
        <f>IF(K210="nio",0,(N210*Q210)/AA210)*VLOOKUP(C210,'2-Uren per locatie'!$B$15:$D$74,3,FALSE)</f>
        <v>#DIV/0!</v>
      </c>
      <c r="V210" s="295" t="e">
        <f>IF(K210="nio",0,(O210*Q210)/Z210)*VLOOKUP(C210,'2-Uren per locatie'!$B$15:$D$74,3,FALSE)</f>
        <v>#DIV/0!</v>
      </c>
      <c r="W210" s="295" t="e">
        <f>IF(K210="nio",0,(P210*Q210)/AA210)*VLOOKUP(C210,'2-Uren per locatie'!$B$15:$D$74,3,FALSE)</f>
        <v>#DIV/0!</v>
      </c>
      <c r="X210" s="485">
        <f>IF(K210="nio",0,IF(K210&gt;0,VLOOKUP(H210,'3-Productie normen'!A:F,VLOOKUP(K210,'3-Productie normen'!$B$29:$C$34,2,FALSE),FALSE)))</f>
        <v>0</v>
      </c>
      <c r="Y210" s="485">
        <f>VLOOKUP(H210,'3-Productie normen'!$A$10:$J$24,8,FALSE)*'3-Ruimtestaat'!X210</f>
        <v>0</v>
      </c>
      <c r="Z210" s="485">
        <f>VLOOKUP(H210,'3-Productie normen'!$A$10:$J$24,9,FALSE)*'3-Ruimtestaat'!X210</f>
        <v>0</v>
      </c>
      <c r="AA210" s="485">
        <f>VLOOKUP(H210,'3-Productie normen'!$A$10:$J$24,10,FALSE)*'3-Ruimtestaat'!X210</f>
        <v>0</v>
      </c>
      <c r="AB210" s="292" t="str">
        <f>IF(H210="",0,VLOOKUP(H210,'3-Productie normen'!$A$10:$N$23,14,FALSE))</f>
        <v>S</v>
      </c>
      <c r="AD210" s="296">
        <f t="shared" si="7"/>
        <v>1058.5</v>
      </c>
      <c r="AE210" s="78"/>
      <c r="AF210" s="297">
        <v>17.8</v>
      </c>
      <c r="AG210" s="297"/>
      <c r="AH210" s="297"/>
      <c r="AI210" s="297"/>
      <c r="AJ210" s="297"/>
      <c r="AK210" s="298"/>
      <c r="AL210" s="298"/>
      <c r="AM210" s="298"/>
      <c r="AN210" s="298">
        <f>Q210</f>
        <v>2.9</v>
      </c>
      <c r="AO210" s="299" t="s">
        <v>98</v>
      </c>
    </row>
    <row r="211" spans="1:41" ht="15" customHeight="1">
      <c r="A211" s="254">
        <v>211</v>
      </c>
      <c r="B211" s="253">
        <v>110</v>
      </c>
      <c r="C211" s="240" t="s">
        <v>60</v>
      </c>
      <c r="D211" s="288" t="s">
        <v>56</v>
      </c>
      <c r="E211" s="289"/>
      <c r="F211" s="239" t="s">
        <v>421</v>
      </c>
      <c r="G211" s="290" t="s">
        <v>443</v>
      </c>
      <c r="H211" s="291" t="s">
        <v>153</v>
      </c>
      <c r="I211" s="239" t="s">
        <v>299</v>
      </c>
      <c r="J211" s="424">
        <f t="shared" si="6"/>
        <v>365</v>
      </c>
      <c r="K211" s="425">
        <v>255</v>
      </c>
      <c r="L211" s="425"/>
      <c r="M211" s="425">
        <v>102</v>
      </c>
      <c r="N211" s="425"/>
      <c r="O211" s="425">
        <v>8</v>
      </c>
      <c r="P211" s="425"/>
      <c r="Q211" s="294">
        <v>2.9</v>
      </c>
      <c r="R211" s="295" t="e">
        <f>IF(K211="nio",0,(K211*Q211)/X211)*VLOOKUP(C211,'2-Uren per locatie'!$B$15:$D$74,3,FALSE)</f>
        <v>#DIV/0!</v>
      </c>
      <c r="S211" s="295" t="e">
        <f>IF(K211="nio",0,(L211*Q211)/Y211)*VLOOKUP(C211,'2-Uren per locatie'!$B$15:$D$74,3,FALSE)</f>
        <v>#DIV/0!</v>
      </c>
      <c r="T211" s="295" t="e">
        <f>IF(K211="nio",0,(M211*Q211)/Z211)*VLOOKUP(C211,'2-Uren per locatie'!$B$15:$D$74,3,FALSE)</f>
        <v>#DIV/0!</v>
      </c>
      <c r="U211" s="295" t="e">
        <f>IF(K211="nio",0,(N211*Q211)/AA211)*VLOOKUP(C211,'2-Uren per locatie'!$B$15:$D$74,3,FALSE)</f>
        <v>#DIV/0!</v>
      </c>
      <c r="V211" s="295" t="e">
        <f>IF(K211="nio",0,(O211*Q211)/Z211)*VLOOKUP(C211,'2-Uren per locatie'!$B$15:$D$74,3,FALSE)</f>
        <v>#DIV/0!</v>
      </c>
      <c r="W211" s="295" t="e">
        <f>IF(K211="nio",0,(P211*Q211)/AA211)*VLOOKUP(C211,'2-Uren per locatie'!$B$15:$D$74,3,FALSE)</f>
        <v>#DIV/0!</v>
      </c>
      <c r="X211" s="485">
        <f>IF(K211="nio",0,IF(K211&gt;0,VLOOKUP(H211,'3-Productie normen'!A:F,VLOOKUP(K211,'3-Productie normen'!$B$29:$C$34,2,FALSE),FALSE)))</f>
        <v>0</v>
      </c>
      <c r="Y211" s="485">
        <f>VLOOKUP(H211,'3-Productie normen'!$A$10:$J$24,8,FALSE)*'3-Ruimtestaat'!X211</f>
        <v>0</v>
      </c>
      <c r="Z211" s="485">
        <f>VLOOKUP(H211,'3-Productie normen'!$A$10:$J$24,9,FALSE)*'3-Ruimtestaat'!X211</f>
        <v>0</v>
      </c>
      <c r="AA211" s="485">
        <f>VLOOKUP(H211,'3-Productie normen'!$A$10:$J$24,10,FALSE)*'3-Ruimtestaat'!X211</f>
        <v>0</v>
      </c>
      <c r="AB211" s="292" t="str">
        <f>IF(H211="",0,VLOOKUP(H211,'3-Productie normen'!$A$10:$N$23,14,FALSE))</f>
        <v>S</v>
      </c>
      <c r="AD211" s="296">
        <f t="shared" si="7"/>
        <v>1058.5</v>
      </c>
      <c r="AE211" s="78"/>
      <c r="AF211" s="297">
        <v>17.8</v>
      </c>
      <c r="AG211" s="297"/>
      <c r="AH211" s="297"/>
      <c r="AI211" s="297"/>
      <c r="AJ211" s="297"/>
      <c r="AK211" s="298"/>
      <c r="AL211" s="298"/>
      <c r="AM211" s="298"/>
      <c r="AN211" s="298">
        <f>Q211</f>
        <v>2.9</v>
      </c>
      <c r="AO211" s="299" t="s">
        <v>98</v>
      </c>
    </row>
    <row r="212" spans="1:41" ht="15" customHeight="1">
      <c r="A212" s="254">
        <v>212</v>
      </c>
      <c r="B212" s="253">
        <v>110</v>
      </c>
      <c r="C212" s="240" t="s">
        <v>60</v>
      </c>
      <c r="D212" s="288" t="s">
        <v>56</v>
      </c>
      <c r="E212" s="289"/>
      <c r="F212" s="239" t="s">
        <v>444</v>
      </c>
      <c r="G212" s="290">
        <v>34</v>
      </c>
      <c r="H212" s="291" t="s">
        <v>149</v>
      </c>
      <c r="I212" s="239" t="s">
        <v>245</v>
      </c>
      <c r="J212" s="424">
        <f t="shared" si="6"/>
        <v>365</v>
      </c>
      <c r="K212" s="425">
        <v>102</v>
      </c>
      <c r="L212" s="425">
        <v>153</v>
      </c>
      <c r="M212" s="425"/>
      <c r="N212" s="425">
        <v>102</v>
      </c>
      <c r="O212" s="425"/>
      <c r="P212" s="425">
        <v>8</v>
      </c>
      <c r="Q212" s="294">
        <v>2.8</v>
      </c>
      <c r="R212" s="295" t="e">
        <f>IF(K212="nio",0,(K212*Q212)/X212)*VLOOKUP(C212,'2-Uren per locatie'!$B$15:$D$74,3,FALSE)</f>
        <v>#DIV/0!</v>
      </c>
      <c r="S212" s="295" t="e">
        <f>IF(K212="nio",0,(L212*Q212)/Y212)*VLOOKUP(C212,'2-Uren per locatie'!$B$15:$D$74,3,FALSE)</f>
        <v>#DIV/0!</v>
      </c>
      <c r="T212" s="295" t="e">
        <f>IF(K212="nio",0,(M212*Q212)/Z212)*VLOOKUP(C212,'2-Uren per locatie'!$B$15:$D$74,3,FALSE)</f>
        <v>#DIV/0!</v>
      </c>
      <c r="U212" s="295" t="e">
        <f>IF(K212="nio",0,(N212*Q212)/AA212)*VLOOKUP(C212,'2-Uren per locatie'!$B$15:$D$74,3,FALSE)</f>
        <v>#DIV/0!</v>
      </c>
      <c r="V212" s="295" t="e">
        <f>IF(K212="nio",0,(O212*Q212)/Z212)*VLOOKUP(C212,'2-Uren per locatie'!$B$15:$D$74,3,FALSE)</f>
        <v>#DIV/0!</v>
      </c>
      <c r="W212" s="295" t="e">
        <f>IF(K212="nio",0,(P212*Q212)/AA212)*VLOOKUP(C212,'2-Uren per locatie'!$B$15:$D$74,3,FALSE)</f>
        <v>#DIV/0!</v>
      </c>
      <c r="X212" s="485">
        <f>IF(K212="nio",0,IF(K212&gt;0,VLOOKUP(H212,'3-Productie normen'!A:F,VLOOKUP(K212,'3-Productie normen'!$B$29:$C$34,2,FALSE),FALSE)))</f>
        <v>0</v>
      </c>
      <c r="Y212" s="485">
        <f>VLOOKUP(H212,'3-Productie normen'!$A$10:$J$24,8,FALSE)*'3-Ruimtestaat'!X212</f>
        <v>0</v>
      </c>
      <c r="Z212" s="485">
        <f>VLOOKUP(H212,'3-Productie normen'!$A$10:$J$24,9,FALSE)*'3-Ruimtestaat'!X212</f>
        <v>0</v>
      </c>
      <c r="AA212" s="485">
        <f>VLOOKUP(H212,'3-Productie normen'!$A$10:$J$24,10,FALSE)*'3-Ruimtestaat'!X212</f>
        <v>0</v>
      </c>
      <c r="AB212" s="292" t="str">
        <f>IF(H212="",0,VLOOKUP(H212,'3-Productie normen'!$A$10:$N$23,14,FALSE))</f>
        <v>V</v>
      </c>
      <c r="AD212" s="296">
        <f t="shared" si="7"/>
        <v>1021.9999999999999</v>
      </c>
      <c r="AE212" s="78"/>
      <c r="AF212" s="297"/>
      <c r="AG212" s="297"/>
      <c r="AH212" s="297"/>
      <c r="AI212" s="297">
        <v>11.5</v>
      </c>
      <c r="AJ212" s="297">
        <v>3.5</v>
      </c>
      <c r="AK212" s="298"/>
      <c r="AL212" s="298"/>
      <c r="AM212" s="298"/>
      <c r="AN212" s="298">
        <f>Q212</f>
        <v>2.8</v>
      </c>
      <c r="AO212" s="299" t="s">
        <v>445</v>
      </c>
    </row>
    <row r="213" spans="1:41" ht="15" customHeight="1">
      <c r="A213" s="254">
        <v>213</v>
      </c>
      <c r="B213" s="253">
        <v>110</v>
      </c>
      <c r="C213" s="240" t="s">
        <v>60</v>
      </c>
      <c r="D213" s="288" t="s">
        <v>56</v>
      </c>
      <c r="E213" s="289"/>
      <c r="F213" s="239" t="s">
        <v>376</v>
      </c>
      <c r="G213" s="290" t="s">
        <v>446</v>
      </c>
      <c r="H213" s="291" t="s">
        <v>149</v>
      </c>
      <c r="I213" s="239" t="s">
        <v>447</v>
      </c>
      <c r="J213" s="424">
        <f t="shared" si="6"/>
        <v>365</v>
      </c>
      <c r="K213" s="425">
        <v>102</v>
      </c>
      <c r="L213" s="425">
        <v>153</v>
      </c>
      <c r="M213" s="425"/>
      <c r="N213" s="425">
        <v>102</v>
      </c>
      <c r="O213" s="425"/>
      <c r="P213" s="425">
        <v>8</v>
      </c>
      <c r="Q213" s="294">
        <v>5.75</v>
      </c>
      <c r="R213" s="295" t="e">
        <f>IF(K213="nio",0,(K213*Q213)/X213)*VLOOKUP(C213,'2-Uren per locatie'!$B$15:$D$74,3,FALSE)</f>
        <v>#DIV/0!</v>
      </c>
      <c r="S213" s="295" t="e">
        <f>IF(K213="nio",0,(L213*Q213)/Y213)*VLOOKUP(C213,'2-Uren per locatie'!$B$15:$D$74,3,FALSE)</f>
        <v>#DIV/0!</v>
      </c>
      <c r="T213" s="295" t="e">
        <f>IF(K213="nio",0,(M213*Q213)/Z213)*VLOOKUP(C213,'2-Uren per locatie'!$B$15:$D$74,3,FALSE)</f>
        <v>#DIV/0!</v>
      </c>
      <c r="U213" s="295" t="e">
        <f>IF(K213="nio",0,(N213*Q213)/AA213)*VLOOKUP(C213,'2-Uren per locatie'!$B$15:$D$74,3,FALSE)</f>
        <v>#DIV/0!</v>
      </c>
      <c r="V213" s="295" t="e">
        <f>IF(K213="nio",0,(O213*Q213)/Z213)*VLOOKUP(C213,'2-Uren per locatie'!$B$15:$D$74,3,FALSE)</f>
        <v>#DIV/0!</v>
      </c>
      <c r="W213" s="295" t="e">
        <f>IF(K213="nio",0,(P213*Q213)/AA213)*VLOOKUP(C213,'2-Uren per locatie'!$B$15:$D$74,3,FALSE)</f>
        <v>#DIV/0!</v>
      </c>
      <c r="X213" s="485">
        <f>IF(K213="nio",0,IF(K213&gt;0,VLOOKUP(H213,'3-Productie normen'!A:F,VLOOKUP(K213,'3-Productie normen'!$B$29:$C$34,2,FALSE),FALSE)))</f>
        <v>0</v>
      </c>
      <c r="Y213" s="485">
        <f>VLOOKUP(H213,'3-Productie normen'!$A$10:$J$24,8,FALSE)*'3-Ruimtestaat'!X213</f>
        <v>0</v>
      </c>
      <c r="Z213" s="485">
        <f>VLOOKUP(H213,'3-Productie normen'!$A$10:$J$24,9,FALSE)*'3-Ruimtestaat'!X213</f>
        <v>0</v>
      </c>
      <c r="AA213" s="485">
        <f>VLOOKUP(H213,'3-Productie normen'!$A$10:$J$24,10,FALSE)*'3-Ruimtestaat'!X213</f>
        <v>0</v>
      </c>
      <c r="AB213" s="292" t="str">
        <f>IF(H213="",0,VLOOKUP(H213,'3-Productie normen'!$A$10:$N$23,14,FALSE))</f>
        <v>V</v>
      </c>
      <c r="AD213" s="296">
        <f t="shared" si="7"/>
        <v>2098.75</v>
      </c>
      <c r="AE213" s="78"/>
      <c r="AF213" s="300" t="s">
        <v>448</v>
      </c>
      <c r="AG213" s="297"/>
      <c r="AH213" s="297"/>
      <c r="AI213" s="297"/>
      <c r="AJ213" s="297"/>
      <c r="AK213" s="298"/>
      <c r="AL213" s="298"/>
      <c r="AM213" s="298"/>
      <c r="AN213" s="298"/>
      <c r="AO213" s="299" t="s">
        <v>449</v>
      </c>
    </row>
    <row r="214" spans="1:41" ht="15" customHeight="1">
      <c r="A214" s="254">
        <v>214</v>
      </c>
      <c r="B214" s="253">
        <v>110</v>
      </c>
      <c r="C214" s="240" t="s">
        <v>60</v>
      </c>
      <c r="D214" s="288" t="s">
        <v>56</v>
      </c>
      <c r="E214" s="289"/>
      <c r="F214" s="239" t="s">
        <v>450</v>
      </c>
      <c r="G214" s="290" t="s">
        <v>451</v>
      </c>
      <c r="H214" s="291" t="s">
        <v>146</v>
      </c>
      <c r="I214" s="239" t="s">
        <v>420</v>
      </c>
      <c r="J214" s="424">
        <f t="shared" si="6"/>
        <v>183</v>
      </c>
      <c r="K214" s="425">
        <v>127</v>
      </c>
      <c r="L214" s="425"/>
      <c r="M214" s="425">
        <v>52</v>
      </c>
      <c r="N214" s="425"/>
      <c r="O214" s="425">
        <v>4</v>
      </c>
      <c r="P214" s="425"/>
      <c r="Q214" s="294">
        <v>25.79</v>
      </c>
      <c r="R214" s="295" t="e">
        <f>IF(K214="nio",0,(K214*Q214)/X214)*VLOOKUP(C214,'2-Uren per locatie'!$B$15:$D$74,3,FALSE)</f>
        <v>#DIV/0!</v>
      </c>
      <c r="S214" s="295" t="e">
        <f>IF(K214="nio",0,(L214*Q214)/Y214)*VLOOKUP(C214,'2-Uren per locatie'!$B$15:$D$74,3,FALSE)</f>
        <v>#DIV/0!</v>
      </c>
      <c r="T214" s="295" t="e">
        <f>IF(K214="nio",0,(M214*Q214)/Z214)*VLOOKUP(C214,'2-Uren per locatie'!$B$15:$D$74,3,FALSE)</f>
        <v>#DIV/0!</v>
      </c>
      <c r="U214" s="295" t="e">
        <f>IF(K214="nio",0,(N214*Q214)/AA214)*VLOOKUP(C214,'2-Uren per locatie'!$B$15:$D$74,3,FALSE)</f>
        <v>#DIV/0!</v>
      </c>
      <c r="V214" s="295" t="e">
        <f>IF(K214="nio",0,(O214*Q214)/Z214)*VLOOKUP(C214,'2-Uren per locatie'!$B$15:$D$74,3,FALSE)</f>
        <v>#DIV/0!</v>
      </c>
      <c r="W214" s="295" t="e">
        <f>IF(K214="nio",0,(P214*Q214)/AA214)*VLOOKUP(C214,'2-Uren per locatie'!$B$15:$D$74,3,FALSE)</f>
        <v>#DIV/0!</v>
      </c>
      <c r="X214" s="485">
        <f>IF(K214="nio",0,IF(K214&gt;0,VLOOKUP(H214,'3-Productie normen'!A:F,VLOOKUP(K214,'3-Productie normen'!$B$29:$C$34,2,FALSE),FALSE)))</f>
        <v>0</v>
      </c>
      <c r="Y214" s="485">
        <f>VLOOKUP(H214,'3-Productie normen'!$A$10:$J$24,8,FALSE)*'3-Ruimtestaat'!X214</f>
        <v>0</v>
      </c>
      <c r="Z214" s="485">
        <f>VLOOKUP(H214,'3-Productie normen'!$A$10:$J$24,9,FALSE)*'3-Ruimtestaat'!X214</f>
        <v>0</v>
      </c>
      <c r="AA214" s="485">
        <f>VLOOKUP(H214,'3-Productie normen'!$A$10:$J$24,10,FALSE)*'3-Ruimtestaat'!X214</f>
        <v>0</v>
      </c>
      <c r="AB214" s="292" t="str">
        <f>IF(H214="",0,VLOOKUP(H214,'3-Productie normen'!$A$10:$N$23,14,FALSE))</f>
        <v>B</v>
      </c>
      <c r="AD214" s="296">
        <f t="shared" si="7"/>
        <v>4719.57</v>
      </c>
      <c r="AE214" s="78"/>
      <c r="AF214" s="297"/>
      <c r="AG214" s="297"/>
      <c r="AH214" s="297"/>
      <c r="AI214" s="297"/>
      <c r="AJ214" s="297">
        <v>63</v>
      </c>
      <c r="AK214" s="298"/>
      <c r="AL214" s="298"/>
      <c r="AM214" s="298"/>
      <c r="AN214" s="298"/>
      <c r="AO214" s="299" t="s">
        <v>98</v>
      </c>
    </row>
    <row r="215" spans="1:41" ht="15" customHeight="1">
      <c r="A215" s="254">
        <v>215</v>
      </c>
      <c r="B215" s="253">
        <v>111</v>
      </c>
      <c r="C215" s="240" t="s">
        <v>61</v>
      </c>
      <c r="D215" s="288" t="s">
        <v>56</v>
      </c>
      <c r="E215" s="289"/>
      <c r="F215" s="239" t="s">
        <v>452</v>
      </c>
      <c r="G215" s="290" t="s">
        <v>442</v>
      </c>
      <c r="H215" s="291" t="s">
        <v>153</v>
      </c>
      <c r="I215" s="239" t="s">
        <v>203</v>
      </c>
      <c r="J215" s="424">
        <f t="shared" si="6"/>
        <v>365</v>
      </c>
      <c r="K215" s="425">
        <v>255</v>
      </c>
      <c r="L215" s="425"/>
      <c r="M215" s="425">
        <v>102</v>
      </c>
      <c r="N215" s="425"/>
      <c r="O215" s="425">
        <v>8</v>
      </c>
      <c r="P215" s="425"/>
      <c r="Q215" s="294">
        <v>3.6</v>
      </c>
      <c r="R215" s="295" t="e">
        <f>IF(K215="nio",0,(K215*Q215)/X215)*VLOOKUP(C215,'2-Uren per locatie'!$B$15:$D$74,3,FALSE)</f>
        <v>#DIV/0!</v>
      </c>
      <c r="S215" s="295" t="e">
        <f>IF(K215="nio",0,(L215*Q215)/Y215)*VLOOKUP(C215,'2-Uren per locatie'!$B$15:$D$74,3,FALSE)</f>
        <v>#DIV/0!</v>
      </c>
      <c r="T215" s="295" t="e">
        <f>IF(K215="nio",0,(M215*Q215)/Z215)*VLOOKUP(C215,'2-Uren per locatie'!$B$15:$D$74,3,FALSE)</f>
        <v>#DIV/0!</v>
      </c>
      <c r="U215" s="295" t="e">
        <f>IF(K215="nio",0,(N215*Q215)/AA215)*VLOOKUP(C215,'2-Uren per locatie'!$B$15:$D$74,3,FALSE)</f>
        <v>#DIV/0!</v>
      </c>
      <c r="V215" s="295" t="e">
        <f>IF(K215="nio",0,(O215*Q215)/Z215)*VLOOKUP(C215,'2-Uren per locatie'!$B$15:$D$74,3,FALSE)</f>
        <v>#DIV/0!</v>
      </c>
      <c r="W215" s="295" t="e">
        <f>IF(K215="nio",0,(P215*Q215)/AA215)*VLOOKUP(C215,'2-Uren per locatie'!$B$15:$D$74,3,FALSE)</f>
        <v>#DIV/0!</v>
      </c>
      <c r="X215" s="485">
        <f>IF(K215="nio",0,IF(K215&gt;0,VLOOKUP(H215,'3-Productie normen'!A:F,VLOOKUP(K215,'3-Productie normen'!$B$29:$C$34,2,FALSE),FALSE)))</f>
        <v>0</v>
      </c>
      <c r="Y215" s="485">
        <f>VLOOKUP(H215,'3-Productie normen'!$A$10:$J$24,8,FALSE)*'3-Ruimtestaat'!X215</f>
        <v>0</v>
      </c>
      <c r="Z215" s="485">
        <f>VLOOKUP(H215,'3-Productie normen'!$A$10:$J$24,9,FALSE)*'3-Ruimtestaat'!X215</f>
        <v>0</v>
      </c>
      <c r="AA215" s="485">
        <f>VLOOKUP(H215,'3-Productie normen'!$A$10:$J$24,10,FALSE)*'3-Ruimtestaat'!X215</f>
        <v>0</v>
      </c>
      <c r="AB215" s="292" t="str">
        <f>IF(H215="",0,VLOOKUP(H215,'3-Productie normen'!$A$10:$N$23,14,FALSE))</f>
        <v>S</v>
      </c>
      <c r="AD215" s="296">
        <f t="shared" si="7"/>
        <v>1314</v>
      </c>
      <c r="AE215" s="78"/>
      <c r="AF215" s="297">
        <v>19.399999999999999</v>
      </c>
      <c r="AG215" s="297"/>
      <c r="AH215" s="297"/>
      <c r="AI215" s="297"/>
      <c r="AJ215" s="297"/>
      <c r="AK215" s="298"/>
      <c r="AL215" s="298">
        <f>Q215</f>
        <v>3.6</v>
      </c>
      <c r="AM215" s="298"/>
      <c r="AN215" s="298"/>
      <c r="AO215" s="299"/>
    </row>
    <row r="216" spans="1:41" ht="15" customHeight="1">
      <c r="A216" s="254">
        <v>216</v>
      </c>
      <c r="B216" s="253">
        <v>111</v>
      </c>
      <c r="C216" s="240" t="s">
        <v>61</v>
      </c>
      <c r="D216" s="288" t="s">
        <v>56</v>
      </c>
      <c r="E216" s="289"/>
      <c r="F216" s="239" t="s">
        <v>452</v>
      </c>
      <c r="G216" s="290" t="s">
        <v>443</v>
      </c>
      <c r="H216" s="291" t="s">
        <v>153</v>
      </c>
      <c r="I216" s="239" t="s">
        <v>203</v>
      </c>
      <c r="J216" s="424">
        <f t="shared" si="6"/>
        <v>365</v>
      </c>
      <c r="K216" s="425">
        <v>255</v>
      </c>
      <c r="L216" s="425"/>
      <c r="M216" s="425">
        <v>102</v>
      </c>
      <c r="N216" s="425"/>
      <c r="O216" s="425">
        <v>8</v>
      </c>
      <c r="P216" s="425"/>
      <c r="Q216" s="294">
        <v>4.3</v>
      </c>
      <c r="R216" s="295" t="e">
        <f>IF(K216="nio",0,(K216*Q216)/X216)*VLOOKUP(C216,'2-Uren per locatie'!$B$15:$D$74,3,FALSE)</f>
        <v>#DIV/0!</v>
      </c>
      <c r="S216" s="295" t="e">
        <f>IF(K216="nio",0,(L216*Q216)/Y216)*VLOOKUP(C216,'2-Uren per locatie'!$B$15:$D$74,3,FALSE)</f>
        <v>#DIV/0!</v>
      </c>
      <c r="T216" s="295" t="e">
        <f>IF(K216="nio",0,(M216*Q216)/Z216)*VLOOKUP(C216,'2-Uren per locatie'!$B$15:$D$74,3,FALSE)</f>
        <v>#DIV/0!</v>
      </c>
      <c r="U216" s="295" t="e">
        <f>IF(K216="nio",0,(N216*Q216)/AA216)*VLOOKUP(C216,'2-Uren per locatie'!$B$15:$D$74,3,FALSE)</f>
        <v>#DIV/0!</v>
      </c>
      <c r="V216" s="295" t="e">
        <f>IF(K216="nio",0,(O216*Q216)/Z216)*VLOOKUP(C216,'2-Uren per locatie'!$B$15:$D$74,3,FALSE)</f>
        <v>#DIV/0!</v>
      </c>
      <c r="W216" s="295" t="e">
        <f>IF(K216="nio",0,(P216*Q216)/AA216)*VLOOKUP(C216,'2-Uren per locatie'!$B$15:$D$74,3,FALSE)</f>
        <v>#DIV/0!</v>
      </c>
      <c r="X216" s="485">
        <f>IF(K216="nio",0,IF(K216&gt;0,VLOOKUP(H216,'3-Productie normen'!A:F,VLOOKUP(K216,'3-Productie normen'!$B$29:$C$34,2,FALSE),FALSE)))</f>
        <v>0</v>
      </c>
      <c r="Y216" s="485">
        <f>VLOOKUP(H216,'3-Productie normen'!$A$10:$J$24,8,FALSE)*'3-Ruimtestaat'!X216</f>
        <v>0</v>
      </c>
      <c r="Z216" s="485">
        <f>VLOOKUP(H216,'3-Productie normen'!$A$10:$J$24,9,FALSE)*'3-Ruimtestaat'!X216</f>
        <v>0</v>
      </c>
      <c r="AA216" s="485">
        <f>VLOOKUP(H216,'3-Productie normen'!$A$10:$J$24,10,FALSE)*'3-Ruimtestaat'!X216</f>
        <v>0</v>
      </c>
      <c r="AB216" s="292" t="str">
        <f>IF(H216="",0,VLOOKUP(H216,'3-Productie normen'!$A$10:$N$23,14,FALSE))</f>
        <v>S</v>
      </c>
      <c r="AD216" s="296">
        <f t="shared" si="7"/>
        <v>1569.5</v>
      </c>
      <c r="AE216" s="78"/>
      <c r="AF216" s="297">
        <v>21.4</v>
      </c>
      <c r="AG216" s="297"/>
      <c r="AH216" s="297"/>
      <c r="AI216" s="297"/>
      <c r="AJ216" s="297"/>
      <c r="AK216" s="298"/>
      <c r="AL216" s="298">
        <f>Q216</f>
        <v>4.3</v>
      </c>
      <c r="AM216" s="298"/>
      <c r="AN216" s="298"/>
      <c r="AO216" s="299"/>
    </row>
    <row r="217" spans="1:41" ht="15" customHeight="1">
      <c r="A217" s="254">
        <v>217</v>
      </c>
      <c r="B217" s="253">
        <v>111</v>
      </c>
      <c r="C217" s="240" t="s">
        <v>61</v>
      </c>
      <c r="D217" s="288" t="s">
        <v>56</v>
      </c>
      <c r="E217" s="289"/>
      <c r="F217" s="239" t="s">
        <v>249</v>
      </c>
      <c r="G217" s="290" t="s">
        <v>453</v>
      </c>
      <c r="H217" s="291" t="s">
        <v>151</v>
      </c>
      <c r="I217" s="239" t="s">
        <v>384</v>
      </c>
      <c r="J217" s="424">
        <f t="shared" si="6"/>
        <v>365</v>
      </c>
      <c r="K217" s="425">
        <v>127</v>
      </c>
      <c r="L217" s="425">
        <v>126</v>
      </c>
      <c r="M217" s="425">
        <v>52</v>
      </c>
      <c r="N217" s="425">
        <v>52</v>
      </c>
      <c r="O217" s="425">
        <v>4</v>
      </c>
      <c r="P217" s="425">
        <v>4</v>
      </c>
      <c r="Q217" s="294">
        <v>2152</v>
      </c>
      <c r="R217" s="295" t="e">
        <f>IF(K217="nio",0,(K217*Q217)/X217)*VLOOKUP(C217,'2-Uren per locatie'!$B$15:$D$74,3,FALSE)</f>
        <v>#DIV/0!</v>
      </c>
      <c r="S217" s="295" t="e">
        <f>IF(K217="nio",0,(L217*Q217)/Y217)*VLOOKUP(C217,'2-Uren per locatie'!$B$15:$D$74,3,FALSE)</f>
        <v>#DIV/0!</v>
      </c>
      <c r="T217" s="295" t="e">
        <f>IF(K217="nio",0,(M217*Q217)/Z217)*VLOOKUP(C217,'2-Uren per locatie'!$B$15:$D$74,3,FALSE)</f>
        <v>#DIV/0!</v>
      </c>
      <c r="U217" s="295" t="e">
        <f>IF(K217="nio",0,(N217*Q217)/AA217)*VLOOKUP(C217,'2-Uren per locatie'!$B$15:$D$74,3,FALSE)</f>
        <v>#DIV/0!</v>
      </c>
      <c r="V217" s="295" t="e">
        <f>IF(K217="nio",0,(O217*Q217)/Z217)*VLOOKUP(C217,'2-Uren per locatie'!$B$15:$D$74,3,FALSE)</f>
        <v>#DIV/0!</v>
      </c>
      <c r="W217" s="295" t="e">
        <f>IF(K217="nio",0,(P217*Q217)/AA217)*VLOOKUP(C217,'2-Uren per locatie'!$B$15:$D$74,3,FALSE)</f>
        <v>#DIV/0!</v>
      </c>
      <c r="X217" s="485">
        <f>IF(K217="nio",0,IF(K217&gt;0,VLOOKUP(H217,'3-Productie normen'!A:F,VLOOKUP(K217,'3-Productie normen'!$B$29:$C$34,2,FALSE),FALSE)))</f>
        <v>0</v>
      </c>
      <c r="Y217" s="485">
        <f>VLOOKUP(H217,'3-Productie normen'!$A$10:$J$24,8,FALSE)*'3-Ruimtestaat'!X217</f>
        <v>0</v>
      </c>
      <c r="Z217" s="485">
        <f>VLOOKUP(H217,'3-Productie normen'!$A$10:$J$24,9,FALSE)*'3-Ruimtestaat'!X217</f>
        <v>0</v>
      </c>
      <c r="AA217" s="485">
        <f>VLOOKUP(H217,'3-Productie normen'!$A$10:$J$24,10,FALSE)*'3-Ruimtestaat'!X217</f>
        <v>0</v>
      </c>
      <c r="AB217" s="292" t="str">
        <f>IF(H217="",0,VLOOKUP(H217,'3-Productie normen'!$A$10:$N$23,14,FALSE))</f>
        <v>V</v>
      </c>
      <c r="AD217" s="296">
        <f t="shared" si="7"/>
        <v>785480</v>
      </c>
      <c r="AE217" s="78"/>
      <c r="AF217" s="297"/>
      <c r="AG217" s="297"/>
      <c r="AH217" s="297"/>
      <c r="AI217" s="297"/>
      <c r="AJ217" s="297"/>
      <c r="AK217" s="298">
        <v>2704</v>
      </c>
      <c r="AL217" s="298"/>
      <c r="AM217" s="298"/>
      <c r="AN217" s="298"/>
      <c r="AO217" s="299"/>
    </row>
    <row r="218" spans="1:41" ht="15" customHeight="1">
      <c r="A218" s="254">
        <v>218</v>
      </c>
      <c r="B218" s="253">
        <v>111</v>
      </c>
      <c r="C218" s="240" t="s">
        <v>61</v>
      </c>
      <c r="D218" s="288" t="s">
        <v>56</v>
      </c>
      <c r="E218" s="289"/>
      <c r="F218" s="239" t="s">
        <v>395</v>
      </c>
      <c r="G218" s="290" t="s">
        <v>454</v>
      </c>
      <c r="H218" s="291" t="s">
        <v>145</v>
      </c>
      <c r="I218" s="239" t="s">
        <v>203</v>
      </c>
      <c r="J218" s="424">
        <f t="shared" si="6"/>
        <v>365</v>
      </c>
      <c r="K218" s="425">
        <v>127</v>
      </c>
      <c r="L218" s="425">
        <v>126</v>
      </c>
      <c r="M218" s="425">
        <v>52</v>
      </c>
      <c r="N218" s="425">
        <v>52</v>
      </c>
      <c r="O218" s="425">
        <v>4</v>
      </c>
      <c r="P218" s="425">
        <v>4</v>
      </c>
      <c r="Q218" s="294">
        <v>100</v>
      </c>
      <c r="R218" s="295" t="e">
        <f>IF(K218="nio",0,(K218*Q218)/X218)*VLOOKUP(C218,'2-Uren per locatie'!$B$15:$D$74,3,FALSE)</f>
        <v>#DIV/0!</v>
      </c>
      <c r="S218" s="295" t="e">
        <f>IF(K218="nio",0,(L218*Q218)/Y218)*VLOOKUP(C218,'2-Uren per locatie'!$B$15:$D$74,3,FALSE)</f>
        <v>#DIV/0!</v>
      </c>
      <c r="T218" s="295" t="e">
        <f>IF(K218="nio",0,(M218*Q218)/Z218)*VLOOKUP(C218,'2-Uren per locatie'!$B$15:$D$74,3,FALSE)</f>
        <v>#DIV/0!</v>
      </c>
      <c r="U218" s="295" t="e">
        <f>IF(K218="nio",0,(N218*Q218)/AA218)*VLOOKUP(C218,'2-Uren per locatie'!$B$15:$D$74,3,FALSE)</f>
        <v>#DIV/0!</v>
      </c>
      <c r="V218" s="295" t="e">
        <f>IF(K218="nio",0,(O218*Q218)/Z218)*VLOOKUP(C218,'2-Uren per locatie'!$B$15:$D$74,3,FALSE)</f>
        <v>#DIV/0!</v>
      </c>
      <c r="W218" s="295" t="e">
        <f>IF(K218="nio",0,(P218*Q218)/AA218)*VLOOKUP(C218,'2-Uren per locatie'!$B$15:$D$74,3,FALSE)</f>
        <v>#DIV/0!</v>
      </c>
      <c r="X218" s="485">
        <f>IF(K218="nio",0,IF(K218&gt;0,VLOOKUP(H218,'3-Productie normen'!A:F,VLOOKUP(K218,'3-Productie normen'!$B$29:$C$34,2,FALSE),FALSE)))</f>
        <v>0</v>
      </c>
      <c r="Y218" s="485">
        <f>VLOOKUP(H218,'3-Productie normen'!$A$10:$J$24,8,FALSE)*'3-Ruimtestaat'!X218</f>
        <v>0</v>
      </c>
      <c r="Z218" s="485">
        <f>VLOOKUP(H218,'3-Productie normen'!$A$10:$J$24,9,FALSE)*'3-Ruimtestaat'!X218</f>
        <v>0</v>
      </c>
      <c r="AA218" s="485">
        <f>VLOOKUP(H218,'3-Productie normen'!$A$10:$J$24,10,FALSE)*'3-Ruimtestaat'!X218</f>
        <v>0</v>
      </c>
      <c r="AB218" s="292" t="str">
        <f>IF(H218="",0,VLOOKUP(H218,'3-Productie normen'!$A$10:$N$23,14,FALSE))</f>
        <v>V</v>
      </c>
      <c r="AD218" s="296">
        <f t="shared" si="7"/>
        <v>36500</v>
      </c>
      <c r="AE218" s="78"/>
      <c r="AF218" s="297"/>
      <c r="AG218" s="297"/>
      <c r="AH218" s="297"/>
      <c r="AI218" s="297"/>
      <c r="AJ218" s="297"/>
      <c r="AK218" s="298"/>
      <c r="AL218" s="298"/>
      <c r="AM218" s="298"/>
      <c r="AN218" s="298"/>
      <c r="AO218" s="299"/>
    </row>
    <row r="219" spans="1:41" ht="15" customHeight="1">
      <c r="A219" s="254">
        <v>219</v>
      </c>
      <c r="B219" s="253">
        <v>111</v>
      </c>
      <c r="C219" s="240" t="s">
        <v>61</v>
      </c>
      <c r="D219" s="288" t="s">
        <v>56</v>
      </c>
      <c r="E219" s="289"/>
      <c r="F219" s="239" t="s">
        <v>376</v>
      </c>
      <c r="G219" s="290"/>
      <c r="H219" s="291" t="s">
        <v>149</v>
      </c>
      <c r="I219" s="239" t="s">
        <v>245</v>
      </c>
      <c r="J219" s="424">
        <f t="shared" si="6"/>
        <v>365</v>
      </c>
      <c r="K219" s="425">
        <v>127</v>
      </c>
      <c r="L219" s="425">
        <v>126</v>
      </c>
      <c r="M219" s="425">
        <v>52</v>
      </c>
      <c r="N219" s="425">
        <v>52</v>
      </c>
      <c r="O219" s="425">
        <v>4</v>
      </c>
      <c r="P219" s="425">
        <v>4</v>
      </c>
      <c r="Q219" s="294">
        <v>2.5</v>
      </c>
      <c r="R219" s="295" t="e">
        <f>IF(K219="nio",0,(K219*Q219)/X219)*VLOOKUP(C219,'2-Uren per locatie'!$B$15:$D$74,3,FALSE)</f>
        <v>#DIV/0!</v>
      </c>
      <c r="S219" s="295" t="e">
        <f>IF(K219="nio",0,(L219*Q219)/Y219)*VLOOKUP(C219,'2-Uren per locatie'!$B$15:$D$74,3,FALSE)</f>
        <v>#DIV/0!</v>
      </c>
      <c r="T219" s="295" t="e">
        <f>IF(K219="nio",0,(M219*Q219)/Z219)*VLOOKUP(C219,'2-Uren per locatie'!$B$15:$D$74,3,FALSE)</f>
        <v>#DIV/0!</v>
      </c>
      <c r="U219" s="295" t="e">
        <f>IF(K219="nio",0,(N219*Q219)/AA219)*VLOOKUP(C219,'2-Uren per locatie'!$B$15:$D$74,3,FALSE)</f>
        <v>#DIV/0!</v>
      </c>
      <c r="V219" s="295" t="e">
        <f>IF(K219="nio",0,(O219*Q219)/Z219)*VLOOKUP(C219,'2-Uren per locatie'!$B$15:$D$74,3,FALSE)</f>
        <v>#DIV/0!</v>
      </c>
      <c r="W219" s="295" t="e">
        <f>IF(K219="nio",0,(P219*Q219)/AA219)*VLOOKUP(C219,'2-Uren per locatie'!$B$15:$D$74,3,FALSE)</f>
        <v>#DIV/0!</v>
      </c>
      <c r="X219" s="485">
        <f>IF(K219="nio",0,IF(K219&gt;0,VLOOKUP(H219,'3-Productie normen'!A:F,VLOOKUP(K219,'3-Productie normen'!$B$29:$C$34,2,FALSE),FALSE)))</f>
        <v>0</v>
      </c>
      <c r="Y219" s="485">
        <f>VLOOKUP(H219,'3-Productie normen'!$A$10:$J$24,8,FALSE)*'3-Ruimtestaat'!X219</f>
        <v>0</v>
      </c>
      <c r="Z219" s="485">
        <f>VLOOKUP(H219,'3-Productie normen'!$A$10:$J$24,9,FALSE)*'3-Ruimtestaat'!X219</f>
        <v>0</v>
      </c>
      <c r="AA219" s="485">
        <f>VLOOKUP(H219,'3-Productie normen'!$A$10:$J$24,10,FALSE)*'3-Ruimtestaat'!X219</f>
        <v>0</v>
      </c>
      <c r="AB219" s="292" t="str">
        <f>IF(H219="",0,VLOOKUP(H219,'3-Productie normen'!$A$10:$N$23,14,FALSE))</f>
        <v>V</v>
      </c>
      <c r="AD219" s="296">
        <f t="shared" si="7"/>
        <v>912.5</v>
      </c>
      <c r="AE219" s="78"/>
      <c r="AF219" s="297"/>
      <c r="AG219" s="297"/>
      <c r="AH219" s="297"/>
      <c r="AI219" s="297">
        <v>2.3849999999999998</v>
      </c>
      <c r="AJ219" s="297"/>
      <c r="AK219" s="298"/>
      <c r="AL219" s="298"/>
      <c r="AM219" s="298"/>
      <c r="AN219" s="298">
        <v>2.5</v>
      </c>
      <c r="AO219" s="299" t="s">
        <v>402</v>
      </c>
    </row>
    <row r="220" spans="1:41" ht="15" customHeight="1">
      <c r="A220" s="254">
        <v>220</v>
      </c>
      <c r="B220" s="253">
        <v>111</v>
      </c>
      <c r="C220" s="240" t="s">
        <v>61</v>
      </c>
      <c r="D220" s="288" t="s">
        <v>56</v>
      </c>
      <c r="E220" s="289"/>
      <c r="F220" s="239" t="s">
        <v>455</v>
      </c>
      <c r="G220" s="290"/>
      <c r="H220" s="291" t="s">
        <v>152</v>
      </c>
      <c r="I220" s="239" t="s">
        <v>216</v>
      </c>
      <c r="J220" s="424">
        <f t="shared" si="6"/>
        <v>365</v>
      </c>
      <c r="K220" s="425">
        <v>127</v>
      </c>
      <c r="L220" s="425">
        <v>126</v>
      </c>
      <c r="M220" s="425">
        <v>52</v>
      </c>
      <c r="N220" s="425">
        <v>52</v>
      </c>
      <c r="O220" s="425">
        <v>4</v>
      </c>
      <c r="P220" s="425">
        <v>4</v>
      </c>
      <c r="Q220" s="294">
        <v>55.86</v>
      </c>
      <c r="R220" s="295" t="e">
        <f>IF(K220="nio",0,(K220*Q220)/X220)*VLOOKUP(C220,'2-Uren per locatie'!$B$15:$D$74,3,FALSE)</f>
        <v>#DIV/0!</v>
      </c>
      <c r="S220" s="295" t="e">
        <f>IF(K220="nio",0,(L220*Q220)/Y220)*VLOOKUP(C220,'2-Uren per locatie'!$B$15:$D$74,3,FALSE)</f>
        <v>#DIV/0!</v>
      </c>
      <c r="T220" s="295" t="e">
        <f>IF(K220="nio",0,(M220*Q220)/Z220)*VLOOKUP(C220,'2-Uren per locatie'!$B$15:$D$74,3,FALSE)</f>
        <v>#DIV/0!</v>
      </c>
      <c r="U220" s="295" t="e">
        <f>IF(K220="nio",0,(N220*Q220)/AA220)*VLOOKUP(C220,'2-Uren per locatie'!$B$15:$D$74,3,FALSE)</f>
        <v>#DIV/0!</v>
      </c>
      <c r="V220" s="295" t="e">
        <f>IF(K220="nio",0,(O220*Q220)/Z220)*VLOOKUP(C220,'2-Uren per locatie'!$B$15:$D$74,3,FALSE)</f>
        <v>#DIV/0!</v>
      </c>
      <c r="W220" s="295" t="e">
        <f>IF(K220="nio",0,(P220*Q220)/AA220)*VLOOKUP(C220,'2-Uren per locatie'!$B$15:$D$74,3,FALSE)</f>
        <v>#DIV/0!</v>
      </c>
      <c r="X220" s="485">
        <f>IF(K220="nio",0,IF(K220&gt;0,VLOOKUP(H220,'3-Productie normen'!A:F,VLOOKUP(K220,'3-Productie normen'!$B$29:$C$34,2,FALSE),FALSE)))</f>
        <v>0</v>
      </c>
      <c r="Y220" s="485">
        <f>VLOOKUP(H220,'3-Productie normen'!$A$10:$J$24,8,FALSE)*'3-Ruimtestaat'!X220</f>
        <v>0</v>
      </c>
      <c r="Z220" s="485">
        <f>VLOOKUP(H220,'3-Productie normen'!$A$10:$J$24,9,FALSE)*'3-Ruimtestaat'!X220</f>
        <v>0</v>
      </c>
      <c r="AA220" s="485">
        <f>VLOOKUP(H220,'3-Productie normen'!$A$10:$J$24,10,FALSE)*'3-Ruimtestaat'!X220</f>
        <v>0</v>
      </c>
      <c r="AB220" s="292" t="str">
        <f>IF(H220="",0,VLOOKUP(H220,'3-Productie normen'!$A$10:$N$23,14,FALSE))</f>
        <v>V</v>
      </c>
      <c r="AD220" s="296">
        <f t="shared" si="7"/>
        <v>20388.900000000001</v>
      </c>
      <c r="AE220" s="78"/>
      <c r="AF220" s="297"/>
      <c r="AG220" s="297"/>
      <c r="AH220" s="297"/>
      <c r="AI220" s="297"/>
      <c r="AJ220" s="297"/>
      <c r="AK220" s="298"/>
      <c r="AL220" s="298"/>
      <c r="AM220" s="298"/>
      <c r="AN220" s="298"/>
      <c r="AO220" s="299"/>
    </row>
    <row r="221" spans="1:41" ht="15" customHeight="1">
      <c r="A221" s="254">
        <v>221</v>
      </c>
      <c r="B221" s="253">
        <v>111</v>
      </c>
      <c r="C221" s="240" t="s">
        <v>61</v>
      </c>
      <c r="D221" s="288" t="s">
        <v>56</v>
      </c>
      <c r="E221" s="289"/>
      <c r="F221" s="239" t="s">
        <v>456</v>
      </c>
      <c r="G221" s="290"/>
      <c r="H221" s="291" t="s">
        <v>152</v>
      </c>
      <c r="I221" s="239" t="s">
        <v>216</v>
      </c>
      <c r="J221" s="424">
        <f t="shared" si="6"/>
        <v>365</v>
      </c>
      <c r="K221" s="425">
        <v>127</v>
      </c>
      <c r="L221" s="425">
        <v>126</v>
      </c>
      <c r="M221" s="425">
        <v>52</v>
      </c>
      <c r="N221" s="425">
        <v>52</v>
      </c>
      <c r="O221" s="425">
        <v>4</v>
      </c>
      <c r="P221" s="425">
        <v>4</v>
      </c>
      <c r="Q221" s="294">
        <v>55.86</v>
      </c>
      <c r="R221" s="295" t="e">
        <f>IF(K221="nio",0,(K221*Q221)/X221)*VLOOKUP(C221,'2-Uren per locatie'!$B$15:$D$74,3,FALSE)</f>
        <v>#DIV/0!</v>
      </c>
      <c r="S221" s="295" t="e">
        <f>IF(K221="nio",0,(L221*Q221)/Y221)*VLOOKUP(C221,'2-Uren per locatie'!$B$15:$D$74,3,FALSE)</f>
        <v>#DIV/0!</v>
      </c>
      <c r="T221" s="295" t="e">
        <f>IF(K221="nio",0,(M221*Q221)/Z221)*VLOOKUP(C221,'2-Uren per locatie'!$B$15:$D$74,3,FALSE)</f>
        <v>#DIV/0!</v>
      </c>
      <c r="U221" s="295" t="e">
        <f>IF(K221="nio",0,(N221*Q221)/AA221)*VLOOKUP(C221,'2-Uren per locatie'!$B$15:$D$74,3,FALSE)</f>
        <v>#DIV/0!</v>
      </c>
      <c r="V221" s="295" t="e">
        <f>IF(K221="nio",0,(O221*Q221)/Z221)*VLOOKUP(C221,'2-Uren per locatie'!$B$15:$D$74,3,FALSE)</f>
        <v>#DIV/0!</v>
      </c>
      <c r="W221" s="295" t="e">
        <f>IF(K221="nio",0,(P221*Q221)/AA221)*VLOOKUP(C221,'2-Uren per locatie'!$B$15:$D$74,3,FALSE)</f>
        <v>#DIV/0!</v>
      </c>
      <c r="X221" s="485">
        <f>IF(K221="nio",0,IF(K221&gt;0,VLOOKUP(H221,'3-Productie normen'!A:F,VLOOKUP(K221,'3-Productie normen'!$B$29:$C$34,2,FALSE),FALSE)))</f>
        <v>0</v>
      </c>
      <c r="Y221" s="485">
        <f>VLOOKUP(H221,'3-Productie normen'!$A$10:$J$24,8,FALSE)*'3-Ruimtestaat'!X221</f>
        <v>0</v>
      </c>
      <c r="Z221" s="485">
        <f>VLOOKUP(H221,'3-Productie normen'!$A$10:$J$24,9,FALSE)*'3-Ruimtestaat'!X221</f>
        <v>0</v>
      </c>
      <c r="AA221" s="485">
        <f>VLOOKUP(H221,'3-Productie normen'!$A$10:$J$24,10,FALSE)*'3-Ruimtestaat'!X221</f>
        <v>0</v>
      </c>
      <c r="AB221" s="292" t="str">
        <f>IF(H221="",0,VLOOKUP(H221,'3-Productie normen'!$A$10:$N$23,14,FALSE))</f>
        <v>V</v>
      </c>
      <c r="AD221" s="296">
        <f t="shared" si="7"/>
        <v>20388.900000000001</v>
      </c>
      <c r="AE221" s="78"/>
      <c r="AF221" s="297"/>
      <c r="AG221" s="297"/>
      <c r="AH221" s="297"/>
      <c r="AI221" s="297"/>
      <c r="AJ221" s="297"/>
      <c r="AK221" s="298"/>
      <c r="AL221" s="298"/>
      <c r="AM221" s="298"/>
      <c r="AN221" s="298"/>
      <c r="AO221" s="299"/>
    </row>
    <row r="222" spans="1:41" ht="15" customHeight="1">
      <c r="A222" s="254">
        <v>222</v>
      </c>
      <c r="B222" s="253">
        <v>111</v>
      </c>
      <c r="C222" s="240" t="s">
        <v>61</v>
      </c>
      <c r="D222" s="288" t="s">
        <v>56</v>
      </c>
      <c r="E222" s="289"/>
      <c r="F222" s="239" t="s">
        <v>457</v>
      </c>
      <c r="G222" s="290"/>
      <c r="H222" s="291" t="s">
        <v>152</v>
      </c>
      <c r="I222" s="239" t="s">
        <v>216</v>
      </c>
      <c r="J222" s="424">
        <f t="shared" si="6"/>
        <v>365</v>
      </c>
      <c r="K222" s="425">
        <v>127</v>
      </c>
      <c r="L222" s="425">
        <v>126</v>
      </c>
      <c r="M222" s="425">
        <v>52</v>
      </c>
      <c r="N222" s="425">
        <v>52</v>
      </c>
      <c r="O222" s="425">
        <v>4</v>
      </c>
      <c r="P222" s="425">
        <v>4</v>
      </c>
      <c r="Q222" s="294">
        <v>55.86</v>
      </c>
      <c r="R222" s="295" t="e">
        <f>IF(K222="nio",0,(K222*Q222)/X222)*VLOOKUP(C222,'2-Uren per locatie'!$B$15:$D$74,3,FALSE)</f>
        <v>#DIV/0!</v>
      </c>
      <c r="S222" s="295" t="e">
        <f>IF(K222="nio",0,(L222*Q222)/Y222)*VLOOKUP(C222,'2-Uren per locatie'!$B$15:$D$74,3,FALSE)</f>
        <v>#DIV/0!</v>
      </c>
      <c r="T222" s="295" t="e">
        <f>IF(K222="nio",0,(M222*Q222)/Z222)*VLOOKUP(C222,'2-Uren per locatie'!$B$15:$D$74,3,FALSE)</f>
        <v>#DIV/0!</v>
      </c>
      <c r="U222" s="295" t="e">
        <f>IF(K222="nio",0,(N222*Q222)/AA222)*VLOOKUP(C222,'2-Uren per locatie'!$B$15:$D$74,3,FALSE)</f>
        <v>#DIV/0!</v>
      </c>
      <c r="V222" s="295" t="e">
        <f>IF(K222="nio",0,(O222*Q222)/Z222)*VLOOKUP(C222,'2-Uren per locatie'!$B$15:$D$74,3,FALSE)</f>
        <v>#DIV/0!</v>
      </c>
      <c r="W222" s="295" t="e">
        <f>IF(K222="nio",0,(P222*Q222)/AA222)*VLOOKUP(C222,'2-Uren per locatie'!$B$15:$D$74,3,FALSE)</f>
        <v>#DIV/0!</v>
      </c>
      <c r="X222" s="485">
        <f>IF(K222="nio",0,IF(K222&gt;0,VLOOKUP(H222,'3-Productie normen'!A:F,VLOOKUP(K222,'3-Productie normen'!$B$29:$C$34,2,FALSE),FALSE)))</f>
        <v>0</v>
      </c>
      <c r="Y222" s="485">
        <f>VLOOKUP(H222,'3-Productie normen'!$A$10:$J$24,8,FALSE)*'3-Ruimtestaat'!X222</f>
        <v>0</v>
      </c>
      <c r="Z222" s="485">
        <f>VLOOKUP(H222,'3-Productie normen'!$A$10:$J$24,9,FALSE)*'3-Ruimtestaat'!X222</f>
        <v>0</v>
      </c>
      <c r="AA222" s="485">
        <f>VLOOKUP(H222,'3-Productie normen'!$A$10:$J$24,10,FALSE)*'3-Ruimtestaat'!X222</f>
        <v>0</v>
      </c>
      <c r="AB222" s="292" t="str">
        <f>IF(H222="",0,VLOOKUP(H222,'3-Productie normen'!$A$10:$N$23,14,FALSE))</f>
        <v>V</v>
      </c>
      <c r="AD222" s="296">
        <f t="shared" si="7"/>
        <v>20388.900000000001</v>
      </c>
      <c r="AE222" s="78"/>
      <c r="AF222" s="297"/>
      <c r="AG222" s="297"/>
      <c r="AH222" s="297"/>
      <c r="AI222" s="297"/>
      <c r="AJ222" s="297"/>
      <c r="AK222" s="298"/>
      <c r="AL222" s="298"/>
      <c r="AM222" s="298"/>
      <c r="AN222" s="298"/>
      <c r="AO222" s="299"/>
    </row>
    <row r="223" spans="1:41" ht="15" customHeight="1">
      <c r="A223" s="254">
        <v>223</v>
      </c>
      <c r="B223" s="253">
        <v>111</v>
      </c>
      <c r="C223" s="240" t="s">
        <v>61</v>
      </c>
      <c r="D223" s="288" t="s">
        <v>56</v>
      </c>
      <c r="E223" s="289"/>
      <c r="F223" s="239" t="s">
        <v>390</v>
      </c>
      <c r="G223" s="290"/>
      <c r="H223" s="291" t="s">
        <v>155</v>
      </c>
      <c r="I223" s="239" t="s">
        <v>392</v>
      </c>
      <c r="J223" s="424">
        <f t="shared" si="6"/>
        <v>365</v>
      </c>
      <c r="K223" s="425">
        <v>127</v>
      </c>
      <c r="L223" s="425">
        <v>126</v>
      </c>
      <c r="M223" s="425">
        <v>52</v>
      </c>
      <c r="N223" s="425">
        <v>52</v>
      </c>
      <c r="O223" s="425">
        <v>4</v>
      </c>
      <c r="P223" s="425">
        <v>4</v>
      </c>
      <c r="Q223" s="294">
        <v>147.63000000000002</v>
      </c>
      <c r="R223" s="295" t="e">
        <f>IF(K223="nio",0,(K223*Q223)/X223)*VLOOKUP(C223,'2-Uren per locatie'!$B$15:$D$74,3,FALSE)</f>
        <v>#DIV/0!</v>
      </c>
      <c r="S223" s="295" t="e">
        <f>IF(K223="nio",0,(L223*Q223)/Y223)*VLOOKUP(C223,'2-Uren per locatie'!$B$15:$D$74,3,FALSE)</f>
        <v>#DIV/0!</v>
      </c>
      <c r="T223" s="295" t="e">
        <f>IF(K223="nio",0,(M223*Q223)/Z223)*VLOOKUP(C223,'2-Uren per locatie'!$B$15:$D$74,3,FALSE)</f>
        <v>#DIV/0!</v>
      </c>
      <c r="U223" s="295" t="e">
        <f>IF(K223="nio",0,(N223*Q223)/AA223)*VLOOKUP(C223,'2-Uren per locatie'!$B$15:$D$74,3,FALSE)</f>
        <v>#DIV/0!</v>
      </c>
      <c r="V223" s="295" t="e">
        <f>IF(K223="nio",0,(O223*Q223)/Z223)*VLOOKUP(C223,'2-Uren per locatie'!$B$15:$D$74,3,FALSE)</f>
        <v>#DIV/0!</v>
      </c>
      <c r="W223" s="295" t="e">
        <f>IF(K223="nio",0,(P223*Q223)/AA223)*VLOOKUP(C223,'2-Uren per locatie'!$B$15:$D$74,3,FALSE)</f>
        <v>#DIV/0!</v>
      </c>
      <c r="X223" s="485">
        <f>IF(K223="nio",0,IF(K223&gt;0,VLOOKUP(H223,'3-Productie normen'!A:F,VLOOKUP(K223,'3-Productie normen'!$B$29:$C$34,2,FALSE),FALSE)))</f>
        <v>0</v>
      </c>
      <c r="Y223" s="485">
        <f>VLOOKUP(H223,'3-Productie normen'!$A$10:$J$24,8,FALSE)*'3-Ruimtestaat'!X223</f>
        <v>0</v>
      </c>
      <c r="Z223" s="485">
        <f>VLOOKUP(H223,'3-Productie normen'!$A$10:$J$24,9,FALSE)*'3-Ruimtestaat'!X223</f>
        <v>0</v>
      </c>
      <c r="AA223" s="485">
        <f>VLOOKUP(H223,'3-Productie normen'!$A$10:$J$24,10,FALSE)*'3-Ruimtestaat'!X223</f>
        <v>0</v>
      </c>
      <c r="AB223" s="292" t="str">
        <f>IF(H223="",0,VLOOKUP(H223,'3-Productie normen'!$A$10:$N$23,14,FALSE))</f>
        <v>V</v>
      </c>
      <c r="AD223" s="296">
        <f t="shared" si="7"/>
        <v>53884.950000000012</v>
      </c>
      <c r="AE223" s="78"/>
      <c r="AF223" s="297"/>
      <c r="AG223" s="297"/>
      <c r="AH223" s="297"/>
      <c r="AI223" s="297">
        <f>12*3+14*0.93*0.57+11*1.4*0.57</f>
        <v>52.199399999999997</v>
      </c>
      <c r="AJ223" s="297"/>
      <c r="AK223" s="298"/>
      <c r="AL223" s="298"/>
      <c r="AM223" s="298"/>
      <c r="AN223" s="298"/>
      <c r="AO223" s="299"/>
    </row>
    <row r="224" spans="1:41" ht="15" customHeight="1">
      <c r="A224" s="254">
        <v>224</v>
      </c>
      <c r="B224" s="253">
        <v>112</v>
      </c>
      <c r="C224" s="240" t="s">
        <v>62</v>
      </c>
      <c r="D224" s="288" t="s">
        <v>56</v>
      </c>
      <c r="E224" s="289"/>
      <c r="F224" s="239" t="s">
        <v>395</v>
      </c>
      <c r="G224" s="290" t="s">
        <v>396</v>
      </c>
      <c r="H224" s="291" t="s">
        <v>145</v>
      </c>
      <c r="I224" s="239" t="s">
        <v>203</v>
      </c>
      <c r="J224" s="424">
        <f t="shared" si="6"/>
        <v>365</v>
      </c>
      <c r="K224" s="425">
        <v>127</v>
      </c>
      <c r="L224" s="425">
        <v>126</v>
      </c>
      <c r="M224" s="425">
        <v>52</v>
      </c>
      <c r="N224" s="425">
        <v>52</v>
      </c>
      <c r="O224" s="425">
        <v>4</v>
      </c>
      <c r="P224" s="425">
        <v>4</v>
      </c>
      <c r="Q224" s="294">
        <v>181.72</v>
      </c>
      <c r="R224" s="295" t="e">
        <f>IF(K224="nio",0,(K224*Q224)/X224)*VLOOKUP(C224,'2-Uren per locatie'!$B$15:$D$74,3,FALSE)</f>
        <v>#DIV/0!</v>
      </c>
      <c r="S224" s="295" t="e">
        <f>IF(K224="nio",0,(L224*Q224)/Y224)*VLOOKUP(C224,'2-Uren per locatie'!$B$15:$D$74,3,FALSE)</f>
        <v>#DIV/0!</v>
      </c>
      <c r="T224" s="295" t="e">
        <f>IF(K224="nio",0,(M224*Q224)/Z224)*VLOOKUP(C224,'2-Uren per locatie'!$B$15:$D$74,3,FALSE)</f>
        <v>#DIV/0!</v>
      </c>
      <c r="U224" s="295" t="e">
        <f>IF(K224="nio",0,(N224*Q224)/AA224)*VLOOKUP(C224,'2-Uren per locatie'!$B$15:$D$74,3,FALSE)</f>
        <v>#DIV/0!</v>
      </c>
      <c r="V224" s="295" t="e">
        <f>IF(K224="nio",0,(O224*Q224)/Z224)*VLOOKUP(C224,'2-Uren per locatie'!$B$15:$D$74,3,FALSE)</f>
        <v>#DIV/0!</v>
      </c>
      <c r="W224" s="295" t="e">
        <f>IF(K224="nio",0,(P224*Q224)/AA224)*VLOOKUP(C224,'2-Uren per locatie'!$B$15:$D$74,3,FALSE)</f>
        <v>#DIV/0!</v>
      </c>
      <c r="X224" s="485">
        <f>IF(K224="nio",0,IF(K224&gt;0,VLOOKUP(H224,'3-Productie normen'!A:F,VLOOKUP(K224,'3-Productie normen'!$B$29:$C$34,2,FALSE),FALSE)))</f>
        <v>0</v>
      </c>
      <c r="Y224" s="485">
        <f>VLOOKUP(H224,'3-Productie normen'!$A$10:$J$24,8,FALSE)*'3-Ruimtestaat'!X224</f>
        <v>0</v>
      </c>
      <c r="Z224" s="485">
        <f>VLOOKUP(H224,'3-Productie normen'!$A$10:$J$24,9,FALSE)*'3-Ruimtestaat'!X224</f>
        <v>0</v>
      </c>
      <c r="AA224" s="485">
        <f>VLOOKUP(H224,'3-Productie normen'!$A$10:$J$24,10,FALSE)*'3-Ruimtestaat'!X224</f>
        <v>0</v>
      </c>
      <c r="AB224" s="292" t="str">
        <f>IF(H224="",0,VLOOKUP(H224,'3-Productie normen'!$A$10:$N$23,14,FALSE))</f>
        <v>V</v>
      </c>
      <c r="AD224" s="296">
        <f t="shared" si="7"/>
        <v>66327.8</v>
      </c>
      <c r="AE224" s="78"/>
      <c r="AF224" s="297"/>
      <c r="AG224" s="297"/>
      <c r="AH224" s="297"/>
      <c r="AI224" s="297">
        <v>20</v>
      </c>
      <c r="AJ224" s="297">
        <v>590</v>
      </c>
      <c r="AK224" s="298"/>
      <c r="AL224" s="298"/>
      <c r="AM224" s="298"/>
      <c r="AN224" s="298"/>
      <c r="AO224" s="299"/>
    </row>
    <row r="225" spans="1:41" ht="15" customHeight="1">
      <c r="A225" s="254">
        <v>225</v>
      </c>
      <c r="B225" s="253">
        <v>112</v>
      </c>
      <c r="C225" s="240" t="s">
        <v>62</v>
      </c>
      <c r="D225" s="288" t="s">
        <v>56</v>
      </c>
      <c r="E225" s="289"/>
      <c r="F225" s="239" t="s">
        <v>395</v>
      </c>
      <c r="G225" s="290" t="s">
        <v>441</v>
      </c>
      <c r="H225" s="291" t="s">
        <v>145</v>
      </c>
      <c r="I225" s="239" t="s">
        <v>203</v>
      </c>
      <c r="J225" s="424">
        <f t="shared" si="6"/>
        <v>365</v>
      </c>
      <c r="K225" s="425">
        <v>127</v>
      </c>
      <c r="L225" s="425">
        <v>126</v>
      </c>
      <c r="M225" s="425">
        <v>52</v>
      </c>
      <c r="N225" s="425">
        <v>52</v>
      </c>
      <c r="O225" s="425">
        <v>4</v>
      </c>
      <c r="P225" s="425">
        <v>4</v>
      </c>
      <c r="Q225" s="294">
        <v>149.87</v>
      </c>
      <c r="R225" s="295" t="e">
        <f>IF(K225="nio",0,(K225*Q225)/X225)*VLOOKUP(C225,'2-Uren per locatie'!$B$15:$D$74,3,FALSE)</f>
        <v>#DIV/0!</v>
      </c>
      <c r="S225" s="295" t="e">
        <f>IF(K225="nio",0,(L225*Q225)/Y225)*VLOOKUP(C225,'2-Uren per locatie'!$B$15:$D$74,3,FALSE)</f>
        <v>#DIV/0!</v>
      </c>
      <c r="T225" s="295" t="e">
        <f>IF(K225="nio",0,(M225*Q225)/Z225)*VLOOKUP(C225,'2-Uren per locatie'!$B$15:$D$74,3,FALSE)</f>
        <v>#DIV/0!</v>
      </c>
      <c r="U225" s="295" t="e">
        <f>IF(K225="nio",0,(N225*Q225)/AA225)*VLOOKUP(C225,'2-Uren per locatie'!$B$15:$D$74,3,FALSE)</f>
        <v>#DIV/0!</v>
      </c>
      <c r="V225" s="295" t="e">
        <f>IF(K225="nio",0,(O225*Q225)/Z225)*VLOOKUP(C225,'2-Uren per locatie'!$B$15:$D$74,3,FALSE)</f>
        <v>#DIV/0!</v>
      </c>
      <c r="W225" s="295" t="e">
        <f>IF(K225="nio",0,(P225*Q225)/AA225)*VLOOKUP(C225,'2-Uren per locatie'!$B$15:$D$74,3,FALSE)</f>
        <v>#DIV/0!</v>
      </c>
      <c r="X225" s="485">
        <f>IF(K225="nio",0,IF(K225&gt;0,VLOOKUP(H225,'3-Productie normen'!A:F,VLOOKUP(K225,'3-Productie normen'!$B$29:$C$34,2,FALSE),FALSE)))</f>
        <v>0</v>
      </c>
      <c r="Y225" s="485">
        <f>VLOOKUP(H225,'3-Productie normen'!$A$10:$J$24,8,FALSE)*'3-Ruimtestaat'!X225</f>
        <v>0</v>
      </c>
      <c r="Z225" s="485">
        <f>VLOOKUP(H225,'3-Productie normen'!$A$10:$J$24,9,FALSE)*'3-Ruimtestaat'!X225</f>
        <v>0</v>
      </c>
      <c r="AA225" s="485">
        <f>VLOOKUP(H225,'3-Productie normen'!$A$10:$J$24,10,FALSE)*'3-Ruimtestaat'!X225</f>
        <v>0</v>
      </c>
      <c r="AB225" s="292" t="str">
        <f>IF(H225="",0,VLOOKUP(H225,'3-Productie normen'!$A$10:$N$23,14,FALSE))</f>
        <v>V</v>
      </c>
      <c r="AD225" s="296">
        <f t="shared" si="7"/>
        <v>54702.55</v>
      </c>
      <c r="AE225" s="78"/>
      <c r="AF225" s="297"/>
      <c r="AG225" s="297"/>
      <c r="AH225" s="297"/>
      <c r="AI225" s="297">
        <v>20</v>
      </c>
      <c r="AJ225" s="297">
        <v>593</v>
      </c>
      <c r="AK225" s="298"/>
      <c r="AL225" s="298"/>
      <c r="AM225" s="298"/>
      <c r="AN225" s="298"/>
      <c r="AO225" s="299"/>
    </row>
    <row r="226" spans="1:41" ht="15" customHeight="1">
      <c r="A226" s="254">
        <v>226</v>
      </c>
      <c r="B226" s="253">
        <v>112</v>
      </c>
      <c r="C226" s="240" t="s">
        <v>62</v>
      </c>
      <c r="D226" s="288" t="s">
        <v>56</v>
      </c>
      <c r="E226" s="289"/>
      <c r="F226" s="239" t="s">
        <v>423</v>
      </c>
      <c r="G226" s="290" t="s">
        <v>442</v>
      </c>
      <c r="H226" s="291" t="s">
        <v>153</v>
      </c>
      <c r="I226" s="239" t="s">
        <v>299</v>
      </c>
      <c r="J226" s="424">
        <f t="shared" si="6"/>
        <v>365</v>
      </c>
      <c r="K226" s="425">
        <v>255</v>
      </c>
      <c r="L226" s="425"/>
      <c r="M226" s="425">
        <v>102</v>
      </c>
      <c r="N226" s="425"/>
      <c r="O226" s="425">
        <v>8</v>
      </c>
      <c r="P226" s="425"/>
      <c r="Q226" s="294">
        <v>2.6</v>
      </c>
      <c r="R226" s="295" t="e">
        <f>IF(K226="nio",0,(K226*Q226)/X226)*VLOOKUP(C226,'2-Uren per locatie'!$B$15:$D$74,3,FALSE)</f>
        <v>#DIV/0!</v>
      </c>
      <c r="S226" s="295" t="e">
        <f>IF(K226="nio",0,(L226*Q226)/Y226)*VLOOKUP(C226,'2-Uren per locatie'!$B$15:$D$74,3,FALSE)</f>
        <v>#DIV/0!</v>
      </c>
      <c r="T226" s="295" t="e">
        <f>IF(K226="nio",0,(M226*Q226)/Z226)*VLOOKUP(C226,'2-Uren per locatie'!$B$15:$D$74,3,FALSE)</f>
        <v>#DIV/0!</v>
      </c>
      <c r="U226" s="295" t="e">
        <f>IF(K226="nio",0,(N226*Q226)/AA226)*VLOOKUP(C226,'2-Uren per locatie'!$B$15:$D$74,3,FALSE)</f>
        <v>#DIV/0!</v>
      </c>
      <c r="V226" s="295" t="e">
        <f>IF(K226="nio",0,(O226*Q226)/Z226)*VLOOKUP(C226,'2-Uren per locatie'!$B$15:$D$74,3,FALSE)</f>
        <v>#DIV/0!</v>
      </c>
      <c r="W226" s="295" t="e">
        <f>IF(K226="nio",0,(P226*Q226)/AA226)*VLOOKUP(C226,'2-Uren per locatie'!$B$15:$D$74,3,FALSE)</f>
        <v>#DIV/0!</v>
      </c>
      <c r="X226" s="485">
        <f>IF(K226="nio",0,IF(K226&gt;0,VLOOKUP(H226,'3-Productie normen'!A:F,VLOOKUP(K226,'3-Productie normen'!$B$29:$C$34,2,FALSE),FALSE)))</f>
        <v>0</v>
      </c>
      <c r="Y226" s="485">
        <f>VLOOKUP(H226,'3-Productie normen'!$A$10:$J$24,8,FALSE)*'3-Ruimtestaat'!X226</f>
        <v>0</v>
      </c>
      <c r="Z226" s="485">
        <f>VLOOKUP(H226,'3-Productie normen'!$A$10:$J$24,9,FALSE)*'3-Ruimtestaat'!X226</f>
        <v>0</v>
      </c>
      <c r="AA226" s="485">
        <f>VLOOKUP(H226,'3-Productie normen'!$A$10:$J$24,10,FALSE)*'3-Ruimtestaat'!X226</f>
        <v>0</v>
      </c>
      <c r="AB226" s="292" t="str">
        <f>IF(H226="",0,VLOOKUP(H226,'3-Productie normen'!$A$10:$N$23,14,FALSE))</f>
        <v>S</v>
      </c>
      <c r="AD226" s="296">
        <f t="shared" si="7"/>
        <v>949</v>
      </c>
      <c r="AE226" s="78"/>
      <c r="AF226" s="297">
        <f>21.6-3*1.9</f>
        <v>15.900000000000002</v>
      </c>
      <c r="AG226" s="297"/>
      <c r="AH226" s="297"/>
      <c r="AI226" s="297"/>
      <c r="AJ226" s="297"/>
      <c r="AK226" s="298"/>
      <c r="AL226" s="298"/>
      <c r="AM226" s="298">
        <f>Q226</f>
        <v>2.6</v>
      </c>
      <c r="AN226" s="298"/>
      <c r="AO226" s="299"/>
    </row>
    <row r="227" spans="1:41" ht="15" customHeight="1">
      <c r="A227" s="254">
        <v>227</v>
      </c>
      <c r="B227" s="253">
        <v>112</v>
      </c>
      <c r="C227" s="240" t="s">
        <v>62</v>
      </c>
      <c r="D227" s="288" t="s">
        <v>56</v>
      </c>
      <c r="E227" s="289"/>
      <c r="F227" s="239" t="s">
        <v>421</v>
      </c>
      <c r="G227" s="290" t="s">
        <v>443</v>
      </c>
      <c r="H227" s="291" t="s">
        <v>153</v>
      </c>
      <c r="I227" s="239" t="s">
        <v>299</v>
      </c>
      <c r="J227" s="424">
        <f t="shared" si="6"/>
        <v>365</v>
      </c>
      <c r="K227" s="425">
        <v>255</v>
      </c>
      <c r="L227" s="425"/>
      <c r="M227" s="425">
        <v>102</v>
      </c>
      <c r="N227" s="425"/>
      <c r="O227" s="425">
        <v>8</v>
      </c>
      <c r="P227" s="425"/>
      <c r="Q227" s="294">
        <v>2.6</v>
      </c>
      <c r="R227" s="295" t="e">
        <f>IF(K227="nio",0,(K227*Q227)/X227)*VLOOKUP(C227,'2-Uren per locatie'!$B$15:$D$74,3,FALSE)</f>
        <v>#DIV/0!</v>
      </c>
      <c r="S227" s="295" t="e">
        <f>IF(K227="nio",0,(L227*Q227)/Y227)*VLOOKUP(C227,'2-Uren per locatie'!$B$15:$D$74,3,FALSE)</f>
        <v>#DIV/0!</v>
      </c>
      <c r="T227" s="295" t="e">
        <f>IF(K227="nio",0,(M227*Q227)/Z227)*VLOOKUP(C227,'2-Uren per locatie'!$B$15:$D$74,3,FALSE)</f>
        <v>#DIV/0!</v>
      </c>
      <c r="U227" s="295" t="e">
        <f>IF(K227="nio",0,(N227*Q227)/AA227)*VLOOKUP(C227,'2-Uren per locatie'!$B$15:$D$74,3,FALSE)</f>
        <v>#DIV/0!</v>
      </c>
      <c r="V227" s="295" t="e">
        <f>IF(K227="nio",0,(O227*Q227)/Z227)*VLOOKUP(C227,'2-Uren per locatie'!$B$15:$D$74,3,FALSE)</f>
        <v>#DIV/0!</v>
      </c>
      <c r="W227" s="295" t="e">
        <f>IF(K227="nio",0,(P227*Q227)/AA227)*VLOOKUP(C227,'2-Uren per locatie'!$B$15:$D$74,3,FALSE)</f>
        <v>#DIV/0!</v>
      </c>
      <c r="X227" s="485">
        <f>IF(K227="nio",0,IF(K227&gt;0,VLOOKUP(H227,'3-Productie normen'!A:F,VLOOKUP(K227,'3-Productie normen'!$B$29:$C$34,2,FALSE),FALSE)))</f>
        <v>0</v>
      </c>
      <c r="Y227" s="485">
        <f>VLOOKUP(H227,'3-Productie normen'!$A$10:$J$24,8,FALSE)*'3-Ruimtestaat'!X227</f>
        <v>0</v>
      </c>
      <c r="Z227" s="485">
        <f>VLOOKUP(H227,'3-Productie normen'!$A$10:$J$24,9,FALSE)*'3-Ruimtestaat'!X227</f>
        <v>0</v>
      </c>
      <c r="AA227" s="485">
        <f>VLOOKUP(H227,'3-Productie normen'!$A$10:$J$24,10,FALSE)*'3-Ruimtestaat'!X227</f>
        <v>0</v>
      </c>
      <c r="AB227" s="292" t="str">
        <f>IF(H227="",0,VLOOKUP(H227,'3-Productie normen'!$A$10:$N$23,14,FALSE))</f>
        <v>S</v>
      </c>
      <c r="AD227" s="296">
        <f t="shared" si="7"/>
        <v>949</v>
      </c>
      <c r="AE227" s="78"/>
      <c r="AF227" s="297">
        <f>21.6-3*1.9</f>
        <v>15.900000000000002</v>
      </c>
      <c r="AG227" s="297"/>
      <c r="AH227" s="297"/>
      <c r="AI227" s="297"/>
      <c r="AJ227" s="297"/>
      <c r="AK227" s="298"/>
      <c r="AL227" s="298"/>
      <c r="AM227" s="298">
        <f>Q227</f>
        <v>2.6</v>
      </c>
      <c r="AN227" s="298"/>
      <c r="AO227" s="299"/>
    </row>
    <row r="228" spans="1:41" ht="15" customHeight="1">
      <c r="A228" s="254">
        <v>228</v>
      </c>
      <c r="B228" s="253">
        <v>112</v>
      </c>
      <c r="C228" s="240" t="s">
        <v>62</v>
      </c>
      <c r="D228" s="288" t="s">
        <v>56</v>
      </c>
      <c r="E228" s="289"/>
      <c r="F228" s="239" t="s">
        <v>247</v>
      </c>
      <c r="G228" s="290" t="s">
        <v>247</v>
      </c>
      <c r="H228" s="291" t="s">
        <v>149</v>
      </c>
      <c r="I228" s="239" t="s">
        <v>245</v>
      </c>
      <c r="J228" s="424">
        <f t="shared" si="6"/>
        <v>365</v>
      </c>
      <c r="K228" s="425">
        <v>127</v>
      </c>
      <c r="L228" s="425">
        <v>126</v>
      </c>
      <c r="M228" s="425">
        <v>52</v>
      </c>
      <c r="N228" s="425">
        <v>52</v>
      </c>
      <c r="O228" s="425">
        <v>4</v>
      </c>
      <c r="P228" s="425">
        <v>4</v>
      </c>
      <c r="Q228" s="294">
        <v>2.8</v>
      </c>
      <c r="R228" s="295" t="e">
        <f>IF(K228="nio",0,(K228*Q228)/X228)*VLOOKUP(C228,'2-Uren per locatie'!$B$15:$D$74,3,FALSE)</f>
        <v>#DIV/0!</v>
      </c>
      <c r="S228" s="295" t="e">
        <f>IF(K228="nio",0,(L228*Q228)/Y228)*VLOOKUP(C228,'2-Uren per locatie'!$B$15:$D$74,3,FALSE)</f>
        <v>#DIV/0!</v>
      </c>
      <c r="T228" s="295" t="e">
        <f>IF(K228="nio",0,(M228*Q228)/Z228)*VLOOKUP(C228,'2-Uren per locatie'!$B$15:$D$74,3,FALSE)</f>
        <v>#DIV/0!</v>
      </c>
      <c r="U228" s="295" t="e">
        <f>IF(K228="nio",0,(N228*Q228)/AA228)*VLOOKUP(C228,'2-Uren per locatie'!$B$15:$D$74,3,FALSE)</f>
        <v>#DIV/0!</v>
      </c>
      <c r="V228" s="295" t="e">
        <f>IF(K228="nio",0,(O228*Q228)/Z228)*VLOOKUP(C228,'2-Uren per locatie'!$B$15:$D$74,3,FALSE)</f>
        <v>#DIV/0!</v>
      </c>
      <c r="W228" s="295" t="e">
        <f>IF(K228="nio",0,(P228*Q228)/AA228)*VLOOKUP(C228,'2-Uren per locatie'!$B$15:$D$74,3,FALSE)</f>
        <v>#DIV/0!</v>
      </c>
      <c r="X228" s="485">
        <f>IF(K228="nio",0,IF(K228&gt;0,VLOOKUP(H228,'3-Productie normen'!A:F,VLOOKUP(K228,'3-Productie normen'!$B$29:$C$34,2,FALSE),FALSE)))</f>
        <v>0</v>
      </c>
      <c r="Y228" s="485">
        <f>VLOOKUP(H228,'3-Productie normen'!$A$10:$J$24,8,FALSE)*'3-Ruimtestaat'!X228</f>
        <v>0</v>
      </c>
      <c r="Z228" s="485">
        <f>VLOOKUP(H228,'3-Productie normen'!$A$10:$J$24,9,FALSE)*'3-Ruimtestaat'!X228</f>
        <v>0</v>
      </c>
      <c r="AA228" s="485">
        <f>VLOOKUP(H228,'3-Productie normen'!$A$10:$J$24,10,FALSE)*'3-Ruimtestaat'!X228</f>
        <v>0</v>
      </c>
      <c r="AB228" s="292" t="str">
        <f>IF(H228="",0,VLOOKUP(H228,'3-Productie normen'!$A$10:$N$23,14,FALSE))</f>
        <v>V</v>
      </c>
      <c r="AD228" s="296">
        <f t="shared" si="7"/>
        <v>1021.9999999999999</v>
      </c>
      <c r="AE228" s="78"/>
      <c r="AF228" s="297"/>
      <c r="AG228" s="297"/>
      <c r="AH228" s="297"/>
      <c r="AI228" s="297">
        <v>3.5</v>
      </c>
      <c r="AJ228" s="297"/>
      <c r="AK228" s="298"/>
      <c r="AL228" s="298"/>
      <c r="AM228" s="298">
        <f>Q228</f>
        <v>2.8</v>
      </c>
      <c r="AN228" s="298"/>
      <c r="AO228" s="299" t="s">
        <v>445</v>
      </c>
    </row>
    <row r="229" spans="1:41" ht="15" customHeight="1">
      <c r="A229" s="254">
        <v>229</v>
      </c>
      <c r="B229" s="253">
        <v>112</v>
      </c>
      <c r="C229" s="240" t="s">
        <v>62</v>
      </c>
      <c r="D229" s="288" t="s">
        <v>56</v>
      </c>
      <c r="E229" s="289"/>
      <c r="F229" s="239" t="s">
        <v>458</v>
      </c>
      <c r="G229" s="290" t="s">
        <v>446</v>
      </c>
      <c r="H229" s="291" t="s">
        <v>149</v>
      </c>
      <c r="I229" s="239" t="s">
        <v>459</v>
      </c>
      <c r="J229" s="424">
        <f t="shared" si="6"/>
        <v>365</v>
      </c>
      <c r="K229" s="425">
        <v>127</v>
      </c>
      <c r="L229" s="425">
        <v>126</v>
      </c>
      <c r="M229" s="425">
        <v>52</v>
      </c>
      <c r="N229" s="425">
        <v>52</v>
      </c>
      <c r="O229" s="425">
        <v>4</v>
      </c>
      <c r="P229" s="425">
        <v>4</v>
      </c>
      <c r="Q229" s="294">
        <v>3.97</v>
      </c>
      <c r="R229" s="295" t="e">
        <f>IF(K229="nio",0,(K229*Q229)/X229)*VLOOKUP(C229,'2-Uren per locatie'!$B$15:$D$74,3,FALSE)</f>
        <v>#DIV/0!</v>
      </c>
      <c r="S229" s="295" t="e">
        <f>IF(K229="nio",0,(L229*Q229)/Y229)*VLOOKUP(C229,'2-Uren per locatie'!$B$15:$D$74,3,FALSE)</f>
        <v>#DIV/0!</v>
      </c>
      <c r="T229" s="295" t="e">
        <f>IF(K229="nio",0,(M229*Q229)/Z229)*VLOOKUP(C229,'2-Uren per locatie'!$B$15:$D$74,3,FALSE)</f>
        <v>#DIV/0!</v>
      </c>
      <c r="U229" s="295" t="e">
        <f>IF(K229="nio",0,(N229*Q229)/AA229)*VLOOKUP(C229,'2-Uren per locatie'!$B$15:$D$74,3,FALSE)</f>
        <v>#DIV/0!</v>
      </c>
      <c r="V229" s="295" t="e">
        <f>IF(K229="nio",0,(O229*Q229)/Z229)*VLOOKUP(C229,'2-Uren per locatie'!$B$15:$D$74,3,FALSE)</f>
        <v>#DIV/0!</v>
      </c>
      <c r="W229" s="295" t="e">
        <f>IF(K229="nio",0,(P229*Q229)/AA229)*VLOOKUP(C229,'2-Uren per locatie'!$B$15:$D$74,3,FALSE)</f>
        <v>#DIV/0!</v>
      </c>
      <c r="X229" s="485">
        <f>IF(K229="nio",0,IF(K229&gt;0,VLOOKUP(H229,'3-Productie normen'!A:F,VLOOKUP(K229,'3-Productie normen'!$B$29:$C$34,2,FALSE),FALSE)))</f>
        <v>0</v>
      </c>
      <c r="Y229" s="485">
        <f>VLOOKUP(H229,'3-Productie normen'!$A$10:$J$24,8,FALSE)*'3-Ruimtestaat'!X229</f>
        <v>0</v>
      </c>
      <c r="Z229" s="485">
        <f>VLOOKUP(H229,'3-Productie normen'!$A$10:$J$24,9,FALSE)*'3-Ruimtestaat'!X229</f>
        <v>0</v>
      </c>
      <c r="AA229" s="485">
        <f>VLOOKUP(H229,'3-Productie normen'!$A$10:$J$24,10,FALSE)*'3-Ruimtestaat'!X229</f>
        <v>0</v>
      </c>
      <c r="AB229" s="292" t="str">
        <f>IF(H229="",0,VLOOKUP(H229,'3-Productie normen'!$A$10:$N$23,14,FALSE))</f>
        <v>V</v>
      </c>
      <c r="AD229" s="296">
        <f t="shared" si="7"/>
        <v>1449.0500000000002</v>
      </c>
      <c r="AE229" s="78"/>
      <c r="AF229" s="297"/>
      <c r="AG229" s="297"/>
      <c r="AH229" s="297"/>
      <c r="AI229" s="297"/>
      <c r="AJ229" s="297"/>
      <c r="AK229" s="298"/>
      <c r="AL229" s="298"/>
      <c r="AM229" s="298"/>
      <c r="AN229" s="298"/>
      <c r="AO229" s="299" t="s">
        <v>460</v>
      </c>
    </row>
    <row r="230" spans="1:41" ht="15" customHeight="1">
      <c r="A230" s="254">
        <v>230</v>
      </c>
      <c r="B230" s="253">
        <v>112</v>
      </c>
      <c r="C230" s="240" t="s">
        <v>62</v>
      </c>
      <c r="D230" s="288" t="s">
        <v>56</v>
      </c>
      <c r="E230" s="289"/>
      <c r="F230" s="239" t="s">
        <v>461</v>
      </c>
      <c r="G230" s="290" t="s">
        <v>451</v>
      </c>
      <c r="H230" s="291" t="s">
        <v>146</v>
      </c>
      <c r="I230" s="239" t="s">
        <v>420</v>
      </c>
      <c r="J230" s="424">
        <f t="shared" si="6"/>
        <v>365</v>
      </c>
      <c r="K230" s="425">
        <v>127</v>
      </c>
      <c r="L230" s="425">
        <v>126</v>
      </c>
      <c r="M230" s="425">
        <v>52</v>
      </c>
      <c r="N230" s="425">
        <v>52</v>
      </c>
      <c r="O230" s="425">
        <v>4</v>
      </c>
      <c r="P230" s="425">
        <v>4</v>
      </c>
      <c r="Q230" s="294">
        <v>18.2</v>
      </c>
      <c r="R230" s="295" t="e">
        <f>IF(K230="nio",0,(K230*Q230)/X230)*VLOOKUP(C230,'2-Uren per locatie'!$B$15:$D$74,3,FALSE)</f>
        <v>#DIV/0!</v>
      </c>
      <c r="S230" s="295" t="e">
        <f>IF(K230="nio",0,(L230*Q230)/Y230)*VLOOKUP(C230,'2-Uren per locatie'!$B$15:$D$74,3,FALSE)</f>
        <v>#DIV/0!</v>
      </c>
      <c r="T230" s="295" t="e">
        <f>IF(K230="nio",0,(M230*Q230)/Z230)*VLOOKUP(C230,'2-Uren per locatie'!$B$15:$D$74,3,FALSE)</f>
        <v>#DIV/0!</v>
      </c>
      <c r="U230" s="295" t="e">
        <f>IF(K230="nio",0,(N230*Q230)/AA230)*VLOOKUP(C230,'2-Uren per locatie'!$B$15:$D$74,3,FALSE)</f>
        <v>#DIV/0!</v>
      </c>
      <c r="V230" s="295" t="e">
        <f>IF(K230="nio",0,(O230*Q230)/Z230)*VLOOKUP(C230,'2-Uren per locatie'!$B$15:$D$74,3,FALSE)</f>
        <v>#DIV/0!</v>
      </c>
      <c r="W230" s="295" t="e">
        <f>IF(K230="nio",0,(P230*Q230)/AA230)*VLOOKUP(C230,'2-Uren per locatie'!$B$15:$D$74,3,FALSE)</f>
        <v>#DIV/0!</v>
      </c>
      <c r="X230" s="485">
        <f>IF(K230="nio",0,IF(K230&gt;0,VLOOKUP(H230,'3-Productie normen'!A:F,VLOOKUP(K230,'3-Productie normen'!$B$29:$C$34,2,FALSE),FALSE)))</f>
        <v>0</v>
      </c>
      <c r="Y230" s="485">
        <f>VLOOKUP(H230,'3-Productie normen'!$A$10:$J$24,8,FALSE)*'3-Ruimtestaat'!X230</f>
        <v>0</v>
      </c>
      <c r="Z230" s="485">
        <f>VLOOKUP(H230,'3-Productie normen'!$A$10:$J$24,9,FALSE)*'3-Ruimtestaat'!X230</f>
        <v>0</v>
      </c>
      <c r="AA230" s="485">
        <f>VLOOKUP(H230,'3-Productie normen'!$A$10:$J$24,10,FALSE)*'3-Ruimtestaat'!X230</f>
        <v>0</v>
      </c>
      <c r="AB230" s="292" t="str">
        <f>IF(H230="",0,VLOOKUP(H230,'3-Productie normen'!$A$10:$N$23,14,FALSE))</f>
        <v>B</v>
      </c>
      <c r="AD230" s="296">
        <f t="shared" si="7"/>
        <v>6643</v>
      </c>
      <c r="AE230" s="78"/>
      <c r="AF230" s="297">
        <v>2.8</v>
      </c>
      <c r="AG230" s="297"/>
      <c r="AH230" s="297"/>
      <c r="AI230" s="297"/>
      <c r="AJ230" s="297">
        <f>43.6+4.8</f>
        <v>48.4</v>
      </c>
      <c r="AK230" s="298"/>
      <c r="AL230" s="298">
        <f>Q230</f>
        <v>18.2</v>
      </c>
      <c r="AM230" s="298"/>
      <c r="AN230" s="298"/>
      <c r="AO230" s="299"/>
    </row>
    <row r="231" spans="1:41" ht="15" customHeight="1">
      <c r="A231" s="254">
        <v>231</v>
      </c>
      <c r="B231" s="253">
        <v>112</v>
      </c>
      <c r="C231" s="240" t="s">
        <v>62</v>
      </c>
      <c r="D231" s="288" t="s">
        <v>56</v>
      </c>
      <c r="E231" s="289"/>
      <c r="F231" s="239" t="s">
        <v>462</v>
      </c>
      <c r="G231" s="290" t="s">
        <v>463</v>
      </c>
      <c r="H231" s="291" t="s">
        <v>145</v>
      </c>
      <c r="I231" s="239" t="s">
        <v>203</v>
      </c>
      <c r="J231" s="424">
        <f t="shared" si="6"/>
        <v>365</v>
      </c>
      <c r="K231" s="425">
        <v>127</v>
      </c>
      <c r="L231" s="425">
        <v>126</v>
      </c>
      <c r="M231" s="425">
        <v>52</v>
      </c>
      <c r="N231" s="425">
        <v>52</v>
      </c>
      <c r="O231" s="425">
        <v>4</v>
      </c>
      <c r="P231" s="425">
        <v>4</v>
      </c>
      <c r="Q231" s="294">
        <v>15.4</v>
      </c>
      <c r="R231" s="295" t="e">
        <f>IF(K231="nio",0,(K231*Q231)/X231)*VLOOKUP(C231,'2-Uren per locatie'!$B$15:$D$74,3,FALSE)</f>
        <v>#DIV/0!</v>
      </c>
      <c r="S231" s="295" t="e">
        <f>IF(K231="nio",0,(L231*Q231)/Y231)*VLOOKUP(C231,'2-Uren per locatie'!$B$15:$D$74,3,FALSE)</f>
        <v>#DIV/0!</v>
      </c>
      <c r="T231" s="295" t="e">
        <f>IF(K231="nio",0,(M231*Q231)/Z231)*VLOOKUP(C231,'2-Uren per locatie'!$B$15:$D$74,3,FALSE)</f>
        <v>#DIV/0!</v>
      </c>
      <c r="U231" s="295" t="e">
        <f>IF(K231="nio",0,(N231*Q231)/AA231)*VLOOKUP(C231,'2-Uren per locatie'!$B$15:$D$74,3,FALSE)</f>
        <v>#DIV/0!</v>
      </c>
      <c r="V231" s="295" t="e">
        <f>IF(K231="nio",0,(O231*Q231)/Z231)*VLOOKUP(C231,'2-Uren per locatie'!$B$15:$D$74,3,FALSE)</f>
        <v>#DIV/0!</v>
      </c>
      <c r="W231" s="295" t="e">
        <f>IF(K231="nio",0,(P231*Q231)/AA231)*VLOOKUP(C231,'2-Uren per locatie'!$B$15:$D$74,3,FALSE)</f>
        <v>#DIV/0!</v>
      </c>
      <c r="X231" s="485">
        <f>IF(K231="nio",0,IF(K231&gt;0,VLOOKUP(H231,'3-Productie normen'!A:F,VLOOKUP(K231,'3-Productie normen'!$B$29:$C$34,2,FALSE),FALSE)))</f>
        <v>0</v>
      </c>
      <c r="Y231" s="485">
        <f>VLOOKUP(H231,'3-Productie normen'!$A$10:$J$24,8,FALSE)*'3-Ruimtestaat'!X231</f>
        <v>0</v>
      </c>
      <c r="Z231" s="485">
        <f>VLOOKUP(H231,'3-Productie normen'!$A$10:$J$24,9,FALSE)*'3-Ruimtestaat'!X231</f>
        <v>0</v>
      </c>
      <c r="AA231" s="485">
        <f>VLOOKUP(H231,'3-Productie normen'!$A$10:$J$24,10,FALSE)*'3-Ruimtestaat'!X231</f>
        <v>0</v>
      </c>
      <c r="AB231" s="292" t="str">
        <f>IF(H231="",0,VLOOKUP(H231,'3-Productie normen'!$A$10:$N$23,14,FALSE))</f>
        <v>V</v>
      </c>
      <c r="AD231" s="296">
        <f t="shared" si="7"/>
        <v>5621</v>
      </c>
      <c r="AE231" s="78"/>
      <c r="AF231" s="297"/>
      <c r="AG231" s="297"/>
      <c r="AH231" s="297"/>
      <c r="AI231" s="297"/>
      <c r="AJ231" s="297">
        <v>21.5</v>
      </c>
      <c r="AK231" s="298"/>
      <c r="AL231" s="298">
        <f>Q231</f>
        <v>15.4</v>
      </c>
      <c r="AM231" s="298"/>
      <c r="AN231" s="298"/>
      <c r="AO231" s="299"/>
    </row>
    <row r="232" spans="1:41" ht="15" customHeight="1">
      <c r="A232" s="254">
        <v>232</v>
      </c>
      <c r="B232" s="253">
        <v>112</v>
      </c>
      <c r="C232" s="240" t="s">
        <v>62</v>
      </c>
      <c r="D232" s="288" t="s">
        <v>56</v>
      </c>
      <c r="E232" s="289"/>
      <c r="F232" s="239" t="s">
        <v>249</v>
      </c>
      <c r="G232" s="290" t="s">
        <v>409</v>
      </c>
      <c r="H232" s="291" t="s">
        <v>151</v>
      </c>
      <c r="I232" s="239" t="s">
        <v>434</v>
      </c>
      <c r="J232" s="424">
        <f t="shared" si="6"/>
        <v>365</v>
      </c>
      <c r="K232" s="425">
        <v>127</v>
      </c>
      <c r="L232" s="425">
        <v>126</v>
      </c>
      <c r="M232" s="425">
        <v>52</v>
      </c>
      <c r="N232" s="425">
        <v>52</v>
      </c>
      <c r="O232" s="425">
        <v>4</v>
      </c>
      <c r="P232" s="425">
        <v>4</v>
      </c>
      <c r="Q232" s="294">
        <v>1504.46</v>
      </c>
      <c r="R232" s="295" t="e">
        <f>IF(K232="nio",0,(K232*Q232)/X232)*VLOOKUP(C232,'2-Uren per locatie'!$B$15:$D$74,3,FALSE)</f>
        <v>#DIV/0!</v>
      </c>
      <c r="S232" s="295" t="e">
        <f>IF(K232="nio",0,(L232*Q232)/Y232)*VLOOKUP(C232,'2-Uren per locatie'!$B$15:$D$74,3,FALSE)</f>
        <v>#DIV/0!</v>
      </c>
      <c r="T232" s="295" t="e">
        <f>IF(K232="nio",0,(M232*Q232)/Z232)*VLOOKUP(C232,'2-Uren per locatie'!$B$15:$D$74,3,FALSE)</f>
        <v>#DIV/0!</v>
      </c>
      <c r="U232" s="295" t="e">
        <f>IF(K232="nio",0,(N232*Q232)/AA232)*VLOOKUP(C232,'2-Uren per locatie'!$B$15:$D$74,3,FALSE)</f>
        <v>#DIV/0!</v>
      </c>
      <c r="V232" s="295" t="e">
        <f>IF(K232="nio",0,(O232*Q232)/Z232)*VLOOKUP(C232,'2-Uren per locatie'!$B$15:$D$74,3,FALSE)</f>
        <v>#DIV/0!</v>
      </c>
      <c r="W232" s="295" t="e">
        <f>IF(K232="nio",0,(P232*Q232)/AA232)*VLOOKUP(C232,'2-Uren per locatie'!$B$15:$D$74,3,FALSE)</f>
        <v>#DIV/0!</v>
      </c>
      <c r="X232" s="485">
        <f>IF(K232="nio",0,IF(K232&gt;0,VLOOKUP(H232,'3-Productie normen'!A:F,VLOOKUP(K232,'3-Productie normen'!$B$29:$C$34,2,FALSE),FALSE)))</f>
        <v>0</v>
      </c>
      <c r="Y232" s="485">
        <f>VLOOKUP(H232,'3-Productie normen'!$A$10:$J$24,8,FALSE)*'3-Ruimtestaat'!X232</f>
        <v>0</v>
      </c>
      <c r="Z232" s="485">
        <f>VLOOKUP(H232,'3-Productie normen'!$A$10:$J$24,9,FALSE)*'3-Ruimtestaat'!X232</f>
        <v>0</v>
      </c>
      <c r="AA232" s="485">
        <f>VLOOKUP(H232,'3-Productie normen'!$A$10:$J$24,10,FALSE)*'3-Ruimtestaat'!X232</f>
        <v>0</v>
      </c>
      <c r="AB232" s="292" t="str">
        <f>IF(H232="",0,VLOOKUP(H232,'3-Productie normen'!$A$10:$N$23,14,FALSE))</f>
        <v>V</v>
      </c>
      <c r="AD232" s="296">
        <f t="shared" si="7"/>
        <v>549127.9</v>
      </c>
      <c r="AE232" s="78"/>
      <c r="AF232" s="297"/>
      <c r="AG232" s="297"/>
      <c r="AH232" s="297"/>
      <c r="AI232" s="297"/>
      <c r="AJ232" s="297"/>
      <c r="AK232" s="298">
        <f>166.39*10.09</f>
        <v>1678.8750999999997</v>
      </c>
      <c r="AL232" s="298"/>
      <c r="AM232" s="298"/>
      <c r="AN232" s="298"/>
      <c r="AO232" s="299"/>
    </row>
    <row r="233" spans="1:41" ht="15" customHeight="1">
      <c r="A233" s="254">
        <v>233</v>
      </c>
      <c r="B233" s="253">
        <v>112</v>
      </c>
      <c r="C233" s="240" t="s">
        <v>62</v>
      </c>
      <c r="D233" s="288" t="s">
        <v>56</v>
      </c>
      <c r="E233" s="289"/>
      <c r="F233" s="239" t="s">
        <v>464</v>
      </c>
      <c r="G233" s="290" t="s">
        <v>411</v>
      </c>
      <c r="H233" s="291" t="s">
        <v>155</v>
      </c>
      <c r="I233" s="239" t="s">
        <v>392</v>
      </c>
      <c r="J233" s="424">
        <f t="shared" si="6"/>
        <v>365</v>
      </c>
      <c r="K233" s="425">
        <v>127</v>
      </c>
      <c r="L233" s="425">
        <v>126</v>
      </c>
      <c r="M233" s="425">
        <v>52</v>
      </c>
      <c r="N233" s="425">
        <v>52</v>
      </c>
      <c r="O233" s="425">
        <v>4</v>
      </c>
      <c r="P233" s="425">
        <v>4</v>
      </c>
      <c r="Q233" s="294">
        <v>32.74</v>
      </c>
      <c r="R233" s="295" t="e">
        <f>IF(K233="nio",0,(K233*Q233)/X233)*VLOOKUP(C233,'2-Uren per locatie'!$B$15:$D$74,3,FALSE)</f>
        <v>#DIV/0!</v>
      </c>
      <c r="S233" s="295" t="e">
        <f>IF(K233="nio",0,(L233*Q233)/Y233)*VLOOKUP(C233,'2-Uren per locatie'!$B$15:$D$74,3,FALSE)</f>
        <v>#DIV/0!</v>
      </c>
      <c r="T233" s="295" t="e">
        <f>IF(K233="nio",0,(M233*Q233)/Z233)*VLOOKUP(C233,'2-Uren per locatie'!$B$15:$D$74,3,FALSE)</f>
        <v>#DIV/0!</v>
      </c>
      <c r="U233" s="295" t="e">
        <f>IF(K233="nio",0,(N233*Q233)/AA233)*VLOOKUP(C233,'2-Uren per locatie'!$B$15:$D$74,3,FALSE)</f>
        <v>#DIV/0!</v>
      </c>
      <c r="V233" s="295" t="e">
        <f>IF(K233="nio",0,(O233*Q233)/Z233)*VLOOKUP(C233,'2-Uren per locatie'!$B$15:$D$74,3,FALSE)</f>
        <v>#DIV/0!</v>
      </c>
      <c r="W233" s="295" t="e">
        <f>IF(K233="nio",0,(P233*Q233)/AA233)*VLOOKUP(C233,'2-Uren per locatie'!$B$15:$D$74,3,FALSE)</f>
        <v>#DIV/0!</v>
      </c>
      <c r="X233" s="485">
        <f>IF(K233="nio",0,IF(K233&gt;0,VLOOKUP(H233,'3-Productie normen'!A:F,VLOOKUP(K233,'3-Productie normen'!$B$29:$C$34,2,FALSE),FALSE)))</f>
        <v>0</v>
      </c>
      <c r="Y233" s="485">
        <f>VLOOKUP(H233,'3-Productie normen'!$A$10:$J$24,8,FALSE)*'3-Ruimtestaat'!X233</f>
        <v>0</v>
      </c>
      <c r="Z233" s="485">
        <f>VLOOKUP(H233,'3-Productie normen'!$A$10:$J$24,9,FALSE)*'3-Ruimtestaat'!X233</f>
        <v>0</v>
      </c>
      <c r="AA233" s="485">
        <f>VLOOKUP(H233,'3-Productie normen'!$A$10:$J$24,10,FALSE)*'3-Ruimtestaat'!X233</f>
        <v>0</v>
      </c>
      <c r="AB233" s="292" t="str">
        <f>IF(H233="",0,VLOOKUP(H233,'3-Productie normen'!$A$10:$N$23,14,FALSE))</f>
        <v>V</v>
      </c>
      <c r="AD233" s="296">
        <f t="shared" si="7"/>
        <v>11950.1</v>
      </c>
      <c r="AE233" s="78"/>
      <c r="AF233" s="300" t="s">
        <v>393</v>
      </c>
      <c r="AG233" s="297"/>
      <c r="AH233" s="297"/>
      <c r="AI233" s="297"/>
      <c r="AJ233" s="297"/>
      <c r="AK233" s="298"/>
      <c r="AL233" s="298"/>
      <c r="AM233" s="298"/>
      <c r="AN233" s="298"/>
      <c r="AO233" s="299"/>
    </row>
    <row r="234" spans="1:41" ht="15" customHeight="1">
      <c r="A234" s="254">
        <v>234</v>
      </c>
      <c r="B234" s="253">
        <v>112</v>
      </c>
      <c r="C234" s="240" t="s">
        <v>62</v>
      </c>
      <c r="D234" s="288" t="s">
        <v>56</v>
      </c>
      <c r="E234" s="289"/>
      <c r="F234" s="239" t="s">
        <v>465</v>
      </c>
      <c r="G234" s="290" t="s">
        <v>413</v>
      </c>
      <c r="H234" s="291" t="s">
        <v>155</v>
      </c>
      <c r="I234" s="239" t="s">
        <v>392</v>
      </c>
      <c r="J234" s="424">
        <f t="shared" si="6"/>
        <v>365</v>
      </c>
      <c r="K234" s="425">
        <v>127</v>
      </c>
      <c r="L234" s="425">
        <v>126</v>
      </c>
      <c r="M234" s="425">
        <v>52</v>
      </c>
      <c r="N234" s="425">
        <v>52</v>
      </c>
      <c r="O234" s="425">
        <v>4</v>
      </c>
      <c r="P234" s="425">
        <v>4</v>
      </c>
      <c r="Q234" s="294">
        <v>32.74</v>
      </c>
      <c r="R234" s="295" t="e">
        <f>IF(K234="nio",0,(K234*Q234)/X234)*VLOOKUP(C234,'2-Uren per locatie'!$B$15:$D$74,3,FALSE)</f>
        <v>#DIV/0!</v>
      </c>
      <c r="S234" s="295" t="e">
        <f>IF(K234="nio",0,(L234*Q234)/Y234)*VLOOKUP(C234,'2-Uren per locatie'!$B$15:$D$74,3,FALSE)</f>
        <v>#DIV/0!</v>
      </c>
      <c r="T234" s="295" t="e">
        <f>IF(K234="nio",0,(M234*Q234)/Z234)*VLOOKUP(C234,'2-Uren per locatie'!$B$15:$D$74,3,FALSE)</f>
        <v>#DIV/0!</v>
      </c>
      <c r="U234" s="295" t="e">
        <f>IF(K234="nio",0,(N234*Q234)/AA234)*VLOOKUP(C234,'2-Uren per locatie'!$B$15:$D$74,3,FALSE)</f>
        <v>#DIV/0!</v>
      </c>
      <c r="V234" s="295" t="e">
        <f>IF(K234="nio",0,(O234*Q234)/Z234)*VLOOKUP(C234,'2-Uren per locatie'!$B$15:$D$74,3,FALSE)</f>
        <v>#DIV/0!</v>
      </c>
      <c r="W234" s="295" t="e">
        <f>IF(K234="nio",0,(P234*Q234)/AA234)*VLOOKUP(C234,'2-Uren per locatie'!$B$15:$D$74,3,FALSE)</f>
        <v>#DIV/0!</v>
      </c>
      <c r="X234" s="485">
        <f>IF(K234="nio",0,IF(K234&gt;0,VLOOKUP(H234,'3-Productie normen'!A:F,VLOOKUP(K234,'3-Productie normen'!$B$29:$C$34,2,FALSE),FALSE)))</f>
        <v>0</v>
      </c>
      <c r="Y234" s="485">
        <f>VLOOKUP(H234,'3-Productie normen'!$A$10:$J$24,8,FALSE)*'3-Ruimtestaat'!X234</f>
        <v>0</v>
      </c>
      <c r="Z234" s="485">
        <f>VLOOKUP(H234,'3-Productie normen'!$A$10:$J$24,9,FALSE)*'3-Ruimtestaat'!X234</f>
        <v>0</v>
      </c>
      <c r="AA234" s="485">
        <f>VLOOKUP(H234,'3-Productie normen'!$A$10:$J$24,10,FALSE)*'3-Ruimtestaat'!X234</f>
        <v>0</v>
      </c>
      <c r="AB234" s="292" t="str">
        <f>IF(H234="",0,VLOOKUP(H234,'3-Productie normen'!$A$10:$N$23,14,FALSE))</f>
        <v>V</v>
      </c>
      <c r="AD234" s="296">
        <f t="shared" si="7"/>
        <v>11950.1</v>
      </c>
      <c r="AE234" s="78"/>
      <c r="AF234" s="300" t="s">
        <v>393</v>
      </c>
      <c r="AG234" s="297"/>
      <c r="AH234" s="297"/>
      <c r="AI234" s="297"/>
      <c r="AJ234" s="297"/>
      <c r="AK234" s="298"/>
      <c r="AL234" s="298"/>
      <c r="AM234" s="298"/>
      <c r="AN234" s="298"/>
      <c r="AO234" s="299"/>
    </row>
    <row r="235" spans="1:41" ht="15" customHeight="1">
      <c r="A235" s="254">
        <v>235</v>
      </c>
      <c r="B235" s="253">
        <v>112</v>
      </c>
      <c r="C235" s="240" t="s">
        <v>62</v>
      </c>
      <c r="D235" s="288" t="s">
        <v>56</v>
      </c>
      <c r="E235" s="289"/>
      <c r="F235" s="239" t="s">
        <v>466</v>
      </c>
      <c r="G235" s="290" t="s">
        <v>415</v>
      </c>
      <c r="H235" s="291" t="s">
        <v>152</v>
      </c>
      <c r="I235" s="239" t="s">
        <v>216</v>
      </c>
      <c r="J235" s="424">
        <f t="shared" si="6"/>
        <v>365</v>
      </c>
      <c r="K235" s="425">
        <v>127</v>
      </c>
      <c r="L235" s="425">
        <v>126</v>
      </c>
      <c r="M235" s="425">
        <v>52</v>
      </c>
      <c r="N235" s="425">
        <v>52</v>
      </c>
      <c r="O235" s="425">
        <v>4</v>
      </c>
      <c r="P235" s="425">
        <v>4</v>
      </c>
      <c r="Q235" s="294">
        <v>27</v>
      </c>
      <c r="R235" s="295" t="e">
        <f>IF(K235="nio",0,(K235*Q235)/X235)*VLOOKUP(C235,'2-Uren per locatie'!$B$15:$D$74,3,FALSE)</f>
        <v>#DIV/0!</v>
      </c>
      <c r="S235" s="295" t="e">
        <f>IF(K235="nio",0,(L235*Q235)/Y235)*VLOOKUP(C235,'2-Uren per locatie'!$B$15:$D$74,3,FALSE)</f>
        <v>#DIV/0!</v>
      </c>
      <c r="T235" s="295" t="e">
        <f>IF(K235="nio",0,(M235*Q235)/Z235)*VLOOKUP(C235,'2-Uren per locatie'!$B$15:$D$74,3,FALSE)</f>
        <v>#DIV/0!</v>
      </c>
      <c r="U235" s="295" t="e">
        <f>IF(K235="nio",0,(N235*Q235)/AA235)*VLOOKUP(C235,'2-Uren per locatie'!$B$15:$D$74,3,FALSE)</f>
        <v>#DIV/0!</v>
      </c>
      <c r="V235" s="295" t="e">
        <f>IF(K235="nio",0,(O235*Q235)/Z235)*VLOOKUP(C235,'2-Uren per locatie'!$B$15:$D$74,3,FALSE)</f>
        <v>#DIV/0!</v>
      </c>
      <c r="W235" s="295" t="e">
        <f>IF(K235="nio",0,(P235*Q235)/AA235)*VLOOKUP(C235,'2-Uren per locatie'!$B$15:$D$74,3,FALSE)</f>
        <v>#DIV/0!</v>
      </c>
      <c r="X235" s="485">
        <f>IF(K235="nio",0,IF(K235&gt;0,VLOOKUP(H235,'3-Productie normen'!A:F,VLOOKUP(K235,'3-Productie normen'!$B$29:$C$34,2,FALSE),FALSE)))</f>
        <v>0</v>
      </c>
      <c r="Y235" s="485">
        <f>VLOOKUP(H235,'3-Productie normen'!$A$10:$J$24,8,FALSE)*'3-Ruimtestaat'!X235</f>
        <v>0</v>
      </c>
      <c r="Z235" s="485">
        <f>VLOOKUP(H235,'3-Productie normen'!$A$10:$J$24,9,FALSE)*'3-Ruimtestaat'!X235</f>
        <v>0</v>
      </c>
      <c r="AA235" s="485">
        <f>VLOOKUP(H235,'3-Productie normen'!$A$10:$J$24,10,FALSE)*'3-Ruimtestaat'!X235</f>
        <v>0</v>
      </c>
      <c r="AB235" s="292" t="str">
        <f>IF(H235="",0,VLOOKUP(H235,'3-Productie normen'!$A$10:$N$23,14,FALSE))</f>
        <v>V</v>
      </c>
      <c r="AD235" s="296">
        <f t="shared" si="7"/>
        <v>9855</v>
      </c>
      <c r="AE235" s="78"/>
      <c r="AF235" s="297"/>
      <c r="AG235" s="297"/>
      <c r="AH235" s="297"/>
      <c r="AI235" s="297"/>
      <c r="AJ235" s="297"/>
      <c r="AK235" s="298"/>
      <c r="AL235" s="298"/>
      <c r="AM235" s="298"/>
      <c r="AN235" s="298"/>
      <c r="AO235" s="299"/>
    </row>
    <row r="236" spans="1:41" ht="15" customHeight="1">
      <c r="A236" s="254">
        <v>236</v>
      </c>
      <c r="B236" s="253">
        <v>112</v>
      </c>
      <c r="C236" s="240" t="s">
        <v>62</v>
      </c>
      <c r="D236" s="288" t="s">
        <v>56</v>
      </c>
      <c r="E236" s="289"/>
      <c r="F236" s="239" t="s">
        <v>467</v>
      </c>
      <c r="G236" s="290" t="s">
        <v>468</v>
      </c>
      <c r="H236" s="291" t="s">
        <v>152</v>
      </c>
      <c r="I236" s="239" t="s">
        <v>216</v>
      </c>
      <c r="J236" s="424">
        <f t="shared" si="6"/>
        <v>365</v>
      </c>
      <c r="K236" s="425">
        <v>127</v>
      </c>
      <c r="L236" s="425">
        <v>126</v>
      </c>
      <c r="M236" s="425">
        <v>52</v>
      </c>
      <c r="N236" s="425">
        <v>52</v>
      </c>
      <c r="O236" s="425">
        <v>4</v>
      </c>
      <c r="P236" s="425">
        <v>4</v>
      </c>
      <c r="Q236" s="294">
        <v>27</v>
      </c>
      <c r="R236" s="295" t="e">
        <f>IF(K236="nio",0,(K236*Q236)/X236)*VLOOKUP(C236,'2-Uren per locatie'!$B$15:$D$74,3,FALSE)</f>
        <v>#DIV/0!</v>
      </c>
      <c r="S236" s="295" t="e">
        <f>IF(K236="nio",0,(L236*Q236)/Y236)*VLOOKUP(C236,'2-Uren per locatie'!$B$15:$D$74,3,FALSE)</f>
        <v>#DIV/0!</v>
      </c>
      <c r="T236" s="295" t="e">
        <f>IF(K236="nio",0,(M236*Q236)/Z236)*VLOOKUP(C236,'2-Uren per locatie'!$B$15:$D$74,3,FALSE)</f>
        <v>#DIV/0!</v>
      </c>
      <c r="U236" s="295" t="e">
        <f>IF(K236="nio",0,(N236*Q236)/AA236)*VLOOKUP(C236,'2-Uren per locatie'!$B$15:$D$74,3,FALSE)</f>
        <v>#DIV/0!</v>
      </c>
      <c r="V236" s="295" t="e">
        <f>IF(K236="nio",0,(O236*Q236)/Z236)*VLOOKUP(C236,'2-Uren per locatie'!$B$15:$D$74,3,FALSE)</f>
        <v>#DIV/0!</v>
      </c>
      <c r="W236" s="295" t="e">
        <f>IF(K236="nio",0,(P236*Q236)/AA236)*VLOOKUP(C236,'2-Uren per locatie'!$B$15:$D$74,3,FALSE)</f>
        <v>#DIV/0!</v>
      </c>
      <c r="X236" s="485">
        <f>IF(K236="nio",0,IF(K236&gt;0,VLOOKUP(H236,'3-Productie normen'!A:F,VLOOKUP(K236,'3-Productie normen'!$B$29:$C$34,2,FALSE),FALSE)))</f>
        <v>0</v>
      </c>
      <c r="Y236" s="485">
        <f>VLOOKUP(H236,'3-Productie normen'!$A$10:$J$24,8,FALSE)*'3-Ruimtestaat'!X236</f>
        <v>0</v>
      </c>
      <c r="Z236" s="485">
        <f>VLOOKUP(H236,'3-Productie normen'!$A$10:$J$24,9,FALSE)*'3-Ruimtestaat'!X236</f>
        <v>0</v>
      </c>
      <c r="AA236" s="485">
        <f>VLOOKUP(H236,'3-Productie normen'!$A$10:$J$24,10,FALSE)*'3-Ruimtestaat'!X236</f>
        <v>0</v>
      </c>
      <c r="AB236" s="292" t="str">
        <f>IF(H236="",0,VLOOKUP(H236,'3-Productie normen'!$A$10:$N$23,14,FALSE))</f>
        <v>V</v>
      </c>
      <c r="AD236" s="296">
        <f t="shared" si="7"/>
        <v>9855</v>
      </c>
      <c r="AE236" s="78"/>
      <c r="AF236" s="297"/>
      <c r="AG236" s="297"/>
      <c r="AH236" s="297"/>
      <c r="AI236" s="297"/>
      <c r="AJ236" s="297"/>
      <c r="AK236" s="298"/>
      <c r="AL236" s="298"/>
      <c r="AM236" s="298"/>
      <c r="AN236" s="298"/>
      <c r="AO236" s="299"/>
    </row>
    <row r="237" spans="1:41" ht="15" customHeight="1">
      <c r="A237" s="254">
        <v>237</v>
      </c>
      <c r="B237" s="253">
        <v>113</v>
      </c>
      <c r="C237" s="240" t="s">
        <v>63</v>
      </c>
      <c r="D237" s="288" t="s">
        <v>56</v>
      </c>
      <c r="E237" s="289"/>
      <c r="F237" s="239" t="s">
        <v>249</v>
      </c>
      <c r="G237" s="290" t="s">
        <v>409</v>
      </c>
      <c r="H237" s="291" t="s">
        <v>151</v>
      </c>
      <c r="I237" s="239" t="s">
        <v>434</v>
      </c>
      <c r="J237" s="424">
        <f t="shared" si="6"/>
        <v>365</v>
      </c>
      <c r="K237" s="425">
        <v>127</v>
      </c>
      <c r="L237" s="425">
        <v>126</v>
      </c>
      <c r="M237" s="425">
        <v>52</v>
      </c>
      <c r="N237" s="425">
        <v>52</v>
      </c>
      <c r="O237" s="425">
        <v>4</v>
      </c>
      <c r="P237" s="425">
        <v>4</v>
      </c>
      <c r="Q237" s="294">
        <v>1503.23</v>
      </c>
      <c r="R237" s="295" t="e">
        <f>IF(K237="nio",0,(K237*Q237)/X237)*VLOOKUP(C237,'2-Uren per locatie'!$B$15:$D$74,3,FALSE)</f>
        <v>#DIV/0!</v>
      </c>
      <c r="S237" s="295" t="e">
        <f>IF(K237="nio",0,(L237*Q237)/Y237)*VLOOKUP(C237,'2-Uren per locatie'!$B$15:$D$74,3,FALSE)</f>
        <v>#DIV/0!</v>
      </c>
      <c r="T237" s="295" t="e">
        <f>IF(K237="nio",0,(M237*Q237)/Z237)*VLOOKUP(C237,'2-Uren per locatie'!$B$15:$D$74,3,FALSE)</f>
        <v>#DIV/0!</v>
      </c>
      <c r="U237" s="295" t="e">
        <f>IF(K237="nio",0,(N237*Q237)/AA237)*VLOOKUP(C237,'2-Uren per locatie'!$B$15:$D$74,3,FALSE)</f>
        <v>#DIV/0!</v>
      </c>
      <c r="V237" s="295" t="e">
        <f>IF(K237="nio",0,(O237*Q237)/Z237)*VLOOKUP(C237,'2-Uren per locatie'!$B$15:$D$74,3,FALSE)</f>
        <v>#DIV/0!</v>
      </c>
      <c r="W237" s="295" t="e">
        <f>IF(K237="nio",0,(P237*Q237)/AA237)*VLOOKUP(C237,'2-Uren per locatie'!$B$15:$D$74,3,FALSE)</f>
        <v>#DIV/0!</v>
      </c>
      <c r="X237" s="485">
        <f>IF(K237="nio",0,IF(K237&gt;0,VLOOKUP(H237,'3-Productie normen'!A:F,VLOOKUP(K237,'3-Productie normen'!$B$29:$C$34,2,FALSE),FALSE)))</f>
        <v>0</v>
      </c>
      <c r="Y237" s="485">
        <f>VLOOKUP(H237,'3-Productie normen'!$A$10:$J$24,8,FALSE)*'3-Ruimtestaat'!X237</f>
        <v>0</v>
      </c>
      <c r="Z237" s="485">
        <f>VLOOKUP(H237,'3-Productie normen'!$A$10:$J$24,9,FALSE)*'3-Ruimtestaat'!X237</f>
        <v>0</v>
      </c>
      <c r="AA237" s="485">
        <f>VLOOKUP(H237,'3-Productie normen'!$A$10:$J$24,10,FALSE)*'3-Ruimtestaat'!X237</f>
        <v>0</v>
      </c>
      <c r="AB237" s="292" t="str">
        <f>IF(H237="",0,VLOOKUP(H237,'3-Productie normen'!$A$10:$N$23,14,FALSE))</f>
        <v>V</v>
      </c>
      <c r="AD237" s="296">
        <f t="shared" si="7"/>
        <v>548678.94999999995</v>
      </c>
      <c r="AE237" s="78"/>
      <c r="AF237" s="297"/>
      <c r="AG237" s="297"/>
      <c r="AH237" s="297"/>
      <c r="AI237" s="297"/>
      <c r="AJ237" s="297"/>
      <c r="AK237" s="298">
        <f>165.16*9.82</f>
        <v>1621.8712</v>
      </c>
      <c r="AL237" s="298"/>
      <c r="AM237" s="298"/>
      <c r="AN237" s="298"/>
      <c r="AO237" s="299"/>
    </row>
    <row r="238" spans="1:41" ht="15" customHeight="1">
      <c r="A238" s="254">
        <v>238</v>
      </c>
      <c r="B238" s="253">
        <v>113</v>
      </c>
      <c r="C238" s="240" t="s">
        <v>63</v>
      </c>
      <c r="D238" s="288" t="s">
        <v>56</v>
      </c>
      <c r="E238" s="289"/>
      <c r="F238" s="239" t="s">
        <v>435</v>
      </c>
      <c r="G238" s="290" t="s">
        <v>411</v>
      </c>
      <c r="H238" s="291" t="s">
        <v>155</v>
      </c>
      <c r="I238" s="239" t="s">
        <v>392</v>
      </c>
      <c r="J238" s="424">
        <f t="shared" si="6"/>
        <v>365</v>
      </c>
      <c r="K238" s="425">
        <v>127</v>
      </c>
      <c r="L238" s="425">
        <v>126</v>
      </c>
      <c r="M238" s="425">
        <v>52</v>
      </c>
      <c r="N238" s="425">
        <v>52</v>
      </c>
      <c r="O238" s="425">
        <v>4</v>
      </c>
      <c r="P238" s="425">
        <v>4</v>
      </c>
      <c r="Q238" s="294">
        <v>42.69</v>
      </c>
      <c r="R238" s="295" t="e">
        <f>IF(K238="nio",0,(K238*Q238)/X238)*VLOOKUP(C238,'2-Uren per locatie'!$B$15:$D$74,3,FALSE)</f>
        <v>#DIV/0!</v>
      </c>
      <c r="S238" s="295" t="e">
        <f>IF(K238="nio",0,(L238*Q238)/Y238)*VLOOKUP(C238,'2-Uren per locatie'!$B$15:$D$74,3,FALSE)</f>
        <v>#DIV/0!</v>
      </c>
      <c r="T238" s="295" t="e">
        <f>IF(K238="nio",0,(M238*Q238)/Z238)*VLOOKUP(C238,'2-Uren per locatie'!$B$15:$D$74,3,FALSE)</f>
        <v>#DIV/0!</v>
      </c>
      <c r="U238" s="295" t="e">
        <f>IF(K238="nio",0,(N238*Q238)/AA238)*VLOOKUP(C238,'2-Uren per locatie'!$B$15:$D$74,3,FALSE)</f>
        <v>#DIV/0!</v>
      </c>
      <c r="V238" s="295" t="e">
        <f>IF(K238="nio",0,(O238*Q238)/Z238)*VLOOKUP(C238,'2-Uren per locatie'!$B$15:$D$74,3,FALSE)</f>
        <v>#DIV/0!</v>
      </c>
      <c r="W238" s="295" t="e">
        <f>IF(K238="nio",0,(P238*Q238)/AA238)*VLOOKUP(C238,'2-Uren per locatie'!$B$15:$D$74,3,FALSE)</f>
        <v>#DIV/0!</v>
      </c>
      <c r="X238" s="485">
        <f>IF(K238="nio",0,IF(K238&gt;0,VLOOKUP(H238,'3-Productie normen'!A:F,VLOOKUP(K238,'3-Productie normen'!$B$29:$C$34,2,FALSE),FALSE)))</f>
        <v>0</v>
      </c>
      <c r="Y238" s="485">
        <f>VLOOKUP(H238,'3-Productie normen'!$A$10:$J$24,8,FALSE)*'3-Ruimtestaat'!X238</f>
        <v>0</v>
      </c>
      <c r="Z238" s="485">
        <f>VLOOKUP(H238,'3-Productie normen'!$A$10:$J$24,9,FALSE)*'3-Ruimtestaat'!X238</f>
        <v>0</v>
      </c>
      <c r="AA238" s="485">
        <f>VLOOKUP(H238,'3-Productie normen'!$A$10:$J$24,10,FALSE)*'3-Ruimtestaat'!X238</f>
        <v>0</v>
      </c>
      <c r="AB238" s="292" t="str">
        <f>IF(H238="",0,VLOOKUP(H238,'3-Productie normen'!$A$10:$N$23,14,FALSE))</f>
        <v>V</v>
      </c>
      <c r="AD238" s="296">
        <f t="shared" si="7"/>
        <v>15581.849999999999</v>
      </c>
      <c r="AE238" s="78"/>
      <c r="AF238" s="300" t="s">
        <v>393</v>
      </c>
      <c r="AG238" s="297"/>
      <c r="AH238" s="297"/>
      <c r="AI238" s="297"/>
      <c r="AJ238" s="297"/>
      <c r="AK238" s="298"/>
      <c r="AL238" s="298"/>
      <c r="AM238" s="298"/>
      <c r="AN238" s="298"/>
      <c r="AO238" s="299" t="s">
        <v>115</v>
      </c>
    </row>
    <row r="239" spans="1:41" ht="15" customHeight="1">
      <c r="A239" s="254">
        <v>239</v>
      </c>
      <c r="B239" s="253">
        <v>113</v>
      </c>
      <c r="C239" s="240" t="s">
        <v>63</v>
      </c>
      <c r="D239" s="288" t="s">
        <v>56</v>
      </c>
      <c r="E239" s="289"/>
      <c r="F239" s="239" t="s">
        <v>436</v>
      </c>
      <c r="G239" s="290" t="s">
        <v>413</v>
      </c>
      <c r="H239" s="291" t="s">
        <v>155</v>
      </c>
      <c r="I239" s="239" t="s">
        <v>392</v>
      </c>
      <c r="J239" s="424">
        <f t="shared" si="6"/>
        <v>365</v>
      </c>
      <c r="K239" s="425">
        <v>127</v>
      </c>
      <c r="L239" s="425">
        <v>126</v>
      </c>
      <c r="M239" s="425">
        <v>52</v>
      </c>
      <c r="N239" s="425">
        <v>52</v>
      </c>
      <c r="O239" s="425">
        <v>4</v>
      </c>
      <c r="P239" s="425">
        <v>4</v>
      </c>
      <c r="Q239" s="294">
        <v>42.68</v>
      </c>
      <c r="R239" s="295" t="e">
        <f>IF(K239="nio",0,(K239*Q239)/X239)*VLOOKUP(C239,'2-Uren per locatie'!$B$15:$D$74,3,FALSE)</f>
        <v>#DIV/0!</v>
      </c>
      <c r="S239" s="295" t="e">
        <f>IF(K239="nio",0,(L239*Q239)/Y239)*VLOOKUP(C239,'2-Uren per locatie'!$B$15:$D$74,3,FALSE)</f>
        <v>#DIV/0!</v>
      </c>
      <c r="T239" s="295" t="e">
        <f>IF(K239="nio",0,(M239*Q239)/Z239)*VLOOKUP(C239,'2-Uren per locatie'!$B$15:$D$74,3,FALSE)</f>
        <v>#DIV/0!</v>
      </c>
      <c r="U239" s="295" t="e">
        <f>IF(K239="nio",0,(N239*Q239)/AA239)*VLOOKUP(C239,'2-Uren per locatie'!$B$15:$D$74,3,FALSE)</f>
        <v>#DIV/0!</v>
      </c>
      <c r="V239" s="295" t="e">
        <f>IF(K239="nio",0,(O239*Q239)/Z239)*VLOOKUP(C239,'2-Uren per locatie'!$B$15:$D$74,3,FALSE)</f>
        <v>#DIV/0!</v>
      </c>
      <c r="W239" s="295" t="e">
        <f>IF(K239="nio",0,(P239*Q239)/AA239)*VLOOKUP(C239,'2-Uren per locatie'!$B$15:$D$74,3,FALSE)</f>
        <v>#DIV/0!</v>
      </c>
      <c r="X239" s="485">
        <f>IF(K239="nio",0,IF(K239&gt;0,VLOOKUP(H239,'3-Productie normen'!A:F,VLOOKUP(K239,'3-Productie normen'!$B$29:$C$34,2,FALSE),FALSE)))</f>
        <v>0</v>
      </c>
      <c r="Y239" s="485">
        <f>VLOOKUP(H239,'3-Productie normen'!$A$10:$J$24,8,FALSE)*'3-Ruimtestaat'!X239</f>
        <v>0</v>
      </c>
      <c r="Z239" s="485">
        <f>VLOOKUP(H239,'3-Productie normen'!$A$10:$J$24,9,FALSE)*'3-Ruimtestaat'!X239</f>
        <v>0</v>
      </c>
      <c r="AA239" s="485">
        <f>VLOOKUP(H239,'3-Productie normen'!$A$10:$J$24,10,FALSE)*'3-Ruimtestaat'!X239</f>
        <v>0</v>
      </c>
      <c r="AB239" s="292" t="str">
        <f>IF(H239="",0,VLOOKUP(H239,'3-Productie normen'!$A$10:$N$23,14,FALSE))</f>
        <v>V</v>
      </c>
      <c r="AD239" s="296">
        <f t="shared" si="7"/>
        <v>15578.2</v>
      </c>
      <c r="AE239" s="78"/>
      <c r="AF239" s="300" t="s">
        <v>393</v>
      </c>
      <c r="AG239" s="297"/>
      <c r="AH239" s="297"/>
      <c r="AI239" s="297"/>
      <c r="AJ239" s="297"/>
      <c r="AK239" s="298"/>
      <c r="AL239" s="298"/>
      <c r="AM239" s="298"/>
      <c r="AN239" s="298"/>
      <c r="AO239" s="299" t="s">
        <v>98</v>
      </c>
    </row>
    <row r="240" spans="1:41" ht="15" customHeight="1">
      <c r="A240" s="254">
        <v>240</v>
      </c>
      <c r="B240" s="253">
        <v>113</v>
      </c>
      <c r="C240" s="240" t="s">
        <v>63</v>
      </c>
      <c r="D240" s="288" t="s">
        <v>56</v>
      </c>
      <c r="E240" s="289"/>
      <c r="F240" s="239" t="s">
        <v>437</v>
      </c>
      <c r="G240" s="290" t="s">
        <v>414</v>
      </c>
      <c r="H240" s="291" t="s">
        <v>152</v>
      </c>
      <c r="I240" s="239" t="s">
        <v>265</v>
      </c>
      <c r="J240" s="424">
        <f t="shared" si="6"/>
        <v>365</v>
      </c>
      <c r="K240" s="425">
        <v>127</v>
      </c>
      <c r="L240" s="425">
        <v>126</v>
      </c>
      <c r="M240" s="425">
        <v>52</v>
      </c>
      <c r="N240" s="425">
        <v>52</v>
      </c>
      <c r="O240" s="425">
        <v>4</v>
      </c>
      <c r="P240" s="425">
        <v>4</v>
      </c>
      <c r="Q240" s="294">
        <v>31.63</v>
      </c>
      <c r="R240" s="295" t="e">
        <f>IF(K240="nio",0,(K240*Q240)/X240)*VLOOKUP(C240,'2-Uren per locatie'!$B$15:$D$74,3,FALSE)</f>
        <v>#DIV/0!</v>
      </c>
      <c r="S240" s="295" t="e">
        <f>IF(K240="nio",0,(L240*Q240)/Y240)*VLOOKUP(C240,'2-Uren per locatie'!$B$15:$D$74,3,FALSE)</f>
        <v>#DIV/0!</v>
      </c>
      <c r="T240" s="295" t="e">
        <f>IF(K240="nio",0,(M240*Q240)/Z240)*VLOOKUP(C240,'2-Uren per locatie'!$B$15:$D$74,3,FALSE)</f>
        <v>#DIV/0!</v>
      </c>
      <c r="U240" s="295" t="e">
        <f>IF(K240="nio",0,(N240*Q240)/AA240)*VLOOKUP(C240,'2-Uren per locatie'!$B$15:$D$74,3,FALSE)</f>
        <v>#DIV/0!</v>
      </c>
      <c r="V240" s="295" t="e">
        <f>IF(K240="nio",0,(O240*Q240)/Z240)*VLOOKUP(C240,'2-Uren per locatie'!$B$15:$D$74,3,FALSE)</f>
        <v>#DIV/0!</v>
      </c>
      <c r="W240" s="295" t="e">
        <f>IF(K240="nio",0,(P240*Q240)/AA240)*VLOOKUP(C240,'2-Uren per locatie'!$B$15:$D$74,3,FALSE)</f>
        <v>#DIV/0!</v>
      </c>
      <c r="X240" s="485">
        <f>IF(K240="nio",0,IF(K240&gt;0,VLOOKUP(H240,'3-Productie normen'!A:F,VLOOKUP(K240,'3-Productie normen'!$B$29:$C$34,2,FALSE),FALSE)))</f>
        <v>0</v>
      </c>
      <c r="Y240" s="485">
        <f>VLOOKUP(H240,'3-Productie normen'!$A$10:$J$24,8,FALSE)*'3-Ruimtestaat'!X240</f>
        <v>0</v>
      </c>
      <c r="Z240" s="485">
        <f>VLOOKUP(H240,'3-Productie normen'!$A$10:$J$24,9,FALSE)*'3-Ruimtestaat'!X240</f>
        <v>0</v>
      </c>
      <c r="AA240" s="485">
        <f>VLOOKUP(H240,'3-Productie normen'!$A$10:$J$24,10,FALSE)*'3-Ruimtestaat'!X240</f>
        <v>0</v>
      </c>
      <c r="AB240" s="292" t="str">
        <f>IF(H240="",0,VLOOKUP(H240,'3-Productie normen'!$A$10:$N$23,14,FALSE))</f>
        <v>V</v>
      </c>
      <c r="AD240" s="296">
        <f t="shared" si="7"/>
        <v>11544.949999999999</v>
      </c>
      <c r="AE240" s="78"/>
      <c r="AF240" s="297"/>
      <c r="AG240" s="297"/>
      <c r="AH240" s="297"/>
      <c r="AI240" s="297"/>
      <c r="AJ240" s="297"/>
      <c r="AK240" s="298"/>
      <c r="AL240" s="298"/>
      <c r="AM240" s="298"/>
      <c r="AN240" s="298"/>
      <c r="AO240" s="299" t="s">
        <v>115</v>
      </c>
    </row>
    <row r="241" spans="1:41" ht="15" customHeight="1">
      <c r="A241" s="254">
        <v>241</v>
      </c>
      <c r="B241" s="253">
        <v>113</v>
      </c>
      <c r="C241" s="240" t="s">
        <v>63</v>
      </c>
      <c r="D241" s="288" t="s">
        <v>56</v>
      </c>
      <c r="E241" s="289"/>
      <c r="F241" s="239" t="s">
        <v>438</v>
      </c>
      <c r="G241" s="290" t="s">
        <v>415</v>
      </c>
      <c r="H241" s="291" t="s">
        <v>152</v>
      </c>
      <c r="I241" s="239" t="s">
        <v>216</v>
      </c>
      <c r="J241" s="424">
        <f t="shared" si="6"/>
        <v>365</v>
      </c>
      <c r="K241" s="425">
        <v>127</v>
      </c>
      <c r="L241" s="425">
        <v>126</v>
      </c>
      <c r="M241" s="425">
        <v>52</v>
      </c>
      <c r="N241" s="425">
        <v>52</v>
      </c>
      <c r="O241" s="425">
        <v>4</v>
      </c>
      <c r="P241" s="425">
        <v>4</v>
      </c>
      <c r="Q241" s="294">
        <v>31.68</v>
      </c>
      <c r="R241" s="295" t="e">
        <f>IF(K241="nio",0,(K241*Q241)/X241)*VLOOKUP(C241,'2-Uren per locatie'!$B$15:$D$74,3,FALSE)</f>
        <v>#DIV/0!</v>
      </c>
      <c r="S241" s="295" t="e">
        <f>IF(K241="nio",0,(L241*Q241)/Y241)*VLOOKUP(C241,'2-Uren per locatie'!$B$15:$D$74,3,FALSE)</f>
        <v>#DIV/0!</v>
      </c>
      <c r="T241" s="295" t="e">
        <f>IF(K241="nio",0,(M241*Q241)/Z241)*VLOOKUP(C241,'2-Uren per locatie'!$B$15:$D$74,3,FALSE)</f>
        <v>#DIV/0!</v>
      </c>
      <c r="U241" s="295" t="e">
        <f>IF(K241="nio",0,(N241*Q241)/AA241)*VLOOKUP(C241,'2-Uren per locatie'!$B$15:$D$74,3,FALSE)</f>
        <v>#DIV/0!</v>
      </c>
      <c r="V241" s="295" t="e">
        <f>IF(K241="nio",0,(O241*Q241)/Z241)*VLOOKUP(C241,'2-Uren per locatie'!$B$15:$D$74,3,FALSE)</f>
        <v>#DIV/0!</v>
      </c>
      <c r="W241" s="295" t="e">
        <f>IF(K241="nio",0,(P241*Q241)/AA241)*VLOOKUP(C241,'2-Uren per locatie'!$B$15:$D$74,3,FALSE)</f>
        <v>#DIV/0!</v>
      </c>
      <c r="X241" s="485">
        <f>IF(K241="nio",0,IF(K241&gt;0,VLOOKUP(H241,'3-Productie normen'!A:F,VLOOKUP(K241,'3-Productie normen'!$B$29:$C$34,2,FALSE),FALSE)))</f>
        <v>0</v>
      </c>
      <c r="Y241" s="485">
        <f>VLOOKUP(H241,'3-Productie normen'!$A$10:$J$24,8,FALSE)*'3-Ruimtestaat'!X241</f>
        <v>0</v>
      </c>
      <c r="Z241" s="485">
        <f>VLOOKUP(H241,'3-Productie normen'!$A$10:$J$24,9,FALSE)*'3-Ruimtestaat'!X241</f>
        <v>0</v>
      </c>
      <c r="AA241" s="485">
        <f>VLOOKUP(H241,'3-Productie normen'!$A$10:$J$24,10,FALSE)*'3-Ruimtestaat'!X241</f>
        <v>0</v>
      </c>
      <c r="AB241" s="292" t="str">
        <f>IF(H241="",0,VLOOKUP(H241,'3-Productie normen'!$A$10:$N$23,14,FALSE))</f>
        <v>V</v>
      </c>
      <c r="AD241" s="296">
        <f t="shared" si="7"/>
        <v>11563.2</v>
      </c>
      <c r="AE241" s="78"/>
      <c r="AF241" s="297"/>
      <c r="AG241" s="297"/>
      <c r="AH241" s="297"/>
      <c r="AI241" s="297"/>
      <c r="AJ241" s="297"/>
      <c r="AK241" s="298"/>
      <c r="AL241" s="298"/>
      <c r="AM241" s="298"/>
      <c r="AN241" s="298"/>
      <c r="AO241" s="299" t="s">
        <v>98</v>
      </c>
    </row>
    <row r="242" spans="1:41" ht="15" customHeight="1">
      <c r="A242" s="254">
        <v>242</v>
      </c>
      <c r="B242" s="253">
        <v>113</v>
      </c>
      <c r="C242" s="240" t="s">
        <v>63</v>
      </c>
      <c r="D242" s="288" t="s">
        <v>56</v>
      </c>
      <c r="E242" s="289"/>
      <c r="F242" s="239" t="s">
        <v>439</v>
      </c>
      <c r="G242" s="290" t="s">
        <v>396</v>
      </c>
      <c r="H242" s="291" t="s">
        <v>145</v>
      </c>
      <c r="I242" s="239" t="s">
        <v>203</v>
      </c>
      <c r="J242" s="424">
        <f t="shared" si="6"/>
        <v>365</v>
      </c>
      <c r="K242" s="425">
        <v>127</v>
      </c>
      <c r="L242" s="425">
        <v>126</v>
      </c>
      <c r="M242" s="425">
        <v>52</v>
      </c>
      <c r="N242" s="425">
        <v>52</v>
      </c>
      <c r="O242" s="425">
        <v>4</v>
      </c>
      <c r="P242" s="425">
        <v>4</v>
      </c>
      <c r="Q242" s="294">
        <v>224.45</v>
      </c>
      <c r="R242" s="295" t="e">
        <f>IF(K242="nio",0,(K242*Q242)/X242)*VLOOKUP(C242,'2-Uren per locatie'!$B$15:$D$74,3,FALSE)</f>
        <v>#DIV/0!</v>
      </c>
      <c r="S242" s="295" t="e">
        <f>IF(K242="nio",0,(L242*Q242)/Y242)*VLOOKUP(C242,'2-Uren per locatie'!$B$15:$D$74,3,FALSE)</f>
        <v>#DIV/0!</v>
      </c>
      <c r="T242" s="295" t="e">
        <f>IF(K242="nio",0,(M242*Q242)/Z242)*VLOOKUP(C242,'2-Uren per locatie'!$B$15:$D$74,3,FALSE)</f>
        <v>#DIV/0!</v>
      </c>
      <c r="U242" s="295" t="e">
        <f>IF(K242="nio",0,(N242*Q242)/AA242)*VLOOKUP(C242,'2-Uren per locatie'!$B$15:$D$74,3,FALSE)</f>
        <v>#DIV/0!</v>
      </c>
      <c r="V242" s="295" t="e">
        <f>IF(K242="nio",0,(O242*Q242)/Z242)*VLOOKUP(C242,'2-Uren per locatie'!$B$15:$D$74,3,FALSE)</f>
        <v>#DIV/0!</v>
      </c>
      <c r="W242" s="295" t="e">
        <f>IF(K242="nio",0,(P242*Q242)/AA242)*VLOOKUP(C242,'2-Uren per locatie'!$B$15:$D$74,3,FALSE)</f>
        <v>#DIV/0!</v>
      </c>
      <c r="X242" s="485">
        <f>IF(K242="nio",0,IF(K242&gt;0,VLOOKUP(H242,'3-Productie normen'!A:F,VLOOKUP(K242,'3-Productie normen'!$B$29:$C$34,2,FALSE),FALSE)))</f>
        <v>0</v>
      </c>
      <c r="Y242" s="485">
        <f>VLOOKUP(H242,'3-Productie normen'!$A$10:$J$24,8,FALSE)*'3-Ruimtestaat'!X242</f>
        <v>0</v>
      </c>
      <c r="Z242" s="485">
        <f>VLOOKUP(H242,'3-Productie normen'!$A$10:$J$24,9,FALSE)*'3-Ruimtestaat'!X242</f>
        <v>0</v>
      </c>
      <c r="AA242" s="485">
        <f>VLOOKUP(H242,'3-Productie normen'!$A$10:$J$24,10,FALSE)*'3-Ruimtestaat'!X242</f>
        <v>0</v>
      </c>
      <c r="AB242" s="292" t="str">
        <f>IF(H242="",0,VLOOKUP(H242,'3-Productie normen'!$A$10:$N$23,14,FALSE))</f>
        <v>V</v>
      </c>
      <c r="AD242" s="296">
        <f t="shared" si="7"/>
        <v>81924.25</v>
      </c>
      <c r="AE242" s="78"/>
      <c r="AF242" s="297"/>
      <c r="AG242" s="297"/>
      <c r="AH242" s="297"/>
      <c r="AI242" s="297">
        <v>20</v>
      </c>
      <c r="AJ242" s="297">
        <v>589</v>
      </c>
      <c r="AK242" s="298"/>
      <c r="AL242" s="298"/>
      <c r="AM242" s="298">
        <f>224.5+33.6/1.5+(12.7+2.9+3)</f>
        <v>265.5</v>
      </c>
      <c r="AN242" s="298"/>
      <c r="AO242" s="299" t="s">
        <v>98</v>
      </c>
    </row>
    <row r="243" spans="1:41" ht="15" customHeight="1">
      <c r="A243" s="254">
        <v>243</v>
      </c>
      <c r="B243" s="253">
        <v>113</v>
      </c>
      <c r="C243" s="240" t="s">
        <v>63</v>
      </c>
      <c r="D243" s="288" t="s">
        <v>56</v>
      </c>
      <c r="E243" s="289"/>
      <c r="F243" s="239" t="s">
        <v>440</v>
      </c>
      <c r="G243" s="290" t="s">
        <v>441</v>
      </c>
      <c r="H243" s="291" t="s">
        <v>145</v>
      </c>
      <c r="I243" s="239" t="s">
        <v>203</v>
      </c>
      <c r="J243" s="424">
        <f t="shared" si="6"/>
        <v>365</v>
      </c>
      <c r="K243" s="425">
        <v>127</v>
      </c>
      <c r="L243" s="425">
        <v>126</v>
      </c>
      <c r="M243" s="425">
        <v>52</v>
      </c>
      <c r="N243" s="425">
        <v>52</v>
      </c>
      <c r="O243" s="425">
        <v>4</v>
      </c>
      <c r="P243" s="425">
        <v>4</v>
      </c>
      <c r="Q243" s="294">
        <v>243.2</v>
      </c>
      <c r="R243" s="295" t="e">
        <f>IF(K243="nio",0,(K243*Q243)/X243)*VLOOKUP(C243,'2-Uren per locatie'!$B$15:$D$74,3,FALSE)</f>
        <v>#DIV/0!</v>
      </c>
      <c r="S243" s="295" t="e">
        <f>IF(K243="nio",0,(L243*Q243)/Y243)*VLOOKUP(C243,'2-Uren per locatie'!$B$15:$D$74,3,FALSE)</f>
        <v>#DIV/0!</v>
      </c>
      <c r="T243" s="295" t="e">
        <f>IF(K243="nio",0,(M243*Q243)/Z243)*VLOOKUP(C243,'2-Uren per locatie'!$B$15:$D$74,3,FALSE)</f>
        <v>#DIV/0!</v>
      </c>
      <c r="U243" s="295" t="e">
        <f>IF(K243="nio",0,(N243*Q243)/AA243)*VLOOKUP(C243,'2-Uren per locatie'!$B$15:$D$74,3,FALSE)</f>
        <v>#DIV/0!</v>
      </c>
      <c r="V243" s="295" t="e">
        <f>IF(K243="nio",0,(O243*Q243)/Z243)*VLOOKUP(C243,'2-Uren per locatie'!$B$15:$D$74,3,FALSE)</f>
        <v>#DIV/0!</v>
      </c>
      <c r="W243" s="295" t="e">
        <f>IF(K243="nio",0,(P243*Q243)/AA243)*VLOOKUP(C243,'2-Uren per locatie'!$B$15:$D$74,3,FALSE)</f>
        <v>#DIV/0!</v>
      </c>
      <c r="X243" s="485">
        <f>IF(K243="nio",0,IF(K243&gt;0,VLOOKUP(H243,'3-Productie normen'!A:F,VLOOKUP(K243,'3-Productie normen'!$B$29:$C$34,2,FALSE),FALSE)))</f>
        <v>0</v>
      </c>
      <c r="Y243" s="485">
        <f>VLOOKUP(H243,'3-Productie normen'!$A$10:$J$24,8,FALSE)*'3-Ruimtestaat'!X243</f>
        <v>0</v>
      </c>
      <c r="Z243" s="485">
        <f>VLOOKUP(H243,'3-Productie normen'!$A$10:$J$24,9,FALSE)*'3-Ruimtestaat'!X243</f>
        <v>0</v>
      </c>
      <c r="AA243" s="485">
        <f>VLOOKUP(H243,'3-Productie normen'!$A$10:$J$24,10,FALSE)*'3-Ruimtestaat'!X243</f>
        <v>0</v>
      </c>
      <c r="AB243" s="292" t="str">
        <f>IF(H243="",0,VLOOKUP(H243,'3-Productie normen'!$A$10:$N$23,14,FALSE))</f>
        <v>V</v>
      </c>
      <c r="AD243" s="296">
        <f t="shared" si="7"/>
        <v>88768</v>
      </c>
      <c r="AE243" s="78"/>
      <c r="AF243" s="297"/>
      <c r="AG243" s="297"/>
      <c r="AH243" s="297"/>
      <c r="AI243" s="297">
        <v>20</v>
      </c>
      <c r="AJ243" s="297">
        <v>593</v>
      </c>
      <c r="AK243" s="298"/>
      <c r="AL243" s="298"/>
      <c r="AM243" s="298">
        <f>243.2+33.6/1.5+(12.7+2.9+3)</f>
        <v>284.2</v>
      </c>
      <c r="AN243" s="298"/>
      <c r="AO243" s="299" t="s">
        <v>115</v>
      </c>
    </row>
    <row r="244" spans="1:41" ht="15" customHeight="1">
      <c r="A244" s="254">
        <v>244</v>
      </c>
      <c r="B244" s="253">
        <v>113</v>
      </c>
      <c r="C244" s="240" t="s">
        <v>63</v>
      </c>
      <c r="D244" s="288" t="s">
        <v>56</v>
      </c>
      <c r="E244" s="289"/>
      <c r="F244" s="239" t="s">
        <v>469</v>
      </c>
      <c r="G244" s="290" t="s">
        <v>470</v>
      </c>
      <c r="H244" s="291" t="s">
        <v>144</v>
      </c>
      <c r="I244" s="239" t="s">
        <v>203</v>
      </c>
      <c r="J244" s="424">
        <f t="shared" si="6"/>
        <v>365</v>
      </c>
      <c r="K244" s="425">
        <v>127</v>
      </c>
      <c r="L244" s="425">
        <v>126</v>
      </c>
      <c r="M244" s="425">
        <v>52</v>
      </c>
      <c r="N244" s="425">
        <v>52</v>
      </c>
      <c r="O244" s="425">
        <v>4</v>
      </c>
      <c r="P244" s="425">
        <v>4</v>
      </c>
      <c r="Q244" s="294">
        <v>12.9</v>
      </c>
      <c r="R244" s="295" t="e">
        <f>IF(K244="nio",0,(K244*Q244)/X244)*VLOOKUP(C244,'2-Uren per locatie'!$B$15:$D$74,3,FALSE)</f>
        <v>#DIV/0!</v>
      </c>
      <c r="S244" s="295" t="e">
        <f>IF(K244="nio",0,(L244*Q244)/Y244)*VLOOKUP(C244,'2-Uren per locatie'!$B$15:$D$74,3,FALSE)</f>
        <v>#DIV/0!</v>
      </c>
      <c r="T244" s="295" t="e">
        <f>IF(K244="nio",0,(M244*Q244)/Z244)*VLOOKUP(C244,'2-Uren per locatie'!$B$15:$D$74,3,FALSE)</f>
        <v>#DIV/0!</v>
      </c>
      <c r="U244" s="295" t="e">
        <f>IF(K244="nio",0,(N244*Q244)/AA244)*VLOOKUP(C244,'2-Uren per locatie'!$B$15:$D$74,3,FALSE)</f>
        <v>#DIV/0!</v>
      </c>
      <c r="V244" s="295" t="e">
        <f>IF(K244="nio",0,(O244*Q244)/Z244)*VLOOKUP(C244,'2-Uren per locatie'!$B$15:$D$74,3,FALSE)</f>
        <v>#DIV/0!</v>
      </c>
      <c r="W244" s="295" t="e">
        <f>IF(K244="nio",0,(P244*Q244)/AA244)*VLOOKUP(C244,'2-Uren per locatie'!$B$15:$D$74,3,FALSE)</f>
        <v>#DIV/0!</v>
      </c>
      <c r="X244" s="485">
        <f>IF(K244="nio",0,IF(K244&gt;0,VLOOKUP(H244,'3-Productie normen'!A:F,VLOOKUP(K244,'3-Productie normen'!$B$29:$C$34,2,FALSE),FALSE)))</f>
        <v>0</v>
      </c>
      <c r="Y244" s="485">
        <f>VLOOKUP(H244,'3-Productie normen'!$A$10:$J$24,8,FALSE)*'3-Ruimtestaat'!X244</f>
        <v>0</v>
      </c>
      <c r="Z244" s="485">
        <f>VLOOKUP(H244,'3-Productie normen'!$A$10:$J$24,9,FALSE)*'3-Ruimtestaat'!X244</f>
        <v>0</v>
      </c>
      <c r="AA244" s="485">
        <f>VLOOKUP(H244,'3-Productie normen'!$A$10:$J$24,10,FALSE)*'3-Ruimtestaat'!X244</f>
        <v>0</v>
      </c>
      <c r="AB244" s="292" t="str">
        <f>IF(H244="",0,VLOOKUP(H244,'3-Productie normen'!$A$10:$N$23,14,FALSE))</f>
        <v>V</v>
      </c>
      <c r="AD244" s="296">
        <f t="shared" si="7"/>
        <v>4708.5</v>
      </c>
      <c r="AE244" s="78"/>
      <c r="AF244" s="297"/>
      <c r="AG244" s="297"/>
      <c r="AH244" s="297"/>
      <c r="AI244" s="297"/>
      <c r="AJ244" s="297">
        <v>51</v>
      </c>
      <c r="AK244" s="298"/>
      <c r="AL244" s="298"/>
      <c r="AM244" s="298"/>
      <c r="AN244" s="298"/>
      <c r="AO244" s="299" t="s">
        <v>471</v>
      </c>
    </row>
    <row r="245" spans="1:41" ht="15" customHeight="1">
      <c r="A245" s="254">
        <v>245</v>
      </c>
      <c r="B245" s="253">
        <v>113</v>
      </c>
      <c r="C245" s="240" t="s">
        <v>63</v>
      </c>
      <c r="D245" s="288" t="s">
        <v>56</v>
      </c>
      <c r="E245" s="289"/>
      <c r="F245" s="239" t="s">
        <v>423</v>
      </c>
      <c r="G245" s="290" t="s">
        <v>442</v>
      </c>
      <c r="H245" s="291" t="s">
        <v>153</v>
      </c>
      <c r="I245" s="239" t="s">
        <v>299</v>
      </c>
      <c r="J245" s="424">
        <f t="shared" si="6"/>
        <v>365</v>
      </c>
      <c r="K245" s="425">
        <v>255</v>
      </c>
      <c r="L245" s="425"/>
      <c r="M245" s="425">
        <v>102</v>
      </c>
      <c r="N245" s="425"/>
      <c r="O245" s="425">
        <v>8</v>
      </c>
      <c r="P245" s="425"/>
      <c r="Q245" s="294">
        <v>2.9</v>
      </c>
      <c r="R245" s="295" t="e">
        <f>IF(K245="nio",0,(K245*Q245)/X245)*VLOOKUP(C245,'2-Uren per locatie'!$B$15:$D$74,3,FALSE)</f>
        <v>#DIV/0!</v>
      </c>
      <c r="S245" s="295" t="e">
        <f>IF(K245="nio",0,(L245*Q245)/Y245)*VLOOKUP(C245,'2-Uren per locatie'!$B$15:$D$74,3,FALSE)</f>
        <v>#DIV/0!</v>
      </c>
      <c r="T245" s="295" t="e">
        <f>IF(K245="nio",0,(M245*Q245)/Z245)*VLOOKUP(C245,'2-Uren per locatie'!$B$15:$D$74,3,FALSE)</f>
        <v>#DIV/0!</v>
      </c>
      <c r="U245" s="295" t="e">
        <f>IF(K245="nio",0,(N245*Q245)/AA245)*VLOOKUP(C245,'2-Uren per locatie'!$B$15:$D$74,3,FALSE)</f>
        <v>#DIV/0!</v>
      </c>
      <c r="V245" s="295" t="e">
        <f>IF(K245="nio",0,(O245*Q245)/Z245)*VLOOKUP(C245,'2-Uren per locatie'!$B$15:$D$74,3,FALSE)</f>
        <v>#DIV/0!</v>
      </c>
      <c r="W245" s="295" t="e">
        <f>IF(K245="nio",0,(P245*Q245)/AA245)*VLOOKUP(C245,'2-Uren per locatie'!$B$15:$D$74,3,FALSE)</f>
        <v>#DIV/0!</v>
      </c>
      <c r="X245" s="485">
        <f>IF(K245="nio",0,IF(K245&gt;0,VLOOKUP(H245,'3-Productie normen'!A:F,VLOOKUP(K245,'3-Productie normen'!$B$29:$C$34,2,FALSE),FALSE)))</f>
        <v>0</v>
      </c>
      <c r="Y245" s="485">
        <f>VLOOKUP(H245,'3-Productie normen'!$A$10:$J$24,8,FALSE)*'3-Ruimtestaat'!X245</f>
        <v>0</v>
      </c>
      <c r="Z245" s="485">
        <f>VLOOKUP(H245,'3-Productie normen'!$A$10:$J$24,9,FALSE)*'3-Ruimtestaat'!X245</f>
        <v>0</v>
      </c>
      <c r="AA245" s="485">
        <f>VLOOKUP(H245,'3-Productie normen'!$A$10:$J$24,10,FALSE)*'3-Ruimtestaat'!X245</f>
        <v>0</v>
      </c>
      <c r="AB245" s="292" t="str">
        <f>IF(H245="",0,VLOOKUP(H245,'3-Productie normen'!$A$10:$N$23,14,FALSE))</f>
        <v>S</v>
      </c>
      <c r="AD245" s="296">
        <f t="shared" si="7"/>
        <v>1058.5</v>
      </c>
      <c r="AE245" s="78"/>
      <c r="AF245" s="297">
        <v>17.8</v>
      </c>
      <c r="AG245" s="297"/>
      <c r="AH245" s="297"/>
      <c r="AI245" s="297"/>
      <c r="AJ245" s="297"/>
      <c r="AK245" s="298"/>
      <c r="AL245" s="298"/>
      <c r="AM245" s="298"/>
      <c r="AN245" s="298">
        <f>Q245</f>
        <v>2.9</v>
      </c>
      <c r="AO245" s="299" t="s">
        <v>98</v>
      </c>
    </row>
    <row r="246" spans="1:41" ht="15" customHeight="1">
      <c r="A246" s="254">
        <v>246</v>
      </c>
      <c r="B246" s="253">
        <v>113</v>
      </c>
      <c r="C246" s="240" t="s">
        <v>63</v>
      </c>
      <c r="D246" s="288" t="s">
        <v>56</v>
      </c>
      <c r="E246" s="289"/>
      <c r="F246" s="239" t="s">
        <v>421</v>
      </c>
      <c r="G246" s="290" t="s">
        <v>443</v>
      </c>
      <c r="H246" s="291" t="s">
        <v>153</v>
      </c>
      <c r="I246" s="239" t="s">
        <v>299</v>
      </c>
      <c r="J246" s="424">
        <f t="shared" si="6"/>
        <v>365</v>
      </c>
      <c r="K246" s="425">
        <v>255</v>
      </c>
      <c r="L246" s="425"/>
      <c r="M246" s="425">
        <v>102</v>
      </c>
      <c r="N246" s="425"/>
      <c r="O246" s="425">
        <v>8</v>
      </c>
      <c r="P246" s="425"/>
      <c r="Q246" s="294">
        <v>2.9</v>
      </c>
      <c r="R246" s="295" t="e">
        <f>IF(K246="nio",0,(K246*Q246)/X246)*VLOOKUP(C246,'2-Uren per locatie'!$B$15:$D$74,3,FALSE)</f>
        <v>#DIV/0!</v>
      </c>
      <c r="S246" s="295" t="e">
        <f>IF(K246="nio",0,(L246*Q246)/Y246)*VLOOKUP(C246,'2-Uren per locatie'!$B$15:$D$74,3,FALSE)</f>
        <v>#DIV/0!</v>
      </c>
      <c r="T246" s="295" t="e">
        <f>IF(K246="nio",0,(M246*Q246)/Z246)*VLOOKUP(C246,'2-Uren per locatie'!$B$15:$D$74,3,FALSE)</f>
        <v>#DIV/0!</v>
      </c>
      <c r="U246" s="295" t="e">
        <f>IF(K246="nio",0,(N246*Q246)/AA246)*VLOOKUP(C246,'2-Uren per locatie'!$B$15:$D$74,3,FALSE)</f>
        <v>#DIV/0!</v>
      </c>
      <c r="V246" s="295" t="e">
        <f>IF(K246="nio",0,(O246*Q246)/Z246)*VLOOKUP(C246,'2-Uren per locatie'!$B$15:$D$74,3,FALSE)</f>
        <v>#DIV/0!</v>
      </c>
      <c r="W246" s="295" t="e">
        <f>IF(K246="nio",0,(P246*Q246)/AA246)*VLOOKUP(C246,'2-Uren per locatie'!$B$15:$D$74,3,FALSE)</f>
        <v>#DIV/0!</v>
      </c>
      <c r="X246" s="485">
        <f>IF(K246="nio",0,IF(K246&gt;0,VLOOKUP(H246,'3-Productie normen'!A:F,VLOOKUP(K246,'3-Productie normen'!$B$29:$C$34,2,FALSE),FALSE)))</f>
        <v>0</v>
      </c>
      <c r="Y246" s="485">
        <f>VLOOKUP(H246,'3-Productie normen'!$A$10:$J$24,8,FALSE)*'3-Ruimtestaat'!X246</f>
        <v>0</v>
      </c>
      <c r="Z246" s="485">
        <f>VLOOKUP(H246,'3-Productie normen'!$A$10:$J$24,9,FALSE)*'3-Ruimtestaat'!X246</f>
        <v>0</v>
      </c>
      <c r="AA246" s="485">
        <f>VLOOKUP(H246,'3-Productie normen'!$A$10:$J$24,10,FALSE)*'3-Ruimtestaat'!X246</f>
        <v>0</v>
      </c>
      <c r="AB246" s="292" t="str">
        <f>IF(H246="",0,VLOOKUP(H246,'3-Productie normen'!$A$10:$N$23,14,FALSE))</f>
        <v>S</v>
      </c>
      <c r="AD246" s="296">
        <f t="shared" si="7"/>
        <v>1058.5</v>
      </c>
      <c r="AE246" s="78"/>
      <c r="AF246" s="297">
        <v>17.8</v>
      </c>
      <c r="AG246" s="297"/>
      <c r="AH246" s="297"/>
      <c r="AI246" s="297"/>
      <c r="AJ246" s="297"/>
      <c r="AK246" s="298"/>
      <c r="AL246" s="298"/>
      <c r="AM246" s="298"/>
      <c r="AN246" s="298">
        <f>Q246</f>
        <v>2.9</v>
      </c>
      <c r="AO246" s="299" t="s">
        <v>98</v>
      </c>
    </row>
    <row r="247" spans="1:41" ht="15" customHeight="1">
      <c r="A247" s="254">
        <v>247</v>
      </c>
      <c r="B247" s="253">
        <v>113</v>
      </c>
      <c r="C247" s="240" t="s">
        <v>63</v>
      </c>
      <c r="D247" s="288" t="s">
        <v>56</v>
      </c>
      <c r="E247" s="289"/>
      <c r="F247" s="239" t="s">
        <v>444</v>
      </c>
      <c r="G247" s="290">
        <v>34</v>
      </c>
      <c r="H247" s="291" t="s">
        <v>149</v>
      </c>
      <c r="I247" s="239" t="s">
        <v>245</v>
      </c>
      <c r="J247" s="424">
        <f t="shared" si="6"/>
        <v>365</v>
      </c>
      <c r="K247" s="425">
        <v>127</v>
      </c>
      <c r="L247" s="425">
        <v>126</v>
      </c>
      <c r="M247" s="425">
        <v>52</v>
      </c>
      <c r="N247" s="425">
        <v>52</v>
      </c>
      <c r="O247" s="425">
        <v>4</v>
      </c>
      <c r="P247" s="425">
        <v>4</v>
      </c>
      <c r="Q247" s="294">
        <v>2.8</v>
      </c>
      <c r="R247" s="295" t="e">
        <f>IF(K247="nio",0,(K247*Q247)/X247)*VLOOKUP(C247,'2-Uren per locatie'!$B$15:$D$74,3,FALSE)</f>
        <v>#DIV/0!</v>
      </c>
      <c r="S247" s="295" t="e">
        <f>IF(K247="nio",0,(L247*Q247)/Y247)*VLOOKUP(C247,'2-Uren per locatie'!$B$15:$D$74,3,FALSE)</f>
        <v>#DIV/0!</v>
      </c>
      <c r="T247" s="295" t="e">
        <f>IF(K247="nio",0,(M247*Q247)/Z247)*VLOOKUP(C247,'2-Uren per locatie'!$B$15:$D$74,3,FALSE)</f>
        <v>#DIV/0!</v>
      </c>
      <c r="U247" s="295" t="e">
        <f>IF(K247="nio",0,(N247*Q247)/AA247)*VLOOKUP(C247,'2-Uren per locatie'!$B$15:$D$74,3,FALSE)</f>
        <v>#DIV/0!</v>
      </c>
      <c r="V247" s="295" t="e">
        <f>IF(K247="nio",0,(O247*Q247)/Z247)*VLOOKUP(C247,'2-Uren per locatie'!$B$15:$D$74,3,FALSE)</f>
        <v>#DIV/0!</v>
      </c>
      <c r="W247" s="295" t="e">
        <f>IF(K247="nio",0,(P247*Q247)/AA247)*VLOOKUP(C247,'2-Uren per locatie'!$B$15:$D$74,3,FALSE)</f>
        <v>#DIV/0!</v>
      </c>
      <c r="X247" s="485">
        <f>IF(K247="nio",0,IF(K247&gt;0,VLOOKUP(H247,'3-Productie normen'!A:F,VLOOKUP(K247,'3-Productie normen'!$B$29:$C$34,2,FALSE),FALSE)))</f>
        <v>0</v>
      </c>
      <c r="Y247" s="485">
        <f>VLOOKUP(H247,'3-Productie normen'!$A$10:$J$24,8,FALSE)*'3-Ruimtestaat'!X247</f>
        <v>0</v>
      </c>
      <c r="Z247" s="485">
        <f>VLOOKUP(H247,'3-Productie normen'!$A$10:$J$24,9,FALSE)*'3-Ruimtestaat'!X247</f>
        <v>0</v>
      </c>
      <c r="AA247" s="485">
        <f>VLOOKUP(H247,'3-Productie normen'!$A$10:$J$24,10,FALSE)*'3-Ruimtestaat'!X247</f>
        <v>0</v>
      </c>
      <c r="AB247" s="292" t="str">
        <f>IF(H247="",0,VLOOKUP(H247,'3-Productie normen'!$A$10:$N$23,14,FALSE))</f>
        <v>V</v>
      </c>
      <c r="AD247" s="296">
        <f t="shared" si="7"/>
        <v>1021.9999999999999</v>
      </c>
      <c r="AE247" s="78"/>
      <c r="AF247" s="297"/>
      <c r="AG247" s="297"/>
      <c r="AH247" s="297"/>
      <c r="AI247" s="297">
        <v>11.5</v>
      </c>
      <c r="AJ247" s="297">
        <v>3.5</v>
      </c>
      <c r="AK247" s="298"/>
      <c r="AL247" s="298"/>
      <c r="AM247" s="298"/>
      <c r="AN247" s="298">
        <f>Q247</f>
        <v>2.8</v>
      </c>
      <c r="AO247" s="299" t="s">
        <v>445</v>
      </c>
    </row>
    <row r="248" spans="1:41" ht="15" customHeight="1">
      <c r="A248" s="254">
        <v>248</v>
      </c>
      <c r="B248" s="253">
        <v>113</v>
      </c>
      <c r="C248" s="240" t="s">
        <v>63</v>
      </c>
      <c r="D248" s="288" t="s">
        <v>56</v>
      </c>
      <c r="E248" s="289"/>
      <c r="F248" s="239" t="s">
        <v>376</v>
      </c>
      <c r="G248" s="290" t="s">
        <v>446</v>
      </c>
      <c r="H248" s="291" t="s">
        <v>149</v>
      </c>
      <c r="I248" s="239" t="s">
        <v>447</v>
      </c>
      <c r="J248" s="424">
        <f t="shared" si="6"/>
        <v>365</v>
      </c>
      <c r="K248" s="425">
        <v>127</v>
      </c>
      <c r="L248" s="425">
        <v>126</v>
      </c>
      <c r="M248" s="425">
        <v>52</v>
      </c>
      <c r="N248" s="425">
        <v>52</v>
      </c>
      <c r="O248" s="425">
        <v>4</v>
      </c>
      <c r="P248" s="425">
        <v>4</v>
      </c>
      <c r="Q248" s="294">
        <v>5.75</v>
      </c>
      <c r="R248" s="295" t="e">
        <f>IF(K248="nio",0,(K248*Q248)/X248)*VLOOKUP(C248,'2-Uren per locatie'!$B$15:$D$74,3,FALSE)</f>
        <v>#DIV/0!</v>
      </c>
      <c r="S248" s="295" t="e">
        <f>IF(K248="nio",0,(L248*Q248)/Y248)*VLOOKUP(C248,'2-Uren per locatie'!$B$15:$D$74,3,FALSE)</f>
        <v>#DIV/0!</v>
      </c>
      <c r="T248" s="295" t="e">
        <f>IF(K248="nio",0,(M248*Q248)/Z248)*VLOOKUP(C248,'2-Uren per locatie'!$B$15:$D$74,3,FALSE)</f>
        <v>#DIV/0!</v>
      </c>
      <c r="U248" s="295" t="e">
        <f>IF(K248="nio",0,(N248*Q248)/AA248)*VLOOKUP(C248,'2-Uren per locatie'!$B$15:$D$74,3,FALSE)</f>
        <v>#DIV/0!</v>
      </c>
      <c r="V248" s="295" t="e">
        <f>IF(K248="nio",0,(O248*Q248)/Z248)*VLOOKUP(C248,'2-Uren per locatie'!$B$15:$D$74,3,FALSE)</f>
        <v>#DIV/0!</v>
      </c>
      <c r="W248" s="295" t="e">
        <f>IF(K248="nio",0,(P248*Q248)/AA248)*VLOOKUP(C248,'2-Uren per locatie'!$B$15:$D$74,3,FALSE)</f>
        <v>#DIV/0!</v>
      </c>
      <c r="X248" s="485">
        <f>IF(K248="nio",0,IF(K248&gt;0,VLOOKUP(H248,'3-Productie normen'!A:F,VLOOKUP(K248,'3-Productie normen'!$B$29:$C$34,2,FALSE),FALSE)))</f>
        <v>0</v>
      </c>
      <c r="Y248" s="485">
        <f>VLOOKUP(H248,'3-Productie normen'!$A$10:$J$24,8,FALSE)*'3-Ruimtestaat'!X248</f>
        <v>0</v>
      </c>
      <c r="Z248" s="485">
        <f>VLOOKUP(H248,'3-Productie normen'!$A$10:$J$24,9,FALSE)*'3-Ruimtestaat'!X248</f>
        <v>0</v>
      </c>
      <c r="AA248" s="485">
        <f>VLOOKUP(H248,'3-Productie normen'!$A$10:$J$24,10,FALSE)*'3-Ruimtestaat'!X248</f>
        <v>0</v>
      </c>
      <c r="AB248" s="292" t="str">
        <f>IF(H248="",0,VLOOKUP(H248,'3-Productie normen'!$A$10:$N$23,14,FALSE))</f>
        <v>V</v>
      </c>
      <c r="AD248" s="296">
        <f t="shared" si="7"/>
        <v>2098.75</v>
      </c>
      <c r="AE248" s="78"/>
      <c r="AF248" s="300" t="s">
        <v>448</v>
      </c>
      <c r="AG248" s="297"/>
      <c r="AH248" s="297"/>
      <c r="AI248" s="297"/>
      <c r="AJ248" s="297"/>
      <c r="AK248" s="298"/>
      <c r="AL248" s="298"/>
      <c r="AM248" s="298"/>
      <c r="AN248" s="298"/>
      <c r="AO248" s="299" t="s">
        <v>449</v>
      </c>
    </row>
    <row r="249" spans="1:41" ht="15" customHeight="1">
      <c r="A249" s="254">
        <v>249</v>
      </c>
      <c r="B249" s="253">
        <v>113</v>
      </c>
      <c r="C249" s="240" t="s">
        <v>63</v>
      </c>
      <c r="D249" s="288" t="s">
        <v>56</v>
      </c>
      <c r="E249" s="289"/>
      <c r="F249" s="239" t="s">
        <v>450</v>
      </c>
      <c r="G249" s="290" t="s">
        <v>451</v>
      </c>
      <c r="H249" s="291" t="s">
        <v>146</v>
      </c>
      <c r="I249" s="239" t="s">
        <v>420</v>
      </c>
      <c r="J249" s="424">
        <f t="shared" si="6"/>
        <v>365</v>
      </c>
      <c r="K249" s="425">
        <v>127</v>
      </c>
      <c r="L249" s="425">
        <v>126</v>
      </c>
      <c r="M249" s="425">
        <v>52</v>
      </c>
      <c r="N249" s="425">
        <v>52</v>
      </c>
      <c r="O249" s="425">
        <v>4</v>
      </c>
      <c r="P249" s="425">
        <v>4</v>
      </c>
      <c r="Q249" s="294">
        <v>25.79</v>
      </c>
      <c r="R249" s="295" t="e">
        <f>IF(K249="nio",0,(K249*Q249)/X249)*VLOOKUP(C249,'2-Uren per locatie'!$B$15:$D$74,3,FALSE)</f>
        <v>#DIV/0!</v>
      </c>
      <c r="S249" s="295" t="e">
        <f>IF(K249="nio",0,(L249*Q249)/Y249)*VLOOKUP(C249,'2-Uren per locatie'!$B$15:$D$74,3,FALSE)</f>
        <v>#DIV/0!</v>
      </c>
      <c r="T249" s="295" t="e">
        <f>IF(K249="nio",0,(M249*Q249)/Z249)*VLOOKUP(C249,'2-Uren per locatie'!$B$15:$D$74,3,FALSE)</f>
        <v>#DIV/0!</v>
      </c>
      <c r="U249" s="295" t="e">
        <f>IF(K249="nio",0,(N249*Q249)/AA249)*VLOOKUP(C249,'2-Uren per locatie'!$B$15:$D$74,3,FALSE)</f>
        <v>#DIV/0!</v>
      </c>
      <c r="V249" s="295" t="e">
        <f>IF(K249="nio",0,(O249*Q249)/Z249)*VLOOKUP(C249,'2-Uren per locatie'!$B$15:$D$74,3,FALSE)</f>
        <v>#DIV/0!</v>
      </c>
      <c r="W249" s="295" t="e">
        <f>IF(K249="nio",0,(P249*Q249)/AA249)*VLOOKUP(C249,'2-Uren per locatie'!$B$15:$D$74,3,FALSE)</f>
        <v>#DIV/0!</v>
      </c>
      <c r="X249" s="485">
        <f>IF(K249="nio",0,IF(K249&gt;0,VLOOKUP(H249,'3-Productie normen'!A:F,VLOOKUP(K249,'3-Productie normen'!$B$29:$C$34,2,FALSE),FALSE)))</f>
        <v>0</v>
      </c>
      <c r="Y249" s="485">
        <f>VLOOKUP(H249,'3-Productie normen'!$A$10:$J$24,8,FALSE)*'3-Ruimtestaat'!X249</f>
        <v>0</v>
      </c>
      <c r="Z249" s="485">
        <f>VLOOKUP(H249,'3-Productie normen'!$A$10:$J$24,9,FALSE)*'3-Ruimtestaat'!X249</f>
        <v>0</v>
      </c>
      <c r="AA249" s="485">
        <f>VLOOKUP(H249,'3-Productie normen'!$A$10:$J$24,10,FALSE)*'3-Ruimtestaat'!X249</f>
        <v>0</v>
      </c>
      <c r="AB249" s="292" t="str">
        <f>IF(H249="",0,VLOOKUP(H249,'3-Productie normen'!$A$10:$N$23,14,FALSE))</f>
        <v>B</v>
      </c>
      <c r="AD249" s="296">
        <f t="shared" si="7"/>
        <v>9413.35</v>
      </c>
      <c r="AE249" s="78"/>
      <c r="AF249" s="297"/>
      <c r="AG249" s="297"/>
      <c r="AH249" s="297"/>
      <c r="AI249" s="297"/>
      <c r="AJ249" s="297">
        <v>63</v>
      </c>
      <c r="AK249" s="298"/>
      <c r="AL249" s="298"/>
      <c r="AM249" s="298"/>
      <c r="AN249" s="298"/>
      <c r="AO249" s="299" t="s">
        <v>98</v>
      </c>
    </row>
    <row r="250" spans="1:41" ht="15" customHeight="1">
      <c r="A250" s="254">
        <v>250</v>
      </c>
      <c r="B250" s="253">
        <v>114</v>
      </c>
      <c r="C250" s="240" t="s">
        <v>64</v>
      </c>
      <c r="D250" s="288" t="s">
        <v>56</v>
      </c>
      <c r="E250" s="289"/>
      <c r="F250" s="239" t="s">
        <v>472</v>
      </c>
      <c r="G250" s="290" t="s">
        <v>396</v>
      </c>
      <c r="H250" s="291" t="s">
        <v>145</v>
      </c>
      <c r="I250" s="239" t="s">
        <v>203</v>
      </c>
      <c r="J250" s="424">
        <f t="shared" si="6"/>
        <v>365</v>
      </c>
      <c r="K250" s="425">
        <v>127</v>
      </c>
      <c r="L250" s="425">
        <v>126</v>
      </c>
      <c r="M250" s="425">
        <v>52</v>
      </c>
      <c r="N250" s="425">
        <v>52</v>
      </c>
      <c r="O250" s="425">
        <v>4</v>
      </c>
      <c r="P250" s="425">
        <v>4</v>
      </c>
      <c r="Q250" s="294">
        <v>202.8</v>
      </c>
      <c r="R250" s="295" t="e">
        <f>IF(K250="nio",0,(K250*Q250)/X250)*VLOOKUP(C250,'2-Uren per locatie'!$B$15:$D$74,3,FALSE)</f>
        <v>#DIV/0!</v>
      </c>
      <c r="S250" s="295" t="e">
        <f>IF(K250="nio",0,(L250*Q250)/Y250)*VLOOKUP(C250,'2-Uren per locatie'!$B$15:$D$74,3,FALSE)</f>
        <v>#DIV/0!</v>
      </c>
      <c r="T250" s="295" t="e">
        <f>IF(K250="nio",0,(M250*Q250)/Z250)*VLOOKUP(C250,'2-Uren per locatie'!$B$15:$D$74,3,FALSE)</f>
        <v>#DIV/0!</v>
      </c>
      <c r="U250" s="295" t="e">
        <f>IF(K250="nio",0,(N250*Q250)/AA250)*VLOOKUP(C250,'2-Uren per locatie'!$B$15:$D$74,3,FALSE)</f>
        <v>#DIV/0!</v>
      </c>
      <c r="V250" s="295" t="e">
        <f>IF(K250="nio",0,(O250*Q250)/Z250)*VLOOKUP(C250,'2-Uren per locatie'!$B$15:$D$74,3,FALSE)</f>
        <v>#DIV/0!</v>
      </c>
      <c r="W250" s="295" t="e">
        <f>IF(K250="nio",0,(P250*Q250)/AA250)*VLOOKUP(C250,'2-Uren per locatie'!$B$15:$D$74,3,FALSE)</f>
        <v>#DIV/0!</v>
      </c>
      <c r="X250" s="485">
        <f>IF(K250="nio",0,IF(K250&gt;0,VLOOKUP(H250,'3-Productie normen'!A:F,VLOOKUP(K250,'3-Productie normen'!$B$29:$C$34,2,FALSE),FALSE)))</f>
        <v>0</v>
      </c>
      <c r="Y250" s="485">
        <f>VLOOKUP(H250,'3-Productie normen'!$A$10:$J$24,8,FALSE)*'3-Ruimtestaat'!X250</f>
        <v>0</v>
      </c>
      <c r="Z250" s="485">
        <f>VLOOKUP(H250,'3-Productie normen'!$A$10:$J$24,9,FALSE)*'3-Ruimtestaat'!X250</f>
        <v>0</v>
      </c>
      <c r="AA250" s="485">
        <f>VLOOKUP(H250,'3-Productie normen'!$A$10:$J$24,10,FALSE)*'3-Ruimtestaat'!X250</f>
        <v>0</v>
      </c>
      <c r="AB250" s="292" t="str">
        <f>IF(H250="",0,VLOOKUP(H250,'3-Productie normen'!$A$10:$N$23,14,FALSE))</f>
        <v>V</v>
      </c>
      <c r="AD250" s="296">
        <f t="shared" si="7"/>
        <v>74022</v>
      </c>
      <c r="AE250" s="78"/>
      <c r="AF250" s="297">
        <f>10*3.8+16.4</f>
        <v>54.4</v>
      </c>
      <c r="AG250" s="297"/>
      <c r="AH250" s="297"/>
      <c r="AI250" s="297"/>
      <c r="AJ250" s="297"/>
      <c r="AK250" s="298"/>
      <c r="AL250" s="298"/>
      <c r="AM250" s="298"/>
      <c r="AN250" s="298">
        <f>21.5*4*1.8+1.8*1.5*18</f>
        <v>203.4</v>
      </c>
      <c r="AO250" s="299" t="s">
        <v>473</v>
      </c>
    </row>
    <row r="251" spans="1:41" ht="15" customHeight="1">
      <c r="A251" s="254">
        <v>251</v>
      </c>
      <c r="B251" s="253">
        <v>114</v>
      </c>
      <c r="C251" s="240" t="s">
        <v>64</v>
      </c>
      <c r="D251" s="288" t="s">
        <v>56</v>
      </c>
      <c r="E251" s="289"/>
      <c r="F251" s="239" t="s">
        <v>474</v>
      </c>
      <c r="G251" s="290" t="s">
        <v>441</v>
      </c>
      <c r="H251" s="291" t="s">
        <v>145</v>
      </c>
      <c r="I251" s="239" t="s">
        <v>203</v>
      </c>
      <c r="J251" s="424">
        <f t="shared" si="6"/>
        <v>365</v>
      </c>
      <c r="K251" s="425">
        <v>127</v>
      </c>
      <c r="L251" s="425">
        <v>126</v>
      </c>
      <c r="M251" s="425">
        <v>52</v>
      </c>
      <c r="N251" s="425">
        <v>52</v>
      </c>
      <c r="O251" s="425">
        <v>4</v>
      </c>
      <c r="P251" s="425">
        <v>4</v>
      </c>
      <c r="Q251" s="294">
        <v>176.71</v>
      </c>
      <c r="R251" s="295" t="e">
        <f>IF(K251="nio",0,(K251*Q251)/X251)*VLOOKUP(C251,'2-Uren per locatie'!$B$15:$D$74,3,FALSE)</f>
        <v>#DIV/0!</v>
      </c>
      <c r="S251" s="295" t="e">
        <f>IF(K251="nio",0,(L251*Q251)/Y251)*VLOOKUP(C251,'2-Uren per locatie'!$B$15:$D$74,3,FALSE)</f>
        <v>#DIV/0!</v>
      </c>
      <c r="T251" s="295" t="e">
        <f>IF(K251="nio",0,(M251*Q251)/Z251)*VLOOKUP(C251,'2-Uren per locatie'!$B$15:$D$74,3,FALSE)</f>
        <v>#DIV/0!</v>
      </c>
      <c r="U251" s="295" t="e">
        <f>IF(K251="nio",0,(N251*Q251)/AA251)*VLOOKUP(C251,'2-Uren per locatie'!$B$15:$D$74,3,FALSE)</f>
        <v>#DIV/0!</v>
      </c>
      <c r="V251" s="295" t="e">
        <f>IF(K251="nio",0,(O251*Q251)/Z251)*VLOOKUP(C251,'2-Uren per locatie'!$B$15:$D$74,3,FALSE)</f>
        <v>#DIV/0!</v>
      </c>
      <c r="W251" s="295" t="e">
        <f>IF(K251="nio",0,(P251*Q251)/AA251)*VLOOKUP(C251,'2-Uren per locatie'!$B$15:$D$74,3,FALSE)</f>
        <v>#DIV/0!</v>
      </c>
      <c r="X251" s="485">
        <f>IF(K251="nio",0,IF(K251&gt;0,VLOOKUP(H251,'3-Productie normen'!A:F,VLOOKUP(K251,'3-Productie normen'!$B$29:$C$34,2,FALSE),FALSE)))</f>
        <v>0</v>
      </c>
      <c r="Y251" s="485">
        <f>VLOOKUP(H251,'3-Productie normen'!$A$10:$J$24,8,FALSE)*'3-Ruimtestaat'!X251</f>
        <v>0</v>
      </c>
      <c r="Z251" s="485">
        <f>VLOOKUP(H251,'3-Productie normen'!$A$10:$J$24,9,FALSE)*'3-Ruimtestaat'!X251</f>
        <v>0</v>
      </c>
      <c r="AA251" s="485">
        <f>VLOOKUP(H251,'3-Productie normen'!$A$10:$J$24,10,FALSE)*'3-Ruimtestaat'!X251</f>
        <v>0</v>
      </c>
      <c r="AB251" s="292" t="str">
        <f>IF(H251="",0,VLOOKUP(H251,'3-Productie normen'!$A$10:$N$23,14,FALSE))</f>
        <v>V</v>
      </c>
      <c r="AD251" s="296">
        <f t="shared" si="7"/>
        <v>64499.15</v>
      </c>
      <c r="AE251" s="78"/>
      <c r="AF251" s="297">
        <v>316</v>
      </c>
      <c r="AG251" s="297"/>
      <c r="AH251" s="297"/>
      <c r="AI251" s="297">
        <v>20</v>
      </c>
      <c r="AJ251" s="297"/>
      <c r="AK251" s="298"/>
      <c r="AL251" s="298">
        <f>176.7+16*1.4+18.9*2.4</f>
        <v>244.45999999999998</v>
      </c>
      <c r="AM251" s="298"/>
      <c r="AN251" s="298"/>
      <c r="AO251" s="299" t="s">
        <v>475</v>
      </c>
    </row>
    <row r="252" spans="1:41" ht="15" customHeight="1">
      <c r="A252" s="254">
        <v>252</v>
      </c>
      <c r="B252" s="253">
        <v>114</v>
      </c>
      <c r="C252" s="240" t="s">
        <v>64</v>
      </c>
      <c r="D252" s="288" t="s">
        <v>56</v>
      </c>
      <c r="E252" s="289"/>
      <c r="F252" s="239" t="s">
        <v>476</v>
      </c>
      <c r="G252" s="290" t="s">
        <v>470</v>
      </c>
      <c r="H252" s="291" t="s">
        <v>153</v>
      </c>
      <c r="I252" s="239" t="s">
        <v>420</v>
      </c>
      <c r="J252" s="424">
        <f t="shared" si="6"/>
        <v>365</v>
      </c>
      <c r="K252" s="425">
        <v>255</v>
      </c>
      <c r="L252" s="425"/>
      <c r="M252" s="425">
        <v>102</v>
      </c>
      <c r="N252" s="425"/>
      <c r="O252" s="425">
        <v>8</v>
      </c>
      <c r="P252" s="425"/>
      <c r="Q252" s="294">
        <v>3.9</v>
      </c>
      <c r="R252" s="295" t="e">
        <f>IF(K252="nio",0,(K252*Q252)/X252)*VLOOKUP(C252,'2-Uren per locatie'!$B$15:$D$74,3,FALSE)</f>
        <v>#DIV/0!</v>
      </c>
      <c r="S252" s="295" t="e">
        <f>IF(K252="nio",0,(L252*Q252)/Y252)*VLOOKUP(C252,'2-Uren per locatie'!$B$15:$D$74,3,FALSE)</f>
        <v>#DIV/0!</v>
      </c>
      <c r="T252" s="295" t="e">
        <f>IF(K252="nio",0,(M252*Q252)/Z252)*VLOOKUP(C252,'2-Uren per locatie'!$B$15:$D$74,3,FALSE)</f>
        <v>#DIV/0!</v>
      </c>
      <c r="U252" s="295" t="e">
        <f>IF(K252="nio",0,(N252*Q252)/AA252)*VLOOKUP(C252,'2-Uren per locatie'!$B$15:$D$74,3,FALSE)</f>
        <v>#DIV/0!</v>
      </c>
      <c r="V252" s="295" t="e">
        <f>IF(K252="nio",0,(O252*Q252)/Z252)*VLOOKUP(C252,'2-Uren per locatie'!$B$15:$D$74,3,FALSE)</f>
        <v>#DIV/0!</v>
      </c>
      <c r="W252" s="295" t="e">
        <f>IF(K252="nio",0,(P252*Q252)/AA252)*VLOOKUP(C252,'2-Uren per locatie'!$B$15:$D$74,3,FALSE)</f>
        <v>#DIV/0!</v>
      </c>
      <c r="X252" s="485">
        <f>IF(K252="nio",0,IF(K252&gt;0,VLOOKUP(H252,'3-Productie normen'!A:F,VLOOKUP(K252,'3-Productie normen'!$B$29:$C$34,2,FALSE),FALSE)))</f>
        <v>0</v>
      </c>
      <c r="Y252" s="485">
        <f>VLOOKUP(H252,'3-Productie normen'!$A$10:$J$24,8,FALSE)*'3-Ruimtestaat'!X252</f>
        <v>0</v>
      </c>
      <c r="Z252" s="485">
        <f>VLOOKUP(H252,'3-Productie normen'!$A$10:$J$24,9,FALSE)*'3-Ruimtestaat'!X252</f>
        <v>0</v>
      </c>
      <c r="AA252" s="485">
        <f>VLOOKUP(H252,'3-Productie normen'!$A$10:$J$24,10,FALSE)*'3-Ruimtestaat'!X252</f>
        <v>0</v>
      </c>
      <c r="AB252" s="292" t="str">
        <f>IF(H252="",0,VLOOKUP(H252,'3-Productie normen'!$A$10:$N$23,14,FALSE))</f>
        <v>S</v>
      </c>
      <c r="AD252" s="296">
        <f t="shared" si="7"/>
        <v>1423.5</v>
      </c>
      <c r="AE252" s="78"/>
      <c r="AF252" s="297"/>
      <c r="AG252" s="297"/>
      <c r="AH252" s="297"/>
      <c r="AI252" s="297"/>
      <c r="AJ252" s="297"/>
      <c r="AK252" s="298"/>
      <c r="AL252" s="298"/>
      <c r="AM252" s="298"/>
      <c r="AN252" s="298">
        <f>Q252</f>
        <v>3.9</v>
      </c>
      <c r="AO252" s="299" t="s">
        <v>473</v>
      </c>
    </row>
    <row r="253" spans="1:41" ht="15" customHeight="1">
      <c r="A253" s="254">
        <v>253</v>
      </c>
      <c r="B253" s="253">
        <v>114</v>
      </c>
      <c r="C253" s="240" t="s">
        <v>64</v>
      </c>
      <c r="D253" s="288" t="s">
        <v>56</v>
      </c>
      <c r="E253" s="289"/>
      <c r="F253" s="239" t="s">
        <v>477</v>
      </c>
      <c r="G253" s="290" t="s">
        <v>478</v>
      </c>
      <c r="H253" s="291" t="s">
        <v>144</v>
      </c>
      <c r="I253" s="239" t="s">
        <v>479</v>
      </c>
      <c r="J253" s="424">
        <f t="shared" si="6"/>
        <v>365</v>
      </c>
      <c r="K253" s="425">
        <v>127</v>
      </c>
      <c r="L253" s="425">
        <v>126</v>
      </c>
      <c r="M253" s="425">
        <v>52</v>
      </c>
      <c r="N253" s="425">
        <v>52</v>
      </c>
      <c r="O253" s="425">
        <v>4</v>
      </c>
      <c r="P253" s="425">
        <v>4</v>
      </c>
      <c r="Q253" s="294">
        <v>57.2</v>
      </c>
      <c r="R253" s="295" t="e">
        <f>IF(K253="nio",0,(K253*Q253)/X253)*VLOOKUP(C253,'2-Uren per locatie'!$B$15:$D$74,3,FALSE)</f>
        <v>#DIV/0!</v>
      </c>
      <c r="S253" s="295" t="e">
        <f>IF(K253="nio",0,(L253*Q253)/Y253)*VLOOKUP(C253,'2-Uren per locatie'!$B$15:$D$74,3,FALSE)</f>
        <v>#DIV/0!</v>
      </c>
      <c r="T253" s="295" t="e">
        <f>IF(K253="nio",0,(M253*Q253)/Z253)*VLOOKUP(C253,'2-Uren per locatie'!$B$15:$D$74,3,FALSE)</f>
        <v>#DIV/0!</v>
      </c>
      <c r="U253" s="295" t="e">
        <f>IF(K253="nio",0,(N253*Q253)/AA253)*VLOOKUP(C253,'2-Uren per locatie'!$B$15:$D$74,3,FALSE)</f>
        <v>#DIV/0!</v>
      </c>
      <c r="V253" s="295" t="e">
        <f>IF(K253="nio",0,(O253*Q253)/Z253)*VLOOKUP(C253,'2-Uren per locatie'!$B$15:$D$74,3,FALSE)</f>
        <v>#DIV/0!</v>
      </c>
      <c r="W253" s="295" t="e">
        <f>IF(K253="nio",0,(P253*Q253)/AA253)*VLOOKUP(C253,'2-Uren per locatie'!$B$15:$D$74,3,FALSE)</f>
        <v>#DIV/0!</v>
      </c>
      <c r="X253" s="485">
        <f>IF(K253="nio",0,IF(K253&gt;0,VLOOKUP(H253,'3-Productie normen'!A:F,VLOOKUP(K253,'3-Productie normen'!$B$29:$C$34,2,FALSE),FALSE)))</f>
        <v>0</v>
      </c>
      <c r="Y253" s="485">
        <f>VLOOKUP(H253,'3-Productie normen'!$A$10:$J$24,8,FALSE)*'3-Ruimtestaat'!X253</f>
        <v>0</v>
      </c>
      <c r="Z253" s="485">
        <f>VLOOKUP(H253,'3-Productie normen'!$A$10:$J$24,9,FALSE)*'3-Ruimtestaat'!X253</f>
        <v>0</v>
      </c>
      <c r="AA253" s="485">
        <f>VLOOKUP(H253,'3-Productie normen'!$A$10:$J$24,10,FALSE)*'3-Ruimtestaat'!X253</f>
        <v>0</v>
      </c>
      <c r="AB253" s="292" t="str">
        <f>IF(H253="",0,VLOOKUP(H253,'3-Productie normen'!$A$10:$N$23,14,FALSE))</f>
        <v>V</v>
      </c>
      <c r="AD253" s="296">
        <f t="shared" si="7"/>
        <v>20878</v>
      </c>
      <c r="AE253" s="78"/>
      <c r="AF253" s="297"/>
      <c r="AG253" s="297"/>
      <c r="AH253" s="297"/>
      <c r="AI253" s="297"/>
      <c r="AJ253" s="297">
        <v>316</v>
      </c>
      <c r="AK253" s="298"/>
      <c r="AL253" s="298">
        <f>57.5-21</f>
        <v>36.5</v>
      </c>
      <c r="AM253" s="298">
        <v>21</v>
      </c>
      <c r="AN253" s="298"/>
      <c r="AO253" s="299" t="s">
        <v>473</v>
      </c>
    </row>
    <row r="254" spans="1:41" ht="15" customHeight="1">
      <c r="A254" s="254">
        <v>254</v>
      </c>
      <c r="B254" s="253">
        <v>114</v>
      </c>
      <c r="C254" s="240" t="s">
        <v>64</v>
      </c>
      <c r="D254" s="288" t="s">
        <v>56</v>
      </c>
      <c r="E254" s="289"/>
      <c r="F254" s="239" t="s">
        <v>480</v>
      </c>
      <c r="G254" s="290" t="s">
        <v>442</v>
      </c>
      <c r="H254" s="291" t="s">
        <v>153</v>
      </c>
      <c r="I254" s="239" t="s">
        <v>203</v>
      </c>
      <c r="J254" s="424">
        <f t="shared" si="6"/>
        <v>365</v>
      </c>
      <c r="K254" s="425">
        <v>255</v>
      </c>
      <c r="L254" s="425"/>
      <c r="M254" s="425">
        <v>102</v>
      </c>
      <c r="N254" s="425"/>
      <c r="O254" s="425">
        <v>8</v>
      </c>
      <c r="P254" s="425"/>
      <c r="Q254" s="294">
        <v>4.0199999999999996</v>
      </c>
      <c r="R254" s="295" t="e">
        <f>IF(K254="nio",0,(K254*Q254)/X254)*VLOOKUP(C254,'2-Uren per locatie'!$B$15:$D$74,3,FALSE)</f>
        <v>#DIV/0!</v>
      </c>
      <c r="S254" s="295" t="e">
        <f>IF(K254="nio",0,(L254*Q254)/Y254)*VLOOKUP(C254,'2-Uren per locatie'!$B$15:$D$74,3,FALSE)</f>
        <v>#DIV/0!</v>
      </c>
      <c r="T254" s="295" t="e">
        <f>IF(K254="nio",0,(M254*Q254)/Z254)*VLOOKUP(C254,'2-Uren per locatie'!$B$15:$D$74,3,FALSE)</f>
        <v>#DIV/0!</v>
      </c>
      <c r="U254" s="295" t="e">
        <f>IF(K254="nio",0,(N254*Q254)/AA254)*VLOOKUP(C254,'2-Uren per locatie'!$B$15:$D$74,3,FALSE)</f>
        <v>#DIV/0!</v>
      </c>
      <c r="V254" s="295" t="e">
        <f>IF(K254="nio",0,(O254*Q254)/Z254)*VLOOKUP(C254,'2-Uren per locatie'!$B$15:$D$74,3,FALSE)</f>
        <v>#DIV/0!</v>
      </c>
      <c r="W254" s="295" t="e">
        <f>IF(K254="nio",0,(P254*Q254)/AA254)*VLOOKUP(C254,'2-Uren per locatie'!$B$15:$D$74,3,FALSE)</f>
        <v>#DIV/0!</v>
      </c>
      <c r="X254" s="485">
        <f>IF(K254="nio",0,IF(K254&gt;0,VLOOKUP(H254,'3-Productie normen'!A:F,VLOOKUP(K254,'3-Productie normen'!$B$29:$C$34,2,FALSE),FALSE)))</f>
        <v>0</v>
      </c>
      <c r="Y254" s="485">
        <f>VLOOKUP(H254,'3-Productie normen'!$A$10:$J$24,8,FALSE)*'3-Ruimtestaat'!X254</f>
        <v>0</v>
      </c>
      <c r="Z254" s="485">
        <f>VLOOKUP(H254,'3-Productie normen'!$A$10:$J$24,9,FALSE)*'3-Ruimtestaat'!X254</f>
        <v>0</v>
      </c>
      <c r="AA254" s="485">
        <f>VLOOKUP(H254,'3-Productie normen'!$A$10:$J$24,10,FALSE)*'3-Ruimtestaat'!X254</f>
        <v>0</v>
      </c>
      <c r="AB254" s="292" t="str">
        <f>IF(H254="",0,VLOOKUP(H254,'3-Productie normen'!$A$10:$N$23,14,FALSE))</f>
        <v>S</v>
      </c>
      <c r="AD254" s="296">
        <f t="shared" si="7"/>
        <v>1467.3</v>
      </c>
      <c r="AE254" s="78"/>
      <c r="AF254" s="297">
        <v>31</v>
      </c>
      <c r="AG254" s="297"/>
      <c r="AH254" s="297"/>
      <c r="AI254" s="297"/>
      <c r="AJ254" s="297"/>
      <c r="AK254" s="298"/>
      <c r="AL254" s="298"/>
      <c r="AM254" s="298"/>
      <c r="AN254" s="298">
        <f>Q254</f>
        <v>4.0199999999999996</v>
      </c>
      <c r="AO254" s="299" t="s">
        <v>473</v>
      </c>
    </row>
    <row r="255" spans="1:41" ht="15" customHeight="1">
      <c r="A255" s="254">
        <v>255</v>
      </c>
      <c r="B255" s="253">
        <v>114</v>
      </c>
      <c r="C255" s="240" t="s">
        <v>64</v>
      </c>
      <c r="D255" s="288" t="s">
        <v>56</v>
      </c>
      <c r="E255" s="289"/>
      <c r="F255" s="239" t="s">
        <v>247</v>
      </c>
      <c r="G255" s="290" t="s">
        <v>481</v>
      </c>
      <c r="H255" s="291" t="s">
        <v>149</v>
      </c>
      <c r="I255" s="239" t="s">
        <v>245</v>
      </c>
      <c r="J255" s="424">
        <f t="shared" si="6"/>
        <v>365</v>
      </c>
      <c r="K255" s="425">
        <v>127</v>
      </c>
      <c r="L255" s="425">
        <v>126</v>
      </c>
      <c r="M255" s="425">
        <v>52</v>
      </c>
      <c r="N255" s="425">
        <v>52</v>
      </c>
      <c r="O255" s="425">
        <v>4</v>
      </c>
      <c r="P255" s="425">
        <v>4</v>
      </c>
      <c r="Q255" s="294">
        <v>6.61</v>
      </c>
      <c r="R255" s="295" t="e">
        <f>IF(K255="nio",0,(K255*Q255)/X255)*VLOOKUP(C255,'2-Uren per locatie'!$B$15:$D$74,3,FALSE)</f>
        <v>#DIV/0!</v>
      </c>
      <c r="S255" s="295" t="e">
        <f>IF(K255="nio",0,(L255*Q255)/Y255)*VLOOKUP(C255,'2-Uren per locatie'!$B$15:$D$74,3,FALSE)</f>
        <v>#DIV/0!</v>
      </c>
      <c r="T255" s="295" t="e">
        <f>IF(K255="nio",0,(M255*Q255)/Z255)*VLOOKUP(C255,'2-Uren per locatie'!$B$15:$D$74,3,FALSE)</f>
        <v>#DIV/0!</v>
      </c>
      <c r="U255" s="295" t="e">
        <f>IF(K255="nio",0,(N255*Q255)/AA255)*VLOOKUP(C255,'2-Uren per locatie'!$B$15:$D$74,3,FALSE)</f>
        <v>#DIV/0!</v>
      </c>
      <c r="V255" s="295" t="e">
        <f>IF(K255="nio",0,(O255*Q255)/Z255)*VLOOKUP(C255,'2-Uren per locatie'!$B$15:$D$74,3,FALSE)</f>
        <v>#DIV/0!</v>
      </c>
      <c r="W255" s="295" t="e">
        <f>IF(K255="nio",0,(P255*Q255)/AA255)*VLOOKUP(C255,'2-Uren per locatie'!$B$15:$D$74,3,FALSE)</f>
        <v>#DIV/0!</v>
      </c>
      <c r="X255" s="485">
        <f>IF(K255="nio",0,IF(K255&gt;0,VLOOKUP(H255,'3-Productie normen'!A:F,VLOOKUP(K255,'3-Productie normen'!$B$29:$C$34,2,FALSE),FALSE)))</f>
        <v>0</v>
      </c>
      <c r="Y255" s="485">
        <f>VLOOKUP(H255,'3-Productie normen'!$A$10:$J$24,8,FALSE)*'3-Ruimtestaat'!X255</f>
        <v>0</v>
      </c>
      <c r="Z255" s="485">
        <f>VLOOKUP(H255,'3-Productie normen'!$A$10:$J$24,9,FALSE)*'3-Ruimtestaat'!X255</f>
        <v>0</v>
      </c>
      <c r="AA255" s="485">
        <f>VLOOKUP(H255,'3-Productie normen'!$A$10:$J$24,10,FALSE)*'3-Ruimtestaat'!X255</f>
        <v>0</v>
      </c>
      <c r="AB255" s="292" t="str">
        <f>IF(H255="",0,VLOOKUP(H255,'3-Productie normen'!$A$10:$N$23,14,FALSE))</f>
        <v>V</v>
      </c>
      <c r="AD255" s="296">
        <f t="shared" si="7"/>
        <v>2412.65</v>
      </c>
      <c r="AE255" s="78"/>
      <c r="AF255" s="297"/>
      <c r="AG255" s="297"/>
      <c r="AH255" s="297"/>
      <c r="AI255" s="297">
        <v>2.3849999999999998</v>
      </c>
      <c r="AJ255" s="297"/>
      <c r="AK255" s="298"/>
      <c r="AL255" s="298"/>
      <c r="AM255" s="298"/>
      <c r="AN255" s="298">
        <f>Q255</f>
        <v>6.61</v>
      </c>
      <c r="AO255" s="299" t="s">
        <v>482</v>
      </c>
    </row>
    <row r="256" spans="1:41" ht="15" customHeight="1">
      <c r="A256" s="254">
        <v>256</v>
      </c>
      <c r="B256" s="253">
        <v>114</v>
      </c>
      <c r="C256" s="240" t="s">
        <v>64</v>
      </c>
      <c r="D256" s="288" t="s">
        <v>56</v>
      </c>
      <c r="E256" s="289"/>
      <c r="F256" s="239" t="s">
        <v>243</v>
      </c>
      <c r="G256" s="290" t="s">
        <v>483</v>
      </c>
      <c r="H256" s="291" t="s">
        <v>149</v>
      </c>
      <c r="I256" s="239" t="s">
        <v>245</v>
      </c>
      <c r="J256" s="424">
        <f t="shared" si="6"/>
        <v>365</v>
      </c>
      <c r="K256" s="425">
        <v>127</v>
      </c>
      <c r="L256" s="425">
        <v>126</v>
      </c>
      <c r="M256" s="425">
        <v>52</v>
      </c>
      <c r="N256" s="425">
        <v>52</v>
      </c>
      <c r="O256" s="425">
        <v>4</v>
      </c>
      <c r="P256" s="425">
        <v>4</v>
      </c>
      <c r="Q256" s="294">
        <v>4.07</v>
      </c>
      <c r="R256" s="295" t="e">
        <f>IF(K256="nio",0,(K256*Q256)/X256)*VLOOKUP(C256,'2-Uren per locatie'!$B$15:$D$74,3,FALSE)</f>
        <v>#DIV/0!</v>
      </c>
      <c r="S256" s="295" t="e">
        <f>IF(K256="nio",0,(L256*Q256)/Y256)*VLOOKUP(C256,'2-Uren per locatie'!$B$15:$D$74,3,FALSE)</f>
        <v>#DIV/0!</v>
      </c>
      <c r="T256" s="295" t="e">
        <f>IF(K256="nio",0,(M256*Q256)/Z256)*VLOOKUP(C256,'2-Uren per locatie'!$B$15:$D$74,3,FALSE)</f>
        <v>#DIV/0!</v>
      </c>
      <c r="U256" s="295" t="e">
        <f>IF(K256="nio",0,(N256*Q256)/AA256)*VLOOKUP(C256,'2-Uren per locatie'!$B$15:$D$74,3,FALSE)</f>
        <v>#DIV/0!</v>
      </c>
      <c r="V256" s="295" t="e">
        <f>IF(K256="nio",0,(O256*Q256)/Z256)*VLOOKUP(C256,'2-Uren per locatie'!$B$15:$D$74,3,FALSE)</f>
        <v>#DIV/0!</v>
      </c>
      <c r="W256" s="295" t="e">
        <f>IF(K256="nio",0,(P256*Q256)/AA256)*VLOOKUP(C256,'2-Uren per locatie'!$B$15:$D$74,3,FALSE)</f>
        <v>#DIV/0!</v>
      </c>
      <c r="X256" s="485">
        <f>IF(K256="nio",0,IF(K256&gt;0,VLOOKUP(H256,'3-Productie normen'!A:F,VLOOKUP(K256,'3-Productie normen'!$B$29:$C$34,2,FALSE),FALSE)))</f>
        <v>0</v>
      </c>
      <c r="Y256" s="485">
        <f>VLOOKUP(H256,'3-Productie normen'!$A$10:$J$24,8,FALSE)*'3-Ruimtestaat'!X256</f>
        <v>0</v>
      </c>
      <c r="Z256" s="485">
        <f>VLOOKUP(H256,'3-Productie normen'!$A$10:$J$24,9,FALSE)*'3-Ruimtestaat'!X256</f>
        <v>0</v>
      </c>
      <c r="AA256" s="485">
        <f>VLOOKUP(H256,'3-Productie normen'!$A$10:$J$24,10,FALSE)*'3-Ruimtestaat'!X256</f>
        <v>0</v>
      </c>
      <c r="AB256" s="292" t="str">
        <f>IF(H256="",0,VLOOKUP(H256,'3-Productie normen'!$A$10:$N$23,14,FALSE))</f>
        <v>V</v>
      </c>
      <c r="AD256" s="296">
        <f t="shared" si="7"/>
        <v>1485.5500000000002</v>
      </c>
      <c r="AE256" s="78"/>
      <c r="AF256" s="297"/>
      <c r="AG256" s="297"/>
      <c r="AH256" s="297"/>
      <c r="AI256" s="297">
        <v>15.9</v>
      </c>
      <c r="AJ256" s="297"/>
      <c r="AK256" s="298"/>
      <c r="AL256" s="298"/>
      <c r="AM256" s="298"/>
      <c r="AN256" s="298">
        <f>Q256</f>
        <v>4.07</v>
      </c>
      <c r="AO256" s="299" t="s">
        <v>484</v>
      </c>
    </row>
    <row r="257" spans="1:41" ht="15" customHeight="1">
      <c r="A257" s="254">
        <v>257</v>
      </c>
      <c r="B257" s="253">
        <v>114</v>
      </c>
      <c r="C257" s="240" t="s">
        <v>64</v>
      </c>
      <c r="D257" s="288" t="s">
        <v>56</v>
      </c>
      <c r="E257" s="289"/>
      <c r="F257" s="429" t="s">
        <v>309</v>
      </c>
      <c r="G257" s="431"/>
      <c r="H257" s="426" t="s">
        <v>146</v>
      </c>
      <c r="I257" s="429" t="s">
        <v>355</v>
      </c>
      <c r="J257" s="442">
        <f t="shared" si="6"/>
        <v>365</v>
      </c>
      <c r="K257" s="425">
        <v>127</v>
      </c>
      <c r="L257" s="425">
        <v>126</v>
      </c>
      <c r="M257" s="425">
        <v>52</v>
      </c>
      <c r="N257" s="425">
        <v>52</v>
      </c>
      <c r="O257" s="443">
        <v>4</v>
      </c>
      <c r="P257" s="443">
        <v>4</v>
      </c>
      <c r="Q257" s="427">
        <v>42</v>
      </c>
      <c r="R257" s="295" t="e">
        <f>IF(K257="nio",0,(K257*Q257)/X257)*VLOOKUP(C257,'2-Uren per locatie'!$B$15:$D$74,3,FALSE)</f>
        <v>#DIV/0!</v>
      </c>
      <c r="S257" s="295" t="e">
        <f>IF(K257="nio",0,(L257*Q257)/Y257)*VLOOKUP(C257,'2-Uren per locatie'!$B$15:$D$74,3,FALSE)</f>
        <v>#DIV/0!</v>
      </c>
      <c r="T257" s="295" t="e">
        <f>IF(K257="nio",0,(M257*Q257)/Z257)*VLOOKUP(C257,'2-Uren per locatie'!$B$15:$D$74,3,FALSE)</f>
        <v>#DIV/0!</v>
      </c>
      <c r="U257" s="295" t="e">
        <f>IF(K257="nio",0,(N257*Q257)/AA257)*VLOOKUP(C257,'2-Uren per locatie'!$B$15:$D$74,3,FALSE)</f>
        <v>#DIV/0!</v>
      </c>
      <c r="V257" s="295" t="e">
        <f>IF(K257="nio",0,(O257*Q257)/Z257)*VLOOKUP(C257,'2-Uren per locatie'!$B$15:$D$74,3,FALSE)</f>
        <v>#DIV/0!</v>
      </c>
      <c r="W257" s="295" t="e">
        <f>IF(K257="nio",0,(P257*Q257)/AA257)*VLOOKUP(C257,'2-Uren per locatie'!$B$15:$D$74,3,FALSE)</f>
        <v>#DIV/0!</v>
      </c>
      <c r="X257" s="485">
        <f>IF(K257="nio",0,IF(K257&gt;0,VLOOKUP(H257,'3-Productie normen'!A:F,VLOOKUP(K257,'3-Productie normen'!$B$29:$C$34,2,FALSE),FALSE)))</f>
        <v>0</v>
      </c>
      <c r="Y257" s="485">
        <f>VLOOKUP(H257,'3-Productie normen'!$A$10:$J$24,8,FALSE)*'3-Ruimtestaat'!X257</f>
        <v>0</v>
      </c>
      <c r="Z257" s="485">
        <f>VLOOKUP(H257,'3-Productie normen'!$A$10:$J$24,9,FALSE)*'3-Ruimtestaat'!X257</f>
        <v>0</v>
      </c>
      <c r="AA257" s="485">
        <f>VLOOKUP(H257,'3-Productie normen'!$A$10:$J$24,10,FALSE)*'3-Ruimtestaat'!X257</f>
        <v>0</v>
      </c>
      <c r="AB257" s="292" t="str">
        <f>IF(H257="",0,VLOOKUP(H257,'3-Productie normen'!$A$10:$N$23,14,FALSE))</f>
        <v>B</v>
      </c>
      <c r="AD257" s="296">
        <f t="shared" si="7"/>
        <v>15330</v>
      </c>
      <c r="AE257" s="78"/>
      <c r="AF257" s="297"/>
      <c r="AG257" s="297"/>
      <c r="AH257" s="297"/>
      <c r="AI257" s="297"/>
      <c r="AJ257" s="297"/>
      <c r="AK257" s="298">
        <f t="shared" ref="AK257:AK258" si="8">152.39*10.09</f>
        <v>1537.6150999999998</v>
      </c>
      <c r="AL257" s="298"/>
      <c r="AM257" s="298"/>
      <c r="AN257" s="298"/>
      <c r="AO257" s="299"/>
    </row>
    <row r="258" spans="1:41" ht="15" customHeight="1">
      <c r="A258" s="254">
        <v>258</v>
      </c>
      <c r="B258" s="253">
        <v>114</v>
      </c>
      <c r="C258" s="240" t="s">
        <v>64</v>
      </c>
      <c r="D258" s="288" t="s">
        <v>56</v>
      </c>
      <c r="E258" s="289"/>
      <c r="F258" s="429" t="s">
        <v>485</v>
      </c>
      <c r="G258" s="431"/>
      <c r="H258" s="426" t="s">
        <v>150</v>
      </c>
      <c r="I258" s="429" t="s">
        <v>355</v>
      </c>
      <c r="J258" s="442">
        <f t="shared" si="6"/>
        <v>365</v>
      </c>
      <c r="K258" s="443">
        <v>255</v>
      </c>
      <c r="L258" s="443"/>
      <c r="M258" s="443">
        <v>102</v>
      </c>
      <c r="N258" s="443"/>
      <c r="O258" s="443">
        <v>8</v>
      </c>
      <c r="P258" s="443"/>
      <c r="Q258" s="427">
        <v>16</v>
      </c>
      <c r="R258" s="295" t="e">
        <f>IF(K258="nio",0,(K258*Q258)/X258)*VLOOKUP(C258,'2-Uren per locatie'!$B$15:$D$74,3,FALSE)</f>
        <v>#DIV/0!</v>
      </c>
      <c r="S258" s="295" t="e">
        <f>IF(K258="nio",0,(L258*Q258)/Y258)*VLOOKUP(C258,'2-Uren per locatie'!$B$15:$D$74,3,FALSE)</f>
        <v>#DIV/0!</v>
      </c>
      <c r="T258" s="295" t="e">
        <f>IF(K258="nio",0,(M258*Q258)/Z258)*VLOOKUP(C258,'2-Uren per locatie'!$B$15:$D$74,3,FALSE)</f>
        <v>#DIV/0!</v>
      </c>
      <c r="U258" s="295" t="e">
        <f>IF(K258="nio",0,(N258*Q258)/AA258)*VLOOKUP(C258,'2-Uren per locatie'!$B$15:$D$74,3,FALSE)</f>
        <v>#DIV/0!</v>
      </c>
      <c r="V258" s="295" t="e">
        <f>IF(K258="nio",0,(O258*Q258)/Z258)*VLOOKUP(C258,'2-Uren per locatie'!$B$15:$D$74,3,FALSE)</f>
        <v>#DIV/0!</v>
      </c>
      <c r="W258" s="295" t="e">
        <f>IF(K258="nio",0,(P258*Q258)/AA258)*VLOOKUP(C258,'2-Uren per locatie'!$B$15:$D$74,3,FALSE)</f>
        <v>#DIV/0!</v>
      </c>
      <c r="X258" s="485">
        <f>IF(K258="nio",0,IF(K258&gt;0,VLOOKUP(H258,'3-Productie normen'!A:F,VLOOKUP(K258,'3-Productie normen'!$B$29:$C$34,2,FALSE),FALSE)))</f>
        <v>0</v>
      </c>
      <c r="Y258" s="485">
        <f>VLOOKUP(H258,'3-Productie normen'!$A$10:$J$24,8,FALSE)*'3-Ruimtestaat'!X258</f>
        <v>0</v>
      </c>
      <c r="Z258" s="485">
        <f>VLOOKUP(H258,'3-Productie normen'!$A$10:$J$24,9,FALSE)*'3-Ruimtestaat'!X258</f>
        <v>0</v>
      </c>
      <c r="AA258" s="485">
        <f>VLOOKUP(H258,'3-Productie normen'!$A$10:$J$24,10,FALSE)*'3-Ruimtestaat'!X258</f>
        <v>0</v>
      </c>
      <c r="AB258" s="292" t="str">
        <f>IF(H258="",0,VLOOKUP(H258,'3-Productie normen'!$A$10:$N$23,14,FALSE))</f>
        <v>V</v>
      </c>
      <c r="AD258" s="296">
        <f t="shared" si="7"/>
        <v>5840</v>
      </c>
      <c r="AE258" s="78"/>
      <c r="AF258" s="297"/>
      <c r="AG258" s="297"/>
      <c r="AH258" s="297"/>
      <c r="AI258" s="297"/>
      <c r="AJ258" s="297"/>
      <c r="AK258" s="298">
        <f t="shared" si="8"/>
        <v>1537.6150999999998</v>
      </c>
      <c r="AL258" s="298"/>
      <c r="AM258" s="298"/>
      <c r="AN258" s="298"/>
      <c r="AO258" s="299"/>
    </row>
    <row r="259" spans="1:41" ht="15" customHeight="1">
      <c r="A259" s="254">
        <v>259</v>
      </c>
      <c r="B259" s="253">
        <v>114</v>
      </c>
      <c r="C259" s="240" t="s">
        <v>64</v>
      </c>
      <c r="D259" s="288" t="s">
        <v>56</v>
      </c>
      <c r="E259" s="289"/>
      <c r="F259" s="239" t="s">
        <v>249</v>
      </c>
      <c r="G259" s="290" t="s">
        <v>386</v>
      </c>
      <c r="H259" s="291" t="s">
        <v>151</v>
      </c>
      <c r="I259" s="239" t="s">
        <v>392</v>
      </c>
      <c r="J259" s="424">
        <f t="shared" si="6"/>
        <v>365</v>
      </c>
      <c r="K259" s="425">
        <v>127</v>
      </c>
      <c r="L259" s="425">
        <v>126</v>
      </c>
      <c r="M259" s="425">
        <v>52</v>
      </c>
      <c r="N259" s="425">
        <v>52</v>
      </c>
      <c r="O259" s="425">
        <v>4</v>
      </c>
      <c r="P259" s="425">
        <v>4</v>
      </c>
      <c r="Q259" s="294">
        <v>1503.07</v>
      </c>
      <c r="R259" s="295" t="e">
        <f>IF(K259="nio",0,(K259*Q259)/X259)*VLOOKUP(C259,'2-Uren per locatie'!$B$15:$D$74,3,FALSE)</f>
        <v>#DIV/0!</v>
      </c>
      <c r="S259" s="295" t="e">
        <f>IF(K259="nio",0,(L259*Q259)/Y259)*VLOOKUP(C259,'2-Uren per locatie'!$B$15:$D$74,3,FALSE)</f>
        <v>#DIV/0!</v>
      </c>
      <c r="T259" s="295" t="e">
        <f>IF(K259="nio",0,(M259*Q259)/Z259)*VLOOKUP(C259,'2-Uren per locatie'!$B$15:$D$74,3,FALSE)</f>
        <v>#DIV/0!</v>
      </c>
      <c r="U259" s="295" t="e">
        <f>IF(K259="nio",0,(N259*Q259)/AA259)*VLOOKUP(C259,'2-Uren per locatie'!$B$15:$D$74,3,FALSE)</f>
        <v>#DIV/0!</v>
      </c>
      <c r="V259" s="295" t="e">
        <f>IF(K259="nio",0,(O259*Q259)/Z259)*VLOOKUP(C259,'2-Uren per locatie'!$B$15:$D$74,3,FALSE)</f>
        <v>#DIV/0!</v>
      </c>
      <c r="W259" s="295" t="e">
        <f>IF(K259="nio",0,(P259*Q259)/AA259)*VLOOKUP(C259,'2-Uren per locatie'!$B$15:$D$74,3,FALSE)</f>
        <v>#DIV/0!</v>
      </c>
      <c r="X259" s="485">
        <f>IF(K259="nio",0,IF(K259&gt;0,VLOOKUP(H259,'3-Productie normen'!A:F,VLOOKUP(K259,'3-Productie normen'!$B$29:$C$34,2,FALSE),FALSE)))</f>
        <v>0</v>
      </c>
      <c r="Y259" s="485">
        <f>VLOOKUP(H259,'3-Productie normen'!$A$10:$J$24,8,FALSE)*'3-Ruimtestaat'!X259</f>
        <v>0</v>
      </c>
      <c r="Z259" s="485">
        <f>VLOOKUP(H259,'3-Productie normen'!$A$10:$J$24,9,FALSE)*'3-Ruimtestaat'!X259</f>
        <v>0</v>
      </c>
      <c r="AA259" s="485">
        <f>VLOOKUP(H259,'3-Productie normen'!$A$10:$J$24,10,FALSE)*'3-Ruimtestaat'!X259</f>
        <v>0</v>
      </c>
      <c r="AB259" s="292" t="str">
        <f>IF(H259="",0,VLOOKUP(H259,'3-Productie normen'!$A$10:$N$23,14,FALSE))</f>
        <v>V</v>
      </c>
      <c r="AD259" s="296">
        <f t="shared" si="7"/>
        <v>548620.54999999993</v>
      </c>
      <c r="AE259" s="78"/>
      <c r="AF259" s="297"/>
      <c r="AG259" s="297"/>
      <c r="AH259" s="297"/>
      <c r="AI259" s="297"/>
      <c r="AJ259" s="297"/>
      <c r="AK259" s="298">
        <f>152.39*10.09</f>
        <v>1537.6150999999998</v>
      </c>
      <c r="AL259" s="298"/>
      <c r="AM259" s="298"/>
      <c r="AN259" s="298"/>
      <c r="AO259" s="299"/>
    </row>
    <row r="260" spans="1:41" ht="15" customHeight="1">
      <c r="A260" s="254">
        <v>260</v>
      </c>
      <c r="B260" s="253">
        <v>114</v>
      </c>
      <c r="C260" s="240" t="s">
        <v>64</v>
      </c>
      <c r="D260" s="288" t="s">
        <v>56</v>
      </c>
      <c r="E260" s="289"/>
      <c r="F260" s="239" t="s">
        <v>486</v>
      </c>
      <c r="G260" s="290" t="s">
        <v>487</v>
      </c>
      <c r="H260" s="291" t="s">
        <v>155</v>
      </c>
      <c r="I260" s="239" t="s">
        <v>392</v>
      </c>
      <c r="J260" s="424">
        <f t="shared" si="6"/>
        <v>365</v>
      </c>
      <c r="K260" s="425">
        <v>127</v>
      </c>
      <c r="L260" s="425">
        <v>126</v>
      </c>
      <c r="M260" s="425">
        <v>52</v>
      </c>
      <c r="N260" s="425">
        <v>52</v>
      </c>
      <c r="O260" s="425">
        <v>4</v>
      </c>
      <c r="P260" s="425">
        <v>4</v>
      </c>
      <c r="Q260" s="294">
        <v>42</v>
      </c>
      <c r="R260" s="295" t="e">
        <f>IF(K260="nio",0,(K260*Q260)/X260)*VLOOKUP(C260,'2-Uren per locatie'!$B$15:$D$74,3,FALSE)</f>
        <v>#DIV/0!</v>
      </c>
      <c r="S260" s="295" t="e">
        <f>IF(K260="nio",0,(L260*Q260)/Y260)*VLOOKUP(C260,'2-Uren per locatie'!$B$15:$D$74,3,FALSE)</f>
        <v>#DIV/0!</v>
      </c>
      <c r="T260" s="295" t="e">
        <f>IF(K260="nio",0,(M260*Q260)/Z260)*VLOOKUP(C260,'2-Uren per locatie'!$B$15:$D$74,3,FALSE)</f>
        <v>#DIV/0!</v>
      </c>
      <c r="U260" s="295" t="e">
        <f>IF(K260="nio",0,(N260*Q260)/AA260)*VLOOKUP(C260,'2-Uren per locatie'!$B$15:$D$74,3,FALSE)</f>
        <v>#DIV/0!</v>
      </c>
      <c r="V260" s="295" t="e">
        <f>IF(K260="nio",0,(O260*Q260)/Z260)*VLOOKUP(C260,'2-Uren per locatie'!$B$15:$D$74,3,FALSE)</f>
        <v>#DIV/0!</v>
      </c>
      <c r="W260" s="295" t="e">
        <f>IF(K260="nio",0,(P260*Q260)/AA260)*VLOOKUP(C260,'2-Uren per locatie'!$B$15:$D$74,3,FALSE)</f>
        <v>#DIV/0!</v>
      </c>
      <c r="X260" s="485">
        <f>IF(K260="nio",0,IF(K260&gt;0,VLOOKUP(H260,'3-Productie normen'!A:F,VLOOKUP(K260,'3-Productie normen'!$B$29:$C$34,2,FALSE),FALSE)))</f>
        <v>0</v>
      </c>
      <c r="Y260" s="485">
        <f>VLOOKUP(H260,'3-Productie normen'!$A$10:$J$24,8,FALSE)*'3-Ruimtestaat'!X260</f>
        <v>0</v>
      </c>
      <c r="Z260" s="485">
        <f>VLOOKUP(H260,'3-Productie normen'!$A$10:$J$24,9,FALSE)*'3-Ruimtestaat'!X260</f>
        <v>0</v>
      </c>
      <c r="AA260" s="485">
        <f>VLOOKUP(H260,'3-Productie normen'!$A$10:$J$24,10,FALSE)*'3-Ruimtestaat'!X260</f>
        <v>0</v>
      </c>
      <c r="AB260" s="292" t="str">
        <f>IF(H260="",0,VLOOKUP(H260,'3-Productie normen'!$A$10:$N$23,14,FALSE))</f>
        <v>V</v>
      </c>
      <c r="AD260" s="296">
        <f t="shared" si="7"/>
        <v>15330</v>
      </c>
      <c r="AE260" s="78"/>
      <c r="AF260" s="300" t="s">
        <v>393</v>
      </c>
      <c r="AG260" s="297"/>
      <c r="AH260" s="297"/>
      <c r="AI260" s="297"/>
      <c r="AJ260" s="297"/>
      <c r="AK260" s="298"/>
      <c r="AL260" s="298"/>
      <c r="AM260" s="298"/>
      <c r="AN260" s="298"/>
      <c r="AO260" s="299" t="s">
        <v>488</v>
      </c>
    </row>
    <row r="261" spans="1:41" ht="15" customHeight="1">
      <c r="A261" s="254">
        <v>261</v>
      </c>
      <c r="B261" s="253">
        <v>114</v>
      </c>
      <c r="C261" s="240" t="s">
        <v>64</v>
      </c>
      <c r="D261" s="288" t="s">
        <v>56</v>
      </c>
      <c r="E261" s="289"/>
      <c r="F261" s="239" t="s">
        <v>489</v>
      </c>
      <c r="G261" s="290" t="s">
        <v>487</v>
      </c>
      <c r="H261" s="291" t="s">
        <v>155</v>
      </c>
      <c r="I261" s="239" t="s">
        <v>392</v>
      </c>
      <c r="J261" s="424">
        <f t="shared" si="6"/>
        <v>365</v>
      </c>
      <c r="K261" s="425">
        <v>127</v>
      </c>
      <c r="L261" s="425">
        <v>126</v>
      </c>
      <c r="M261" s="425">
        <v>52</v>
      </c>
      <c r="N261" s="425">
        <v>52</v>
      </c>
      <c r="O261" s="425">
        <v>4</v>
      </c>
      <c r="P261" s="425">
        <v>4</v>
      </c>
      <c r="Q261" s="294">
        <v>42</v>
      </c>
      <c r="R261" s="295" t="e">
        <f>IF(K261="nio",0,(K261*Q261)/X261)*VLOOKUP(C261,'2-Uren per locatie'!$B$15:$D$74,3,FALSE)</f>
        <v>#DIV/0!</v>
      </c>
      <c r="S261" s="295" t="e">
        <f>IF(K261="nio",0,(L261*Q261)/Y261)*VLOOKUP(C261,'2-Uren per locatie'!$B$15:$D$74,3,FALSE)</f>
        <v>#DIV/0!</v>
      </c>
      <c r="T261" s="295" t="e">
        <f>IF(K261="nio",0,(M261*Q261)/Z261)*VLOOKUP(C261,'2-Uren per locatie'!$B$15:$D$74,3,FALSE)</f>
        <v>#DIV/0!</v>
      </c>
      <c r="U261" s="295" t="e">
        <f>IF(K261="nio",0,(N261*Q261)/AA261)*VLOOKUP(C261,'2-Uren per locatie'!$B$15:$D$74,3,FALSE)</f>
        <v>#DIV/0!</v>
      </c>
      <c r="V261" s="295" t="e">
        <f>IF(K261="nio",0,(O261*Q261)/Z261)*VLOOKUP(C261,'2-Uren per locatie'!$B$15:$D$74,3,FALSE)</f>
        <v>#DIV/0!</v>
      </c>
      <c r="W261" s="295" t="e">
        <f>IF(K261="nio",0,(P261*Q261)/AA261)*VLOOKUP(C261,'2-Uren per locatie'!$B$15:$D$74,3,FALSE)</f>
        <v>#DIV/0!</v>
      </c>
      <c r="X261" s="485">
        <f>IF(K261="nio",0,IF(K261&gt;0,VLOOKUP(H261,'3-Productie normen'!A:F,VLOOKUP(K261,'3-Productie normen'!$B$29:$C$34,2,FALSE),FALSE)))</f>
        <v>0</v>
      </c>
      <c r="Y261" s="485">
        <f>VLOOKUP(H261,'3-Productie normen'!$A$10:$J$24,8,FALSE)*'3-Ruimtestaat'!X261</f>
        <v>0</v>
      </c>
      <c r="Z261" s="485">
        <f>VLOOKUP(H261,'3-Productie normen'!$A$10:$J$24,9,FALSE)*'3-Ruimtestaat'!X261</f>
        <v>0</v>
      </c>
      <c r="AA261" s="485">
        <f>VLOOKUP(H261,'3-Productie normen'!$A$10:$J$24,10,FALSE)*'3-Ruimtestaat'!X261</f>
        <v>0</v>
      </c>
      <c r="AB261" s="292" t="str">
        <f>IF(H261="",0,VLOOKUP(H261,'3-Productie normen'!$A$10:$N$23,14,FALSE))</f>
        <v>V</v>
      </c>
      <c r="AD261" s="296">
        <f t="shared" si="7"/>
        <v>15330</v>
      </c>
      <c r="AE261" s="78"/>
      <c r="AF261" s="300" t="s">
        <v>393</v>
      </c>
      <c r="AG261" s="297"/>
      <c r="AH261" s="297"/>
      <c r="AI261" s="297"/>
      <c r="AJ261" s="297"/>
      <c r="AK261" s="298"/>
      <c r="AL261" s="298"/>
      <c r="AM261" s="298"/>
      <c r="AN261" s="298"/>
      <c r="AO261" s="299" t="s">
        <v>488</v>
      </c>
    </row>
    <row r="262" spans="1:41" ht="15" customHeight="1">
      <c r="A262" s="254">
        <v>262</v>
      </c>
      <c r="B262" s="253">
        <v>114</v>
      </c>
      <c r="C262" s="240" t="s">
        <v>64</v>
      </c>
      <c r="D262" s="288" t="s">
        <v>56</v>
      </c>
      <c r="E262" s="289"/>
      <c r="F262" s="239" t="s">
        <v>490</v>
      </c>
      <c r="G262" s="290" t="s">
        <v>487</v>
      </c>
      <c r="H262" s="291" t="s">
        <v>152</v>
      </c>
      <c r="I262" s="239" t="s">
        <v>265</v>
      </c>
      <c r="J262" s="424">
        <f t="shared" si="6"/>
        <v>365</v>
      </c>
      <c r="K262" s="425">
        <v>127</v>
      </c>
      <c r="L262" s="425">
        <v>126</v>
      </c>
      <c r="M262" s="425">
        <v>52</v>
      </c>
      <c r="N262" s="425">
        <v>52</v>
      </c>
      <c r="O262" s="425">
        <v>4</v>
      </c>
      <c r="P262" s="425">
        <v>4</v>
      </c>
      <c r="Q262" s="294">
        <v>26.25</v>
      </c>
      <c r="R262" s="295" t="e">
        <f>IF(K262="nio",0,(K262*Q262)/X262)*VLOOKUP(C262,'2-Uren per locatie'!$B$15:$D$74,3,FALSE)</f>
        <v>#DIV/0!</v>
      </c>
      <c r="S262" s="295" t="e">
        <f>IF(K262="nio",0,(L262*Q262)/Y262)*VLOOKUP(C262,'2-Uren per locatie'!$B$15:$D$74,3,FALSE)</f>
        <v>#DIV/0!</v>
      </c>
      <c r="T262" s="295" t="e">
        <f>IF(K262="nio",0,(M262*Q262)/Z262)*VLOOKUP(C262,'2-Uren per locatie'!$B$15:$D$74,3,FALSE)</f>
        <v>#DIV/0!</v>
      </c>
      <c r="U262" s="295" t="e">
        <f>IF(K262="nio",0,(N262*Q262)/AA262)*VLOOKUP(C262,'2-Uren per locatie'!$B$15:$D$74,3,FALSE)</f>
        <v>#DIV/0!</v>
      </c>
      <c r="V262" s="295" t="e">
        <f>IF(K262="nio",0,(O262*Q262)/Z262)*VLOOKUP(C262,'2-Uren per locatie'!$B$15:$D$74,3,FALSE)</f>
        <v>#DIV/0!</v>
      </c>
      <c r="W262" s="295" t="e">
        <f>IF(K262="nio",0,(P262*Q262)/AA262)*VLOOKUP(C262,'2-Uren per locatie'!$B$15:$D$74,3,FALSE)</f>
        <v>#DIV/0!</v>
      </c>
      <c r="X262" s="485">
        <f>IF(K262="nio",0,IF(K262&gt;0,VLOOKUP(H262,'3-Productie normen'!A:F,VLOOKUP(K262,'3-Productie normen'!$B$29:$C$34,2,FALSE),FALSE)))</f>
        <v>0</v>
      </c>
      <c r="Y262" s="485">
        <f>VLOOKUP(H262,'3-Productie normen'!$A$10:$J$24,8,FALSE)*'3-Ruimtestaat'!X262</f>
        <v>0</v>
      </c>
      <c r="Z262" s="485">
        <f>VLOOKUP(H262,'3-Productie normen'!$A$10:$J$24,9,FALSE)*'3-Ruimtestaat'!X262</f>
        <v>0</v>
      </c>
      <c r="AA262" s="485">
        <f>VLOOKUP(H262,'3-Productie normen'!$A$10:$J$24,10,FALSE)*'3-Ruimtestaat'!X262</f>
        <v>0</v>
      </c>
      <c r="AB262" s="292" t="str">
        <f>IF(H262="",0,VLOOKUP(H262,'3-Productie normen'!$A$10:$N$23,14,FALSE))</f>
        <v>V</v>
      </c>
      <c r="AD262" s="296">
        <f t="shared" si="7"/>
        <v>9581.25</v>
      </c>
      <c r="AE262" s="78"/>
      <c r="AF262" s="300" t="s">
        <v>393</v>
      </c>
      <c r="AG262" s="297"/>
      <c r="AH262" s="297"/>
      <c r="AI262" s="297"/>
      <c r="AJ262" s="297"/>
      <c r="AK262" s="298"/>
      <c r="AL262" s="298"/>
      <c r="AM262" s="298"/>
      <c r="AN262" s="298"/>
      <c r="AO262" s="299" t="s">
        <v>491</v>
      </c>
    </row>
    <row r="263" spans="1:41" ht="15" customHeight="1">
      <c r="A263" s="254">
        <v>263</v>
      </c>
      <c r="B263" s="253">
        <v>114</v>
      </c>
      <c r="C263" s="240" t="s">
        <v>64</v>
      </c>
      <c r="D263" s="288" t="s">
        <v>56</v>
      </c>
      <c r="E263" s="289"/>
      <c r="F263" s="239" t="s">
        <v>492</v>
      </c>
      <c r="G263" s="290" t="s">
        <v>487</v>
      </c>
      <c r="H263" s="291" t="s">
        <v>152</v>
      </c>
      <c r="I263" s="239" t="s">
        <v>216</v>
      </c>
      <c r="J263" s="424">
        <f t="shared" si="6"/>
        <v>365</v>
      </c>
      <c r="K263" s="425">
        <v>127</v>
      </c>
      <c r="L263" s="425">
        <v>126</v>
      </c>
      <c r="M263" s="425">
        <v>52</v>
      </c>
      <c r="N263" s="425">
        <v>52</v>
      </c>
      <c r="O263" s="425">
        <v>4</v>
      </c>
      <c r="P263" s="425">
        <v>4</v>
      </c>
      <c r="Q263" s="294">
        <v>26.25</v>
      </c>
      <c r="R263" s="295" t="e">
        <f>IF(K263="nio",0,(K263*Q263)/X263)*VLOOKUP(C263,'2-Uren per locatie'!$B$15:$D$74,3,FALSE)</f>
        <v>#DIV/0!</v>
      </c>
      <c r="S263" s="295" t="e">
        <f>IF(K263="nio",0,(L263*Q263)/Y263)*VLOOKUP(C263,'2-Uren per locatie'!$B$15:$D$74,3,FALSE)</f>
        <v>#DIV/0!</v>
      </c>
      <c r="T263" s="295" t="e">
        <f>IF(K263="nio",0,(M263*Q263)/Z263)*VLOOKUP(C263,'2-Uren per locatie'!$B$15:$D$74,3,FALSE)</f>
        <v>#DIV/0!</v>
      </c>
      <c r="U263" s="295" t="e">
        <f>IF(K263="nio",0,(N263*Q263)/AA263)*VLOOKUP(C263,'2-Uren per locatie'!$B$15:$D$74,3,FALSE)</f>
        <v>#DIV/0!</v>
      </c>
      <c r="V263" s="295" t="e">
        <f>IF(K263="nio",0,(O263*Q263)/Z263)*VLOOKUP(C263,'2-Uren per locatie'!$B$15:$D$74,3,FALSE)</f>
        <v>#DIV/0!</v>
      </c>
      <c r="W263" s="295" t="e">
        <f>IF(K263="nio",0,(P263*Q263)/AA263)*VLOOKUP(C263,'2-Uren per locatie'!$B$15:$D$74,3,FALSE)</f>
        <v>#DIV/0!</v>
      </c>
      <c r="X263" s="485">
        <f>IF(K263="nio",0,IF(K263&gt;0,VLOOKUP(H263,'3-Productie normen'!A:F,VLOOKUP(K263,'3-Productie normen'!$B$29:$C$34,2,FALSE),FALSE)))</f>
        <v>0</v>
      </c>
      <c r="Y263" s="485">
        <f>VLOOKUP(H263,'3-Productie normen'!$A$10:$J$24,8,FALSE)*'3-Ruimtestaat'!X263</f>
        <v>0</v>
      </c>
      <c r="Z263" s="485">
        <f>VLOOKUP(H263,'3-Productie normen'!$A$10:$J$24,9,FALSE)*'3-Ruimtestaat'!X263</f>
        <v>0</v>
      </c>
      <c r="AA263" s="485">
        <f>VLOOKUP(H263,'3-Productie normen'!$A$10:$J$24,10,FALSE)*'3-Ruimtestaat'!X263</f>
        <v>0</v>
      </c>
      <c r="AB263" s="292" t="str">
        <f>IF(H263="",0,VLOOKUP(H263,'3-Productie normen'!$A$10:$N$23,14,FALSE))</f>
        <v>V</v>
      </c>
      <c r="AD263" s="296">
        <f t="shared" si="7"/>
        <v>9581.25</v>
      </c>
      <c r="AE263" s="78"/>
      <c r="AF263" s="300" t="s">
        <v>393</v>
      </c>
      <c r="AG263" s="297"/>
      <c r="AH263" s="297"/>
      <c r="AI263" s="297"/>
      <c r="AJ263" s="297"/>
      <c r="AK263" s="298"/>
      <c r="AL263" s="298"/>
      <c r="AM263" s="298"/>
      <c r="AN263" s="298"/>
      <c r="AO263" s="299" t="s">
        <v>491</v>
      </c>
    </row>
    <row r="264" spans="1:41" ht="15" customHeight="1">
      <c r="A264" s="254">
        <v>264</v>
      </c>
      <c r="B264" s="253">
        <v>115</v>
      </c>
      <c r="C264" s="240" t="s">
        <v>65</v>
      </c>
      <c r="D264" s="288" t="s">
        <v>66</v>
      </c>
      <c r="E264" s="289"/>
      <c r="F264" s="239" t="s">
        <v>454</v>
      </c>
      <c r="G264" s="290" t="s">
        <v>396</v>
      </c>
      <c r="H264" s="291" t="s">
        <v>145</v>
      </c>
      <c r="I264" s="239" t="s">
        <v>203</v>
      </c>
      <c r="J264" s="424">
        <f t="shared" ref="J264:J327" si="9">SUM(K264:P264)</f>
        <v>365</v>
      </c>
      <c r="K264" s="425">
        <v>102</v>
      </c>
      <c r="L264" s="425">
        <v>153</v>
      </c>
      <c r="M264" s="425"/>
      <c r="N264" s="425">
        <v>102</v>
      </c>
      <c r="O264" s="425"/>
      <c r="P264" s="425">
        <v>8</v>
      </c>
      <c r="Q264" s="294">
        <v>182.62</v>
      </c>
      <c r="R264" s="295" t="e">
        <f>IF(K264="nio",0,(K264*Q264)/X264)*VLOOKUP(C264,'2-Uren per locatie'!$B$15:$D$74,3,FALSE)</f>
        <v>#DIV/0!</v>
      </c>
      <c r="S264" s="295" t="e">
        <f>IF(K264="nio",0,(L264*Q264)/Y264)*VLOOKUP(C264,'2-Uren per locatie'!$B$15:$D$74,3,FALSE)</f>
        <v>#DIV/0!</v>
      </c>
      <c r="T264" s="295" t="e">
        <f>IF(K264="nio",0,(M264*Q264)/Z264)*VLOOKUP(C264,'2-Uren per locatie'!$B$15:$D$74,3,FALSE)</f>
        <v>#DIV/0!</v>
      </c>
      <c r="U264" s="295" t="e">
        <f>IF(K264="nio",0,(N264*Q264)/AA264)*VLOOKUP(C264,'2-Uren per locatie'!$B$15:$D$74,3,FALSE)</f>
        <v>#DIV/0!</v>
      </c>
      <c r="V264" s="295" t="e">
        <f>IF(K264="nio",0,(O264*Q264)/Z264)*VLOOKUP(C264,'2-Uren per locatie'!$B$15:$D$74,3,FALSE)</f>
        <v>#DIV/0!</v>
      </c>
      <c r="W264" s="295" t="e">
        <f>IF(K264="nio",0,(P264*Q264)/AA264)*VLOOKUP(C264,'2-Uren per locatie'!$B$15:$D$74,3,FALSE)</f>
        <v>#DIV/0!</v>
      </c>
      <c r="X264" s="485">
        <f>IF(K264="nio",0,IF(K264&gt;0,VLOOKUP(H264,'3-Productie normen'!A:F,VLOOKUP(K264,'3-Productie normen'!$B$29:$C$34,2,FALSE),FALSE)))</f>
        <v>0</v>
      </c>
      <c r="Y264" s="485">
        <f>VLOOKUP(H264,'3-Productie normen'!$A$10:$J$24,8,FALSE)*'3-Ruimtestaat'!X264</f>
        <v>0</v>
      </c>
      <c r="Z264" s="485">
        <f>VLOOKUP(H264,'3-Productie normen'!$A$10:$J$24,9,FALSE)*'3-Ruimtestaat'!X264</f>
        <v>0</v>
      </c>
      <c r="AA264" s="485">
        <f>VLOOKUP(H264,'3-Productie normen'!$A$10:$J$24,10,FALSE)*'3-Ruimtestaat'!X264</f>
        <v>0</v>
      </c>
      <c r="AB264" s="292" t="str">
        <f>IF(H264="",0,VLOOKUP(H264,'3-Productie normen'!$A$10:$N$23,14,FALSE))</f>
        <v>V</v>
      </c>
      <c r="AD264" s="296">
        <f t="shared" si="7"/>
        <v>66656.3</v>
      </c>
      <c r="AE264" s="78"/>
      <c r="AF264" s="297"/>
      <c r="AG264" s="297"/>
      <c r="AH264" s="297"/>
      <c r="AI264" s="297">
        <v>20</v>
      </c>
      <c r="AJ264" s="297">
        <v>577</v>
      </c>
      <c r="AK264" s="298"/>
      <c r="AL264" s="298">
        <f>161.2-27.6</f>
        <v>133.6</v>
      </c>
      <c r="AM264" s="298"/>
      <c r="AN264" s="298"/>
      <c r="AO264" s="299" t="s">
        <v>493</v>
      </c>
    </row>
    <row r="265" spans="1:41" ht="15" customHeight="1">
      <c r="A265" s="254">
        <v>265</v>
      </c>
      <c r="B265" s="253">
        <v>115</v>
      </c>
      <c r="C265" s="240" t="s">
        <v>65</v>
      </c>
      <c r="D265" s="288" t="s">
        <v>66</v>
      </c>
      <c r="E265" s="289"/>
      <c r="F265" s="239" t="s">
        <v>454</v>
      </c>
      <c r="G265" s="290" t="s">
        <v>441</v>
      </c>
      <c r="H265" s="291" t="s">
        <v>145</v>
      </c>
      <c r="I265" s="239" t="s">
        <v>203</v>
      </c>
      <c r="J265" s="424">
        <f t="shared" si="9"/>
        <v>365</v>
      </c>
      <c r="K265" s="425">
        <v>102</v>
      </c>
      <c r="L265" s="425">
        <v>153</v>
      </c>
      <c r="M265" s="425"/>
      <c r="N265" s="425">
        <v>102</v>
      </c>
      <c r="O265" s="425"/>
      <c r="P265" s="425">
        <v>8</v>
      </c>
      <c r="Q265" s="294">
        <v>128.96</v>
      </c>
      <c r="R265" s="295" t="e">
        <f>IF(K265="nio",0,(K265*Q265)/X265)*VLOOKUP(C265,'2-Uren per locatie'!$B$15:$D$74,3,FALSE)</f>
        <v>#DIV/0!</v>
      </c>
      <c r="S265" s="295" t="e">
        <f>IF(K265="nio",0,(L265*Q265)/Y265)*VLOOKUP(C265,'2-Uren per locatie'!$B$15:$D$74,3,FALSE)</f>
        <v>#DIV/0!</v>
      </c>
      <c r="T265" s="295" t="e">
        <f>IF(K265="nio",0,(M265*Q265)/Z265)*VLOOKUP(C265,'2-Uren per locatie'!$B$15:$D$74,3,FALSE)</f>
        <v>#DIV/0!</v>
      </c>
      <c r="U265" s="295" t="e">
        <f>IF(K265="nio",0,(N265*Q265)/AA265)*VLOOKUP(C265,'2-Uren per locatie'!$B$15:$D$74,3,FALSE)</f>
        <v>#DIV/0!</v>
      </c>
      <c r="V265" s="295" t="e">
        <f>IF(K265="nio",0,(O265*Q265)/Z265)*VLOOKUP(C265,'2-Uren per locatie'!$B$15:$D$74,3,FALSE)</f>
        <v>#DIV/0!</v>
      </c>
      <c r="W265" s="295" t="e">
        <f>IF(K265="nio",0,(P265*Q265)/AA265)*VLOOKUP(C265,'2-Uren per locatie'!$B$15:$D$74,3,FALSE)</f>
        <v>#DIV/0!</v>
      </c>
      <c r="X265" s="485">
        <f>IF(K265="nio",0,IF(K265&gt;0,VLOOKUP(H265,'3-Productie normen'!A:F,VLOOKUP(K265,'3-Productie normen'!$B$29:$C$34,2,FALSE),FALSE)))</f>
        <v>0</v>
      </c>
      <c r="Y265" s="485">
        <f>VLOOKUP(H265,'3-Productie normen'!$A$10:$J$24,8,FALSE)*'3-Ruimtestaat'!X265</f>
        <v>0</v>
      </c>
      <c r="Z265" s="485">
        <f>VLOOKUP(H265,'3-Productie normen'!$A$10:$J$24,9,FALSE)*'3-Ruimtestaat'!X265</f>
        <v>0</v>
      </c>
      <c r="AA265" s="485">
        <f>VLOOKUP(H265,'3-Productie normen'!$A$10:$J$24,10,FALSE)*'3-Ruimtestaat'!X265</f>
        <v>0</v>
      </c>
      <c r="AB265" s="292" t="str">
        <f>IF(H265="",0,VLOOKUP(H265,'3-Productie normen'!$A$10:$N$23,14,FALSE))</f>
        <v>V</v>
      </c>
      <c r="AD265" s="296">
        <f t="shared" si="7"/>
        <v>47070.400000000001</v>
      </c>
      <c r="AE265" s="78"/>
      <c r="AF265" s="297"/>
      <c r="AG265" s="297"/>
      <c r="AH265" s="297"/>
      <c r="AI265" s="297"/>
      <c r="AJ265" s="297">
        <v>418</v>
      </c>
      <c r="AK265" s="298"/>
      <c r="AL265" s="298"/>
      <c r="AM265" s="298">
        <v>198</v>
      </c>
      <c r="AN265" s="298"/>
      <c r="AO265" s="299" t="s">
        <v>473</v>
      </c>
    </row>
    <row r="266" spans="1:41" ht="15" customHeight="1">
      <c r="A266" s="254">
        <v>266</v>
      </c>
      <c r="B266" s="253">
        <v>115</v>
      </c>
      <c r="C266" s="240" t="s">
        <v>65</v>
      </c>
      <c r="D266" s="288" t="s">
        <v>66</v>
      </c>
      <c r="E266" s="289"/>
      <c r="F266" s="239" t="s">
        <v>453</v>
      </c>
      <c r="G266" s="290" t="s">
        <v>494</v>
      </c>
      <c r="H266" s="291" t="s">
        <v>151</v>
      </c>
      <c r="I266" s="239" t="s">
        <v>434</v>
      </c>
      <c r="J266" s="424">
        <f t="shared" si="9"/>
        <v>365</v>
      </c>
      <c r="K266" s="425">
        <v>102</v>
      </c>
      <c r="L266" s="425">
        <v>153</v>
      </c>
      <c r="M266" s="425"/>
      <c r="N266" s="425">
        <v>102</v>
      </c>
      <c r="O266" s="425"/>
      <c r="P266" s="425">
        <v>8</v>
      </c>
      <c r="Q266" s="294">
        <v>1699.37</v>
      </c>
      <c r="R266" s="295" t="e">
        <f>IF(K266="nio",0,(K266*Q266)/X266)*VLOOKUP(C266,'2-Uren per locatie'!$B$15:$D$74,3,FALSE)</f>
        <v>#DIV/0!</v>
      </c>
      <c r="S266" s="295" t="e">
        <f>IF(K266="nio",0,(L266*Q266)/Y266)*VLOOKUP(C266,'2-Uren per locatie'!$B$15:$D$74,3,FALSE)</f>
        <v>#DIV/0!</v>
      </c>
      <c r="T266" s="295" t="e">
        <f>IF(K266="nio",0,(M266*Q266)/Z266)*VLOOKUP(C266,'2-Uren per locatie'!$B$15:$D$74,3,FALSE)</f>
        <v>#DIV/0!</v>
      </c>
      <c r="U266" s="295" t="e">
        <f>IF(K266="nio",0,(N266*Q266)/AA266)*VLOOKUP(C266,'2-Uren per locatie'!$B$15:$D$74,3,FALSE)</f>
        <v>#DIV/0!</v>
      </c>
      <c r="V266" s="295" t="e">
        <f>IF(K266="nio",0,(O266*Q266)/Z266)*VLOOKUP(C266,'2-Uren per locatie'!$B$15:$D$74,3,FALSE)</f>
        <v>#DIV/0!</v>
      </c>
      <c r="W266" s="295" t="e">
        <f>IF(K266="nio",0,(P266*Q266)/AA266)*VLOOKUP(C266,'2-Uren per locatie'!$B$15:$D$74,3,FALSE)</f>
        <v>#DIV/0!</v>
      </c>
      <c r="X266" s="485">
        <f>IF(K266="nio",0,IF(K266&gt;0,VLOOKUP(H266,'3-Productie normen'!A:F,VLOOKUP(K266,'3-Productie normen'!$B$29:$C$34,2,FALSE),FALSE)))</f>
        <v>0</v>
      </c>
      <c r="Y266" s="485">
        <f>VLOOKUP(H266,'3-Productie normen'!$A$10:$J$24,8,FALSE)*'3-Ruimtestaat'!X266</f>
        <v>0</v>
      </c>
      <c r="Z266" s="485">
        <f>VLOOKUP(H266,'3-Productie normen'!$A$10:$J$24,9,FALSE)*'3-Ruimtestaat'!X266</f>
        <v>0</v>
      </c>
      <c r="AA266" s="485">
        <f>VLOOKUP(H266,'3-Productie normen'!$A$10:$J$24,10,FALSE)*'3-Ruimtestaat'!X266</f>
        <v>0</v>
      </c>
      <c r="AB266" s="292" t="str">
        <f>IF(H266="",0,VLOOKUP(H266,'3-Productie normen'!$A$10:$N$23,14,FALSE))</f>
        <v>V</v>
      </c>
      <c r="AD266" s="296">
        <f t="shared" si="7"/>
        <v>620270.04999999993</v>
      </c>
      <c r="AE266" s="78"/>
      <c r="AF266" s="297"/>
      <c r="AG266" s="297"/>
      <c r="AH266" s="297"/>
      <c r="AI266" s="297"/>
      <c r="AJ266" s="297">
        <v>70</v>
      </c>
      <c r="AK266" s="298">
        <f>121.5*12</f>
        <v>1458</v>
      </c>
      <c r="AL266" s="298"/>
      <c r="AM266" s="298"/>
      <c r="AN266" s="298"/>
      <c r="AO266" s="299"/>
    </row>
    <row r="267" spans="1:41" ht="15" customHeight="1">
      <c r="A267" s="254">
        <v>267</v>
      </c>
      <c r="B267" s="253">
        <v>115</v>
      </c>
      <c r="C267" s="240" t="s">
        <v>65</v>
      </c>
      <c r="D267" s="288" t="s">
        <v>66</v>
      </c>
      <c r="E267" s="289"/>
      <c r="F267" s="239" t="s">
        <v>495</v>
      </c>
      <c r="G267" s="290" t="s">
        <v>470</v>
      </c>
      <c r="H267" s="291" t="s">
        <v>144</v>
      </c>
      <c r="I267" s="239" t="s">
        <v>203</v>
      </c>
      <c r="J267" s="424">
        <f t="shared" si="9"/>
        <v>365</v>
      </c>
      <c r="K267" s="425">
        <v>102</v>
      </c>
      <c r="L267" s="425">
        <v>153</v>
      </c>
      <c r="M267" s="425"/>
      <c r="N267" s="425">
        <v>102</v>
      </c>
      <c r="O267" s="425"/>
      <c r="P267" s="425">
        <v>8</v>
      </c>
      <c r="Q267" s="294">
        <v>11.01</v>
      </c>
      <c r="R267" s="295" t="e">
        <f>IF(K267="nio",0,(K267*Q267)/X267)*VLOOKUP(C267,'2-Uren per locatie'!$B$15:$D$74,3,FALSE)</f>
        <v>#DIV/0!</v>
      </c>
      <c r="S267" s="295" t="e">
        <f>IF(K267="nio",0,(L267*Q267)/Y267)*VLOOKUP(C267,'2-Uren per locatie'!$B$15:$D$74,3,FALSE)</f>
        <v>#DIV/0!</v>
      </c>
      <c r="T267" s="295" t="e">
        <f>IF(K267="nio",0,(M267*Q267)/Z267)*VLOOKUP(C267,'2-Uren per locatie'!$B$15:$D$74,3,FALSE)</f>
        <v>#DIV/0!</v>
      </c>
      <c r="U267" s="295" t="e">
        <f>IF(K267="nio",0,(N267*Q267)/AA267)*VLOOKUP(C267,'2-Uren per locatie'!$B$15:$D$74,3,FALSE)</f>
        <v>#DIV/0!</v>
      </c>
      <c r="V267" s="295" t="e">
        <f>IF(K267="nio",0,(O267*Q267)/Z267)*VLOOKUP(C267,'2-Uren per locatie'!$B$15:$D$74,3,FALSE)</f>
        <v>#DIV/0!</v>
      </c>
      <c r="W267" s="295" t="e">
        <f>IF(K267="nio",0,(P267*Q267)/AA267)*VLOOKUP(C267,'2-Uren per locatie'!$B$15:$D$74,3,FALSE)</f>
        <v>#DIV/0!</v>
      </c>
      <c r="X267" s="485">
        <f>IF(K267="nio",0,IF(K267&gt;0,VLOOKUP(H267,'3-Productie normen'!A:F,VLOOKUP(K267,'3-Productie normen'!$B$29:$C$34,2,FALSE),FALSE)))</f>
        <v>0</v>
      </c>
      <c r="Y267" s="485">
        <f>VLOOKUP(H267,'3-Productie normen'!$A$10:$J$24,8,FALSE)*'3-Ruimtestaat'!X267</f>
        <v>0</v>
      </c>
      <c r="Z267" s="485">
        <f>VLOOKUP(H267,'3-Productie normen'!$A$10:$J$24,9,FALSE)*'3-Ruimtestaat'!X267</f>
        <v>0</v>
      </c>
      <c r="AA267" s="485">
        <f>VLOOKUP(H267,'3-Productie normen'!$A$10:$J$24,10,FALSE)*'3-Ruimtestaat'!X267</f>
        <v>0</v>
      </c>
      <c r="AB267" s="292" t="str">
        <f>IF(H267="",0,VLOOKUP(H267,'3-Productie normen'!$A$10:$N$23,14,FALSE))</f>
        <v>V</v>
      </c>
      <c r="AD267" s="296">
        <f t="shared" si="7"/>
        <v>4018.65</v>
      </c>
      <c r="AE267" s="78"/>
      <c r="AF267" s="297"/>
      <c r="AG267" s="297"/>
      <c r="AH267" s="297"/>
      <c r="AI267" s="297"/>
      <c r="AJ267" s="297">
        <v>50</v>
      </c>
      <c r="AK267" s="298"/>
      <c r="AL267" s="298"/>
      <c r="AM267" s="298">
        <f>Q267</f>
        <v>11.01</v>
      </c>
      <c r="AN267" s="298"/>
      <c r="AO267" s="299" t="s">
        <v>475</v>
      </c>
    </row>
    <row r="268" spans="1:41" ht="15" customHeight="1">
      <c r="A268" s="254">
        <v>268</v>
      </c>
      <c r="B268" s="253">
        <v>115</v>
      </c>
      <c r="C268" s="240" t="s">
        <v>65</v>
      </c>
      <c r="D268" s="288" t="s">
        <v>66</v>
      </c>
      <c r="E268" s="289"/>
      <c r="F268" s="239" t="s">
        <v>477</v>
      </c>
      <c r="G268" s="290" t="s">
        <v>478</v>
      </c>
      <c r="H268" s="291" t="s">
        <v>144</v>
      </c>
      <c r="I268" s="239" t="s">
        <v>203</v>
      </c>
      <c r="J268" s="424">
        <f t="shared" si="9"/>
        <v>365</v>
      </c>
      <c r="K268" s="425">
        <v>102</v>
      </c>
      <c r="L268" s="425">
        <v>153</v>
      </c>
      <c r="M268" s="425"/>
      <c r="N268" s="425">
        <v>102</v>
      </c>
      <c r="O268" s="425"/>
      <c r="P268" s="425">
        <v>8</v>
      </c>
      <c r="Q268" s="294">
        <v>3.89</v>
      </c>
      <c r="R268" s="295" t="e">
        <f>IF(K268="nio",0,(K268*Q268)/X268)*VLOOKUP(C268,'2-Uren per locatie'!$B$15:$D$74,3,FALSE)</f>
        <v>#DIV/0!</v>
      </c>
      <c r="S268" s="295" t="e">
        <f>IF(K268="nio",0,(L268*Q268)/Y268)*VLOOKUP(C268,'2-Uren per locatie'!$B$15:$D$74,3,FALSE)</f>
        <v>#DIV/0!</v>
      </c>
      <c r="T268" s="295" t="e">
        <f>IF(K268="nio",0,(M268*Q268)/Z268)*VLOOKUP(C268,'2-Uren per locatie'!$B$15:$D$74,3,FALSE)</f>
        <v>#DIV/0!</v>
      </c>
      <c r="U268" s="295" t="e">
        <f>IF(K268="nio",0,(N268*Q268)/AA268)*VLOOKUP(C268,'2-Uren per locatie'!$B$15:$D$74,3,FALSE)</f>
        <v>#DIV/0!</v>
      </c>
      <c r="V268" s="295" t="e">
        <f>IF(K268="nio",0,(O268*Q268)/Z268)*VLOOKUP(C268,'2-Uren per locatie'!$B$15:$D$74,3,FALSE)</f>
        <v>#DIV/0!</v>
      </c>
      <c r="W268" s="295" t="e">
        <f>IF(K268="nio",0,(P268*Q268)/AA268)*VLOOKUP(C268,'2-Uren per locatie'!$B$15:$D$74,3,FALSE)</f>
        <v>#DIV/0!</v>
      </c>
      <c r="X268" s="485">
        <f>IF(K268="nio",0,IF(K268&gt;0,VLOOKUP(H268,'3-Productie normen'!A:F,VLOOKUP(K268,'3-Productie normen'!$B$29:$C$34,2,FALSE),FALSE)))</f>
        <v>0</v>
      </c>
      <c r="Y268" s="485">
        <f>VLOOKUP(H268,'3-Productie normen'!$A$10:$J$24,8,FALSE)*'3-Ruimtestaat'!X268</f>
        <v>0</v>
      </c>
      <c r="Z268" s="485">
        <f>VLOOKUP(H268,'3-Productie normen'!$A$10:$J$24,9,FALSE)*'3-Ruimtestaat'!X268</f>
        <v>0</v>
      </c>
      <c r="AA268" s="485">
        <f>VLOOKUP(H268,'3-Productie normen'!$A$10:$J$24,10,FALSE)*'3-Ruimtestaat'!X268</f>
        <v>0</v>
      </c>
      <c r="AB268" s="292" t="str">
        <f>IF(H268="",0,VLOOKUP(H268,'3-Productie normen'!$A$10:$N$23,14,FALSE))</f>
        <v>V</v>
      </c>
      <c r="AD268" s="296">
        <f t="shared" ref="AD268:AD331" si="10">Q268*J268</f>
        <v>1419.8500000000001</v>
      </c>
      <c r="AE268" s="78"/>
      <c r="AF268" s="297"/>
      <c r="AG268" s="297"/>
      <c r="AH268" s="297"/>
      <c r="AI268" s="297"/>
      <c r="AJ268" s="297">
        <v>20</v>
      </c>
      <c r="AK268" s="298"/>
      <c r="AL268" s="298"/>
      <c r="AM268" s="298">
        <f>Q268</f>
        <v>3.89</v>
      </c>
      <c r="AN268" s="298"/>
      <c r="AO268" s="299" t="s">
        <v>475</v>
      </c>
    </row>
    <row r="269" spans="1:41" ht="15" customHeight="1">
      <c r="A269" s="254">
        <v>269</v>
      </c>
      <c r="B269" s="253">
        <v>115</v>
      </c>
      <c r="C269" s="240" t="s">
        <v>65</v>
      </c>
      <c r="D269" s="288" t="s">
        <v>66</v>
      </c>
      <c r="E269" s="289"/>
      <c r="F269" s="239" t="s">
        <v>496</v>
      </c>
      <c r="G269" s="290" t="s">
        <v>442</v>
      </c>
      <c r="H269" s="291" t="s">
        <v>153</v>
      </c>
      <c r="I269" s="239" t="s">
        <v>299</v>
      </c>
      <c r="J269" s="424">
        <f t="shared" si="9"/>
        <v>365</v>
      </c>
      <c r="K269" s="425">
        <v>255</v>
      </c>
      <c r="L269" s="425"/>
      <c r="M269" s="425">
        <v>102</v>
      </c>
      <c r="N269" s="425"/>
      <c r="O269" s="425">
        <v>8</v>
      </c>
      <c r="P269" s="425"/>
      <c r="Q269" s="294">
        <v>3.76</v>
      </c>
      <c r="R269" s="295" t="e">
        <f>IF(K269="nio",0,(K269*Q269)/X269)*VLOOKUP(C269,'2-Uren per locatie'!$B$15:$D$74,3,FALSE)</f>
        <v>#DIV/0!</v>
      </c>
      <c r="S269" s="295" t="e">
        <f>IF(K269="nio",0,(L269*Q269)/Y269)*VLOOKUP(C269,'2-Uren per locatie'!$B$15:$D$74,3,FALSE)</f>
        <v>#DIV/0!</v>
      </c>
      <c r="T269" s="295" t="e">
        <f>IF(K269="nio",0,(M269*Q269)/Z269)*VLOOKUP(C269,'2-Uren per locatie'!$B$15:$D$74,3,FALSE)</f>
        <v>#DIV/0!</v>
      </c>
      <c r="U269" s="295" t="e">
        <f>IF(K269="nio",0,(N269*Q269)/AA269)*VLOOKUP(C269,'2-Uren per locatie'!$B$15:$D$74,3,FALSE)</f>
        <v>#DIV/0!</v>
      </c>
      <c r="V269" s="295" t="e">
        <f>IF(K269="nio",0,(O269*Q269)/Z269)*VLOOKUP(C269,'2-Uren per locatie'!$B$15:$D$74,3,FALSE)</f>
        <v>#DIV/0!</v>
      </c>
      <c r="W269" s="295" t="e">
        <f>IF(K269="nio",0,(P269*Q269)/AA269)*VLOOKUP(C269,'2-Uren per locatie'!$B$15:$D$74,3,FALSE)</f>
        <v>#DIV/0!</v>
      </c>
      <c r="X269" s="485">
        <f>IF(K269="nio",0,IF(K269&gt;0,VLOOKUP(H269,'3-Productie normen'!A:F,VLOOKUP(K269,'3-Productie normen'!$B$29:$C$34,2,FALSE),FALSE)))</f>
        <v>0</v>
      </c>
      <c r="Y269" s="485">
        <f>VLOOKUP(H269,'3-Productie normen'!$A$10:$J$24,8,FALSE)*'3-Ruimtestaat'!X269</f>
        <v>0</v>
      </c>
      <c r="Z269" s="485">
        <f>VLOOKUP(H269,'3-Productie normen'!$A$10:$J$24,9,FALSE)*'3-Ruimtestaat'!X269</f>
        <v>0</v>
      </c>
      <c r="AA269" s="485">
        <f>VLOOKUP(H269,'3-Productie normen'!$A$10:$J$24,10,FALSE)*'3-Ruimtestaat'!X269</f>
        <v>0</v>
      </c>
      <c r="AB269" s="292" t="str">
        <f>IF(H269="",0,VLOOKUP(H269,'3-Productie normen'!$A$10:$N$23,14,FALSE))</f>
        <v>S</v>
      </c>
      <c r="AD269" s="296">
        <f t="shared" si="10"/>
        <v>1372.3999999999999</v>
      </c>
      <c r="AE269" s="78"/>
      <c r="AF269" s="297">
        <v>16</v>
      </c>
      <c r="AG269" s="297"/>
      <c r="AH269" s="297"/>
      <c r="AI269" s="297"/>
      <c r="AJ269" s="297"/>
      <c r="AK269" s="298"/>
      <c r="AL269" s="298"/>
      <c r="AM269" s="298"/>
      <c r="AN269" s="298">
        <f>Q269</f>
        <v>3.76</v>
      </c>
      <c r="AO269" s="299" t="s">
        <v>475</v>
      </c>
    </row>
    <row r="270" spans="1:41" ht="15" customHeight="1">
      <c r="A270" s="254">
        <v>270</v>
      </c>
      <c r="B270" s="253">
        <v>115</v>
      </c>
      <c r="C270" s="240" t="s">
        <v>65</v>
      </c>
      <c r="D270" s="288" t="s">
        <v>66</v>
      </c>
      <c r="E270" s="289"/>
      <c r="F270" s="239" t="s">
        <v>497</v>
      </c>
      <c r="G270" s="290" t="s">
        <v>443</v>
      </c>
      <c r="H270" s="291" t="s">
        <v>153</v>
      </c>
      <c r="I270" s="239" t="s">
        <v>299</v>
      </c>
      <c r="J270" s="424">
        <f t="shared" si="9"/>
        <v>365</v>
      </c>
      <c r="K270" s="425">
        <v>255</v>
      </c>
      <c r="L270" s="425"/>
      <c r="M270" s="425">
        <v>102</v>
      </c>
      <c r="N270" s="425"/>
      <c r="O270" s="425">
        <v>8</v>
      </c>
      <c r="P270" s="425"/>
      <c r="Q270" s="294">
        <v>3.75</v>
      </c>
      <c r="R270" s="295" t="e">
        <f>IF(K270="nio",0,(K270*Q270)/X270)*VLOOKUP(C270,'2-Uren per locatie'!$B$15:$D$74,3,FALSE)</f>
        <v>#DIV/0!</v>
      </c>
      <c r="S270" s="295" t="e">
        <f>IF(K270="nio",0,(L270*Q270)/Y270)*VLOOKUP(C270,'2-Uren per locatie'!$B$15:$D$74,3,FALSE)</f>
        <v>#DIV/0!</v>
      </c>
      <c r="T270" s="295" t="e">
        <f>IF(K270="nio",0,(M270*Q270)/Z270)*VLOOKUP(C270,'2-Uren per locatie'!$B$15:$D$74,3,FALSE)</f>
        <v>#DIV/0!</v>
      </c>
      <c r="U270" s="295" t="e">
        <f>IF(K270="nio",0,(N270*Q270)/AA270)*VLOOKUP(C270,'2-Uren per locatie'!$B$15:$D$74,3,FALSE)</f>
        <v>#DIV/0!</v>
      </c>
      <c r="V270" s="295" t="e">
        <f>IF(K270="nio",0,(O270*Q270)/Z270)*VLOOKUP(C270,'2-Uren per locatie'!$B$15:$D$74,3,FALSE)</f>
        <v>#DIV/0!</v>
      </c>
      <c r="W270" s="295" t="e">
        <f>IF(K270="nio",0,(P270*Q270)/AA270)*VLOOKUP(C270,'2-Uren per locatie'!$B$15:$D$74,3,FALSE)</f>
        <v>#DIV/0!</v>
      </c>
      <c r="X270" s="485">
        <f>IF(K270="nio",0,IF(K270&gt;0,VLOOKUP(H270,'3-Productie normen'!A:F,VLOOKUP(K270,'3-Productie normen'!$B$29:$C$34,2,FALSE),FALSE)))</f>
        <v>0</v>
      </c>
      <c r="Y270" s="485">
        <f>VLOOKUP(H270,'3-Productie normen'!$A$10:$J$24,8,FALSE)*'3-Ruimtestaat'!X270</f>
        <v>0</v>
      </c>
      <c r="Z270" s="485">
        <f>VLOOKUP(H270,'3-Productie normen'!$A$10:$J$24,9,FALSE)*'3-Ruimtestaat'!X270</f>
        <v>0</v>
      </c>
      <c r="AA270" s="485">
        <f>VLOOKUP(H270,'3-Productie normen'!$A$10:$J$24,10,FALSE)*'3-Ruimtestaat'!X270</f>
        <v>0</v>
      </c>
      <c r="AB270" s="292" t="str">
        <f>IF(H270="",0,VLOOKUP(H270,'3-Productie normen'!$A$10:$N$23,14,FALSE))</f>
        <v>S</v>
      </c>
      <c r="AD270" s="296">
        <f t="shared" si="10"/>
        <v>1368.75</v>
      </c>
      <c r="AE270" s="78"/>
      <c r="AF270" s="297">
        <v>16</v>
      </c>
      <c r="AG270" s="297"/>
      <c r="AH270" s="297"/>
      <c r="AI270" s="297"/>
      <c r="AJ270" s="297"/>
      <c r="AK270" s="298"/>
      <c r="AL270" s="298"/>
      <c r="AM270" s="298"/>
      <c r="AN270" s="298">
        <f>Q270</f>
        <v>3.75</v>
      </c>
      <c r="AO270" s="299" t="s">
        <v>475</v>
      </c>
    </row>
    <row r="271" spans="1:41" ht="15" customHeight="1">
      <c r="A271" s="254">
        <v>271</v>
      </c>
      <c r="B271" s="253">
        <v>115</v>
      </c>
      <c r="C271" s="240" t="s">
        <v>65</v>
      </c>
      <c r="D271" s="288" t="s">
        <v>66</v>
      </c>
      <c r="E271" s="289"/>
      <c r="F271" s="239" t="s">
        <v>450</v>
      </c>
      <c r="G271" s="290" t="s">
        <v>498</v>
      </c>
      <c r="H271" s="291" t="s">
        <v>146</v>
      </c>
      <c r="I271" s="239" t="s">
        <v>420</v>
      </c>
      <c r="J271" s="424">
        <f t="shared" si="9"/>
        <v>183</v>
      </c>
      <c r="K271" s="425">
        <v>127</v>
      </c>
      <c r="L271" s="425"/>
      <c r="M271" s="425">
        <v>52</v>
      </c>
      <c r="N271" s="425"/>
      <c r="O271" s="425">
        <v>4</v>
      </c>
      <c r="P271" s="425"/>
      <c r="Q271" s="294">
        <v>16.23</v>
      </c>
      <c r="R271" s="295" t="e">
        <f>IF(K271="nio",0,(K271*Q271)/X271)*VLOOKUP(C271,'2-Uren per locatie'!$B$15:$D$74,3,FALSE)</f>
        <v>#DIV/0!</v>
      </c>
      <c r="S271" s="295" t="e">
        <f>IF(K271="nio",0,(L271*Q271)/Y271)*VLOOKUP(C271,'2-Uren per locatie'!$B$15:$D$74,3,FALSE)</f>
        <v>#DIV/0!</v>
      </c>
      <c r="T271" s="295" t="e">
        <f>IF(K271="nio",0,(M271*Q271)/Z271)*VLOOKUP(C271,'2-Uren per locatie'!$B$15:$D$74,3,FALSE)</f>
        <v>#DIV/0!</v>
      </c>
      <c r="U271" s="295" t="e">
        <f>IF(K271="nio",0,(N271*Q271)/AA271)*VLOOKUP(C271,'2-Uren per locatie'!$B$15:$D$74,3,FALSE)</f>
        <v>#DIV/0!</v>
      </c>
      <c r="V271" s="295" t="e">
        <f>IF(K271="nio",0,(O271*Q271)/Z271)*VLOOKUP(C271,'2-Uren per locatie'!$B$15:$D$74,3,FALSE)</f>
        <v>#DIV/0!</v>
      </c>
      <c r="W271" s="295" t="e">
        <f>IF(K271="nio",0,(P271*Q271)/AA271)*VLOOKUP(C271,'2-Uren per locatie'!$B$15:$D$74,3,FALSE)</f>
        <v>#DIV/0!</v>
      </c>
      <c r="X271" s="485">
        <f>IF(K271="nio",0,IF(K271&gt;0,VLOOKUP(H271,'3-Productie normen'!A:F,VLOOKUP(K271,'3-Productie normen'!$B$29:$C$34,2,FALSE),FALSE)))</f>
        <v>0</v>
      </c>
      <c r="Y271" s="485">
        <f>VLOOKUP(H271,'3-Productie normen'!$A$10:$J$24,8,FALSE)*'3-Ruimtestaat'!X271</f>
        <v>0</v>
      </c>
      <c r="Z271" s="485">
        <f>VLOOKUP(H271,'3-Productie normen'!$A$10:$J$24,9,FALSE)*'3-Ruimtestaat'!X271</f>
        <v>0</v>
      </c>
      <c r="AA271" s="485">
        <f>VLOOKUP(H271,'3-Productie normen'!$A$10:$J$24,10,FALSE)*'3-Ruimtestaat'!X271</f>
        <v>0</v>
      </c>
      <c r="AB271" s="292" t="str">
        <f>IF(H271="",0,VLOOKUP(H271,'3-Productie normen'!$A$10:$N$23,14,FALSE))</f>
        <v>B</v>
      </c>
      <c r="AD271" s="296">
        <f t="shared" si="10"/>
        <v>2970.09</v>
      </c>
      <c r="AE271" s="78"/>
      <c r="AF271" s="297"/>
      <c r="AG271" s="297"/>
      <c r="AH271" s="297"/>
      <c r="AI271" s="297"/>
      <c r="AJ271" s="297">
        <v>61</v>
      </c>
      <c r="AK271" s="298"/>
      <c r="AL271" s="298"/>
      <c r="AM271" s="298">
        <f>Q271</f>
        <v>16.23</v>
      </c>
      <c r="AN271" s="298"/>
      <c r="AO271" s="299" t="s">
        <v>475</v>
      </c>
    </row>
    <row r="272" spans="1:41" ht="15" customHeight="1">
      <c r="A272" s="254">
        <v>272</v>
      </c>
      <c r="B272" s="253">
        <v>115</v>
      </c>
      <c r="C272" s="240" t="s">
        <v>65</v>
      </c>
      <c r="D272" s="288" t="s">
        <v>66</v>
      </c>
      <c r="E272" s="289"/>
      <c r="F272" s="239" t="s">
        <v>499</v>
      </c>
      <c r="G272" s="290" t="s">
        <v>391</v>
      </c>
      <c r="H272" s="291" t="s">
        <v>155</v>
      </c>
      <c r="I272" s="239" t="s">
        <v>392</v>
      </c>
      <c r="J272" s="424">
        <f t="shared" si="9"/>
        <v>365</v>
      </c>
      <c r="K272" s="425">
        <v>102</v>
      </c>
      <c r="L272" s="425">
        <v>153</v>
      </c>
      <c r="M272" s="425"/>
      <c r="N272" s="425">
        <v>102</v>
      </c>
      <c r="O272" s="425"/>
      <c r="P272" s="425">
        <v>8</v>
      </c>
      <c r="Q272" s="294">
        <v>75.92</v>
      </c>
      <c r="R272" s="295" t="e">
        <f>IF(K272="nio",0,(K272*Q272)/X272)*VLOOKUP(C272,'2-Uren per locatie'!$B$15:$D$74,3,FALSE)</f>
        <v>#DIV/0!</v>
      </c>
      <c r="S272" s="295" t="e">
        <f>IF(K272="nio",0,(L272*Q272)/Y272)*VLOOKUP(C272,'2-Uren per locatie'!$B$15:$D$74,3,FALSE)</f>
        <v>#DIV/0!</v>
      </c>
      <c r="T272" s="295" t="e">
        <f>IF(K272="nio",0,(M272*Q272)/Z272)*VLOOKUP(C272,'2-Uren per locatie'!$B$15:$D$74,3,FALSE)</f>
        <v>#DIV/0!</v>
      </c>
      <c r="U272" s="295" t="e">
        <f>IF(K272="nio",0,(N272*Q272)/AA272)*VLOOKUP(C272,'2-Uren per locatie'!$B$15:$D$74,3,FALSE)</f>
        <v>#DIV/0!</v>
      </c>
      <c r="V272" s="295" t="e">
        <f>IF(K272="nio",0,(O272*Q272)/Z272)*VLOOKUP(C272,'2-Uren per locatie'!$B$15:$D$74,3,FALSE)</f>
        <v>#DIV/0!</v>
      </c>
      <c r="W272" s="295" t="e">
        <f>IF(K272="nio",0,(P272*Q272)/AA272)*VLOOKUP(C272,'2-Uren per locatie'!$B$15:$D$74,3,FALSE)</f>
        <v>#DIV/0!</v>
      </c>
      <c r="X272" s="485">
        <f>IF(K272="nio",0,IF(K272&gt;0,VLOOKUP(H272,'3-Productie normen'!A:F,VLOOKUP(K272,'3-Productie normen'!$B$29:$C$34,2,FALSE),FALSE)))</f>
        <v>0</v>
      </c>
      <c r="Y272" s="485">
        <f>VLOOKUP(H272,'3-Productie normen'!$A$10:$J$24,8,FALSE)*'3-Ruimtestaat'!X272</f>
        <v>0</v>
      </c>
      <c r="Z272" s="485">
        <f>VLOOKUP(H272,'3-Productie normen'!$A$10:$J$24,9,FALSE)*'3-Ruimtestaat'!X272</f>
        <v>0</v>
      </c>
      <c r="AA272" s="485">
        <f>VLOOKUP(H272,'3-Productie normen'!$A$10:$J$24,10,FALSE)*'3-Ruimtestaat'!X272</f>
        <v>0</v>
      </c>
      <c r="AB272" s="292" t="str">
        <f>IF(H272="",0,VLOOKUP(H272,'3-Productie normen'!$A$10:$N$23,14,FALSE))</f>
        <v>V</v>
      </c>
      <c r="AD272" s="296">
        <f t="shared" si="10"/>
        <v>27710.799999999999</v>
      </c>
      <c r="AE272" s="78"/>
      <c r="AF272" s="300" t="s">
        <v>393</v>
      </c>
      <c r="AG272" s="297"/>
      <c r="AH272" s="297"/>
      <c r="AI272" s="297"/>
      <c r="AJ272" s="297"/>
      <c r="AK272" s="298"/>
      <c r="AL272" s="298"/>
      <c r="AM272" s="298"/>
      <c r="AN272" s="298"/>
      <c r="AO272" s="299" t="s">
        <v>473</v>
      </c>
    </row>
    <row r="273" spans="1:41" ht="15" customHeight="1">
      <c r="A273" s="254">
        <v>273</v>
      </c>
      <c r="B273" s="253">
        <v>115</v>
      </c>
      <c r="C273" s="240" t="s">
        <v>65</v>
      </c>
      <c r="D273" s="288" t="s">
        <v>66</v>
      </c>
      <c r="E273" s="289"/>
      <c r="F273" s="239" t="s">
        <v>499</v>
      </c>
      <c r="G273" s="290" t="s">
        <v>394</v>
      </c>
      <c r="H273" s="291" t="s">
        <v>155</v>
      </c>
      <c r="I273" s="239" t="s">
        <v>392</v>
      </c>
      <c r="J273" s="424">
        <f t="shared" si="9"/>
        <v>365</v>
      </c>
      <c r="K273" s="425">
        <v>102</v>
      </c>
      <c r="L273" s="425">
        <v>153</v>
      </c>
      <c r="M273" s="425"/>
      <c r="N273" s="425">
        <v>102</v>
      </c>
      <c r="O273" s="425"/>
      <c r="P273" s="425">
        <v>8</v>
      </c>
      <c r="Q273" s="294">
        <v>62.4</v>
      </c>
      <c r="R273" s="295" t="e">
        <f>IF(K273="nio",0,(K273*Q273)/X273)*VLOOKUP(C273,'2-Uren per locatie'!$B$15:$D$74,3,FALSE)</f>
        <v>#DIV/0!</v>
      </c>
      <c r="S273" s="295" t="e">
        <f>IF(K273="nio",0,(L273*Q273)/Y273)*VLOOKUP(C273,'2-Uren per locatie'!$B$15:$D$74,3,FALSE)</f>
        <v>#DIV/0!</v>
      </c>
      <c r="T273" s="295" t="e">
        <f>IF(K273="nio",0,(M273*Q273)/Z273)*VLOOKUP(C273,'2-Uren per locatie'!$B$15:$D$74,3,FALSE)</f>
        <v>#DIV/0!</v>
      </c>
      <c r="U273" s="295" t="e">
        <f>IF(K273="nio",0,(N273*Q273)/AA273)*VLOOKUP(C273,'2-Uren per locatie'!$B$15:$D$74,3,FALSE)</f>
        <v>#DIV/0!</v>
      </c>
      <c r="V273" s="295" t="e">
        <f>IF(K273="nio",0,(O273*Q273)/Z273)*VLOOKUP(C273,'2-Uren per locatie'!$B$15:$D$74,3,FALSE)</f>
        <v>#DIV/0!</v>
      </c>
      <c r="W273" s="295" t="e">
        <f>IF(K273="nio",0,(P273*Q273)/AA273)*VLOOKUP(C273,'2-Uren per locatie'!$B$15:$D$74,3,FALSE)</f>
        <v>#DIV/0!</v>
      </c>
      <c r="X273" s="485">
        <f>IF(K273="nio",0,IF(K273&gt;0,VLOOKUP(H273,'3-Productie normen'!A:F,VLOOKUP(K273,'3-Productie normen'!$B$29:$C$34,2,FALSE),FALSE)))</f>
        <v>0</v>
      </c>
      <c r="Y273" s="485">
        <f>VLOOKUP(H273,'3-Productie normen'!$A$10:$J$24,8,FALSE)*'3-Ruimtestaat'!X273</f>
        <v>0</v>
      </c>
      <c r="Z273" s="485">
        <f>VLOOKUP(H273,'3-Productie normen'!$A$10:$J$24,9,FALSE)*'3-Ruimtestaat'!X273</f>
        <v>0</v>
      </c>
      <c r="AA273" s="485">
        <f>VLOOKUP(H273,'3-Productie normen'!$A$10:$J$24,10,FALSE)*'3-Ruimtestaat'!X273</f>
        <v>0</v>
      </c>
      <c r="AB273" s="292" t="str">
        <f>IF(H273="",0,VLOOKUP(H273,'3-Productie normen'!$A$10:$N$23,14,FALSE))</f>
        <v>V</v>
      </c>
      <c r="AD273" s="296">
        <f t="shared" si="10"/>
        <v>22776</v>
      </c>
      <c r="AE273" s="78"/>
      <c r="AF273" s="300" t="s">
        <v>393</v>
      </c>
      <c r="AG273" s="297"/>
      <c r="AH273" s="297"/>
      <c r="AI273" s="297"/>
      <c r="AJ273" s="297"/>
      <c r="AK273" s="298"/>
      <c r="AL273" s="298"/>
      <c r="AM273" s="298"/>
      <c r="AN273" s="298"/>
      <c r="AO273" s="299" t="s">
        <v>475</v>
      </c>
    </row>
    <row r="274" spans="1:41" ht="15" customHeight="1">
      <c r="A274" s="254">
        <v>274</v>
      </c>
      <c r="B274" s="253">
        <v>115</v>
      </c>
      <c r="C274" s="240" t="s">
        <v>65</v>
      </c>
      <c r="D274" s="288" t="s">
        <v>66</v>
      </c>
      <c r="E274" s="289"/>
      <c r="F274" s="239" t="s">
        <v>500</v>
      </c>
      <c r="G274" s="290" t="s">
        <v>501</v>
      </c>
      <c r="H274" s="291" t="s">
        <v>152</v>
      </c>
      <c r="I274" s="239" t="s">
        <v>265</v>
      </c>
      <c r="J274" s="424">
        <f t="shared" si="9"/>
        <v>365</v>
      </c>
      <c r="K274" s="425">
        <v>102</v>
      </c>
      <c r="L274" s="425">
        <v>153</v>
      </c>
      <c r="M274" s="425"/>
      <c r="N274" s="425">
        <v>102</v>
      </c>
      <c r="O274" s="425"/>
      <c r="P274" s="425">
        <v>8</v>
      </c>
      <c r="Q274" s="294">
        <v>33.6</v>
      </c>
      <c r="R274" s="295" t="e">
        <f>IF(K274="nio",0,(K274*Q274)/X274)*VLOOKUP(C274,'2-Uren per locatie'!$B$15:$D$74,3,FALSE)</f>
        <v>#DIV/0!</v>
      </c>
      <c r="S274" s="295" t="e">
        <f>IF(K274="nio",0,(L274*Q274)/Y274)*VLOOKUP(C274,'2-Uren per locatie'!$B$15:$D$74,3,FALSE)</f>
        <v>#DIV/0!</v>
      </c>
      <c r="T274" s="295" t="e">
        <f>IF(K274="nio",0,(M274*Q274)/Z274)*VLOOKUP(C274,'2-Uren per locatie'!$B$15:$D$74,3,FALSE)</f>
        <v>#DIV/0!</v>
      </c>
      <c r="U274" s="295" t="e">
        <f>IF(K274="nio",0,(N274*Q274)/AA274)*VLOOKUP(C274,'2-Uren per locatie'!$B$15:$D$74,3,FALSE)</f>
        <v>#DIV/0!</v>
      </c>
      <c r="V274" s="295" t="e">
        <f>IF(K274="nio",0,(O274*Q274)/Z274)*VLOOKUP(C274,'2-Uren per locatie'!$B$15:$D$74,3,FALSE)</f>
        <v>#DIV/0!</v>
      </c>
      <c r="W274" s="295" t="e">
        <f>IF(K274="nio",0,(P274*Q274)/AA274)*VLOOKUP(C274,'2-Uren per locatie'!$B$15:$D$74,3,FALSE)</f>
        <v>#DIV/0!</v>
      </c>
      <c r="X274" s="485">
        <f>IF(K274="nio",0,IF(K274&gt;0,VLOOKUP(H274,'3-Productie normen'!A:F,VLOOKUP(K274,'3-Productie normen'!$B$29:$C$34,2,FALSE),FALSE)))</f>
        <v>0</v>
      </c>
      <c r="Y274" s="485">
        <f>VLOOKUP(H274,'3-Productie normen'!$A$10:$J$24,8,FALSE)*'3-Ruimtestaat'!X274</f>
        <v>0</v>
      </c>
      <c r="Z274" s="485">
        <f>VLOOKUP(H274,'3-Productie normen'!$A$10:$J$24,9,FALSE)*'3-Ruimtestaat'!X274</f>
        <v>0</v>
      </c>
      <c r="AA274" s="485">
        <f>VLOOKUP(H274,'3-Productie normen'!$A$10:$J$24,10,FALSE)*'3-Ruimtestaat'!X274</f>
        <v>0</v>
      </c>
      <c r="AB274" s="292" t="str">
        <f>IF(H274="",0,VLOOKUP(H274,'3-Productie normen'!$A$10:$N$23,14,FALSE))</f>
        <v>V</v>
      </c>
      <c r="AD274" s="296">
        <f t="shared" si="10"/>
        <v>12264</v>
      </c>
      <c r="AE274" s="78"/>
      <c r="AF274" s="297"/>
      <c r="AG274" s="297"/>
      <c r="AH274" s="297"/>
      <c r="AI274" s="297"/>
      <c r="AJ274" s="297"/>
      <c r="AK274" s="298"/>
      <c r="AL274" s="298"/>
      <c r="AM274" s="298"/>
      <c r="AN274" s="298"/>
      <c r="AO274" s="299" t="s">
        <v>475</v>
      </c>
    </row>
    <row r="275" spans="1:41" ht="15" customHeight="1">
      <c r="A275" s="254">
        <v>275</v>
      </c>
      <c r="B275" s="253">
        <v>115</v>
      </c>
      <c r="C275" s="240" t="s">
        <v>65</v>
      </c>
      <c r="D275" s="288" t="s">
        <v>66</v>
      </c>
      <c r="E275" s="289"/>
      <c r="F275" s="239" t="s">
        <v>500</v>
      </c>
      <c r="G275" s="290" t="s">
        <v>501</v>
      </c>
      <c r="H275" s="291" t="s">
        <v>152</v>
      </c>
      <c r="I275" s="239" t="s">
        <v>265</v>
      </c>
      <c r="J275" s="424">
        <f t="shared" si="9"/>
        <v>365</v>
      </c>
      <c r="K275" s="425">
        <v>102</v>
      </c>
      <c r="L275" s="425">
        <v>153</v>
      </c>
      <c r="M275" s="425"/>
      <c r="N275" s="425">
        <v>102</v>
      </c>
      <c r="O275" s="425"/>
      <c r="P275" s="425">
        <v>8</v>
      </c>
      <c r="Q275" s="294">
        <v>33.6</v>
      </c>
      <c r="R275" s="295" t="e">
        <f>IF(K275="nio",0,(K275*Q275)/X275)*VLOOKUP(C275,'2-Uren per locatie'!$B$15:$D$74,3,FALSE)</f>
        <v>#DIV/0!</v>
      </c>
      <c r="S275" s="295" t="e">
        <f>IF(K275="nio",0,(L275*Q275)/Y275)*VLOOKUP(C275,'2-Uren per locatie'!$B$15:$D$74,3,FALSE)</f>
        <v>#DIV/0!</v>
      </c>
      <c r="T275" s="295" t="e">
        <f>IF(K275="nio",0,(M275*Q275)/Z275)*VLOOKUP(C275,'2-Uren per locatie'!$B$15:$D$74,3,FALSE)</f>
        <v>#DIV/0!</v>
      </c>
      <c r="U275" s="295" t="e">
        <f>IF(K275="nio",0,(N275*Q275)/AA275)*VLOOKUP(C275,'2-Uren per locatie'!$B$15:$D$74,3,FALSE)</f>
        <v>#DIV/0!</v>
      </c>
      <c r="V275" s="295" t="e">
        <f>IF(K275="nio",0,(O275*Q275)/Z275)*VLOOKUP(C275,'2-Uren per locatie'!$B$15:$D$74,3,FALSE)</f>
        <v>#DIV/0!</v>
      </c>
      <c r="W275" s="295" t="e">
        <f>IF(K275="nio",0,(P275*Q275)/AA275)*VLOOKUP(C275,'2-Uren per locatie'!$B$15:$D$74,3,FALSE)</f>
        <v>#DIV/0!</v>
      </c>
      <c r="X275" s="485">
        <f>IF(K275="nio",0,IF(K275&gt;0,VLOOKUP(H275,'3-Productie normen'!A:F,VLOOKUP(K275,'3-Productie normen'!$B$29:$C$34,2,FALSE),FALSE)))</f>
        <v>0</v>
      </c>
      <c r="Y275" s="485">
        <f>VLOOKUP(H275,'3-Productie normen'!$A$10:$J$24,8,FALSE)*'3-Ruimtestaat'!X275</f>
        <v>0</v>
      </c>
      <c r="Z275" s="485">
        <f>VLOOKUP(H275,'3-Productie normen'!$A$10:$J$24,9,FALSE)*'3-Ruimtestaat'!X275</f>
        <v>0</v>
      </c>
      <c r="AA275" s="485">
        <f>VLOOKUP(H275,'3-Productie normen'!$A$10:$J$24,10,FALSE)*'3-Ruimtestaat'!X275</f>
        <v>0</v>
      </c>
      <c r="AB275" s="292" t="str">
        <f>IF(H275="",0,VLOOKUP(H275,'3-Productie normen'!$A$10:$N$23,14,FALSE))</f>
        <v>V</v>
      </c>
      <c r="AD275" s="296">
        <f t="shared" si="10"/>
        <v>12264</v>
      </c>
      <c r="AE275" s="78"/>
      <c r="AF275" s="297"/>
      <c r="AG275" s="297"/>
      <c r="AH275" s="297"/>
      <c r="AI275" s="297"/>
      <c r="AJ275" s="297"/>
      <c r="AK275" s="298"/>
      <c r="AL275" s="298"/>
      <c r="AM275" s="298"/>
      <c r="AN275" s="298"/>
      <c r="AO275" s="299" t="s">
        <v>473</v>
      </c>
    </row>
    <row r="276" spans="1:41" ht="15" customHeight="1">
      <c r="A276" s="254">
        <v>276</v>
      </c>
      <c r="B276" s="253">
        <v>115</v>
      </c>
      <c r="C276" s="240" t="s">
        <v>65</v>
      </c>
      <c r="D276" s="288" t="s">
        <v>66</v>
      </c>
      <c r="E276" s="289"/>
      <c r="F276" s="239" t="s">
        <v>502</v>
      </c>
      <c r="G276" s="290" t="s">
        <v>503</v>
      </c>
      <c r="H276" s="291" t="s">
        <v>149</v>
      </c>
      <c r="I276" s="239" t="s">
        <v>245</v>
      </c>
      <c r="J276" s="424">
        <f t="shared" si="9"/>
        <v>365</v>
      </c>
      <c r="K276" s="425">
        <v>102</v>
      </c>
      <c r="L276" s="425">
        <v>153</v>
      </c>
      <c r="M276" s="425"/>
      <c r="N276" s="425">
        <v>102</v>
      </c>
      <c r="O276" s="425"/>
      <c r="P276" s="425">
        <v>8</v>
      </c>
      <c r="Q276" s="294">
        <v>2.4</v>
      </c>
      <c r="R276" s="295" t="e">
        <f>IF(K276="nio",0,(K276*Q276)/X276)*VLOOKUP(C276,'2-Uren per locatie'!$B$15:$D$74,3,FALSE)</f>
        <v>#DIV/0!</v>
      </c>
      <c r="S276" s="295" t="e">
        <f>IF(K276="nio",0,(L276*Q276)/Y276)*VLOOKUP(C276,'2-Uren per locatie'!$B$15:$D$74,3,FALSE)</f>
        <v>#DIV/0!</v>
      </c>
      <c r="T276" s="295" t="e">
        <f>IF(K276="nio",0,(M276*Q276)/Z276)*VLOOKUP(C276,'2-Uren per locatie'!$B$15:$D$74,3,FALSE)</f>
        <v>#DIV/0!</v>
      </c>
      <c r="U276" s="295" t="e">
        <f>IF(K276="nio",0,(N276*Q276)/AA276)*VLOOKUP(C276,'2-Uren per locatie'!$B$15:$D$74,3,FALSE)</f>
        <v>#DIV/0!</v>
      </c>
      <c r="V276" s="295" t="e">
        <f>IF(K276="nio",0,(O276*Q276)/Z276)*VLOOKUP(C276,'2-Uren per locatie'!$B$15:$D$74,3,FALSE)</f>
        <v>#DIV/0!</v>
      </c>
      <c r="W276" s="295" t="e">
        <f>IF(K276="nio",0,(P276*Q276)/AA276)*VLOOKUP(C276,'2-Uren per locatie'!$B$15:$D$74,3,FALSE)</f>
        <v>#DIV/0!</v>
      </c>
      <c r="X276" s="485">
        <f>IF(K276="nio",0,IF(K276&gt;0,VLOOKUP(H276,'3-Productie normen'!A:F,VLOOKUP(K276,'3-Productie normen'!$B$29:$C$34,2,FALSE),FALSE)))</f>
        <v>0</v>
      </c>
      <c r="Y276" s="485">
        <f>VLOOKUP(H276,'3-Productie normen'!$A$10:$J$24,8,FALSE)*'3-Ruimtestaat'!X276</f>
        <v>0</v>
      </c>
      <c r="Z276" s="485">
        <f>VLOOKUP(H276,'3-Productie normen'!$A$10:$J$24,9,FALSE)*'3-Ruimtestaat'!X276</f>
        <v>0</v>
      </c>
      <c r="AA276" s="485">
        <f>VLOOKUP(H276,'3-Productie normen'!$A$10:$J$24,10,FALSE)*'3-Ruimtestaat'!X276</f>
        <v>0</v>
      </c>
      <c r="AB276" s="292" t="str">
        <f>IF(H276="",0,VLOOKUP(H276,'3-Productie normen'!$A$10:$N$23,14,FALSE))</f>
        <v>V</v>
      </c>
      <c r="AD276" s="296">
        <f t="shared" si="10"/>
        <v>876</v>
      </c>
      <c r="AE276" s="78"/>
      <c r="AF276" s="297"/>
      <c r="AG276" s="297"/>
      <c r="AH276" s="297"/>
      <c r="AI276" s="297">
        <v>11.5</v>
      </c>
      <c r="AJ276" s="297">
        <v>3.5</v>
      </c>
      <c r="AK276" s="298"/>
      <c r="AL276" s="298"/>
      <c r="AM276" s="298"/>
      <c r="AN276" s="298">
        <f>Q276</f>
        <v>2.4</v>
      </c>
      <c r="AO276" s="299" t="s">
        <v>484</v>
      </c>
    </row>
    <row r="277" spans="1:41" ht="15" customHeight="1">
      <c r="A277" s="254">
        <v>277</v>
      </c>
      <c r="B277" s="253">
        <v>115</v>
      </c>
      <c r="C277" s="240" t="s">
        <v>65</v>
      </c>
      <c r="D277" s="288" t="s">
        <v>66</v>
      </c>
      <c r="E277" s="289"/>
      <c r="F277" s="239" t="s">
        <v>504</v>
      </c>
      <c r="G277" s="290" t="s">
        <v>298</v>
      </c>
      <c r="H277" s="291" t="s">
        <v>149</v>
      </c>
      <c r="I277" s="239" t="s">
        <v>245</v>
      </c>
      <c r="J277" s="424">
        <f t="shared" si="9"/>
        <v>365</v>
      </c>
      <c r="K277" s="425">
        <v>102</v>
      </c>
      <c r="L277" s="425">
        <v>153</v>
      </c>
      <c r="M277" s="425"/>
      <c r="N277" s="425">
        <v>102</v>
      </c>
      <c r="O277" s="425"/>
      <c r="P277" s="425">
        <v>8</v>
      </c>
      <c r="Q277" s="294">
        <v>2.4</v>
      </c>
      <c r="R277" s="295" t="e">
        <f>IF(K277="nio",0,(K277*Q277)/X277)*VLOOKUP(C277,'2-Uren per locatie'!$B$15:$D$74,3,FALSE)</f>
        <v>#DIV/0!</v>
      </c>
      <c r="S277" s="295" t="e">
        <f>IF(K277="nio",0,(L277*Q277)/Y277)*VLOOKUP(C277,'2-Uren per locatie'!$B$15:$D$74,3,FALSE)</f>
        <v>#DIV/0!</v>
      </c>
      <c r="T277" s="295" t="e">
        <f>IF(K277="nio",0,(M277*Q277)/Z277)*VLOOKUP(C277,'2-Uren per locatie'!$B$15:$D$74,3,FALSE)</f>
        <v>#DIV/0!</v>
      </c>
      <c r="U277" s="295" t="e">
        <f>IF(K277="nio",0,(N277*Q277)/AA277)*VLOOKUP(C277,'2-Uren per locatie'!$B$15:$D$74,3,FALSE)</f>
        <v>#DIV/0!</v>
      </c>
      <c r="V277" s="295" t="e">
        <f>IF(K277="nio",0,(O277*Q277)/Z277)*VLOOKUP(C277,'2-Uren per locatie'!$B$15:$D$74,3,FALSE)</f>
        <v>#DIV/0!</v>
      </c>
      <c r="W277" s="295" t="e">
        <f>IF(K277="nio",0,(P277*Q277)/AA277)*VLOOKUP(C277,'2-Uren per locatie'!$B$15:$D$74,3,FALSE)</f>
        <v>#DIV/0!</v>
      </c>
      <c r="X277" s="485">
        <f>IF(K277="nio",0,IF(K277&gt;0,VLOOKUP(H277,'3-Productie normen'!A:F,VLOOKUP(K277,'3-Productie normen'!$B$29:$C$34,2,FALSE),FALSE)))</f>
        <v>0</v>
      </c>
      <c r="Y277" s="485">
        <f>VLOOKUP(H277,'3-Productie normen'!$A$10:$J$24,8,FALSE)*'3-Ruimtestaat'!X277</f>
        <v>0</v>
      </c>
      <c r="Z277" s="485">
        <f>VLOOKUP(H277,'3-Productie normen'!$A$10:$J$24,9,FALSE)*'3-Ruimtestaat'!X277</f>
        <v>0</v>
      </c>
      <c r="AA277" s="485">
        <f>VLOOKUP(H277,'3-Productie normen'!$A$10:$J$24,10,FALSE)*'3-Ruimtestaat'!X277</f>
        <v>0</v>
      </c>
      <c r="AB277" s="292" t="str">
        <f>IF(H277="",0,VLOOKUP(H277,'3-Productie normen'!$A$10:$N$23,14,FALSE))</f>
        <v>V</v>
      </c>
      <c r="AD277" s="296">
        <f t="shared" si="10"/>
        <v>876</v>
      </c>
      <c r="AE277" s="78"/>
      <c r="AF277" s="297"/>
      <c r="AG277" s="297"/>
      <c r="AH277" s="297"/>
      <c r="AI277" s="297">
        <v>11.5</v>
      </c>
      <c r="AJ277" s="297">
        <v>3.5</v>
      </c>
      <c r="AK277" s="298"/>
      <c r="AL277" s="298"/>
      <c r="AM277" s="298"/>
      <c r="AN277" s="298">
        <f>Q277</f>
        <v>2.4</v>
      </c>
      <c r="AO277" s="299" t="s">
        <v>482</v>
      </c>
    </row>
    <row r="278" spans="1:41" ht="15" customHeight="1">
      <c r="A278" s="254">
        <v>278</v>
      </c>
      <c r="B278" s="253">
        <v>116</v>
      </c>
      <c r="C278" s="240" t="s">
        <v>67</v>
      </c>
      <c r="D278" s="288" t="s">
        <v>56</v>
      </c>
      <c r="E278" s="289"/>
      <c r="F278" s="239" t="s">
        <v>395</v>
      </c>
      <c r="G278" s="290" t="s">
        <v>505</v>
      </c>
      <c r="H278" s="291" t="s">
        <v>145</v>
      </c>
      <c r="I278" s="239" t="s">
        <v>203</v>
      </c>
      <c r="J278" s="424">
        <f t="shared" si="9"/>
        <v>365</v>
      </c>
      <c r="K278" s="425">
        <v>102</v>
      </c>
      <c r="L278" s="425">
        <v>153</v>
      </c>
      <c r="M278" s="425"/>
      <c r="N278" s="425">
        <v>102</v>
      </c>
      <c r="O278" s="425"/>
      <c r="P278" s="425">
        <v>8</v>
      </c>
      <c r="Q278" s="294">
        <v>140</v>
      </c>
      <c r="R278" s="295" t="e">
        <f>IF(K278="nio",0,(K278*Q278)/X278)*VLOOKUP(C278,'2-Uren per locatie'!$B$15:$D$74,3,FALSE)</f>
        <v>#DIV/0!</v>
      </c>
      <c r="S278" s="295" t="e">
        <f>IF(K278="nio",0,(L278*Q278)/Y278)*VLOOKUP(C278,'2-Uren per locatie'!$B$15:$D$74,3,FALSE)</f>
        <v>#DIV/0!</v>
      </c>
      <c r="T278" s="295" t="e">
        <f>IF(K278="nio",0,(M278*Q278)/Z278)*VLOOKUP(C278,'2-Uren per locatie'!$B$15:$D$74,3,FALSE)</f>
        <v>#DIV/0!</v>
      </c>
      <c r="U278" s="295" t="e">
        <f>IF(K278="nio",0,(N278*Q278)/AA278)*VLOOKUP(C278,'2-Uren per locatie'!$B$15:$D$74,3,FALSE)</f>
        <v>#DIV/0!</v>
      </c>
      <c r="V278" s="295" t="e">
        <f>IF(K278="nio",0,(O278*Q278)/Z278)*VLOOKUP(C278,'2-Uren per locatie'!$B$15:$D$74,3,FALSE)</f>
        <v>#DIV/0!</v>
      </c>
      <c r="W278" s="295" t="e">
        <f>IF(K278="nio",0,(P278*Q278)/AA278)*VLOOKUP(C278,'2-Uren per locatie'!$B$15:$D$74,3,FALSE)</f>
        <v>#DIV/0!</v>
      </c>
      <c r="X278" s="485">
        <f>IF(K278="nio",0,IF(K278&gt;0,VLOOKUP(H278,'3-Productie normen'!A:F,VLOOKUP(K278,'3-Productie normen'!$B$29:$C$34,2,FALSE),FALSE)))</f>
        <v>0</v>
      </c>
      <c r="Y278" s="485">
        <f>VLOOKUP(H278,'3-Productie normen'!$A$10:$J$24,8,FALSE)*'3-Ruimtestaat'!X278</f>
        <v>0</v>
      </c>
      <c r="Z278" s="485">
        <f>VLOOKUP(H278,'3-Productie normen'!$A$10:$J$24,9,FALSE)*'3-Ruimtestaat'!X278</f>
        <v>0</v>
      </c>
      <c r="AA278" s="485">
        <f>VLOOKUP(H278,'3-Productie normen'!$A$10:$J$24,10,FALSE)*'3-Ruimtestaat'!X278</f>
        <v>0</v>
      </c>
      <c r="AB278" s="292" t="str">
        <f>IF(H278="",0,VLOOKUP(H278,'3-Productie normen'!$A$10:$N$23,14,FALSE))</f>
        <v>V</v>
      </c>
      <c r="AD278" s="296">
        <f t="shared" si="10"/>
        <v>51100</v>
      </c>
      <c r="AE278" s="78"/>
      <c r="AF278" s="297"/>
      <c r="AG278" s="297">
        <v>395</v>
      </c>
      <c r="AH278" s="297"/>
      <c r="AI278" s="297"/>
      <c r="AJ278" s="297"/>
      <c r="AK278" s="298"/>
      <c r="AL278" s="298"/>
      <c r="AM278" s="298">
        <f>Q278</f>
        <v>140</v>
      </c>
      <c r="AN278" s="298"/>
      <c r="AO278" s="299"/>
    </row>
    <row r="279" spans="1:41" ht="15" customHeight="1">
      <c r="A279" s="254">
        <v>279</v>
      </c>
      <c r="B279" s="253">
        <v>116</v>
      </c>
      <c r="C279" s="240" t="s">
        <v>67</v>
      </c>
      <c r="D279" s="288" t="s">
        <v>56</v>
      </c>
      <c r="E279" s="289"/>
      <c r="F279" s="239" t="s">
        <v>390</v>
      </c>
      <c r="G279" s="290" t="s">
        <v>506</v>
      </c>
      <c r="H279" s="291" t="s">
        <v>155</v>
      </c>
      <c r="I279" s="239" t="s">
        <v>392</v>
      </c>
      <c r="J279" s="424">
        <f t="shared" si="9"/>
        <v>365</v>
      </c>
      <c r="K279" s="425">
        <v>102</v>
      </c>
      <c r="L279" s="425">
        <v>153</v>
      </c>
      <c r="M279" s="425"/>
      <c r="N279" s="425">
        <v>102</v>
      </c>
      <c r="O279" s="425"/>
      <c r="P279" s="425">
        <v>8</v>
      </c>
      <c r="Q279" s="294">
        <v>7</v>
      </c>
      <c r="R279" s="295" t="e">
        <f>IF(K279="nio",0,(K279*Q279)/X279)*VLOOKUP(C279,'2-Uren per locatie'!$B$15:$D$74,3,FALSE)</f>
        <v>#DIV/0!</v>
      </c>
      <c r="S279" s="295" t="e">
        <f>IF(K279="nio",0,(L279*Q279)/Y279)*VLOOKUP(C279,'2-Uren per locatie'!$B$15:$D$74,3,FALSE)</f>
        <v>#DIV/0!</v>
      </c>
      <c r="T279" s="295" t="e">
        <f>IF(K279="nio",0,(M279*Q279)/Z279)*VLOOKUP(C279,'2-Uren per locatie'!$B$15:$D$74,3,FALSE)</f>
        <v>#DIV/0!</v>
      </c>
      <c r="U279" s="295" t="e">
        <f>IF(K279="nio",0,(N279*Q279)/AA279)*VLOOKUP(C279,'2-Uren per locatie'!$B$15:$D$74,3,FALSE)</f>
        <v>#DIV/0!</v>
      </c>
      <c r="V279" s="295" t="e">
        <f>IF(K279="nio",0,(O279*Q279)/Z279)*VLOOKUP(C279,'2-Uren per locatie'!$B$15:$D$74,3,FALSE)</f>
        <v>#DIV/0!</v>
      </c>
      <c r="W279" s="295" t="e">
        <f>IF(K279="nio",0,(P279*Q279)/AA279)*VLOOKUP(C279,'2-Uren per locatie'!$B$15:$D$74,3,FALSE)</f>
        <v>#DIV/0!</v>
      </c>
      <c r="X279" s="485">
        <f>IF(K279="nio",0,IF(K279&gt;0,VLOOKUP(H279,'3-Productie normen'!A:F,VLOOKUP(K279,'3-Productie normen'!$B$29:$C$34,2,FALSE),FALSE)))</f>
        <v>0</v>
      </c>
      <c r="Y279" s="485">
        <f>VLOOKUP(H279,'3-Productie normen'!$A$10:$J$24,8,FALSE)*'3-Ruimtestaat'!X279</f>
        <v>0</v>
      </c>
      <c r="Z279" s="485">
        <f>VLOOKUP(H279,'3-Productie normen'!$A$10:$J$24,9,FALSE)*'3-Ruimtestaat'!X279</f>
        <v>0</v>
      </c>
      <c r="AA279" s="485">
        <f>VLOOKUP(H279,'3-Productie normen'!$A$10:$J$24,10,FALSE)*'3-Ruimtestaat'!X279</f>
        <v>0</v>
      </c>
      <c r="AB279" s="292" t="str">
        <f>IF(H279="",0,VLOOKUP(H279,'3-Productie normen'!$A$10:$N$23,14,FALSE))</f>
        <v>V</v>
      </c>
      <c r="AD279" s="296">
        <f t="shared" si="10"/>
        <v>2555</v>
      </c>
      <c r="AE279" s="78"/>
      <c r="AF279" s="300" t="s">
        <v>507</v>
      </c>
      <c r="AG279" s="297"/>
      <c r="AH279" s="297"/>
      <c r="AI279" s="297"/>
      <c r="AJ279" s="297"/>
      <c r="AK279" s="298"/>
      <c r="AL279" s="298"/>
      <c r="AM279" s="298">
        <f>Q279</f>
        <v>7</v>
      </c>
      <c r="AN279" s="298"/>
      <c r="AO279" s="299"/>
    </row>
    <row r="280" spans="1:41" ht="15" customHeight="1">
      <c r="A280" s="254">
        <v>280</v>
      </c>
      <c r="B280" s="253">
        <v>116</v>
      </c>
      <c r="C280" s="240" t="s">
        <v>67</v>
      </c>
      <c r="D280" s="288" t="s">
        <v>56</v>
      </c>
      <c r="E280" s="289"/>
      <c r="F280" s="239" t="s">
        <v>508</v>
      </c>
      <c r="G280" s="290" t="s">
        <v>509</v>
      </c>
      <c r="H280" s="291" t="s">
        <v>153</v>
      </c>
      <c r="I280" s="239" t="s">
        <v>299</v>
      </c>
      <c r="J280" s="424">
        <f t="shared" si="9"/>
        <v>365</v>
      </c>
      <c r="K280" s="425">
        <v>255</v>
      </c>
      <c r="L280" s="425"/>
      <c r="M280" s="425">
        <v>102</v>
      </c>
      <c r="N280" s="425"/>
      <c r="O280" s="425">
        <v>8</v>
      </c>
      <c r="P280" s="425"/>
      <c r="Q280" s="294">
        <v>3</v>
      </c>
      <c r="R280" s="295" t="e">
        <f>IF(K280="nio",0,(K280*Q280)/X280)*VLOOKUP(C280,'2-Uren per locatie'!$B$15:$D$74,3,FALSE)</f>
        <v>#DIV/0!</v>
      </c>
      <c r="S280" s="295" t="e">
        <f>IF(K280="nio",0,(L280*Q280)/Y280)*VLOOKUP(C280,'2-Uren per locatie'!$B$15:$D$74,3,FALSE)</f>
        <v>#DIV/0!</v>
      </c>
      <c r="T280" s="295" t="e">
        <f>IF(K280="nio",0,(M280*Q280)/Z280)*VLOOKUP(C280,'2-Uren per locatie'!$B$15:$D$74,3,FALSE)</f>
        <v>#DIV/0!</v>
      </c>
      <c r="U280" s="295" t="e">
        <f>IF(K280="nio",0,(N280*Q280)/AA280)*VLOOKUP(C280,'2-Uren per locatie'!$B$15:$D$74,3,FALSE)</f>
        <v>#DIV/0!</v>
      </c>
      <c r="V280" s="295" t="e">
        <f>IF(K280="nio",0,(O280*Q280)/Z280)*VLOOKUP(C280,'2-Uren per locatie'!$B$15:$D$74,3,FALSE)</f>
        <v>#DIV/0!</v>
      </c>
      <c r="W280" s="295" t="e">
        <f>IF(K280="nio",0,(P280*Q280)/AA280)*VLOOKUP(C280,'2-Uren per locatie'!$B$15:$D$74,3,FALSE)</f>
        <v>#DIV/0!</v>
      </c>
      <c r="X280" s="485">
        <f>IF(K280="nio",0,IF(K280&gt;0,VLOOKUP(H280,'3-Productie normen'!A:F,VLOOKUP(K280,'3-Productie normen'!$B$29:$C$34,2,FALSE),FALSE)))</f>
        <v>0</v>
      </c>
      <c r="Y280" s="485">
        <f>VLOOKUP(H280,'3-Productie normen'!$A$10:$J$24,8,FALSE)*'3-Ruimtestaat'!X280</f>
        <v>0</v>
      </c>
      <c r="Z280" s="485">
        <f>VLOOKUP(H280,'3-Productie normen'!$A$10:$J$24,9,FALSE)*'3-Ruimtestaat'!X280</f>
        <v>0</v>
      </c>
      <c r="AA280" s="485">
        <f>VLOOKUP(H280,'3-Productie normen'!$A$10:$J$24,10,FALSE)*'3-Ruimtestaat'!X280</f>
        <v>0</v>
      </c>
      <c r="AB280" s="292" t="str">
        <f>IF(H280="",0,VLOOKUP(H280,'3-Productie normen'!$A$10:$N$23,14,FALSE))</f>
        <v>S</v>
      </c>
      <c r="AD280" s="296">
        <f t="shared" si="10"/>
        <v>1095</v>
      </c>
      <c r="AE280" s="78"/>
      <c r="AF280" s="297">
        <v>18</v>
      </c>
      <c r="AG280" s="297"/>
      <c r="AH280" s="297"/>
      <c r="AI280" s="297"/>
      <c r="AJ280" s="297"/>
      <c r="AK280" s="298"/>
      <c r="AL280" s="298"/>
      <c r="AM280" s="298"/>
      <c r="AN280" s="298">
        <f>Q280</f>
        <v>3</v>
      </c>
      <c r="AO280" s="299"/>
    </row>
    <row r="281" spans="1:41" ht="15" customHeight="1">
      <c r="A281" s="254">
        <v>281</v>
      </c>
      <c r="B281" s="253">
        <v>116</v>
      </c>
      <c r="C281" s="240" t="s">
        <v>67</v>
      </c>
      <c r="D281" s="288" t="s">
        <v>56</v>
      </c>
      <c r="E281" s="289"/>
      <c r="F281" s="239" t="s">
        <v>510</v>
      </c>
      <c r="G281" s="290" t="s">
        <v>511</v>
      </c>
      <c r="H281" s="291" t="s">
        <v>153</v>
      </c>
      <c r="I281" s="239" t="s">
        <v>299</v>
      </c>
      <c r="J281" s="424">
        <f t="shared" si="9"/>
        <v>365</v>
      </c>
      <c r="K281" s="425">
        <v>255</v>
      </c>
      <c r="L281" s="425"/>
      <c r="M281" s="425">
        <v>102</v>
      </c>
      <c r="N281" s="425"/>
      <c r="O281" s="425">
        <v>8</v>
      </c>
      <c r="P281" s="425"/>
      <c r="Q281" s="294">
        <v>3</v>
      </c>
      <c r="R281" s="295" t="e">
        <f>IF(K281="nio",0,(K281*Q281)/X281)*VLOOKUP(C281,'2-Uren per locatie'!$B$15:$D$74,3,FALSE)</f>
        <v>#DIV/0!</v>
      </c>
      <c r="S281" s="295" t="e">
        <f>IF(K281="nio",0,(L281*Q281)/Y281)*VLOOKUP(C281,'2-Uren per locatie'!$B$15:$D$74,3,FALSE)</f>
        <v>#DIV/0!</v>
      </c>
      <c r="T281" s="295" t="e">
        <f>IF(K281="nio",0,(M281*Q281)/Z281)*VLOOKUP(C281,'2-Uren per locatie'!$B$15:$D$74,3,FALSE)</f>
        <v>#DIV/0!</v>
      </c>
      <c r="U281" s="295" t="e">
        <f>IF(K281="nio",0,(N281*Q281)/AA281)*VLOOKUP(C281,'2-Uren per locatie'!$B$15:$D$74,3,FALSE)</f>
        <v>#DIV/0!</v>
      </c>
      <c r="V281" s="295" t="e">
        <f>IF(K281="nio",0,(O281*Q281)/Z281)*VLOOKUP(C281,'2-Uren per locatie'!$B$15:$D$74,3,FALSE)</f>
        <v>#DIV/0!</v>
      </c>
      <c r="W281" s="295" t="e">
        <f>IF(K281="nio",0,(P281*Q281)/AA281)*VLOOKUP(C281,'2-Uren per locatie'!$B$15:$D$74,3,FALSE)</f>
        <v>#DIV/0!</v>
      </c>
      <c r="X281" s="485">
        <f>IF(K281="nio",0,IF(K281&gt;0,VLOOKUP(H281,'3-Productie normen'!A:F,VLOOKUP(K281,'3-Productie normen'!$B$29:$C$34,2,FALSE),FALSE)))</f>
        <v>0</v>
      </c>
      <c r="Y281" s="485">
        <f>VLOOKUP(H281,'3-Productie normen'!$A$10:$J$24,8,FALSE)*'3-Ruimtestaat'!X281</f>
        <v>0</v>
      </c>
      <c r="Z281" s="485">
        <f>VLOOKUP(H281,'3-Productie normen'!$A$10:$J$24,9,FALSE)*'3-Ruimtestaat'!X281</f>
        <v>0</v>
      </c>
      <c r="AA281" s="485">
        <f>VLOOKUP(H281,'3-Productie normen'!$A$10:$J$24,10,FALSE)*'3-Ruimtestaat'!X281</f>
        <v>0</v>
      </c>
      <c r="AB281" s="292" t="str">
        <f>IF(H281="",0,VLOOKUP(H281,'3-Productie normen'!$A$10:$N$23,14,FALSE))</f>
        <v>S</v>
      </c>
      <c r="AD281" s="296">
        <f t="shared" si="10"/>
        <v>1095</v>
      </c>
      <c r="AE281" s="78"/>
      <c r="AF281" s="297">
        <v>18</v>
      </c>
      <c r="AG281" s="297"/>
      <c r="AH281" s="297"/>
      <c r="AI281" s="297"/>
      <c r="AJ281" s="297"/>
      <c r="AK281" s="298"/>
      <c r="AL281" s="298"/>
      <c r="AM281" s="298"/>
      <c r="AN281" s="298">
        <f>Q281</f>
        <v>3</v>
      </c>
      <c r="AO281" s="299"/>
    </row>
    <row r="282" spans="1:41" ht="15" customHeight="1">
      <c r="A282" s="254">
        <v>282</v>
      </c>
      <c r="B282" s="253">
        <v>116</v>
      </c>
      <c r="C282" s="240" t="s">
        <v>67</v>
      </c>
      <c r="D282" s="288" t="s">
        <v>56</v>
      </c>
      <c r="E282" s="289"/>
      <c r="F282" s="239" t="s">
        <v>376</v>
      </c>
      <c r="G282" s="290" t="s">
        <v>512</v>
      </c>
      <c r="H282" s="291" t="s">
        <v>149</v>
      </c>
      <c r="I282" s="239" t="s">
        <v>245</v>
      </c>
      <c r="J282" s="424">
        <f t="shared" si="9"/>
        <v>365</v>
      </c>
      <c r="K282" s="425">
        <v>102</v>
      </c>
      <c r="L282" s="425">
        <v>153</v>
      </c>
      <c r="M282" s="425"/>
      <c r="N282" s="425">
        <v>102</v>
      </c>
      <c r="O282" s="425"/>
      <c r="P282" s="425">
        <v>8</v>
      </c>
      <c r="Q282" s="294">
        <v>4</v>
      </c>
      <c r="R282" s="295" t="e">
        <f>IF(K282="nio",0,(K282*Q282)/X282)*VLOOKUP(C282,'2-Uren per locatie'!$B$15:$D$74,3,FALSE)</f>
        <v>#DIV/0!</v>
      </c>
      <c r="S282" s="295" t="e">
        <f>IF(K282="nio",0,(L282*Q282)/Y282)*VLOOKUP(C282,'2-Uren per locatie'!$B$15:$D$74,3,FALSE)</f>
        <v>#DIV/0!</v>
      </c>
      <c r="T282" s="295" t="e">
        <f>IF(K282="nio",0,(M282*Q282)/Z282)*VLOOKUP(C282,'2-Uren per locatie'!$B$15:$D$74,3,FALSE)</f>
        <v>#DIV/0!</v>
      </c>
      <c r="U282" s="295" t="e">
        <f>IF(K282="nio",0,(N282*Q282)/AA282)*VLOOKUP(C282,'2-Uren per locatie'!$B$15:$D$74,3,FALSE)</f>
        <v>#DIV/0!</v>
      </c>
      <c r="V282" s="295" t="e">
        <f>IF(K282="nio",0,(O282*Q282)/Z282)*VLOOKUP(C282,'2-Uren per locatie'!$B$15:$D$74,3,FALSE)</f>
        <v>#DIV/0!</v>
      </c>
      <c r="W282" s="295" t="e">
        <f>IF(K282="nio",0,(P282*Q282)/AA282)*VLOOKUP(C282,'2-Uren per locatie'!$B$15:$D$74,3,FALSE)</f>
        <v>#DIV/0!</v>
      </c>
      <c r="X282" s="485">
        <f>IF(K282="nio",0,IF(K282&gt;0,VLOOKUP(H282,'3-Productie normen'!A:F,VLOOKUP(K282,'3-Productie normen'!$B$29:$C$34,2,FALSE),FALSE)))</f>
        <v>0</v>
      </c>
      <c r="Y282" s="485">
        <f>VLOOKUP(H282,'3-Productie normen'!$A$10:$J$24,8,FALSE)*'3-Ruimtestaat'!X282</f>
        <v>0</v>
      </c>
      <c r="Z282" s="485">
        <f>VLOOKUP(H282,'3-Productie normen'!$A$10:$J$24,9,FALSE)*'3-Ruimtestaat'!X282</f>
        <v>0</v>
      </c>
      <c r="AA282" s="485">
        <f>VLOOKUP(H282,'3-Productie normen'!$A$10:$J$24,10,FALSE)*'3-Ruimtestaat'!X282</f>
        <v>0</v>
      </c>
      <c r="AB282" s="292" t="str">
        <f>IF(H282="",0,VLOOKUP(H282,'3-Productie normen'!$A$10:$N$23,14,FALSE))</f>
        <v>V</v>
      </c>
      <c r="AD282" s="296">
        <f t="shared" si="10"/>
        <v>1460</v>
      </c>
      <c r="AE282" s="78"/>
      <c r="AF282" s="297"/>
      <c r="AG282" s="297"/>
      <c r="AH282" s="297"/>
      <c r="AI282" s="297">
        <v>15</v>
      </c>
      <c r="AJ282" s="297"/>
      <c r="AK282" s="298"/>
      <c r="AL282" s="298"/>
      <c r="AM282" s="298"/>
      <c r="AN282" s="298">
        <f>Q282</f>
        <v>4</v>
      </c>
      <c r="AO282" s="299"/>
    </row>
    <row r="283" spans="1:41" ht="15" customHeight="1">
      <c r="A283" s="254">
        <v>283</v>
      </c>
      <c r="B283" s="253">
        <v>116</v>
      </c>
      <c r="C283" s="240" t="s">
        <v>67</v>
      </c>
      <c r="D283" s="288" t="s">
        <v>56</v>
      </c>
      <c r="E283" s="289"/>
      <c r="F283" s="239" t="s">
        <v>450</v>
      </c>
      <c r="G283" s="290" t="s">
        <v>513</v>
      </c>
      <c r="H283" s="291" t="s">
        <v>146</v>
      </c>
      <c r="I283" s="239" t="s">
        <v>420</v>
      </c>
      <c r="J283" s="424">
        <f t="shared" si="9"/>
        <v>183</v>
      </c>
      <c r="K283" s="425">
        <v>127</v>
      </c>
      <c r="L283" s="425"/>
      <c r="M283" s="425">
        <v>52</v>
      </c>
      <c r="N283" s="425"/>
      <c r="O283" s="425">
        <v>4</v>
      </c>
      <c r="P283" s="425"/>
      <c r="Q283" s="294">
        <v>18</v>
      </c>
      <c r="R283" s="295" t="e">
        <f>IF(K283="nio",0,(K283*Q283)/X283)*VLOOKUP(C283,'2-Uren per locatie'!$B$15:$D$74,3,FALSE)</f>
        <v>#DIV/0!</v>
      </c>
      <c r="S283" s="295" t="e">
        <f>IF(K283="nio",0,(L283*Q283)/Y283)*VLOOKUP(C283,'2-Uren per locatie'!$B$15:$D$74,3,FALSE)</f>
        <v>#DIV/0!</v>
      </c>
      <c r="T283" s="295" t="e">
        <f>IF(K283="nio",0,(M283*Q283)/Z283)*VLOOKUP(C283,'2-Uren per locatie'!$B$15:$D$74,3,FALSE)</f>
        <v>#DIV/0!</v>
      </c>
      <c r="U283" s="295" t="e">
        <f>IF(K283="nio",0,(N283*Q283)/AA283)*VLOOKUP(C283,'2-Uren per locatie'!$B$15:$D$74,3,FALSE)</f>
        <v>#DIV/0!</v>
      </c>
      <c r="V283" s="295" t="e">
        <f>IF(K283="nio",0,(O283*Q283)/Z283)*VLOOKUP(C283,'2-Uren per locatie'!$B$15:$D$74,3,FALSE)</f>
        <v>#DIV/0!</v>
      </c>
      <c r="W283" s="295" t="e">
        <f>IF(K283="nio",0,(P283*Q283)/AA283)*VLOOKUP(C283,'2-Uren per locatie'!$B$15:$D$74,3,FALSE)</f>
        <v>#DIV/0!</v>
      </c>
      <c r="X283" s="485">
        <f>IF(K283="nio",0,IF(K283&gt;0,VLOOKUP(H283,'3-Productie normen'!A:F,VLOOKUP(K283,'3-Productie normen'!$B$29:$C$34,2,FALSE),FALSE)))</f>
        <v>0</v>
      </c>
      <c r="Y283" s="485">
        <f>VLOOKUP(H283,'3-Productie normen'!$A$10:$J$24,8,FALSE)*'3-Ruimtestaat'!X283</f>
        <v>0</v>
      </c>
      <c r="Z283" s="485">
        <f>VLOOKUP(H283,'3-Productie normen'!$A$10:$J$24,9,FALSE)*'3-Ruimtestaat'!X283</f>
        <v>0</v>
      </c>
      <c r="AA283" s="485">
        <f>VLOOKUP(H283,'3-Productie normen'!$A$10:$J$24,10,FALSE)*'3-Ruimtestaat'!X283</f>
        <v>0</v>
      </c>
      <c r="AB283" s="292" t="str">
        <f>IF(H283="",0,VLOOKUP(H283,'3-Productie normen'!$A$10:$N$23,14,FALSE))</f>
        <v>B</v>
      </c>
      <c r="AD283" s="296">
        <f t="shared" si="10"/>
        <v>3294</v>
      </c>
      <c r="AE283" s="78"/>
      <c r="AF283" s="297"/>
      <c r="AG283" s="297">
        <v>58</v>
      </c>
      <c r="AH283" s="297"/>
      <c r="AI283" s="297"/>
      <c r="AJ283" s="297"/>
      <c r="AK283" s="298"/>
      <c r="AL283" s="298"/>
      <c r="AM283" s="298">
        <f>Q283</f>
        <v>18</v>
      </c>
      <c r="AN283" s="298"/>
      <c r="AO283" s="299"/>
    </row>
    <row r="284" spans="1:41" ht="15" customHeight="1">
      <c r="A284" s="254">
        <v>284</v>
      </c>
      <c r="B284" s="253">
        <v>116</v>
      </c>
      <c r="C284" s="240" t="s">
        <v>67</v>
      </c>
      <c r="D284" s="288" t="s">
        <v>56</v>
      </c>
      <c r="E284" s="289"/>
      <c r="F284" s="239" t="s">
        <v>514</v>
      </c>
      <c r="G284" s="290" t="s">
        <v>515</v>
      </c>
      <c r="H284" s="291" t="s">
        <v>155</v>
      </c>
      <c r="I284" s="239" t="s">
        <v>203</v>
      </c>
      <c r="J284" s="424">
        <f t="shared" si="9"/>
        <v>365</v>
      </c>
      <c r="K284" s="425">
        <v>102</v>
      </c>
      <c r="L284" s="425">
        <v>153</v>
      </c>
      <c r="M284" s="425"/>
      <c r="N284" s="425">
        <v>102</v>
      </c>
      <c r="O284" s="425"/>
      <c r="P284" s="425">
        <v>8</v>
      </c>
      <c r="Q284" s="294">
        <v>26</v>
      </c>
      <c r="R284" s="295" t="e">
        <f>IF(K284="nio",0,(K284*Q284)/X284)*VLOOKUP(C284,'2-Uren per locatie'!$B$15:$D$74,3,FALSE)</f>
        <v>#DIV/0!</v>
      </c>
      <c r="S284" s="295" t="e">
        <f>IF(K284="nio",0,(L284*Q284)/Y284)*VLOOKUP(C284,'2-Uren per locatie'!$B$15:$D$74,3,FALSE)</f>
        <v>#DIV/0!</v>
      </c>
      <c r="T284" s="295" t="e">
        <f>IF(K284="nio",0,(M284*Q284)/Z284)*VLOOKUP(C284,'2-Uren per locatie'!$B$15:$D$74,3,FALSE)</f>
        <v>#DIV/0!</v>
      </c>
      <c r="U284" s="295" t="e">
        <f>IF(K284="nio",0,(N284*Q284)/AA284)*VLOOKUP(C284,'2-Uren per locatie'!$B$15:$D$74,3,FALSE)</f>
        <v>#DIV/0!</v>
      </c>
      <c r="V284" s="295" t="e">
        <f>IF(K284="nio",0,(O284*Q284)/Z284)*VLOOKUP(C284,'2-Uren per locatie'!$B$15:$D$74,3,FALSE)</f>
        <v>#DIV/0!</v>
      </c>
      <c r="W284" s="295" t="e">
        <f>IF(K284="nio",0,(P284*Q284)/AA284)*VLOOKUP(C284,'2-Uren per locatie'!$B$15:$D$74,3,FALSE)</f>
        <v>#DIV/0!</v>
      </c>
      <c r="X284" s="485">
        <f>IF(K284="nio",0,IF(K284&gt;0,VLOOKUP(H284,'3-Productie normen'!A:F,VLOOKUP(K284,'3-Productie normen'!$B$29:$C$34,2,FALSE),FALSE)))</f>
        <v>0</v>
      </c>
      <c r="Y284" s="485">
        <f>VLOOKUP(H284,'3-Productie normen'!$A$10:$J$24,8,FALSE)*'3-Ruimtestaat'!X284</f>
        <v>0</v>
      </c>
      <c r="Z284" s="485">
        <f>VLOOKUP(H284,'3-Productie normen'!$A$10:$J$24,9,FALSE)*'3-Ruimtestaat'!X284</f>
        <v>0</v>
      </c>
      <c r="AA284" s="485">
        <f>VLOOKUP(H284,'3-Productie normen'!$A$10:$J$24,10,FALSE)*'3-Ruimtestaat'!X284</f>
        <v>0</v>
      </c>
      <c r="AB284" s="292" t="str">
        <f>IF(H284="",0,VLOOKUP(H284,'3-Productie normen'!$A$10:$N$23,14,FALSE))</f>
        <v>V</v>
      </c>
      <c r="AD284" s="296">
        <f t="shared" si="10"/>
        <v>9490</v>
      </c>
      <c r="AE284" s="78"/>
      <c r="AF284" s="300" t="s">
        <v>507</v>
      </c>
      <c r="AG284" s="297"/>
      <c r="AH284" s="297"/>
      <c r="AI284" s="297"/>
      <c r="AJ284" s="297"/>
      <c r="AK284" s="298"/>
      <c r="AL284" s="298"/>
      <c r="AM284" s="298">
        <f>Q284</f>
        <v>26</v>
      </c>
      <c r="AN284" s="298"/>
      <c r="AO284" s="299"/>
    </row>
    <row r="285" spans="1:41" ht="15" customHeight="1">
      <c r="A285" s="254">
        <v>285</v>
      </c>
      <c r="B285" s="253">
        <v>116</v>
      </c>
      <c r="C285" s="240" t="s">
        <v>67</v>
      </c>
      <c r="D285" s="288" t="s">
        <v>56</v>
      </c>
      <c r="E285" s="289"/>
      <c r="F285" s="239" t="s">
        <v>249</v>
      </c>
      <c r="G285" s="290" t="s">
        <v>516</v>
      </c>
      <c r="H285" s="291" t="s">
        <v>151</v>
      </c>
      <c r="I285" s="239" t="s">
        <v>434</v>
      </c>
      <c r="J285" s="424">
        <f t="shared" si="9"/>
        <v>365</v>
      </c>
      <c r="K285" s="425">
        <v>102</v>
      </c>
      <c r="L285" s="425">
        <v>153</v>
      </c>
      <c r="M285" s="425"/>
      <c r="N285" s="425">
        <v>102</v>
      </c>
      <c r="O285" s="425"/>
      <c r="P285" s="425">
        <v>8</v>
      </c>
      <c r="Q285" s="294">
        <v>1648</v>
      </c>
      <c r="R285" s="295" t="e">
        <f>IF(K285="nio",0,(K285*Q285)/X285)*VLOOKUP(C285,'2-Uren per locatie'!$B$15:$D$74,3,FALSE)</f>
        <v>#DIV/0!</v>
      </c>
      <c r="S285" s="295" t="e">
        <f>IF(K285="nio",0,(L285*Q285)/Y285)*VLOOKUP(C285,'2-Uren per locatie'!$B$15:$D$74,3,FALSE)</f>
        <v>#DIV/0!</v>
      </c>
      <c r="T285" s="295" t="e">
        <f>IF(K285="nio",0,(M285*Q285)/Z285)*VLOOKUP(C285,'2-Uren per locatie'!$B$15:$D$74,3,FALSE)</f>
        <v>#DIV/0!</v>
      </c>
      <c r="U285" s="295" t="e">
        <f>IF(K285="nio",0,(N285*Q285)/AA285)*VLOOKUP(C285,'2-Uren per locatie'!$B$15:$D$74,3,FALSE)</f>
        <v>#DIV/0!</v>
      </c>
      <c r="V285" s="295" t="e">
        <f>IF(K285="nio",0,(O285*Q285)/Z285)*VLOOKUP(C285,'2-Uren per locatie'!$B$15:$D$74,3,FALSE)</f>
        <v>#DIV/0!</v>
      </c>
      <c r="W285" s="295" t="e">
        <f>IF(K285="nio",0,(P285*Q285)/AA285)*VLOOKUP(C285,'2-Uren per locatie'!$B$15:$D$74,3,FALSE)</f>
        <v>#DIV/0!</v>
      </c>
      <c r="X285" s="485">
        <f>IF(K285="nio",0,IF(K285&gt;0,VLOOKUP(H285,'3-Productie normen'!A:F,VLOOKUP(K285,'3-Productie normen'!$B$29:$C$34,2,FALSE),FALSE)))</f>
        <v>0</v>
      </c>
      <c r="Y285" s="485">
        <f>VLOOKUP(H285,'3-Productie normen'!$A$10:$J$24,8,FALSE)*'3-Ruimtestaat'!X285</f>
        <v>0</v>
      </c>
      <c r="Z285" s="485">
        <f>VLOOKUP(H285,'3-Productie normen'!$A$10:$J$24,9,FALSE)*'3-Ruimtestaat'!X285</f>
        <v>0</v>
      </c>
      <c r="AA285" s="485">
        <f>VLOOKUP(H285,'3-Productie normen'!$A$10:$J$24,10,FALSE)*'3-Ruimtestaat'!X285</f>
        <v>0</v>
      </c>
      <c r="AB285" s="292" t="str">
        <f>IF(H285="",0,VLOOKUP(H285,'3-Productie normen'!$A$10:$N$23,14,FALSE))</f>
        <v>V</v>
      </c>
      <c r="AD285" s="296">
        <f t="shared" si="10"/>
        <v>601520</v>
      </c>
      <c r="AE285" s="78"/>
      <c r="AF285" s="297"/>
      <c r="AG285" s="297">
        <v>76</v>
      </c>
      <c r="AH285" s="297"/>
      <c r="AI285" s="297"/>
      <c r="AJ285" s="297"/>
      <c r="AK285" s="298">
        <v>1184</v>
      </c>
      <c r="AL285" s="298"/>
      <c r="AM285" s="298"/>
      <c r="AN285" s="298"/>
      <c r="AO285" s="299"/>
    </row>
    <row r="286" spans="1:41" ht="15" customHeight="1">
      <c r="A286" s="254">
        <v>286</v>
      </c>
      <c r="B286" s="253">
        <v>116</v>
      </c>
      <c r="C286" s="240" t="s">
        <v>67</v>
      </c>
      <c r="D286" s="288" t="s">
        <v>56</v>
      </c>
      <c r="E286" s="289"/>
      <c r="F286" s="239" t="s">
        <v>467</v>
      </c>
      <c r="G286" s="290" t="s">
        <v>517</v>
      </c>
      <c r="H286" s="291" t="s">
        <v>152</v>
      </c>
      <c r="I286" s="239" t="s">
        <v>216</v>
      </c>
      <c r="J286" s="424">
        <f t="shared" si="9"/>
        <v>365</v>
      </c>
      <c r="K286" s="425">
        <v>102</v>
      </c>
      <c r="L286" s="425">
        <v>153</v>
      </c>
      <c r="M286" s="425"/>
      <c r="N286" s="425">
        <v>102</v>
      </c>
      <c r="O286" s="425"/>
      <c r="P286" s="425">
        <v>8</v>
      </c>
      <c r="Q286" s="294">
        <v>27</v>
      </c>
      <c r="R286" s="295" t="e">
        <f>IF(K286="nio",0,(K286*Q286)/X286)*VLOOKUP(C286,'2-Uren per locatie'!$B$15:$D$74,3,FALSE)</f>
        <v>#DIV/0!</v>
      </c>
      <c r="S286" s="295" t="e">
        <f>IF(K286="nio",0,(L286*Q286)/Y286)*VLOOKUP(C286,'2-Uren per locatie'!$B$15:$D$74,3,FALSE)</f>
        <v>#DIV/0!</v>
      </c>
      <c r="T286" s="295" t="e">
        <f>IF(K286="nio",0,(M286*Q286)/Z286)*VLOOKUP(C286,'2-Uren per locatie'!$B$15:$D$74,3,FALSE)</f>
        <v>#DIV/0!</v>
      </c>
      <c r="U286" s="295" t="e">
        <f>IF(K286="nio",0,(N286*Q286)/AA286)*VLOOKUP(C286,'2-Uren per locatie'!$B$15:$D$74,3,FALSE)</f>
        <v>#DIV/0!</v>
      </c>
      <c r="V286" s="295" t="e">
        <f>IF(K286="nio",0,(O286*Q286)/Z286)*VLOOKUP(C286,'2-Uren per locatie'!$B$15:$D$74,3,FALSE)</f>
        <v>#DIV/0!</v>
      </c>
      <c r="W286" s="295" t="e">
        <f>IF(K286="nio",0,(P286*Q286)/AA286)*VLOOKUP(C286,'2-Uren per locatie'!$B$15:$D$74,3,FALSE)</f>
        <v>#DIV/0!</v>
      </c>
      <c r="X286" s="485">
        <f>IF(K286="nio",0,IF(K286&gt;0,VLOOKUP(H286,'3-Productie normen'!A:F,VLOOKUP(K286,'3-Productie normen'!$B$29:$C$34,2,FALSE),FALSE)))</f>
        <v>0</v>
      </c>
      <c r="Y286" s="485">
        <f>VLOOKUP(H286,'3-Productie normen'!$A$10:$J$24,8,FALSE)*'3-Ruimtestaat'!X286</f>
        <v>0</v>
      </c>
      <c r="Z286" s="485">
        <f>VLOOKUP(H286,'3-Productie normen'!$A$10:$J$24,9,FALSE)*'3-Ruimtestaat'!X286</f>
        <v>0</v>
      </c>
      <c r="AA286" s="485">
        <f>VLOOKUP(H286,'3-Productie normen'!$A$10:$J$24,10,FALSE)*'3-Ruimtestaat'!X286</f>
        <v>0</v>
      </c>
      <c r="AB286" s="292" t="str">
        <f>IF(H286="",0,VLOOKUP(H286,'3-Productie normen'!$A$10:$N$23,14,FALSE))</f>
        <v>V</v>
      </c>
      <c r="AD286" s="296">
        <f t="shared" si="10"/>
        <v>9855</v>
      </c>
      <c r="AE286" s="78"/>
      <c r="AF286" s="300" t="s">
        <v>507</v>
      </c>
      <c r="AG286" s="297"/>
      <c r="AH286" s="297"/>
      <c r="AI286" s="297"/>
      <c r="AJ286" s="297"/>
      <c r="AK286" s="298"/>
      <c r="AL286" s="298"/>
      <c r="AM286" s="298">
        <f>Q286</f>
        <v>27</v>
      </c>
      <c r="AN286" s="298"/>
      <c r="AO286" s="299"/>
    </row>
    <row r="287" spans="1:41" ht="15" customHeight="1">
      <c r="A287" s="254">
        <v>287</v>
      </c>
      <c r="B287" s="253">
        <v>117</v>
      </c>
      <c r="C287" s="240" t="s">
        <v>68</v>
      </c>
      <c r="D287" s="288" t="s">
        <v>56</v>
      </c>
      <c r="E287" s="289"/>
      <c r="F287" s="239" t="s">
        <v>440</v>
      </c>
      <c r="G287" s="290" t="s">
        <v>505</v>
      </c>
      <c r="H287" s="291" t="s">
        <v>145</v>
      </c>
      <c r="I287" s="239" t="s">
        <v>203</v>
      </c>
      <c r="J287" s="424">
        <f t="shared" si="9"/>
        <v>365</v>
      </c>
      <c r="K287" s="425">
        <v>102</v>
      </c>
      <c r="L287" s="425">
        <v>153</v>
      </c>
      <c r="M287" s="425"/>
      <c r="N287" s="425">
        <v>102</v>
      </c>
      <c r="O287" s="425"/>
      <c r="P287" s="425">
        <v>8</v>
      </c>
      <c r="Q287" s="294">
        <v>115</v>
      </c>
      <c r="R287" s="295" t="e">
        <f>IF(K287="nio",0,(K287*Q287)/X287)*VLOOKUP(C287,'2-Uren per locatie'!$B$15:$D$74,3,FALSE)</f>
        <v>#DIV/0!</v>
      </c>
      <c r="S287" s="295" t="e">
        <f>IF(K287="nio",0,(L287*Q287)/Y287)*VLOOKUP(C287,'2-Uren per locatie'!$B$15:$D$74,3,FALSE)</f>
        <v>#DIV/0!</v>
      </c>
      <c r="T287" s="295" t="e">
        <f>IF(K287="nio",0,(M287*Q287)/Z287)*VLOOKUP(C287,'2-Uren per locatie'!$B$15:$D$74,3,FALSE)</f>
        <v>#DIV/0!</v>
      </c>
      <c r="U287" s="295" t="e">
        <f>IF(K287="nio",0,(N287*Q287)/AA287)*VLOOKUP(C287,'2-Uren per locatie'!$B$15:$D$74,3,FALSE)</f>
        <v>#DIV/0!</v>
      </c>
      <c r="V287" s="295" t="e">
        <f>IF(K287="nio",0,(O287*Q287)/Z287)*VLOOKUP(C287,'2-Uren per locatie'!$B$15:$D$74,3,FALSE)</f>
        <v>#DIV/0!</v>
      </c>
      <c r="W287" s="295" t="e">
        <f>IF(K287="nio",0,(P287*Q287)/AA287)*VLOOKUP(C287,'2-Uren per locatie'!$B$15:$D$74,3,FALSE)</f>
        <v>#DIV/0!</v>
      </c>
      <c r="X287" s="485">
        <f>IF(K287="nio",0,IF(K287&gt;0,VLOOKUP(H287,'3-Productie normen'!A:F,VLOOKUP(K287,'3-Productie normen'!$B$29:$C$34,2,FALSE),FALSE)))</f>
        <v>0</v>
      </c>
      <c r="Y287" s="485">
        <f>VLOOKUP(H287,'3-Productie normen'!$A$10:$J$24,8,FALSE)*'3-Ruimtestaat'!X287</f>
        <v>0</v>
      </c>
      <c r="Z287" s="485">
        <f>VLOOKUP(H287,'3-Productie normen'!$A$10:$J$24,9,FALSE)*'3-Ruimtestaat'!X287</f>
        <v>0</v>
      </c>
      <c r="AA287" s="485">
        <f>VLOOKUP(H287,'3-Productie normen'!$A$10:$J$24,10,FALSE)*'3-Ruimtestaat'!X287</f>
        <v>0</v>
      </c>
      <c r="AB287" s="292" t="str">
        <f>IF(H287="",0,VLOOKUP(H287,'3-Productie normen'!$A$10:$N$23,14,FALSE))</f>
        <v>V</v>
      </c>
      <c r="AD287" s="296">
        <f t="shared" si="10"/>
        <v>41975</v>
      </c>
      <c r="AE287" s="78"/>
      <c r="AF287" s="297"/>
      <c r="AG287" s="297">
        <v>700</v>
      </c>
      <c r="AH287" s="297"/>
      <c r="AI287" s="297"/>
      <c r="AJ287" s="297"/>
      <c r="AK287" s="298"/>
      <c r="AL287" s="298"/>
      <c r="AM287" s="298">
        <f>Q287</f>
        <v>115</v>
      </c>
      <c r="AN287" s="298"/>
      <c r="AO287" s="299"/>
    </row>
    <row r="288" spans="1:41" ht="15" customHeight="1">
      <c r="A288" s="254">
        <v>288</v>
      </c>
      <c r="B288" s="253">
        <v>117</v>
      </c>
      <c r="C288" s="240" t="s">
        <v>68</v>
      </c>
      <c r="D288" s="288" t="s">
        <v>56</v>
      </c>
      <c r="E288" s="289"/>
      <c r="F288" s="239" t="s">
        <v>439</v>
      </c>
      <c r="G288" s="290" t="s">
        <v>506</v>
      </c>
      <c r="H288" s="291" t="s">
        <v>145</v>
      </c>
      <c r="I288" s="239" t="s">
        <v>203</v>
      </c>
      <c r="J288" s="424">
        <f t="shared" si="9"/>
        <v>365</v>
      </c>
      <c r="K288" s="425">
        <v>102</v>
      </c>
      <c r="L288" s="425">
        <v>153</v>
      </c>
      <c r="M288" s="425"/>
      <c r="N288" s="425">
        <v>102</v>
      </c>
      <c r="O288" s="425"/>
      <c r="P288" s="425">
        <v>8</v>
      </c>
      <c r="Q288" s="294">
        <v>67</v>
      </c>
      <c r="R288" s="295" t="e">
        <f>IF(K288="nio",0,(K288*Q288)/X288)*VLOOKUP(C288,'2-Uren per locatie'!$B$15:$D$74,3,FALSE)</f>
        <v>#DIV/0!</v>
      </c>
      <c r="S288" s="295" t="e">
        <f>IF(K288="nio",0,(L288*Q288)/Y288)*VLOOKUP(C288,'2-Uren per locatie'!$B$15:$D$74,3,FALSE)</f>
        <v>#DIV/0!</v>
      </c>
      <c r="T288" s="295" t="e">
        <f>IF(K288="nio",0,(M288*Q288)/Z288)*VLOOKUP(C288,'2-Uren per locatie'!$B$15:$D$74,3,FALSE)</f>
        <v>#DIV/0!</v>
      </c>
      <c r="U288" s="295" t="e">
        <f>IF(K288="nio",0,(N288*Q288)/AA288)*VLOOKUP(C288,'2-Uren per locatie'!$B$15:$D$74,3,FALSE)</f>
        <v>#DIV/0!</v>
      </c>
      <c r="V288" s="295" t="e">
        <f>IF(K288="nio",0,(O288*Q288)/Z288)*VLOOKUP(C288,'2-Uren per locatie'!$B$15:$D$74,3,FALSE)</f>
        <v>#DIV/0!</v>
      </c>
      <c r="W288" s="295" t="e">
        <f>IF(K288="nio",0,(P288*Q288)/AA288)*VLOOKUP(C288,'2-Uren per locatie'!$B$15:$D$74,3,FALSE)</f>
        <v>#DIV/0!</v>
      </c>
      <c r="X288" s="485">
        <f>IF(K288="nio",0,IF(K288&gt;0,VLOOKUP(H288,'3-Productie normen'!A:F,VLOOKUP(K288,'3-Productie normen'!$B$29:$C$34,2,FALSE),FALSE)))</f>
        <v>0</v>
      </c>
      <c r="Y288" s="485">
        <f>VLOOKUP(H288,'3-Productie normen'!$A$10:$J$24,8,FALSE)*'3-Ruimtestaat'!X288</f>
        <v>0</v>
      </c>
      <c r="Z288" s="485">
        <f>VLOOKUP(H288,'3-Productie normen'!$A$10:$J$24,9,FALSE)*'3-Ruimtestaat'!X288</f>
        <v>0</v>
      </c>
      <c r="AA288" s="485">
        <f>VLOOKUP(H288,'3-Productie normen'!$A$10:$J$24,10,FALSE)*'3-Ruimtestaat'!X288</f>
        <v>0</v>
      </c>
      <c r="AB288" s="292" t="str">
        <f>IF(H288="",0,VLOOKUP(H288,'3-Productie normen'!$A$10:$N$23,14,FALSE))</f>
        <v>V</v>
      </c>
      <c r="AD288" s="296">
        <f t="shared" si="10"/>
        <v>24455</v>
      </c>
      <c r="AE288" s="78"/>
      <c r="AF288" s="297"/>
      <c r="AG288" s="297">
        <v>365</v>
      </c>
      <c r="AH288" s="297"/>
      <c r="AI288" s="297"/>
      <c r="AJ288" s="297"/>
      <c r="AK288" s="298"/>
      <c r="AL288" s="298"/>
      <c r="AM288" s="298">
        <f>Q288</f>
        <v>67</v>
      </c>
      <c r="AN288" s="298"/>
      <c r="AO288" s="299"/>
    </row>
    <row r="289" spans="1:41" ht="15" customHeight="1">
      <c r="A289" s="254">
        <v>289</v>
      </c>
      <c r="B289" s="253">
        <v>117</v>
      </c>
      <c r="C289" s="240" t="s">
        <v>68</v>
      </c>
      <c r="D289" s="288" t="s">
        <v>56</v>
      </c>
      <c r="E289" s="289"/>
      <c r="F289" s="239" t="s">
        <v>421</v>
      </c>
      <c r="G289" s="290" t="s">
        <v>509</v>
      </c>
      <c r="H289" s="291" t="s">
        <v>153</v>
      </c>
      <c r="I289" s="239" t="s">
        <v>299</v>
      </c>
      <c r="J289" s="424">
        <f t="shared" si="9"/>
        <v>365</v>
      </c>
      <c r="K289" s="425">
        <v>255</v>
      </c>
      <c r="L289" s="425"/>
      <c r="M289" s="425">
        <v>102</v>
      </c>
      <c r="N289" s="425"/>
      <c r="O289" s="425">
        <v>8</v>
      </c>
      <c r="P289" s="425"/>
      <c r="Q289" s="294">
        <v>2</v>
      </c>
      <c r="R289" s="295" t="e">
        <f>IF(K289="nio",0,(K289*Q289)/X289)*VLOOKUP(C289,'2-Uren per locatie'!$B$15:$D$74,3,FALSE)</f>
        <v>#DIV/0!</v>
      </c>
      <c r="S289" s="295" t="e">
        <f>IF(K289="nio",0,(L289*Q289)/Y289)*VLOOKUP(C289,'2-Uren per locatie'!$B$15:$D$74,3,FALSE)</f>
        <v>#DIV/0!</v>
      </c>
      <c r="T289" s="295" t="e">
        <f>IF(K289="nio",0,(M289*Q289)/Z289)*VLOOKUP(C289,'2-Uren per locatie'!$B$15:$D$74,3,FALSE)</f>
        <v>#DIV/0!</v>
      </c>
      <c r="U289" s="295" t="e">
        <f>IF(K289="nio",0,(N289*Q289)/AA289)*VLOOKUP(C289,'2-Uren per locatie'!$B$15:$D$74,3,FALSE)</f>
        <v>#DIV/0!</v>
      </c>
      <c r="V289" s="295" t="e">
        <f>IF(K289="nio",0,(O289*Q289)/Z289)*VLOOKUP(C289,'2-Uren per locatie'!$B$15:$D$74,3,FALSE)</f>
        <v>#DIV/0!</v>
      </c>
      <c r="W289" s="295" t="e">
        <f>IF(K289="nio",0,(P289*Q289)/AA289)*VLOOKUP(C289,'2-Uren per locatie'!$B$15:$D$74,3,FALSE)</f>
        <v>#DIV/0!</v>
      </c>
      <c r="X289" s="485">
        <f>IF(K289="nio",0,IF(K289&gt;0,VLOOKUP(H289,'3-Productie normen'!A:F,VLOOKUP(K289,'3-Productie normen'!$B$29:$C$34,2,FALSE),FALSE)))</f>
        <v>0</v>
      </c>
      <c r="Y289" s="485">
        <f>VLOOKUP(H289,'3-Productie normen'!$A$10:$J$24,8,FALSE)*'3-Ruimtestaat'!X289</f>
        <v>0</v>
      </c>
      <c r="Z289" s="485">
        <f>VLOOKUP(H289,'3-Productie normen'!$A$10:$J$24,9,FALSE)*'3-Ruimtestaat'!X289</f>
        <v>0</v>
      </c>
      <c r="AA289" s="485">
        <f>VLOOKUP(H289,'3-Productie normen'!$A$10:$J$24,10,FALSE)*'3-Ruimtestaat'!X289</f>
        <v>0</v>
      </c>
      <c r="AB289" s="292" t="str">
        <f>IF(H289="",0,VLOOKUP(H289,'3-Productie normen'!$A$10:$N$23,14,FALSE))</f>
        <v>S</v>
      </c>
      <c r="AD289" s="296">
        <f t="shared" si="10"/>
        <v>730</v>
      </c>
      <c r="AE289" s="78"/>
      <c r="AF289" s="297">
        <v>10</v>
      </c>
      <c r="AG289" s="297"/>
      <c r="AH289" s="297"/>
      <c r="AI289" s="297"/>
      <c r="AJ289" s="297"/>
      <c r="AK289" s="298"/>
      <c r="AL289" s="298"/>
      <c r="AM289" s="298"/>
      <c r="AN289" s="298">
        <f>Q289</f>
        <v>2</v>
      </c>
      <c r="AO289" s="299"/>
    </row>
    <row r="290" spans="1:41" ht="15" customHeight="1">
      <c r="A290" s="254">
        <v>290</v>
      </c>
      <c r="B290" s="253">
        <v>117</v>
      </c>
      <c r="C290" s="240" t="s">
        <v>68</v>
      </c>
      <c r="D290" s="288" t="s">
        <v>56</v>
      </c>
      <c r="E290" s="289"/>
      <c r="F290" s="239" t="s">
        <v>423</v>
      </c>
      <c r="G290" s="290" t="s">
        <v>511</v>
      </c>
      <c r="H290" s="291" t="s">
        <v>153</v>
      </c>
      <c r="I290" s="239" t="s">
        <v>299</v>
      </c>
      <c r="J290" s="424">
        <f t="shared" si="9"/>
        <v>365</v>
      </c>
      <c r="K290" s="425">
        <v>255</v>
      </c>
      <c r="L290" s="425"/>
      <c r="M290" s="425">
        <v>102</v>
      </c>
      <c r="N290" s="425"/>
      <c r="O290" s="425">
        <v>8</v>
      </c>
      <c r="P290" s="425"/>
      <c r="Q290" s="294">
        <v>2</v>
      </c>
      <c r="R290" s="295" t="e">
        <f>IF(K290="nio",0,(K290*Q290)/X290)*VLOOKUP(C290,'2-Uren per locatie'!$B$15:$D$74,3,FALSE)</f>
        <v>#DIV/0!</v>
      </c>
      <c r="S290" s="295" t="e">
        <f>IF(K290="nio",0,(L290*Q290)/Y290)*VLOOKUP(C290,'2-Uren per locatie'!$B$15:$D$74,3,FALSE)</f>
        <v>#DIV/0!</v>
      </c>
      <c r="T290" s="295" t="e">
        <f>IF(K290="nio",0,(M290*Q290)/Z290)*VLOOKUP(C290,'2-Uren per locatie'!$B$15:$D$74,3,FALSE)</f>
        <v>#DIV/0!</v>
      </c>
      <c r="U290" s="295" t="e">
        <f>IF(K290="nio",0,(N290*Q290)/AA290)*VLOOKUP(C290,'2-Uren per locatie'!$B$15:$D$74,3,FALSE)</f>
        <v>#DIV/0!</v>
      </c>
      <c r="V290" s="295" t="e">
        <f>IF(K290="nio",0,(O290*Q290)/Z290)*VLOOKUP(C290,'2-Uren per locatie'!$B$15:$D$74,3,FALSE)</f>
        <v>#DIV/0!</v>
      </c>
      <c r="W290" s="295" t="e">
        <f>IF(K290="nio",0,(P290*Q290)/AA290)*VLOOKUP(C290,'2-Uren per locatie'!$B$15:$D$74,3,FALSE)</f>
        <v>#DIV/0!</v>
      </c>
      <c r="X290" s="485">
        <f>IF(K290="nio",0,IF(K290&gt;0,VLOOKUP(H290,'3-Productie normen'!A:F,VLOOKUP(K290,'3-Productie normen'!$B$29:$C$34,2,FALSE),FALSE)))</f>
        <v>0</v>
      </c>
      <c r="Y290" s="485">
        <f>VLOOKUP(H290,'3-Productie normen'!$A$10:$J$24,8,FALSE)*'3-Ruimtestaat'!X290</f>
        <v>0</v>
      </c>
      <c r="Z290" s="485">
        <f>VLOOKUP(H290,'3-Productie normen'!$A$10:$J$24,9,FALSE)*'3-Ruimtestaat'!X290</f>
        <v>0</v>
      </c>
      <c r="AA290" s="485">
        <f>VLOOKUP(H290,'3-Productie normen'!$A$10:$J$24,10,FALSE)*'3-Ruimtestaat'!X290</f>
        <v>0</v>
      </c>
      <c r="AB290" s="292" t="str">
        <f>IF(H290="",0,VLOOKUP(H290,'3-Productie normen'!$A$10:$N$23,14,FALSE))</f>
        <v>S</v>
      </c>
      <c r="AD290" s="296">
        <f t="shared" si="10"/>
        <v>730</v>
      </c>
      <c r="AE290" s="78"/>
      <c r="AF290" s="297">
        <v>10</v>
      </c>
      <c r="AG290" s="297"/>
      <c r="AH290" s="297"/>
      <c r="AI290" s="297"/>
      <c r="AJ290" s="297"/>
      <c r="AK290" s="298"/>
      <c r="AL290" s="298"/>
      <c r="AM290" s="298"/>
      <c r="AN290" s="298">
        <f>Q290</f>
        <v>2</v>
      </c>
      <c r="AO290" s="299"/>
    </row>
    <row r="291" spans="1:41" ht="15" customHeight="1">
      <c r="A291" s="254">
        <v>291</v>
      </c>
      <c r="B291" s="253">
        <v>117</v>
      </c>
      <c r="C291" s="240" t="s">
        <v>68</v>
      </c>
      <c r="D291" s="288" t="s">
        <v>56</v>
      </c>
      <c r="E291" s="289"/>
      <c r="F291" s="239" t="s">
        <v>450</v>
      </c>
      <c r="G291" s="290" t="s">
        <v>518</v>
      </c>
      <c r="H291" s="291" t="s">
        <v>146</v>
      </c>
      <c r="I291" s="239" t="s">
        <v>420</v>
      </c>
      <c r="J291" s="424">
        <f t="shared" si="9"/>
        <v>183</v>
      </c>
      <c r="K291" s="425">
        <v>127</v>
      </c>
      <c r="L291" s="425"/>
      <c r="M291" s="425">
        <v>52</v>
      </c>
      <c r="N291" s="425"/>
      <c r="O291" s="425">
        <v>4</v>
      </c>
      <c r="P291" s="425"/>
      <c r="Q291" s="294">
        <v>23</v>
      </c>
      <c r="R291" s="295" t="e">
        <f>IF(K291="nio",0,(K291*Q291)/X291)*VLOOKUP(C291,'2-Uren per locatie'!$B$15:$D$74,3,FALSE)</f>
        <v>#DIV/0!</v>
      </c>
      <c r="S291" s="295" t="e">
        <f>IF(K291="nio",0,(L291*Q291)/Y291)*VLOOKUP(C291,'2-Uren per locatie'!$B$15:$D$74,3,FALSE)</f>
        <v>#DIV/0!</v>
      </c>
      <c r="T291" s="295" t="e">
        <f>IF(K291="nio",0,(M291*Q291)/Z291)*VLOOKUP(C291,'2-Uren per locatie'!$B$15:$D$74,3,FALSE)</f>
        <v>#DIV/0!</v>
      </c>
      <c r="U291" s="295" t="e">
        <f>IF(K291="nio",0,(N291*Q291)/AA291)*VLOOKUP(C291,'2-Uren per locatie'!$B$15:$D$74,3,FALSE)</f>
        <v>#DIV/0!</v>
      </c>
      <c r="V291" s="295" t="e">
        <f>IF(K291="nio",0,(O291*Q291)/Z291)*VLOOKUP(C291,'2-Uren per locatie'!$B$15:$D$74,3,FALSE)</f>
        <v>#DIV/0!</v>
      </c>
      <c r="W291" s="295" t="e">
        <f>IF(K291="nio",0,(P291*Q291)/AA291)*VLOOKUP(C291,'2-Uren per locatie'!$B$15:$D$74,3,FALSE)</f>
        <v>#DIV/0!</v>
      </c>
      <c r="X291" s="485">
        <f>IF(K291="nio",0,IF(K291&gt;0,VLOOKUP(H291,'3-Productie normen'!A:F,VLOOKUP(K291,'3-Productie normen'!$B$29:$C$34,2,FALSE),FALSE)))</f>
        <v>0</v>
      </c>
      <c r="Y291" s="485">
        <f>VLOOKUP(H291,'3-Productie normen'!$A$10:$J$24,8,FALSE)*'3-Ruimtestaat'!X291</f>
        <v>0</v>
      </c>
      <c r="Z291" s="485">
        <f>VLOOKUP(H291,'3-Productie normen'!$A$10:$J$24,9,FALSE)*'3-Ruimtestaat'!X291</f>
        <v>0</v>
      </c>
      <c r="AA291" s="485">
        <f>VLOOKUP(H291,'3-Productie normen'!$A$10:$J$24,10,FALSE)*'3-Ruimtestaat'!X291</f>
        <v>0</v>
      </c>
      <c r="AB291" s="292" t="str">
        <f>IF(H291="",0,VLOOKUP(H291,'3-Productie normen'!$A$10:$N$23,14,FALSE))</f>
        <v>B</v>
      </c>
      <c r="AD291" s="296">
        <f t="shared" si="10"/>
        <v>4209</v>
      </c>
      <c r="AE291" s="78"/>
      <c r="AF291" s="297"/>
      <c r="AG291" s="297">
        <v>32</v>
      </c>
      <c r="AH291" s="297"/>
      <c r="AI291" s="297"/>
      <c r="AJ291" s="297"/>
      <c r="AK291" s="298"/>
      <c r="AL291" s="298"/>
      <c r="AM291" s="298">
        <f>Q291</f>
        <v>23</v>
      </c>
      <c r="AN291" s="298"/>
      <c r="AO291" s="299"/>
    </row>
    <row r="292" spans="1:41" ht="15" customHeight="1">
      <c r="A292" s="254">
        <v>292</v>
      </c>
      <c r="B292" s="253">
        <v>117</v>
      </c>
      <c r="C292" s="240" t="s">
        <v>68</v>
      </c>
      <c r="D292" s="288" t="s">
        <v>56</v>
      </c>
      <c r="E292" s="289"/>
      <c r="F292" s="239" t="s">
        <v>249</v>
      </c>
      <c r="G292" s="290" t="s">
        <v>519</v>
      </c>
      <c r="H292" s="291" t="s">
        <v>151</v>
      </c>
      <c r="I292" s="239" t="s">
        <v>434</v>
      </c>
      <c r="J292" s="424">
        <f t="shared" si="9"/>
        <v>365</v>
      </c>
      <c r="K292" s="425">
        <v>102</v>
      </c>
      <c r="L292" s="425">
        <v>153</v>
      </c>
      <c r="M292" s="425"/>
      <c r="N292" s="425">
        <v>102</v>
      </c>
      <c r="O292" s="425"/>
      <c r="P292" s="425">
        <v>8</v>
      </c>
      <c r="Q292" s="294">
        <v>1511</v>
      </c>
      <c r="R292" s="295" t="e">
        <f>IF(K292="nio",0,(K292*Q292)/X292)*VLOOKUP(C292,'2-Uren per locatie'!$B$15:$D$74,3,FALSE)</f>
        <v>#DIV/0!</v>
      </c>
      <c r="S292" s="295" t="e">
        <f>IF(K292="nio",0,(L292*Q292)/Y292)*VLOOKUP(C292,'2-Uren per locatie'!$B$15:$D$74,3,FALSE)</f>
        <v>#DIV/0!</v>
      </c>
      <c r="T292" s="295" t="e">
        <f>IF(K292="nio",0,(M292*Q292)/Z292)*VLOOKUP(C292,'2-Uren per locatie'!$B$15:$D$74,3,FALSE)</f>
        <v>#DIV/0!</v>
      </c>
      <c r="U292" s="295" t="e">
        <f>IF(K292="nio",0,(N292*Q292)/AA292)*VLOOKUP(C292,'2-Uren per locatie'!$B$15:$D$74,3,FALSE)</f>
        <v>#DIV/0!</v>
      </c>
      <c r="V292" s="295" t="e">
        <f>IF(K292="nio",0,(O292*Q292)/Z292)*VLOOKUP(C292,'2-Uren per locatie'!$B$15:$D$74,3,FALSE)</f>
        <v>#DIV/0!</v>
      </c>
      <c r="W292" s="295" t="e">
        <f>IF(K292="nio",0,(P292*Q292)/AA292)*VLOOKUP(C292,'2-Uren per locatie'!$B$15:$D$74,3,FALSE)</f>
        <v>#DIV/0!</v>
      </c>
      <c r="X292" s="485">
        <f>IF(K292="nio",0,IF(K292&gt;0,VLOOKUP(H292,'3-Productie normen'!A:F,VLOOKUP(K292,'3-Productie normen'!$B$29:$C$34,2,FALSE),FALSE)))</f>
        <v>0</v>
      </c>
      <c r="Y292" s="485">
        <f>VLOOKUP(H292,'3-Productie normen'!$A$10:$J$24,8,FALSE)*'3-Ruimtestaat'!X292</f>
        <v>0</v>
      </c>
      <c r="Z292" s="485">
        <f>VLOOKUP(H292,'3-Productie normen'!$A$10:$J$24,9,FALSE)*'3-Ruimtestaat'!X292</f>
        <v>0</v>
      </c>
      <c r="AA292" s="485">
        <f>VLOOKUP(H292,'3-Productie normen'!$A$10:$J$24,10,FALSE)*'3-Ruimtestaat'!X292</f>
        <v>0</v>
      </c>
      <c r="AB292" s="292" t="str">
        <f>IF(H292="",0,VLOOKUP(H292,'3-Productie normen'!$A$10:$N$23,14,FALSE))</f>
        <v>V</v>
      </c>
      <c r="AD292" s="296">
        <f t="shared" si="10"/>
        <v>551515</v>
      </c>
      <c r="AE292" s="78"/>
      <c r="AF292" s="297"/>
      <c r="AG292" s="297"/>
      <c r="AH292" s="297"/>
      <c r="AI292" s="297"/>
      <c r="AJ292" s="297"/>
      <c r="AK292" s="298">
        <v>1793</v>
      </c>
      <c r="AL292" s="298"/>
      <c r="AM292" s="298"/>
      <c r="AN292" s="298"/>
      <c r="AO292" s="299"/>
    </row>
    <row r="293" spans="1:41" ht="15" customHeight="1">
      <c r="A293" s="254">
        <v>293</v>
      </c>
      <c r="B293" s="253">
        <v>117</v>
      </c>
      <c r="C293" s="240" t="s">
        <v>68</v>
      </c>
      <c r="D293" s="288" t="s">
        <v>56</v>
      </c>
      <c r="E293" s="289"/>
      <c r="F293" s="239" t="s">
        <v>376</v>
      </c>
      <c r="G293" s="290" t="s">
        <v>298</v>
      </c>
      <c r="H293" s="291" t="s">
        <v>149</v>
      </c>
      <c r="I293" s="239" t="s">
        <v>245</v>
      </c>
      <c r="J293" s="424">
        <f t="shared" si="9"/>
        <v>365</v>
      </c>
      <c r="K293" s="425">
        <v>102</v>
      </c>
      <c r="L293" s="425">
        <v>153</v>
      </c>
      <c r="M293" s="425"/>
      <c r="N293" s="425">
        <v>102</v>
      </c>
      <c r="O293" s="425"/>
      <c r="P293" s="425">
        <v>8</v>
      </c>
      <c r="Q293" s="294">
        <v>4</v>
      </c>
      <c r="R293" s="295" t="e">
        <f>IF(K293="nio",0,(K293*Q293)/X293)*VLOOKUP(C293,'2-Uren per locatie'!$B$15:$D$74,3,FALSE)</f>
        <v>#DIV/0!</v>
      </c>
      <c r="S293" s="295" t="e">
        <f>IF(K293="nio",0,(L293*Q293)/Y293)*VLOOKUP(C293,'2-Uren per locatie'!$B$15:$D$74,3,FALSE)</f>
        <v>#DIV/0!</v>
      </c>
      <c r="T293" s="295" t="e">
        <f>IF(K293="nio",0,(M293*Q293)/Z293)*VLOOKUP(C293,'2-Uren per locatie'!$B$15:$D$74,3,FALSE)</f>
        <v>#DIV/0!</v>
      </c>
      <c r="U293" s="295" t="e">
        <f>IF(K293="nio",0,(N293*Q293)/AA293)*VLOOKUP(C293,'2-Uren per locatie'!$B$15:$D$74,3,FALSE)</f>
        <v>#DIV/0!</v>
      </c>
      <c r="V293" s="295" t="e">
        <f>IF(K293="nio",0,(O293*Q293)/Z293)*VLOOKUP(C293,'2-Uren per locatie'!$B$15:$D$74,3,FALSE)</f>
        <v>#DIV/0!</v>
      </c>
      <c r="W293" s="295" t="e">
        <f>IF(K293="nio",0,(P293*Q293)/AA293)*VLOOKUP(C293,'2-Uren per locatie'!$B$15:$D$74,3,FALSE)</f>
        <v>#DIV/0!</v>
      </c>
      <c r="X293" s="485">
        <f>IF(K293="nio",0,IF(K293&gt;0,VLOOKUP(H293,'3-Productie normen'!A:F,VLOOKUP(K293,'3-Productie normen'!$B$29:$C$34,2,FALSE),FALSE)))</f>
        <v>0</v>
      </c>
      <c r="Y293" s="485">
        <f>VLOOKUP(H293,'3-Productie normen'!$A$10:$J$24,8,FALSE)*'3-Ruimtestaat'!X293</f>
        <v>0</v>
      </c>
      <c r="Z293" s="485">
        <f>VLOOKUP(H293,'3-Productie normen'!$A$10:$J$24,9,FALSE)*'3-Ruimtestaat'!X293</f>
        <v>0</v>
      </c>
      <c r="AA293" s="485">
        <f>VLOOKUP(H293,'3-Productie normen'!$A$10:$J$24,10,FALSE)*'3-Ruimtestaat'!X293</f>
        <v>0</v>
      </c>
      <c r="AB293" s="292" t="str">
        <f>IF(H293="",0,VLOOKUP(H293,'3-Productie normen'!$A$10:$N$23,14,FALSE))</f>
        <v>V</v>
      </c>
      <c r="AD293" s="296">
        <f t="shared" si="10"/>
        <v>1460</v>
      </c>
      <c r="AE293" s="78"/>
      <c r="AF293" s="297"/>
      <c r="AG293" s="297"/>
      <c r="AH293" s="297"/>
      <c r="AI293" s="297">
        <v>15</v>
      </c>
      <c r="AJ293" s="297"/>
      <c r="AK293" s="298"/>
      <c r="AL293" s="298"/>
      <c r="AM293" s="298"/>
      <c r="AN293" s="298">
        <f>Q293</f>
        <v>4</v>
      </c>
      <c r="AO293" s="299"/>
    </row>
    <row r="294" spans="1:41" ht="15" customHeight="1">
      <c r="A294" s="254">
        <v>294</v>
      </c>
      <c r="B294" s="253">
        <v>117</v>
      </c>
      <c r="C294" s="240" t="s">
        <v>68</v>
      </c>
      <c r="D294" s="288" t="s">
        <v>56</v>
      </c>
      <c r="E294" s="289"/>
      <c r="F294" s="239" t="s">
        <v>376</v>
      </c>
      <c r="G294" s="290" t="s">
        <v>296</v>
      </c>
      <c r="H294" s="291" t="s">
        <v>149</v>
      </c>
      <c r="I294" s="239" t="s">
        <v>245</v>
      </c>
      <c r="J294" s="424">
        <f t="shared" si="9"/>
        <v>365</v>
      </c>
      <c r="K294" s="425">
        <v>102</v>
      </c>
      <c r="L294" s="425">
        <v>153</v>
      </c>
      <c r="M294" s="425"/>
      <c r="N294" s="425">
        <v>102</v>
      </c>
      <c r="O294" s="425"/>
      <c r="P294" s="425">
        <v>8</v>
      </c>
      <c r="Q294" s="294">
        <v>4</v>
      </c>
      <c r="R294" s="295" t="e">
        <f>IF(K294="nio",0,(K294*Q294)/X294)*VLOOKUP(C294,'2-Uren per locatie'!$B$15:$D$74,3,FALSE)</f>
        <v>#DIV/0!</v>
      </c>
      <c r="S294" s="295" t="e">
        <f>IF(K294="nio",0,(L294*Q294)/Y294)*VLOOKUP(C294,'2-Uren per locatie'!$B$15:$D$74,3,FALSE)</f>
        <v>#DIV/0!</v>
      </c>
      <c r="T294" s="295" t="e">
        <f>IF(K294="nio",0,(M294*Q294)/Z294)*VLOOKUP(C294,'2-Uren per locatie'!$B$15:$D$74,3,FALSE)</f>
        <v>#DIV/0!</v>
      </c>
      <c r="U294" s="295" t="e">
        <f>IF(K294="nio",0,(N294*Q294)/AA294)*VLOOKUP(C294,'2-Uren per locatie'!$B$15:$D$74,3,FALSE)</f>
        <v>#DIV/0!</v>
      </c>
      <c r="V294" s="295" t="e">
        <f>IF(K294="nio",0,(O294*Q294)/Z294)*VLOOKUP(C294,'2-Uren per locatie'!$B$15:$D$74,3,FALSE)</f>
        <v>#DIV/0!</v>
      </c>
      <c r="W294" s="295" t="e">
        <f>IF(K294="nio",0,(P294*Q294)/AA294)*VLOOKUP(C294,'2-Uren per locatie'!$B$15:$D$74,3,FALSE)</f>
        <v>#DIV/0!</v>
      </c>
      <c r="X294" s="485">
        <f>IF(K294="nio",0,IF(K294&gt;0,VLOOKUP(H294,'3-Productie normen'!A:F,VLOOKUP(K294,'3-Productie normen'!$B$29:$C$34,2,FALSE),FALSE)))</f>
        <v>0</v>
      </c>
      <c r="Y294" s="485">
        <f>VLOOKUP(H294,'3-Productie normen'!$A$10:$J$24,8,FALSE)*'3-Ruimtestaat'!X294</f>
        <v>0</v>
      </c>
      <c r="Z294" s="485">
        <f>VLOOKUP(H294,'3-Productie normen'!$A$10:$J$24,9,FALSE)*'3-Ruimtestaat'!X294</f>
        <v>0</v>
      </c>
      <c r="AA294" s="485">
        <f>VLOOKUP(H294,'3-Productie normen'!$A$10:$J$24,10,FALSE)*'3-Ruimtestaat'!X294</f>
        <v>0</v>
      </c>
      <c r="AB294" s="292" t="str">
        <f>IF(H294="",0,VLOOKUP(H294,'3-Productie normen'!$A$10:$N$23,14,FALSE))</f>
        <v>V</v>
      </c>
      <c r="AD294" s="296">
        <f t="shared" si="10"/>
        <v>1460</v>
      </c>
      <c r="AE294" s="78"/>
      <c r="AF294" s="297"/>
      <c r="AG294" s="297"/>
      <c r="AH294" s="297"/>
      <c r="AI294" s="297">
        <v>15</v>
      </c>
      <c r="AJ294" s="297"/>
      <c r="AK294" s="298"/>
      <c r="AL294" s="298"/>
      <c r="AM294" s="298"/>
      <c r="AN294" s="298">
        <f>Q294</f>
        <v>4</v>
      </c>
      <c r="AO294" s="299"/>
    </row>
    <row r="295" spans="1:41" ht="15" customHeight="1">
      <c r="A295" s="254">
        <v>295</v>
      </c>
      <c r="B295" s="253">
        <v>117</v>
      </c>
      <c r="C295" s="240" t="s">
        <v>68</v>
      </c>
      <c r="D295" s="288" t="s">
        <v>56</v>
      </c>
      <c r="E295" s="289"/>
      <c r="F295" s="239" t="s">
        <v>467</v>
      </c>
      <c r="G295" s="290" t="s">
        <v>520</v>
      </c>
      <c r="H295" s="291" t="s">
        <v>152</v>
      </c>
      <c r="I295" s="239" t="s">
        <v>216</v>
      </c>
      <c r="J295" s="424">
        <f t="shared" si="9"/>
        <v>365</v>
      </c>
      <c r="K295" s="425">
        <v>102</v>
      </c>
      <c r="L295" s="425">
        <v>153</v>
      </c>
      <c r="M295" s="425"/>
      <c r="N295" s="425">
        <v>102</v>
      </c>
      <c r="O295" s="425"/>
      <c r="P295" s="425">
        <v>8</v>
      </c>
      <c r="Q295" s="294">
        <v>27</v>
      </c>
      <c r="R295" s="295" t="e">
        <f>IF(K295="nio",0,(K295*Q295)/X295)*VLOOKUP(C295,'2-Uren per locatie'!$B$15:$D$74,3,FALSE)</f>
        <v>#DIV/0!</v>
      </c>
      <c r="S295" s="295" t="e">
        <f>IF(K295="nio",0,(L295*Q295)/Y295)*VLOOKUP(C295,'2-Uren per locatie'!$B$15:$D$74,3,FALSE)</f>
        <v>#DIV/0!</v>
      </c>
      <c r="T295" s="295" t="e">
        <f>IF(K295="nio",0,(M295*Q295)/Z295)*VLOOKUP(C295,'2-Uren per locatie'!$B$15:$D$74,3,FALSE)</f>
        <v>#DIV/0!</v>
      </c>
      <c r="U295" s="295" t="e">
        <f>IF(K295="nio",0,(N295*Q295)/AA295)*VLOOKUP(C295,'2-Uren per locatie'!$B$15:$D$74,3,FALSE)</f>
        <v>#DIV/0!</v>
      </c>
      <c r="V295" s="295" t="e">
        <f>IF(K295="nio",0,(O295*Q295)/Z295)*VLOOKUP(C295,'2-Uren per locatie'!$B$15:$D$74,3,FALSE)</f>
        <v>#DIV/0!</v>
      </c>
      <c r="W295" s="295" t="e">
        <f>IF(K295="nio",0,(P295*Q295)/AA295)*VLOOKUP(C295,'2-Uren per locatie'!$B$15:$D$74,3,FALSE)</f>
        <v>#DIV/0!</v>
      </c>
      <c r="X295" s="485">
        <f>IF(K295="nio",0,IF(K295&gt;0,VLOOKUP(H295,'3-Productie normen'!A:F,VLOOKUP(K295,'3-Productie normen'!$B$29:$C$34,2,FALSE),FALSE)))</f>
        <v>0</v>
      </c>
      <c r="Y295" s="485">
        <f>VLOOKUP(H295,'3-Productie normen'!$A$10:$J$24,8,FALSE)*'3-Ruimtestaat'!X295</f>
        <v>0</v>
      </c>
      <c r="Z295" s="485">
        <f>VLOOKUP(H295,'3-Productie normen'!$A$10:$J$24,9,FALSE)*'3-Ruimtestaat'!X295</f>
        <v>0</v>
      </c>
      <c r="AA295" s="485">
        <f>VLOOKUP(H295,'3-Productie normen'!$A$10:$J$24,10,FALSE)*'3-Ruimtestaat'!X295</f>
        <v>0</v>
      </c>
      <c r="AB295" s="292" t="str">
        <f>IF(H295="",0,VLOOKUP(H295,'3-Productie normen'!$A$10:$N$23,14,FALSE))</f>
        <v>V</v>
      </c>
      <c r="AD295" s="296">
        <f t="shared" si="10"/>
        <v>9855</v>
      </c>
      <c r="AE295" s="78"/>
      <c r="AF295" s="300" t="s">
        <v>507</v>
      </c>
      <c r="AG295" s="297"/>
      <c r="AH295" s="297"/>
      <c r="AI295" s="297"/>
      <c r="AJ295" s="297"/>
      <c r="AK295" s="298"/>
      <c r="AL295" s="298"/>
      <c r="AM295" s="298">
        <f>Q295</f>
        <v>27</v>
      </c>
      <c r="AN295" s="298"/>
      <c r="AO295" s="299"/>
    </row>
    <row r="296" spans="1:41" ht="15" customHeight="1">
      <c r="A296" s="254">
        <v>296</v>
      </c>
      <c r="B296" s="253">
        <v>117</v>
      </c>
      <c r="C296" s="240" t="s">
        <v>68</v>
      </c>
      <c r="D296" s="288" t="s">
        <v>56</v>
      </c>
      <c r="E296" s="289"/>
      <c r="F296" s="239" t="s">
        <v>467</v>
      </c>
      <c r="G296" s="290" t="s">
        <v>517</v>
      </c>
      <c r="H296" s="291" t="s">
        <v>152</v>
      </c>
      <c r="I296" s="239" t="s">
        <v>216</v>
      </c>
      <c r="J296" s="424">
        <f t="shared" si="9"/>
        <v>365</v>
      </c>
      <c r="K296" s="425">
        <v>102</v>
      </c>
      <c r="L296" s="425">
        <v>153</v>
      </c>
      <c r="M296" s="425"/>
      <c r="N296" s="425">
        <v>102</v>
      </c>
      <c r="O296" s="425"/>
      <c r="P296" s="425">
        <v>8</v>
      </c>
      <c r="Q296" s="294">
        <v>27</v>
      </c>
      <c r="R296" s="295" t="e">
        <f>IF(K296="nio",0,(K296*Q296)/X296)*VLOOKUP(C296,'2-Uren per locatie'!$B$15:$D$74,3,FALSE)</f>
        <v>#DIV/0!</v>
      </c>
      <c r="S296" s="295" t="e">
        <f>IF(K296="nio",0,(L296*Q296)/Y296)*VLOOKUP(C296,'2-Uren per locatie'!$B$15:$D$74,3,FALSE)</f>
        <v>#DIV/0!</v>
      </c>
      <c r="T296" s="295" t="e">
        <f>IF(K296="nio",0,(M296*Q296)/Z296)*VLOOKUP(C296,'2-Uren per locatie'!$B$15:$D$74,3,FALSE)</f>
        <v>#DIV/0!</v>
      </c>
      <c r="U296" s="295" t="e">
        <f>IF(K296="nio",0,(N296*Q296)/AA296)*VLOOKUP(C296,'2-Uren per locatie'!$B$15:$D$74,3,FALSE)</f>
        <v>#DIV/0!</v>
      </c>
      <c r="V296" s="295" t="e">
        <f>IF(K296="nio",0,(O296*Q296)/Z296)*VLOOKUP(C296,'2-Uren per locatie'!$B$15:$D$74,3,FALSE)</f>
        <v>#DIV/0!</v>
      </c>
      <c r="W296" s="295" t="e">
        <f>IF(K296="nio",0,(P296*Q296)/AA296)*VLOOKUP(C296,'2-Uren per locatie'!$B$15:$D$74,3,FALSE)</f>
        <v>#DIV/0!</v>
      </c>
      <c r="X296" s="485">
        <f>IF(K296="nio",0,IF(K296&gt;0,VLOOKUP(H296,'3-Productie normen'!A:F,VLOOKUP(K296,'3-Productie normen'!$B$29:$C$34,2,FALSE),FALSE)))</f>
        <v>0</v>
      </c>
      <c r="Y296" s="485">
        <f>VLOOKUP(H296,'3-Productie normen'!$A$10:$J$24,8,FALSE)*'3-Ruimtestaat'!X296</f>
        <v>0</v>
      </c>
      <c r="Z296" s="485">
        <f>VLOOKUP(H296,'3-Productie normen'!$A$10:$J$24,9,FALSE)*'3-Ruimtestaat'!X296</f>
        <v>0</v>
      </c>
      <c r="AA296" s="485">
        <f>VLOOKUP(H296,'3-Productie normen'!$A$10:$J$24,10,FALSE)*'3-Ruimtestaat'!X296</f>
        <v>0</v>
      </c>
      <c r="AB296" s="292" t="str">
        <f>IF(H296="",0,VLOOKUP(H296,'3-Productie normen'!$A$10:$N$23,14,FALSE))</f>
        <v>V</v>
      </c>
      <c r="AD296" s="296">
        <f t="shared" si="10"/>
        <v>9855</v>
      </c>
      <c r="AE296" s="78"/>
      <c r="AF296" s="300" t="s">
        <v>507</v>
      </c>
      <c r="AG296" s="297"/>
      <c r="AH296" s="297"/>
      <c r="AI296" s="297"/>
      <c r="AJ296" s="297"/>
      <c r="AK296" s="298"/>
      <c r="AL296" s="298"/>
      <c r="AM296" s="298">
        <f>Q296</f>
        <v>27</v>
      </c>
      <c r="AN296" s="298"/>
      <c r="AO296" s="299"/>
    </row>
    <row r="297" spans="1:41" ht="15" customHeight="1">
      <c r="A297" s="254">
        <v>297</v>
      </c>
      <c r="B297" s="253">
        <v>117</v>
      </c>
      <c r="C297" s="240" t="s">
        <v>68</v>
      </c>
      <c r="D297" s="288" t="s">
        <v>56</v>
      </c>
      <c r="E297" s="289"/>
      <c r="F297" s="239" t="s">
        <v>390</v>
      </c>
      <c r="G297" s="290" t="s">
        <v>521</v>
      </c>
      <c r="H297" s="291" t="s">
        <v>155</v>
      </c>
      <c r="I297" s="239" t="s">
        <v>392</v>
      </c>
      <c r="J297" s="424">
        <f t="shared" si="9"/>
        <v>365</v>
      </c>
      <c r="K297" s="425">
        <v>102</v>
      </c>
      <c r="L297" s="425">
        <v>153</v>
      </c>
      <c r="M297" s="425"/>
      <c r="N297" s="425">
        <v>102</v>
      </c>
      <c r="O297" s="425"/>
      <c r="P297" s="425">
        <v>8</v>
      </c>
      <c r="Q297" s="294">
        <v>30</v>
      </c>
      <c r="R297" s="295" t="e">
        <f>IF(K297="nio",0,(K297*Q297)/X297)*VLOOKUP(C297,'2-Uren per locatie'!$B$15:$D$74,3,FALSE)</f>
        <v>#DIV/0!</v>
      </c>
      <c r="S297" s="295" t="e">
        <f>IF(K297="nio",0,(L297*Q297)/Y297)*VLOOKUP(C297,'2-Uren per locatie'!$B$15:$D$74,3,FALSE)</f>
        <v>#DIV/0!</v>
      </c>
      <c r="T297" s="295" t="e">
        <f>IF(K297="nio",0,(M297*Q297)/Z297)*VLOOKUP(C297,'2-Uren per locatie'!$B$15:$D$74,3,FALSE)</f>
        <v>#DIV/0!</v>
      </c>
      <c r="U297" s="295" t="e">
        <f>IF(K297="nio",0,(N297*Q297)/AA297)*VLOOKUP(C297,'2-Uren per locatie'!$B$15:$D$74,3,FALSE)</f>
        <v>#DIV/0!</v>
      </c>
      <c r="V297" s="295" t="e">
        <f>IF(K297="nio",0,(O297*Q297)/Z297)*VLOOKUP(C297,'2-Uren per locatie'!$B$15:$D$74,3,FALSE)</f>
        <v>#DIV/0!</v>
      </c>
      <c r="W297" s="295" t="e">
        <f>IF(K297="nio",0,(P297*Q297)/AA297)*VLOOKUP(C297,'2-Uren per locatie'!$B$15:$D$74,3,FALSE)</f>
        <v>#DIV/0!</v>
      </c>
      <c r="X297" s="485">
        <f>IF(K297="nio",0,IF(K297&gt;0,VLOOKUP(H297,'3-Productie normen'!A:F,VLOOKUP(K297,'3-Productie normen'!$B$29:$C$34,2,FALSE),FALSE)))</f>
        <v>0</v>
      </c>
      <c r="Y297" s="485">
        <f>VLOOKUP(H297,'3-Productie normen'!$A$10:$J$24,8,FALSE)*'3-Ruimtestaat'!X297</f>
        <v>0</v>
      </c>
      <c r="Z297" s="485">
        <f>VLOOKUP(H297,'3-Productie normen'!$A$10:$J$24,9,FALSE)*'3-Ruimtestaat'!X297</f>
        <v>0</v>
      </c>
      <c r="AA297" s="485">
        <f>VLOOKUP(H297,'3-Productie normen'!$A$10:$J$24,10,FALSE)*'3-Ruimtestaat'!X297</f>
        <v>0</v>
      </c>
      <c r="AB297" s="292" t="str">
        <f>IF(H297="",0,VLOOKUP(H297,'3-Productie normen'!$A$10:$N$23,14,FALSE))</f>
        <v>V</v>
      </c>
      <c r="AD297" s="296">
        <f t="shared" si="10"/>
        <v>10950</v>
      </c>
      <c r="AE297" s="78"/>
      <c r="AF297" s="300" t="s">
        <v>507</v>
      </c>
      <c r="AG297" s="297"/>
      <c r="AH297" s="297"/>
      <c r="AI297" s="297"/>
      <c r="AJ297" s="297"/>
      <c r="AK297" s="298"/>
      <c r="AL297" s="298"/>
      <c r="AM297" s="298">
        <f>Q297</f>
        <v>30</v>
      </c>
      <c r="AN297" s="298"/>
      <c r="AO297" s="299"/>
    </row>
    <row r="298" spans="1:41" ht="15" customHeight="1">
      <c r="A298" s="254">
        <v>298</v>
      </c>
      <c r="B298" s="253">
        <v>117</v>
      </c>
      <c r="C298" s="240" t="s">
        <v>68</v>
      </c>
      <c r="D298" s="288" t="s">
        <v>56</v>
      </c>
      <c r="E298" s="289"/>
      <c r="F298" s="239" t="s">
        <v>390</v>
      </c>
      <c r="G298" s="290" t="s">
        <v>522</v>
      </c>
      <c r="H298" s="291" t="s">
        <v>155</v>
      </c>
      <c r="I298" s="239" t="s">
        <v>384</v>
      </c>
      <c r="J298" s="424">
        <f t="shared" si="9"/>
        <v>365</v>
      </c>
      <c r="K298" s="425">
        <v>102</v>
      </c>
      <c r="L298" s="425">
        <v>153</v>
      </c>
      <c r="M298" s="425"/>
      <c r="N298" s="425">
        <v>102</v>
      </c>
      <c r="O298" s="425"/>
      <c r="P298" s="425">
        <v>8</v>
      </c>
      <c r="Q298" s="294">
        <v>30</v>
      </c>
      <c r="R298" s="295" t="e">
        <f>IF(K298="nio",0,(K298*Q298)/X298)*VLOOKUP(C298,'2-Uren per locatie'!$B$15:$D$74,3,FALSE)</f>
        <v>#DIV/0!</v>
      </c>
      <c r="S298" s="295" t="e">
        <f>IF(K298="nio",0,(L298*Q298)/Y298)*VLOOKUP(C298,'2-Uren per locatie'!$B$15:$D$74,3,FALSE)</f>
        <v>#DIV/0!</v>
      </c>
      <c r="T298" s="295" t="e">
        <f>IF(K298="nio",0,(M298*Q298)/Z298)*VLOOKUP(C298,'2-Uren per locatie'!$B$15:$D$74,3,FALSE)</f>
        <v>#DIV/0!</v>
      </c>
      <c r="U298" s="295" t="e">
        <f>IF(K298="nio",0,(N298*Q298)/AA298)*VLOOKUP(C298,'2-Uren per locatie'!$B$15:$D$74,3,FALSE)</f>
        <v>#DIV/0!</v>
      </c>
      <c r="V298" s="295" t="e">
        <f>IF(K298="nio",0,(O298*Q298)/Z298)*VLOOKUP(C298,'2-Uren per locatie'!$B$15:$D$74,3,FALSE)</f>
        <v>#DIV/0!</v>
      </c>
      <c r="W298" s="295" t="e">
        <f>IF(K298="nio",0,(P298*Q298)/AA298)*VLOOKUP(C298,'2-Uren per locatie'!$B$15:$D$74,3,FALSE)</f>
        <v>#DIV/0!</v>
      </c>
      <c r="X298" s="485">
        <f>IF(K298="nio",0,IF(K298&gt;0,VLOOKUP(H298,'3-Productie normen'!A:F,VLOOKUP(K298,'3-Productie normen'!$B$29:$C$34,2,FALSE),FALSE)))</f>
        <v>0</v>
      </c>
      <c r="Y298" s="485">
        <f>VLOOKUP(H298,'3-Productie normen'!$A$10:$J$24,8,FALSE)*'3-Ruimtestaat'!X298</f>
        <v>0</v>
      </c>
      <c r="Z298" s="485">
        <f>VLOOKUP(H298,'3-Productie normen'!$A$10:$J$24,9,FALSE)*'3-Ruimtestaat'!X298</f>
        <v>0</v>
      </c>
      <c r="AA298" s="485">
        <f>VLOOKUP(H298,'3-Productie normen'!$A$10:$J$24,10,FALSE)*'3-Ruimtestaat'!X298</f>
        <v>0</v>
      </c>
      <c r="AB298" s="292" t="str">
        <f>IF(H298="",0,VLOOKUP(H298,'3-Productie normen'!$A$10:$N$23,14,FALSE))</f>
        <v>V</v>
      </c>
      <c r="AD298" s="296">
        <f t="shared" si="10"/>
        <v>10950</v>
      </c>
      <c r="AE298" s="78"/>
      <c r="AF298" s="300" t="s">
        <v>507</v>
      </c>
      <c r="AG298" s="297"/>
      <c r="AH298" s="297"/>
      <c r="AI298" s="297"/>
      <c r="AJ298" s="297"/>
      <c r="AK298" s="298"/>
      <c r="AL298" s="298"/>
      <c r="AM298" s="298">
        <f>Q298</f>
        <v>30</v>
      </c>
      <c r="AN298" s="298"/>
      <c r="AO298" s="299"/>
    </row>
    <row r="299" spans="1:41" ht="15" customHeight="1">
      <c r="A299" s="254">
        <v>299</v>
      </c>
      <c r="B299" s="253">
        <v>118</v>
      </c>
      <c r="C299" s="240" t="s">
        <v>69</v>
      </c>
      <c r="D299" s="288" t="s">
        <v>56</v>
      </c>
      <c r="E299" s="289"/>
      <c r="F299" s="239" t="s">
        <v>395</v>
      </c>
      <c r="G299" s="290" t="s">
        <v>505</v>
      </c>
      <c r="H299" s="291" t="s">
        <v>145</v>
      </c>
      <c r="I299" s="239" t="s">
        <v>203</v>
      </c>
      <c r="J299" s="424">
        <f t="shared" si="9"/>
        <v>365</v>
      </c>
      <c r="K299" s="425">
        <v>102</v>
      </c>
      <c r="L299" s="425">
        <v>153</v>
      </c>
      <c r="M299" s="425"/>
      <c r="N299" s="425">
        <v>102</v>
      </c>
      <c r="O299" s="425"/>
      <c r="P299" s="425">
        <v>8</v>
      </c>
      <c r="Q299" s="294">
        <v>188</v>
      </c>
      <c r="R299" s="295" t="e">
        <f>IF(K299="nio",0,(K299*Q299)/X299)*VLOOKUP(C299,'2-Uren per locatie'!$B$15:$D$74,3,FALSE)</f>
        <v>#DIV/0!</v>
      </c>
      <c r="S299" s="295" t="e">
        <f>IF(K299="nio",0,(L299*Q299)/Y299)*VLOOKUP(C299,'2-Uren per locatie'!$B$15:$D$74,3,FALSE)</f>
        <v>#DIV/0!</v>
      </c>
      <c r="T299" s="295" t="e">
        <f>IF(K299="nio",0,(M299*Q299)/Z299)*VLOOKUP(C299,'2-Uren per locatie'!$B$15:$D$74,3,FALSE)</f>
        <v>#DIV/0!</v>
      </c>
      <c r="U299" s="295" t="e">
        <f>IF(K299="nio",0,(N299*Q299)/AA299)*VLOOKUP(C299,'2-Uren per locatie'!$B$15:$D$74,3,FALSE)</f>
        <v>#DIV/0!</v>
      </c>
      <c r="V299" s="295" t="e">
        <f>IF(K299="nio",0,(O299*Q299)/Z299)*VLOOKUP(C299,'2-Uren per locatie'!$B$15:$D$74,3,FALSE)</f>
        <v>#DIV/0!</v>
      </c>
      <c r="W299" s="295" t="e">
        <f>IF(K299="nio",0,(P299*Q299)/AA299)*VLOOKUP(C299,'2-Uren per locatie'!$B$15:$D$74,3,FALSE)</f>
        <v>#DIV/0!</v>
      </c>
      <c r="X299" s="485">
        <f>IF(K299="nio",0,IF(K299&gt;0,VLOOKUP(H299,'3-Productie normen'!A:F,VLOOKUP(K299,'3-Productie normen'!$B$29:$C$34,2,FALSE),FALSE)))</f>
        <v>0</v>
      </c>
      <c r="Y299" s="485">
        <f>VLOOKUP(H299,'3-Productie normen'!$A$10:$J$24,8,FALSE)*'3-Ruimtestaat'!X299</f>
        <v>0</v>
      </c>
      <c r="Z299" s="485">
        <f>VLOOKUP(H299,'3-Productie normen'!$A$10:$J$24,9,FALSE)*'3-Ruimtestaat'!X299</f>
        <v>0</v>
      </c>
      <c r="AA299" s="485">
        <f>VLOOKUP(H299,'3-Productie normen'!$A$10:$J$24,10,FALSE)*'3-Ruimtestaat'!X299</f>
        <v>0</v>
      </c>
      <c r="AB299" s="292" t="str">
        <f>IF(H299="",0,VLOOKUP(H299,'3-Productie normen'!$A$10:$N$23,14,FALSE))</f>
        <v>V</v>
      </c>
      <c r="AD299" s="296">
        <f t="shared" si="10"/>
        <v>68620</v>
      </c>
      <c r="AE299" s="78"/>
      <c r="AF299" s="297"/>
      <c r="AG299" s="297">
        <v>470</v>
      </c>
      <c r="AH299" s="297"/>
      <c r="AI299" s="297"/>
      <c r="AJ299" s="297"/>
      <c r="AK299" s="298"/>
      <c r="AL299" s="298"/>
      <c r="AM299" s="298">
        <f>Q299</f>
        <v>188</v>
      </c>
      <c r="AN299" s="298"/>
      <c r="AO299" s="299"/>
    </row>
    <row r="300" spans="1:41" ht="15" customHeight="1">
      <c r="A300" s="254">
        <v>300</v>
      </c>
      <c r="B300" s="253">
        <v>118</v>
      </c>
      <c r="C300" s="240" t="s">
        <v>69</v>
      </c>
      <c r="D300" s="288" t="s">
        <v>56</v>
      </c>
      <c r="E300" s="289"/>
      <c r="F300" s="239" t="s">
        <v>523</v>
      </c>
      <c r="G300" s="290" t="s">
        <v>509</v>
      </c>
      <c r="H300" s="291" t="s">
        <v>153</v>
      </c>
      <c r="I300" s="239" t="s">
        <v>299</v>
      </c>
      <c r="J300" s="424">
        <f t="shared" si="9"/>
        <v>365</v>
      </c>
      <c r="K300" s="425">
        <v>255</v>
      </c>
      <c r="L300" s="425"/>
      <c r="M300" s="425">
        <v>102</v>
      </c>
      <c r="N300" s="425"/>
      <c r="O300" s="425">
        <v>8</v>
      </c>
      <c r="P300" s="425"/>
      <c r="Q300" s="294">
        <v>4</v>
      </c>
      <c r="R300" s="295" t="e">
        <f>IF(K300="nio",0,(K300*Q300)/X300)*VLOOKUP(C300,'2-Uren per locatie'!$B$15:$D$74,3,FALSE)</f>
        <v>#DIV/0!</v>
      </c>
      <c r="S300" s="295" t="e">
        <f>IF(K300="nio",0,(L300*Q300)/Y300)*VLOOKUP(C300,'2-Uren per locatie'!$B$15:$D$74,3,FALSE)</f>
        <v>#DIV/0!</v>
      </c>
      <c r="T300" s="295" t="e">
        <f>IF(K300="nio",0,(M300*Q300)/Z300)*VLOOKUP(C300,'2-Uren per locatie'!$B$15:$D$74,3,FALSE)</f>
        <v>#DIV/0!</v>
      </c>
      <c r="U300" s="295" t="e">
        <f>IF(K300="nio",0,(N300*Q300)/AA300)*VLOOKUP(C300,'2-Uren per locatie'!$B$15:$D$74,3,FALSE)</f>
        <v>#DIV/0!</v>
      </c>
      <c r="V300" s="295" t="e">
        <f>IF(K300="nio",0,(O300*Q300)/Z300)*VLOOKUP(C300,'2-Uren per locatie'!$B$15:$D$74,3,FALSE)</f>
        <v>#DIV/0!</v>
      </c>
      <c r="W300" s="295" t="e">
        <f>IF(K300="nio",0,(P300*Q300)/AA300)*VLOOKUP(C300,'2-Uren per locatie'!$B$15:$D$74,3,FALSE)</f>
        <v>#DIV/0!</v>
      </c>
      <c r="X300" s="485">
        <f>IF(K300="nio",0,IF(K300&gt;0,VLOOKUP(H300,'3-Productie normen'!A:F,VLOOKUP(K300,'3-Productie normen'!$B$29:$C$34,2,FALSE),FALSE)))</f>
        <v>0</v>
      </c>
      <c r="Y300" s="485">
        <f>VLOOKUP(H300,'3-Productie normen'!$A$10:$J$24,8,FALSE)*'3-Ruimtestaat'!X300</f>
        <v>0</v>
      </c>
      <c r="Z300" s="485">
        <f>VLOOKUP(H300,'3-Productie normen'!$A$10:$J$24,9,FALSE)*'3-Ruimtestaat'!X300</f>
        <v>0</v>
      </c>
      <c r="AA300" s="485">
        <f>VLOOKUP(H300,'3-Productie normen'!$A$10:$J$24,10,FALSE)*'3-Ruimtestaat'!X300</f>
        <v>0</v>
      </c>
      <c r="AB300" s="292" t="str">
        <f>IF(H300="",0,VLOOKUP(H300,'3-Productie normen'!$A$10:$N$23,14,FALSE))</f>
        <v>S</v>
      </c>
      <c r="AD300" s="296">
        <f t="shared" si="10"/>
        <v>1460</v>
      </c>
      <c r="AE300" s="78"/>
      <c r="AF300" s="297">
        <v>23</v>
      </c>
      <c r="AG300" s="297"/>
      <c r="AH300" s="297"/>
      <c r="AI300" s="297"/>
      <c r="AJ300" s="297"/>
      <c r="AK300" s="298"/>
      <c r="AL300" s="298"/>
      <c r="AM300" s="298"/>
      <c r="AN300" s="298">
        <f>Q300</f>
        <v>4</v>
      </c>
      <c r="AO300" s="299"/>
    </row>
    <row r="301" spans="1:41" ht="15" customHeight="1">
      <c r="A301" s="254">
        <v>301</v>
      </c>
      <c r="B301" s="253">
        <v>118</v>
      </c>
      <c r="C301" s="240" t="s">
        <v>69</v>
      </c>
      <c r="D301" s="288" t="s">
        <v>56</v>
      </c>
      <c r="E301" s="289"/>
      <c r="F301" s="239" t="s">
        <v>524</v>
      </c>
      <c r="G301" s="290" t="s">
        <v>511</v>
      </c>
      <c r="H301" s="291" t="s">
        <v>153</v>
      </c>
      <c r="I301" s="239" t="s">
        <v>299</v>
      </c>
      <c r="J301" s="424">
        <f t="shared" si="9"/>
        <v>365</v>
      </c>
      <c r="K301" s="425">
        <v>255</v>
      </c>
      <c r="L301" s="425"/>
      <c r="M301" s="425">
        <v>102</v>
      </c>
      <c r="N301" s="425"/>
      <c r="O301" s="425">
        <v>8</v>
      </c>
      <c r="P301" s="425"/>
      <c r="Q301" s="294">
        <v>4</v>
      </c>
      <c r="R301" s="295" t="e">
        <f>IF(K301="nio",0,(K301*Q301)/X301)*VLOOKUP(C301,'2-Uren per locatie'!$B$15:$D$74,3,FALSE)</f>
        <v>#DIV/0!</v>
      </c>
      <c r="S301" s="295" t="e">
        <f>IF(K301="nio",0,(L301*Q301)/Y301)*VLOOKUP(C301,'2-Uren per locatie'!$B$15:$D$74,3,FALSE)</f>
        <v>#DIV/0!</v>
      </c>
      <c r="T301" s="295" t="e">
        <f>IF(K301="nio",0,(M301*Q301)/Z301)*VLOOKUP(C301,'2-Uren per locatie'!$B$15:$D$74,3,FALSE)</f>
        <v>#DIV/0!</v>
      </c>
      <c r="U301" s="295" t="e">
        <f>IF(K301="nio",0,(N301*Q301)/AA301)*VLOOKUP(C301,'2-Uren per locatie'!$B$15:$D$74,3,FALSE)</f>
        <v>#DIV/0!</v>
      </c>
      <c r="V301" s="295" t="e">
        <f>IF(K301="nio",0,(O301*Q301)/Z301)*VLOOKUP(C301,'2-Uren per locatie'!$B$15:$D$74,3,FALSE)</f>
        <v>#DIV/0!</v>
      </c>
      <c r="W301" s="295" t="e">
        <f>IF(K301="nio",0,(P301*Q301)/AA301)*VLOOKUP(C301,'2-Uren per locatie'!$B$15:$D$74,3,FALSE)</f>
        <v>#DIV/0!</v>
      </c>
      <c r="X301" s="485">
        <f>IF(K301="nio",0,IF(K301&gt;0,VLOOKUP(H301,'3-Productie normen'!A:F,VLOOKUP(K301,'3-Productie normen'!$B$29:$C$34,2,FALSE),FALSE)))</f>
        <v>0</v>
      </c>
      <c r="Y301" s="485">
        <f>VLOOKUP(H301,'3-Productie normen'!$A$10:$J$24,8,FALSE)*'3-Ruimtestaat'!X301</f>
        <v>0</v>
      </c>
      <c r="Z301" s="485">
        <f>VLOOKUP(H301,'3-Productie normen'!$A$10:$J$24,9,FALSE)*'3-Ruimtestaat'!X301</f>
        <v>0</v>
      </c>
      <c r="AA301" s="485">
        <f>VLOOKUP(H301,'3-Productie normen'!$A$10:$J$24,10,FALSE)*'3-Ruimtestaat'!X301</f>
        <v>0</v>
      </c>
      <c r="AB301" s="292" t="str">
        <f>IF(H301="",0,VLOOKUP(H301,'3-Productie normen'!$A$10:$N$23,14,FALSE))</f>
        <v>S</v>
      </c>
      <c r="AD301" s="296">
        <f t="shared" si="10"/>
        <v>1460</v>
      </c>
      <c r="AE301" s="78"/>
      <c r="AF301" s="297">
        <v>23</v>
      </c>
      <c r="AG301" s="297"/>
      <c r="AH301" s="297"/>
      <c r="AI301" s="297"/>
      <c r="AJ301" s="297"/>
      <c r="AK301" s="298"/>
      <c r="AL301" s="298"/>
      <c r="AM301" s="298"/>
      <c r="AN301" s="298">
        <f>Q301</f>
        <v>4</v>
      </c>
      <c r="AO301" s="299"/>
    </row>
    <row r="302" spans="1:41" ht="15" customHeight="1">
      <c r="A302" s="254">
        <v>302</v>
      </c>
      <c r="B302" s="253">
        <v>118</v>
      </c>
      <c r="C302" s="240" t="s">
        <v>69</v>
      </c>
      <c r="D302" s="288" t="s">
        <v>56</v>
      </c>
      <c r="E302" s="289"/>
      <c r="F302" s="239" t="s">
        <v>376</v>
      </c>
      <c r="G302" s="290" t="s">
        <v>512</v>
      </c>
      <c r="H302" s="291" t="s">
        <v>149</v>
      </c>
      <c r="I302" s="239" t="s">
        <v>245</v>
      </c>
      <c r="J302" s="424">
        <f t="shared" si="9"/>
        <v>365</v>
      </c>
      <c r="K302" s="425">
        <v>102</v>
      </c>
      <c r="L302" s="425">
        <v>153</v>
      </c>
      <c r="M302" s="425"/>
      <c r="N302" s="425">
        <v>102</v>
      </c>
      <c r="O302" s="425"/>
      <c r="P302" s="425">
        <v>8</v>
      </c>
      <c r="Q302" s="294">
        <v>4</v>
      </c>
      <c r="R302" s="295" t="e">
        <f>IF(K302="nio",0,(K302*Q302)/X302)*VLOOKUP(C302,'2-Uren per locatie'!$B$15:$D$74,3,FALSE)</f>
        <v>#DIV/0!</v>
      </c>
      <c r="S302" s="295" t="e">
        <f>IF(K302="nio",0,(L302*Q302)/Y302)*VLOOKUP(C302,'2-Uren per locatie'!$B$15:$D$74,3,FALSE)</f>
        <v>#DIV/0!</v>
      </c>
      <c r="T302" s="295" t="e">
        <f>IF(K302="nio",0,(M302*Q302)/Z302)*VLOOKUP(C302,'2-Uren per locatie'!$B$15:$D$74,3,FALSE)</f>
        <v>#DIV/0!</v>
      </c>
      <c r="U302" s="295" t="e">
        <f>IF(K302="nio",0,(N302*Q302)/AA302)*VLOOKUP(C302,'2-Uren per locatie'!$B$15:$D$74,3,FALSE)</f>
        <v>#DIV/0!</v>
      </c>
      <c r="V302" s="295" t="e">
        <f>IF(K302="nio",0,(O302*Q302)/Z302)*VLOOKUP(C302,'2-Uren per locatie'!$B$15:$D$74,3,FALSE)</f>
        <v>#DIV/0!</v>
      </c>
      <c r="W302" s="295" t="e">
        <f>IF(K302="nio",0,(P302*Q302)/AA302)*VLOOKUP(C302,'2-Uren per locatie'!$B$15:$D$74,3,FALSE)</f>
        <v>#DIV/0!</v>
      </c>
      <c r="X302" s="485">
        <f>IF(K302="nio",0,IF(K302&gt;0,VLOOKUP(H302,'3-Productie normen'!A:F,VLOOKUP(K302,'3-Productie normen'!$B$29:$C$34,2,FALSE),FALSE)))</f>
        <v>0</v>
      </c>
      <c r="Y302" s="485">
        <f>VLOOKUP(H302,'3-Productie normen'!$A$10:$J$24,8,FALSE)*'3-Ruimtestaat'!X302</f>
        <v>0</v>
      </c>
      <c r="Z302" s="485">
        <f>VLOOKUP(H302,'3-Productie normen'!$A$10:$J$24,9,FALSE)*'3-Ruimtestaat'!X302</f>
        <v>0</v>
      </c>
      <c r="AA302" s="485">
        <f>VLOOKUP(H302,'3-Productie normen'!$A$10:$J$24,10,FALSE)*'3-Ruimtestaat'!X302</f>
        <v>0</v>
      </c>
      <c r="AB302" s="292" t="str">
        <f>IF(H302="",0,VLOOKUP(H302,'3-Productie normen'!$A$10:$N$23,14,FALSE))</f>
        <v>V</v>
      </c>
      <c r="AD302" s="296">
        <f t="shared" si="10"/>
        <v>1460</v>
      </c>
      <c r="AE302" s="78"/>
      <c r="AF302" s="297"/>
      <c r="AG302" s="297"/>
      <c r="AH302" s="297"/>
      <c r="AI302" s="297">
        <v>15</v>
      </c>
      <c r="AJ302" s="297"/>
      <c r="AK302" s="298"/>
      <c r="AL302" s="298"/>
      <c r="AM302" s="298"/>
      <c r="AN302" s="298">
        <f>Q302</f>
        <v>4</v>
      </c>
      <c r="AO302" s="299"/>
    </row>
    <row r="303" spans="1:41" ht="15" customHeight="1">
      <c r="A303" s="254">
        <v>303</v>
      </c>
      <c r="B303" s="253">
        <v>118</v>
      </c>
      <c r="C303" s="240" t="s">
        <v>69</v>
      </c>
      <c r="D303" s="288" t="s">
        <v>56</v>
      </c>
      <c r="E303" s="289"/>
      <c r="F303" s="239" t="s">
        <v>450</v>
      </c>
      <c r="G303" s="290" t="s">
        <v>525</v>
      </c>
      <c r="H303" s="291" t="s">
        <v>146</v>
      </c>
      <c r="I303" s="239" t="s">
        <v>384</v>
      </c>
      <c r="J303" s="424">
        <f t="shared" si="9"/>
        <v>156</v>
      </c>
      <c r="K303" s="425">
        <v>156</v>
      </c>
      <c r="L303" s="425"/>
      <c r="M303" s="425"/>
      <c r="N303" s="425"/>
      <c r="O303" s="425"/>
      <c r="P303" s="425"/>
      <c r="Q303" s="294">
        <v>13</v>
      </c>
      <c r="R303" s="295" t="e">
        <f>IF(K303="nio",0,(K303*Q303)/X303)*VLOOKUP(C303,'2-Uren per locatie'!$B$15:$D$74,3,FALSE)</f>
        <v>#DIV/0!</v>
      </c>
      <c r="S303" s="295" t="e">
        <f>IF(K303="nio",0,(L303*Q303)/Y303)*VLOOKUP(C303,'2-Uren per locatie'!$B$15:$D$74,3,FALSE)</f>
        <v>#DIV/0!</v>
      </c>
      <c r="T303" s="295" t="e">
        <f>IF(K303="nio",0,(M303*Q303)/Z303)*VLOOKUP(C303,'2-Uren per locatie'!$B$15:$D$74,3,FALSE)</f>
        <v>#DIV/0!</v>
      </c>
      <c r="U303" s="295" t="e">
        <f>IF(K303="nio",0,(N303*Q303)/AA303)*VLOOKUP(C303,'2-Uren per locatie'!$B$15:$D$74,3,FALSE)</f>
        <v>#DIV/0!</v>
      </c>
      <c r="V303" s="295" t="e">
        <f>IF(K303="nio",0,(O303*Q303)/Z303)*VLOOKUP(C303,'2-Uren per locatie'!$B$15:$D$74,3,FALSE)</f>
        <v>#DIV/0!</v>
      </c>
      <c r="W303" s="295" t="e">
        <f>IF(K303="nio",0,(P303*Q303)/AA303)*VLOOKUP(C303,'2-Uren per locatie'!$B$15:$D$74,3,FALSE)</f>
        <v>#DIV/0!</v>
      </c>
      <c r="X303" s="485">
        <f>IF(K303="nio",0,IF(K303&gt;0,VLOOKUP(H303,'3-Productie normen'!A:F,VLOOKUP(K303,'3-Productie normen'!$B$29:$C$34,2,FALSE),FALSE)))</f>
        <v>0</v>
      </c>
      <c r="Y303" s="485">
        <f>VLOOKUP(H303,'3-Productie normen'!$A$10:$J$24,8,FALSE)*'3-Ruimtestaat'!X303</f>
        <v>0</v>
      </c>
      <c r="Z303" s="485">
        <f>VLOOKUP(H303,'3-Productie normen'!$A$10:$J$24,9,FALSE)*'3-Ruimtestaat'!X303</f>
        <v>0</v>
      </c>
      <c r="AA303" s="485">
        <f>VLOOKUP(H303,'3-Productie normen'!$A$10:$J$24,10,FALSE)*'3-Ruimtestaat'!X303</f>
        <v>0</v>
      </c>
      <c r="AB303" s="292" t="str">
        <f>IF(H303="",0,VLOOKUP(H303,'3-Productie normen'!$A$10:$N$23,14,FALSE))</f>
        <v>B</v>
      </c>
      <c r="AD303" s="296">
        <f t="shared" si="10"/>
        <v>2028</v>
      </c>
      <c r="AE303" s="78"/>
      <c r="AF303" s="297"/>
      <c r="AG303" s="297">
        <v>49</v>
      </c>
      <c r="AH303" s="297"/>
      <c r="AI303" s="297"/>
      <c r="AJ303" s="297"/>
      <c r="AK303" s="298"/>
      <c r="AL303" s="298"/>
      <c r="AM303" s="298">
        <f>Q303</f>
        <v>13</v>
      </c>
      <c r="AN303" s="298"/>
      <c r="AO303" s="299"/>
    </row>
    <row r="304" spans="1:41" ht="15" customHeight="1">
      <c r="A304" s="254">
        <v>304</v>
      </c>
      <c r="B304" s="253">
        <v>118</v>
      </c>
      <c r="C304" s="240" t="s">
        <v>69</v>
      </c>
      <c r="D304" s="288" t="s">
        <v>56</v>
      </c>
      <c r="E304" s="289"/>
      <c r="F304" s="239" t="s">
        <v>249</v>
      </c>
      <c r="G304" s="290" t="s">
        <v>526</v>
      </c>
      <c r="H304" s="291" t="s">
        <v>151</v>
      </c>
      <c r="I304" s="239" t="s">
        <v>434</v>
      </c>
      <c r="J304" s="424">
        <f t="shared" si="9"/>
        <v>365</v>
      </c>
      <c r="K304" s="425">
        <v>102</v>
      </c>
      <c r="L304" s="425">
        <v>153</v>
      </c>
      <c r="M304" s="425"/>
      <c r="N304" s="425">
        <v>102</v>
      </c>
      <c r="O304" s="425"/>
      <c r="P304" s="425">
        <v>8</v>
      </c>
      <c r="Q304" s="294">
        <v>1340</v>
      </c>
      <c r="R304" s="295" t="e">
        <f>IF(K304="nio",0,(K304*Q304)/X304)*VLOOKUP(C304,'2-Uren per locatie'!$B$15:$D$74,3,FALSE)</f>
        <v>#DIV/0!</v>
      </c>
      <c r="S304" s="295" t="e">
        <f>IF(K304="nio",0,(L304*Q304)/Y304)*VLOOKUP(C304,'2-Uren per locatie'!$B$15:$D$74,3,FALSE)</f>
        <v>#DIV/0!</v>
      </c>
      <c r="T304" s="295" t="e">
        <f>IF(K304="nio",0,(M304*Q304)/Z304)*VLOOKUP(C304,'2-Uren per locatie'!$B$15:$D$74,3,FALSE)</f>
        <v>#DIV/0!</v>
      </c>
      <c r="U304" s="295" t="e">
        <f>IF(K304="nio",0,(N304*Q304)/AA304)*VLOOKUP(C304,'2-Uren per locatie'!$B$15:$D$74,3,FALSE)</f>
        <v>#DIV/0!</v>
      </c>
      <c r="V304" s="295" t="e">
        <f>IF(K304="nio",0,(O304*Q304)/Z304)*VLOOKUP(C304,'2-Uren per locatie'!$B$15:$D$74,3,FALSE)</f>
        <v>#DIV/0!</v>
      </c>
      <c r="W304" s="295" t="e">
        <f>IF(K304="nio",0,(P304*Q304)/AA304)*VLOOKUP(C304,'2-Uren per locatie'!$B$15:$D$74,3,FALSE)</f>
        <v>#DIV/0!</v>
      </c>
      <c r="X304" s="485">
        <f>IF(K304="nio",0,IF(K304&gt;0,VLOOKUP(H304,'3-Productie normen'!A:F,VLOOKUP(K304,'3-Productie normen'!$B$29:$C$34,2,FALSE),FALSE)))</f>
        <v>0</v>
      </c>
      <c r="Y304" s="485">
        <f>VLOOKUP(H304,'3-Productie normen'!$A$10:$J$24,8,FALSE)*'3-Ruimtestaat'!X304</f>
        <v>0</v>
      </c>
      <c r="Z304" s="485">
        <f>VLOOKUP(H304,'3-Productie normen'!$A$10:$J$24,9,FALSE)*'3-Ruimtestaat'!X304</f>
        <v>0</v>
      </c>
      <c r="AA304" s="485">
        <f>VLOOKUP(H304,'3-Productie normen'!$A$10:$J$24,10,FALSE)*'3-Ruimtestaat'!X304</f>
        <v>0</v>
      </c>
      <c r="AB304" s="292" t="str">
        <f>IF(H304="",0,VLOOKUP(H304,'3-Productie normen'!$A$10:$N$23,14,FALSE))</f>
        <v>V</v>
      </c>
      <c r="AD304" s="296">
        <f t="shared" si="10"/>
        <v>489100</v>
      </c>
      <c r="AE304" s="78"/>
      <c r="AF304" s="297"/>
      <c r="AG304" s="297"/>
      <c r="AH304" s="297"/>
      <c r="AI304" s="297"/>
      <c r="AJ304" s="297"/>
      <c r="AK304" s="298">
        <v>536</v>
      </c>
      <c r="AL304" s="298"/>
      <c r="AM304" s="298"/>
      <c r="AN304" s="298"/>
      <c r="AO304" s="299"/>
    </row>
    <row r="305" spans="1:41" ht="15" customHeight="1">
      <c r="A305" s="254">
        <v>305</v>
      </c>
      <c r="B305" s="253">
        <v>118</v>
      </c>
      <c r="C305" s="240" t="s">
        <v>69</v>
      </c>
      <c r="D305" s="288" t="s">
        <v>56</v>
      </c>
      <c r="E305" s="289"/>
      <c r="F305" s="239" t="s">
        <v>527</v>
      </c>
      <c r="G305" s="290" t="s">
        <v>388</v>
      </c>
      <c r="H305" s="291" t="s">
        <v>155</v>
      </c>
      <c r="I305" s="239" t="s">
        <v>392</v>
      </c>
      <c r="J305" s="424">
        <f t="shared" si="9"/>
        <v>365</v>
      </c>
      <c r="K305" s="425">
        <v>102</v>
      </c>
      <c r="L305" s="425">
        <v>153</v>
      </c>
      <c r="M305" s="425"/>
      <c r="N305" s="425">
        <v>102</v>
      </c>
      <c r="O305" s="425"/>
      <c r="P305" s="425">
        <v>8</v>
      </c>
      <c r="Q305" s="294">
        <v>30</v>
      </c>
      <c r="R305" s="295" t="e">
        <f>IF(K305="nio",0,(K305*Q305)/X305)*VLOOKUP(C305,'2-Uren per locatie'!$B$15:$D$74,3,FALSE)</f>
        <v>#DIV/0!</v>
      </c>
      <c r="S305" s="295" t="e">
        <f>IF(K305="nio",0,(L305*Q305)/Y305)*VLOOKUP(C305,'2-Uren per locatie'!$B$15:$D$74,3,FALSE)</f>
        <v>#DIV/0!</v>
      </c>
      <c r="T305" s="295" t="e">
        <f>IF(K305="nio",0,(M305*Q305)/Z305)*VLOOKUP(C305,'2-Uren per locatie'!$B$15:$D$74,3,FALSE)</f>
        <v>#DIV/0!</v>
      </c>
      <c r="U305" s="295" t="e">
        <f>IF(K305="nio",0,(N305*Q305)/AA305)*VLOOKUP(C305,'2-Uren per locatie'!$B$15:$D$74,3,FALSE)</f>
        <v>#DIV/0!</v>
      </c>
      <c r="V305" s="295" t="e">
        <f>IF(K305="nio",0,(O305*Q305)/Z305)*VLOOKUP(C305,'2-Uren per locatie'!$B$15:$D$74,3,FALSE)</f>
        <v>#DIV/0!</v>
      </c>
      <c r="W305" s="295" t="e">
        <f>IF(K305="nio",0,(P305*Q305)/AA305)*VLOOKUP(C305,'2-Uren per locatie'!$B$15:$D$74,3,FALSE)</f>
        <v>#DIV/0!</v>
      </c>
      <c r="X305" s="485">
        <f>IF(K305="nio",0,IF(K305&gt;0,VLOOKUP(H305,'3-Productie normen'!A:F,VLOOKUP(K305,'3-Productie normen'!$B$29:$C$34,2,FALSE),FALSE)))</f>
        <v>0</v>
      </c>
      <c r="Y305" s="485">
        <f>VLOOKUP(H305,'3-Productie normen'!$A$10:$J$24,8,FALSE)*'3-Ruimtestaat'!X305</f>
        <v>0</v>
      </c>
      <c r="Z305" s="485">
        <f>VLOOKUP(H305,'3-Productie normen'!$A$10:$J$24,9,FALSE)*'3-Ruimtestaat'!X305</f>
        <v>0</v>
      </c>
      <c r="AA305" s="485">
        <f>VLOOKUP(H305,'3-Productie normen'!$A$10:$J$24,10,FALSE)*'3-Ruimtestaat'!X305</f>
        <v>0</v>
      </c>
      <c r="AB305" s="292" t="str">
        <f>IF(H305="",0,VLOOKUP(H305,'3-Productie normen'!$A$10:$N$23,14,FALSE))</f>
        <v>V</v>
      </c>
      <c r="AD305" s="296">
        <f t="shared" si="10"/>
        <v>10950</v>
      </c>
      <c r="AE305" s="78"/>
      <c r="AF305" s="300" t="s">
        <v>507</v>
      </c>
      <c r="AG305" s="297"/>
      <c r="AH305" s="297"/>
      <c r="AI305" s="297"/>
      <c r="AJ305" s="297"/>
      <c r="AK305" s="298"/>
      <c r="AL305" s="298"/>
      <c r="AM305" s="298">
        <f>Q305</f>
        <v>30</v>
      </c>
      <c r="AN305" s="298"/>
      <c r="AO305" s="299"/>
    </row>
    <row r="306" spans="1:41" ht="15" customHeight="1">
      <c r="A306" s="254">
        <v>306</v>
      </c>
      <c r="B306" s="253">
        <v>118</v>
      </c>
      <c r="C306" s="240" t="s">
        <v>69</v>
      </c>
      <c r="D306" s="288" t="s">
        <v>56</v>
      </c>
      <c r="E306" s="289"/>
      <c r="F306" s="239" t="s">
        <v>467</v>
      </c>
      <c r="G306" s="290" t="s">
        <v>517</v>
      </c>
      <c r="H306" s="291" t="s">
        <v>152</v>
      </c>
      <c r="I306" s="239" t="s">
        <v>216</v>
      </c>
      <c r="J306" s="424">
        <f t="shared" si="9"/>
        <v>365</v>
      </c>
      <c r="K306" s="425">
        <v>102</v>
      </c>
      <c r="L306" s="425">
        <v>153</v>
      </c>
      <c r="M306" s="425"/>
      <c r="N306" s="425">
        <v>102</v>
      </c>
      <c r="O306" s="425"/>
      <c r="P306" s="425">
        <v>8</v>
      </c>
      <c r="Q306" s="294">
        <v>27</v>
      </c>
      <c r="R306" s="295" t="e">
        <f>IF(K306="nio",0,(K306*Q306)/X306)*VLOOKUP(C306,'2-Uren per locatie'!$B$15:$D$74,3,FALSE)</f>
        <v>#DIV/0!</v>
      </c>
      <c r="S306" s="295" t="e">
        <f>IF(K306="nio",0,(L306*Q306)/Y306)*VLOOKUP(C306,'2-Uren per locatie'!$B$15:$D$74,3,FALSE)</f>
        <v>#DIV/0!</v>
      </c>
      <c r="T306" s="295" t="e">
        <f>IF(K306="nio",0,(M306*Q306)/Z306)*VLOOKUP(C306,'2-Uren per locatie'!$B$15:$D$74,3,FALSE)</f>
        <v>#DIV/0!</v>
      </c>
      <c r="U306" s="295" t="e">
        <f>IF(K306="nio",0,(N306*Q306)/AA306)*VLOOKUP(C306,'2-Uren per locatie'!$B$15:$D$74,3,FALSE)</f>
        <v>#DIV/0!</v>
      </c>
      <c r="V306" s="295" t="e">
        <f>IF(K306="nio",0,(O306*Q306)/Z306)*VLOOKUP(C306,'2-Uren per locatie'!$B$15:$D$74,3,FALSE)</f>
        <v>#DIV/0!</v>
      </c>
      <c r="W306" s="295" t="e">
        <f>IF(K306="nio",0,(P306*Q306)/AA306)*VLOOKUP(C306,'2-Uren per locatie'!$B$15:$D$74,3,FALSE)</f>
        <v>#DIV/0!</v>
      </c>
      <c r="X306" s="485">
        <f>IF(K306="nio",0,IF(K306&gt;0,VLOOKUP(H306,'3-Productie normen'!A:F,VLOOKUP(K306,'3-Productie normen'!$B$29:$C$34,2,FALSE),FALSE)))</f>
        <v>0</v>
      </c>
      <c r="Y306" s="485">
        <f>VLOOKUP(H306,'3-Productie normen'!$A$10:$J$24,8,FALSE)*'3-Ruimtestaat'!X306</f>
        <v>0</v>
      </c>
      <c r="Z306" s="485">
        <f>VLOOKUP(H306,'3-Productie normen'!$A$10:$J$24,9,FALSE)*'3-Ruimtestaat'!X306</f>
        <v>0</v>
      </c>
      <c r="AA306" s="485">
        <f>VLOOKUP(H306,'3-Productie normen'!$A$10:$J$24,10,FALSE)*'3-Ruimtestaat'!X306</f>
        <v>0</v>
      </c>
      <c r="AB306" s="292" t="str">
        <f>IF(H306="",0,VLOOKUP(H306,'3-Productie normen'!$A$10:$N$23,14,FALSE))</f>
        <v>V</v>
      </c>
      <c r="AD306" s="296">
        <f t="shared" si="10"/>
        <v>9855</v>
      </c>
      <c r="AE306" s="78"/>
      <c r="AF306" s="300" t="s">
        <v>507</v>
      </c>
      <c r="AG306" s="297"/>
      <c r="AH306" s="297"/>
      <c r="AI306" s="297"/>
      <c r="AJ306" s="297"/>
      <c r="AK306" s="298"/>
      <c r="AL306" s="298"/>
      <c r="AM306" s="298">
        <f>Q306</f>
        <v>27</v>
      </c>
      <c r="AN306" s="298"/>
      <c r="AO306" s="299"/>
    </row>
    <row r="307" spans="1:41" ht="15" customHeight="1">
      <c r="A307" s="254">
        <v>307</v>
      </c>
      <c r="B307" s="253">
        <v>119</v>
      </c>
      <c r="C307" s="240" t="s">
        <v>70</v>
      </c>
      <c r="D307" s="288" t="s">
        <v>56</v>
      </c>
      <c r="E307" s="289"/>
      <c r="F307" s="239" t="s">
        <v>395</v>
      </c>
      <c r="G307" s="290" t="s">
        <v>505</v>
      </c>
      <c r="H307" s="291" t="s">
        <v>145</v>
      </c>
      <c r="I307" s="239" t="s">
        <v>203</v>
      </c>
      <c r="J307" s="424">
        <f t="shared" si="9"/>
        <v>365</v>
      </c>
      <c r="K307" s="425">
        <v>127</v>
      </c>
      <c r="L307" s="425">
        <v>126</v>
      </c>
      <c r="M307" s="425">
        <v>52</v>
      </c>
      <c r="N307" s="425">
        <v>52</v>
      </c>
      <c r="O307" s="425">
        <v>4</v>
      </c>
      <c r="P307" s="425">
        <v>4</v>
      </c>
      <c r="Q307" s="294">
        <v>190</v>
      </c>
      <c r="R307" s="295" t="e">
        <f>IF(K307="nio",0,(K307*Q307)/X307)*VLOOKUP(C307,'2-Uren per locatie'!$B$15:$D$74,3,FALSE)</f>
        <v>#DIV/0!</v>
      </c>
      <c r="S307" s="295" t="e">
        <f>IF(K307="nio",0,(L307*Q307)/Y307)*VLOOKUP(C307,'2-Uren per locatie'!$B$15:$D$74,3,FALSE)</f>
        <v>#DIV/0!</v>
      </c>
      <c r="T307" s="295" t="e">
        <f>IF(K307="nio",0,(M307*Q307)/Z307)*VLOOKUP(C307,'2-Uren per locatie'!$B$15:$D$74,3,FALSE)</f>
        <v>#DIV/0!</v>
      </c>
      <c r="U307" s="295" t="e">
        <f>IF(K307="nio",0,(N307*Q307)/AA307)*VLOOKUP(C307,'2-Uren per locatie'!$B$15:$D$74,3,FALSE)</f>
        <v>#DIV/0!</v>
      </c>
      <c r="V307" s="295" t="e">
        <f>IF(K307="nio",0,(O307*Q307)/Z307)*VLOOKUP(C307,'2-Uren per locatie'!$B$15:$D$74,3,FALSE)</f>
        <v>#DIV/0!</v>
      </c>
      <c r="W307" s="295" t="e">
        <f>IF(K307="nio",0,(P307*Q307)/AA307)*VLOOKUP(C307,'2-Uren per locatie'!$B$15:$D$74,3,FALSE)</f>
        <v>#DIV/0!</v>
      </c>
      <c r="X307" s="485">
        <f>IF(K307="nio",0,IF(K307&gt;0,VLOOKUP(H307,'3-Productie normen'!A:F,VLOOKUP(K307,'3-Productie normen'!$B$29:$C$34,2,FALSE),FALSE)))</f>
        <v>0</v>
      </c>
      <c r="Y307" s="485">
        <f>VLOOKUP(H307,'3-Productie normen'!$A$10:$J$24,8,FALSE)*'3-Ruimtestaat'!X307</f>
        <v>0</v>
      </c>
      <c r="Z307" s="485">
        <f>VLOOKUP(H307,'3-Productie normen'!$A$10:$J$24,9,FALSE)*'3-Ruimtestaat'!X307</f>
        <v>0</v>
      </c>
      <c r="AA307" s="485">
        <f>VLOOKUP(H307,'3-Productie normen'!$A$10:$J$24,10,FALSE)*'3-Ruimtestaat'!X307</f>
        <v>0</v>
      </c>
      <c r="AB307" s="292" t="str">
        <f>IF(H307="",0,VLOOKUP(H307,'3-Productie normen'!$A$10:$N$23,14,FALSE))</f>
        <v>V</v>
      </c>
      <c r="AD307" s="296">
        <f t="shared" si="10"/>
        <v>69350</v>
      </c>
      <c r="AE307" s="78"/>
      <c r="AF307" s="297"/>
      <c r="AG307" s="297"/>
      <c r="AH307" s="297"/>
      <c r="AI307" s="297"/>
      <c r="AJ307" s="297"/>
      <c r="AK307" s="298"/>
      <c r="AL307" s="298"/>
      <c r="AM307" s="298"/>
      <c r="AN307" s="298">
        <f t="shared" ref="AN307:AN314" si="11">Q307</f>
        <v>190</v>
      </c>
      <c r="AO307" s="299"/>
    </row>
    <row r="308" spans="1:41" ht="15" customHeight="1">
      <c r="A308" s="254">
        <v>308</v>
      </c>
      <c r="B308" s="253">
        <v>119</v>
      </c>
      <c r="C308" s="240" t="s">
        <v>70</v>
      </c>
      <c r="D308" s="288" t="s">
        <v>56</v>
      </c>
      <c r="E308" s="289"/>
      <c r="F308" s="239" t="s">
        <v>390</v>
      </c>
      <c r="G308" s="290" t="s">
        <v>528</v>
      </c>
      <c r="H308" s="291" t="s">
        <v>155</v>
      </c>
      <c r="I308" s="239" t="s">
        <v>384</v>
      </c>
      <c r="J308" s="424">
        <f t="shared" si="9"/>
        <v>365</v>
      </c>
      <c r="K308" s="425">
        <v>127</v>
      </c>
      <c r="L308" s="425">
        <v>126</v>
      </c>
      <c r="M308" s="425">
        <v>52</v>
      </c>
      <c r="N308" s="425">
        <v>52</v>
      </c>
      <c r="O308" s="425">
        <v>4</v>
      </c>
      <c r="P308" s="425">
        <v>4</v>
      </c>
      <c r="Q308" s="294">
        <v>6</v>
      </c>
      <c r="R308" s="295" t="e">
        <f>IF(K308="nio",0,(K308*Q308)/X308)*VLOOKUP(C308,'2-Uren per locatie'!$B$15:$D$74,3,FALSE)</f>
        <v>#DIV/0!</v>
      </c>
      <c r="S308" s="295" t="e">
        <f>IF(K308="nio",0,(L308*Q308)/Y308)*VLOOKUP(C308,'2-Uren per locatie'!$B$15:$D$74,3,FALSE)</f>
        <v>#DIV/0!</v>
      </c>
      <c r="T308" s="295" t="e">
        <f>IF(K308="nio",0,(M308*Q308)/Z308)*VLOOKUP(C308,'2-Uren per locatie'!$B$15:$D$74,3,FALSE)</f>
        <v>#DIV/0!</v>
      </c>
      <c r="U308" s="295" t="e">
        <f>IF(K308="nio",0,(N308*Q308)/AA308)*VLOOKUP(C308,'2-Uren per locatie'!$B$15:$D$74,3,FALSE)</f>
        <v>#DIV/0!</v>
      </c>
      <c r="V308" s="295" t="e">
        <f>IF(K308="nio",0,(O308*Q308)/Z308)*VLOOKUP(C308,'2-Uren per locatie'!$B$15:$D$74,3,FALSE)</f>
        <v>#DIV/0!</v>
      </c>
      <c r="W308" s="295" t="e">
        <f>IF(K308="nio",0,(P308*Q308)/AA308)*VLOOKUP(C308,'2-Uren per locatie'!$B$15:$D$74,3,FALSE)</f>
        <v>#DIV/0!</v>
      </c>
      <c r="X308" s="485">
        <f>IF(K308="nio",0,IF(K308&gt;0,VLOOKUP(H308,'3-Productie normen'!A:F,VLOOKUP(K308,'3-Productie normen'!$B$29:$C$34,2,FALSE),FALSE)))</f>
        <v>0</v>
      </c>
      <c r="Y308" s="485">
        <f>VLOOKUP(H308,'3-Productie normen'!$A$10:$J$24,8,FALSE)*'3-Ruimtestaat'!X308</f>
        <v>0</v>
      </c>
      <c r="Z308" s="485">
        <f>VLOOKUP(H308,'3-Productie normen'!$A$10:$J$24,9,FALSE)*'3-Ruimtestaat'!X308</f>
        <v>0</v>
      </c>
      <c r="AA308" s="485">
        <f>VLOOKUP(H308,'3-Productie normen'!$A$10:$J$24,10,FALSE)*'3-Ruimtestaat'!X308</f>
        <v>0</v>
      </c>
      <c r="AB308" s="292" t="str">
        <f>IF(H308="",0,VLOOKUP(H308,'3-Productie normen'!$A$10:$N$23,14,FALSE))</f>
        <v>V</v>
      </c>
      <c r="AD308" s="296">
        <f t="shared" si="10"/>
        <v>2190</v>
      </c>
      <c r="AE308" s="78"/>
      <c r="AF308" s="297"/>
      <c r="AG308" s="297"/>
      <c r="AH308" s="297"/>
      <c r="AI308" s="297"/>
      <c r="AJ308" s="297"/>
      <c r="AK308" s="298"/>
      <c r="AL308" s="298"/>
      <c r="AM308" s="298"/>
      <c r="AN308" s="298">
        <f t="shared" si="11"/>
        <v>6</v>
      </c>
      <c r="AO308" s="299"/>
    </row>
    <row r="309" spans="1:41" ht="15" customHeight="1">
      <c r="A309" s="254">
        <v>309</v>
      </c>
      <c r="B309" s="253">
        <v>119</v>
      </c>
      <c r="C309" s="240" t="s">
        <v>70</v>
      </c>
      <c r="D309" s="288" t="s">
        <v>56</v>
      </c>
      <c r="E309" s="289"/>
      <c r="F309" s="239" t="s">
        <v>529</v>
      </c>
      <c r="G309" s="290" t="s">
        <v>509</v>
      </c>
      <c r="H309" s="291" t="s">
        <v>153</v>
      </c>
      <c r="I309" s="239" t="s">
        <v>203</v>
      </c>
      <c r="J309" s="424">
        <f t="shared" si="9"/>
        <v>365</v>
      </c>
      <c r="K309" s="425">
        <v>255</v>
      </c>
      <c r="L309" s="425"/>
      <c r="M309" s="425">
        <v>102</v>
      </c>
      <c r="N309" s="425"/>
      <c r="O309" s="425">
        <v>8</v>
      </c>
      <c r="P309" s="425"/>
      <c r="Q309" s="294">
        <v>4</v>
      </c>
      <c r="R309" s="295" t="e">
        <f>IF(K309="nio",0,(K309*Q309)/X309)*VLOOKUP(C309,'2-Uren per locatie'!$B$15:$D$74,3,FALSE)</f>
        <v>#DIV/0!</v>
      </c>
      <c r="S309" s="295" t="e">
        <f>IF(K309="nio",0,(L309*Q309)/Y309)*VLOOKUP(C309,'2-Uren per locatie'!$B$15:$D$74,3,FALSE)</f>
        <v>#DIV/0!</v>
      </c>
      <c r="T309" s="295" t="e">
        <f>IF(K309="nio",0,(M309*Q309)/Z309)*VLOOKUP(C309,'2-Uren per locatie'!$B$15:$D$74,3,FALSE)</f>
        <v>#DIV/0!</v>
      </c>
      <c r="U309" s="295" t="e">
        <f>IF(K309="nio",0,(N309*Q309)/AA309)*VLOOKUP(C309,'2-Uren per locatie'!$B$15:$D$74,3,FALSE)</f>
        <v>#DIV/0!</v>
      </c>
      <c r="V309" s="295" t="e">
        <f>IF(K309="nio",0,(O309*Q309)/Z309)*VLOOKUP(C309,'2-Uren per locatie'!$B$15:$D$74,3,FALSE)</f>
        <v>#DIV/0!</v>
      </c>
      <c r="W309" s="295" t="e">
        <f>IF(K309="nio",0,(P309*Q309)/AA309)*VLOOKUP(C309,'2-Uren per locatie'!$B$15:$D$74,3,FALSE)</f>
        <v>#DIV/0!</v>
      </c>
      <c r="X309" s="485">
        <f>IF(K309="nio",0,IF(K309&gt;0,VLOOKUP(H309,'3-Productie normen'!A:F,VLOOKUP(K309,'3-Productie normen'!$B$29:$C$34,2,FALSE),FALSE)))</f>
        <v>0</v>
      </c>
      <c r="Y309" s="485">
        <f>VLOOKUP(H309,'3-Productie normen'!$A$10:$J$24,8,FALSE)*'3-Ruimtestaat'!X309</f>
        <v>0</v>
      </c>
      <c r="Z309" s="485">
        <f>VLOOKUP(H309,'3-Productie normen'!$A$10:$J$24,9,FALSE)*'3-Ruimtestaat'!X309</f>
        <v>0</v>
      </c>
      <c r="AA309" s="485">
        <f>VLOOKUP(H309,'3-Productie normen'!$A$10:$J$24,10,FALSE)*'3-Ruimtestaat'!X309</f>
        <v>0</v>
      </c>
      <c r="AB309" s="292" t="str">
        <f>IF(H309="",0,VLOOKUP(H309,'3-Productie normen'!$A$10:$N$23,14,FALSE))</f>
        <v>S</v>
      </c>
      <c r="AD309" s="296">
        <f t="shared" si="10"/>
        <v>1460</v>
      </c>
      <c r="AE309" s="78"/>
      <c r="AF309" s="297">
        <v>23</v>
      </c>
      <c r="AG309" s="297"/>
      <c r="AH309" s="297"/>
      <c r="AI309" s="297"/>
      <c r="AJ309" s="297"/>
      <c r="AK309" s="298"/>
      <c r="AL309" s="298"/>
      <c r="AM309" s="298"/>
      <c r="AN309" s="298">
        <f t="shared" si="11"/>
        <v>4</v>
      </c>
      <c r="AO309" s="299"/>
    </row>
    <row r="310" spans="1:41" ht="15" customHeight="1">
      <c r="A310" s="254">
        <v>310</v>
      </c>
      <c r="B310" s="253">
        <v>119</v>
      </c>
      <c r="C310" s="240" t="s">
        <v>70</v>
      </c>
      <c r="D310" s="288" t="s">
        <v>56</v>
      </c>
      <c r="E310" s="289"/>
      <c r="F310" s="239" t="s">
        <v>530</v>
      </c>
      <c r="G310" s="290" t="s">
        <v>531</v>
      </c>
      <c r="H310" s="291" t="s">
        <v>149</v>
      </c>
      <c r="I310" s="239" t="s">
        <v>401</v>
      </c>
      <c r="J310" s="424">
        <f t="shared" si="9"/>
        <v>365</v>
      </c>
      <c r="K310" s="425">
        <v>127</v>
      </c>
      <c r="L310" s="425">
        <v>126</v>
      </c>
      <c r="M310" s="425">
        <v>52</v>
      </c>
      <c r="N310" s="425">
        <v>52</v>
      </c>
      <c r="O310" s="425">
        <v>4</v>
      </c>
      <c r="P310" s="425">
        <v>4</v>
      </c>
      <c r="Q310" s="294">
        <v>3</v>
      </c>
      <c r="R310" s="295" t="e">
        <f>IF(K310="nio",0,(K310*Q310)/X310)*VLOOKUP(C310,'2-Uren per locatie'!$B$15:$D$74,3,FALSE)</f>
        <v>#DIV/0!</v>
      </c>
      <c r="S310" s="295" t="e">
        <f>IF(K310="nio",0,(L310*Q310)/Y310)*VLOOKUP(C310,'2-Uren per locatie'!$B$15:$D$74,3,FALSE)</f>
        <v>#DIV/0!</v>
      </c>
      <c r="T310" s="295" t="e">
        <f>IF(K310="nio",0,(M310*Q310)/Z310)*VLOOKUP(C310,'2-Uren per locatie'!$B$15:$D$74,3,FALSE)</f>
        <v>#DIV/0!</v>
      </c>
      <c r="U310" s="295" t="e">
        <f>IF(K310="nio",0,(N310*Q310)/AA310)*VLOOKUP(C310,'2-Uren per locatie'!$B$15:$D$74,3,FALSE)</f>
        <v>#DIV/0!</v>
      </c>
      <c r="V310" s="295" t="e">
        <f>IF(K310="nio",0,(O310*Q310)/Z310)*VLOOKUP(C310,'2-Uren per locatie'!$B$15:$D$74,3,FALSE)</f>
        <v>#DIV/0!</v>
      </c>
      <c r="W310" s="295" t="e">
        <f>IF(K310="nio",0,(P310*Q310)/AA310)*VLOOKUP(C310,'2-Uren per locatie'!$B$15:$D$74,3,FALSE)</f>
        <v>#DIV/0!</v>
      </c>
      <c r="X310" s="485">
        <f>IF(K310="nio",0,IF(K310&gt;0,VLOOKUP(H310,'3-Productie normen'!A:F,VLOOKUP(K310,'3-Productie normen'!$B$29:$C$34,2,FALSE),FALSE)))</f>
        <v>0</v>
      </c>
      <c r="Y310" s="485">
        <f>VLOOKUP(H310,'3-Productie normen'!$A$10:$J$24,8,FALSE)*'3-Ruimtestaat'!X310</f>
        <v>0</v>
      </c>
      <c r="Z310" s="485">
        <f>VLOOKUP(H310,'3-Productie normen'!$A$10:$J$24,9,FALSE)*'3-Ruimtestaat'!X310</f>
        <v>0</v>
      </c>
      <c r="AA310" s="485">
        <f>VLOOKUP(H310,'3-Productie normen'!$A$10:$J$24,10,FALSE)*'3-Ruimtestaat'!X310</f>
        <v>0</v>
      </c>
      <c r="AB310" s="292" t="str">
        <f>IF(H310="",0,VLOOKUP(H310,'3-Productie normen'!$A$10:$N$23,14,FALSE))</f>
        <v>V</v>
      </c>
      <c r="AD310" s="296">
        <f t="shared" si="10"/>
        <v>1095</v>
      </c>
      <c r="AE310" s="78"/>
      <c r="AF310" s="297"/>
      <c r="AG310" s="297"/>
      <c r="AH310" s="297"/>
      <c r="AI310" s="297"/>
      <c r="AJ310" s="297"/>
      <c r="AK310" s="298"/>
      <c r="AL310" s="298"/>
      <c r="AM310" s="298"/>
      <c r="AN310" s="298">
        <f t="shared" si="11"/>
        <v>3</v>
      </c>
      <c r="AO310" s="299"/>
    </row>
    <row r="311" spans="1:41" ht="15" customHeight="1">
      <c r="A311" s="254">
        <v>311</v>
      </c>
      <c r="B311" s="253">
        <v>119</v>
      </c>
      <c r="C311" s="240" t="s">
        <v>70</v>
      </c>
      <c r="D311" s="288" t="s">
        <v>56</v>
      </c>
      <c r="E311" s="289"/>
      <c r="F311" s="239" t="s">
        <v>532</v>
      </c>
      <c r="G311" s="290" t="s">
        <v>533</v>
      </c>
      <c r="H311" s="291" t="s">
        <v>152</v>
      </c>
      <c r="I311" s="239" t="s">
        <v>265</v>
      </c>
      <c r="J311" s="424">
        <f t="shared" si="9"/>
        <v>365</v>
      </c>
      <c r="K311" s="425">
        <v>127</v>
      </c>
      <c r="L311" s="425">
        <v>126</v>
      </c>
      <c r="M311" s="425">
        <v>52</v>
      </c>
      <c r="N311" s="425">
        <v>52</v>
      </c>
      <c r="O311" s="425">
        <v>4</v>
      </c>
      <c r="P311" s="425">
        <v>4</v>
      </c>
      <c r="Q311" s="294">
        <v>46</v>
      </c>
      <c r="R311" s="295" t="e">
        <f>IF(K311="nio",0,(K311*Q311)/X311)*VLOOKUP(C311,'2-Uren per locatie'!$B$15:$D$74,3,FALSE)</f>
        <v>#DIV/0!</v>
      </c>
      <c r="S311" s="295" t="e">
        <f>IF(K311="nio",0,(L311*Q311)/Y311)*VLOOKUP(C311,'2-Uren per locatie'!$B$15:$D$74,3,FALSE)</f>
        <v>#DIV/0!</v>
      </c>
      <c r="T311" s="295" t="e">
        <f>IF(K311="nio",0,(M311*Q311)/Z311)*VLOOKUP(C311,'2-Uren per locatie'!$B$15:$D$74,3,FALSE)</f>
        <v>#DIV/0!</v>
      </c>
      <c r="U311" s="295" t="e">
        <f>IF(K311="nio",0,(N311*Q311)/AA311)*VLOOKUP(C311,'2-Uren per locatie'!$B$15:$D$74,3,FALSE)</f>
        <v>#DIV/0!</v>
      </c>
      <c r="V311" s="295" t="e">
        <f>IF(K311="nio",0,(O311*Q311)/Z311)*VLOOKUP(C311,'2-Uren per locatie'!$B$15:$D$74,3,FALSE)</f>
        <v>#DIV/0!</v>
      </c>
      <c r="W311" s="295" t="e">
        <f>IF(K311="nio",0,(P311*Q311)/AA311)*VLOOKUP(C311,'2-Uren per locatie'!$B$15:$D$74,3,FALSE)</f>
        <v>#DIV/0!</v>
      </c>
      <c r="X311" s="485">
        <f>IF(K311="nio",0,IF(K311&gt;0,VLOOKUP(H311,'3-Productie normen'!A:F,VLOOKUP(K311,'3-Productie normen'!$B$29:$C$34,2,FALSE),FALSE)))</f>
        <v>0</v>
      </c>
      <c r="Y311" s="485">
        <f>VLOOKUP(H311,'3-Productie normen'!$A$10:$J$24,8,FALSE)*'3-Ruimtestaat'!X311</f>
        <v>0</v>
      </c>
      <c r="Z311" s="485">
        <f>VLOOKUP(H311,'3-Productie normen'!$A$10:$J$24,9,FALSE)*'3-Ruimtestaat'!X311</f>
        <v>0</v>
      </c>
      <c r="AA311" s="485">
        <f>VLOOKUP(H311,'3-Productie normen'!$A$10:$J$24,10,FALSE)*'3-Ruimtestaat'!X311</f>
        <v>0</v>
      </c>
      <c r="AB311" s="292" t="str">
        <f>IF(H311="",0,VLOOKUP(H311,'3-Productie normen'!$A$10:$N$23,14,FALSE))</f>
        <v>V</v>
      </c>
      <c r="AD311" s="296">
        <f t="shared" si="10"/>
        <v>16790</v>
      </c>
      <c r="AE311" s="78"/>
      <c r="AF311" s="300" t="s">
        <v>507</v>
      </c>
      <c r="AG311" s="297"/>
      <c r="AH311" s="297"/>
      <c r="AI311" s="297"/>
      <c r="AJ311" s="297"/>
      <c r="AK311" s="298"/>
      <c r="AL311" s="298"/>
      <c r="AM311" s="298"/>
      <c r="AN311" s="298">
        <f t="shared" si="11"/>
        <v>46</v>
      </c>
      <c r="AO311" s="299"/>
    </row>
    <row r="312" spans="1:41" ht="15" customHeight="1">
      <c r="A312" s="254">
        <v>312</v>
      </c>
      <c r="B312" s="253">
        <v>119</v>
      </c>
      <c r="C312" s="240" t="s">
        <v>70</v>
      </c>
      <c r="D312" s="288" t="s">
        <v>56</v>
      </c>
      <c r="E312" s="289"/>
      <c r="F312" s="239" t="s">
        <v>534</v>
      </c>
      <c r="G312" s="290" t="s">
        <v>512</v>
      </c>
      <c r="H312" s="291" t="s">
        <v>152</v>
      </c>
      <c r="I312" s="239" t="s">
        <v>265</v>
      </c>
      <c r="J312" s="424">
        <f t="shared" si="9"/>
        <v>365</v>
      </c>
      <c r="K312" s="425">
        <v>127</v>
      </c>
      <c r="L312" s="425">
        <v>126</v>
      </c>
      <c r="M312" s="425">
        <v>52</v>
      </c>
      <c r="N312" s="425">
        <v>52</v>
      </c>
      <c r="O312" s="425">
        <v>4</v>
      </c>
      <c r="P312" s="425">
        <v>4</v>
      </c>
      <c r="Q312" s="294">
        <v>46</v>
      </c>
      <c r="R312" s="295" t="e">
        <f>IF(K312="nio",0,(K312*Q312)/X312)*VLOOKUP(C312,'2-Uren per locatie'!$B$15:$D$74,3,FALSE)</f>
        <v>#DIV/0!</v>
      </c>
      <c r="S312" s="295" t="e">
        <f>IF(K312="nio",0,(L312*Q312)/Y312)*VLOOKUP(C312,'2-Uren per locatie'!$B$15:$D$74,3,FALSE)</f>
        <v>#DIV/0!</v>
      </c>
      <c r="T312" s="295" t="e">
        <f>IF(K312="nio",0,(M312*Q312)/Z312)*VLOOKUP(C312,'2-Uren per locatie'!$B$15:$D$74,3,FALSE)</f>
        <v>#DIV/0!</v>
      </c>
      <c r="U312" s="295" t="e">
        <f>IF(K312="nio",0,(N312*Q312)/AA312)*VLOOKUP(C312,'2-Uren per locatie'!$B$15:$D$74,3,FALSE)</f>
        <v>#DIV/0!</v>
      </c>
      <c r="V312" s="295" t="e">
        <f>IF(K312="nio",0,(O312*Q312)/Z312)*VLOOKUP(C312,'2-Uren per locatie'!$B$15:$D$74,3,FALSE)</f>
        <v>#DIV/0!</v>
      </c>
      <c r="W312" s="295" t="e">
        <f>IF(K312="nio",0,(P312*Q312)/AA312)*VLOOKUP(C312,'2-Uren per locatie'!$B$15:$D$74,3,FALSE)</f>
        <v>#DIV/0!</v>
      </c>
      <c r="X312" s="485">
        <f>IF(K312="nio",0,IF(K312&gt;0,VLOOKUP(H312,'3-Productie normen'!A:F,VLOOKUP(K312,'3-Productie normen'!$B$29:$C$34,2,FALSE),FALSE)))</f>
        <v>0</v>
      </c>
      <c r="Y312" s="485">
        <f>VLOOKUP(H312,'3-Productie normen'!$A$10:$J$24,8,FALSE)*'3-Ruimtestaat'!X312</f>
        <v>0</v>
      </c>
      <c r="Z312" s="485">
        <f>VLOOKUP(H312,'3-Productie normen'!$A$10:$J$24,9,FALSE)*'3-Ruimtestaat'!X312</f>
        <v>0</v>
      </c>
      <c r="AA312" s="485">
        <f>VLOOKUP(H312,'3-Productie normen'!$A$10:$J$24,10,FALSE)*'3-Ruimtestaat'!X312</f>
        <v>0</v>
      </c>
      <c r="AB312" s="292" t="str">
        <f>IF(H312="",0,VLOOKUP(H312,'3-Productie normen'!$A$10:$N$23,14,FALSE))</f>
        <v>V</v>
      </c>
      <c r="AD312" s="296">
        <f t="shared" si="10"/>
        <v>16790</v>
      </c>
      <c r="AE312" s="78"/>
      <c r="AF312" s="300" t="s">
        <v>507</v>
      </c>
      <c r="AG312" s="297"/>
      <c r="AH312" s="297"/>
      <c r="AI312" s="297"/>
      <c r="AJ312" s="297"/>
      <c r="AK312" s="298"/>
      <c r="AL312" s="298"/>
      <c r="AM312" s="298"/>
      <c r="AN312" s="298">
        <f t="shared" si="11"/>
        <v>46</v>
      </c>
      <c r="AO312" s="299"/>
    </row>
    <row r="313" spans="1:41" ht="15" customHeight="1">
      <c r="A313" s="254">
        <v>313</v>
      </c>
      <c r="B313" s="253">
        <v>119</v>
      </c>
      <c r="C313" s="240" t="s">
        <v>70</v>
      </c>
      <c r="D313" s="288" t="s">
        <v>56</v>
      </c>
      <c r="E313" s="289"/>
      <c r="F313" s="239" t="s">
        <v>535</v>
      </c>
      <c r="G313" s="290" t="s">
        <v>536</v>
      </c>
      <c r="H313" s="291" t="s">
        <v>152</v>
      </c>
      <c r="I313" s="239" t="s">
        <v>265</v>
      </c>
      <c r="J313" s="424">
        <f t="shared" si="9"/>
        <v>365</v>
      </c>
      <c r="K313" s="425">
        <v>127</v>
      </c>
      <c r="L313" s="425">
        <v>126</v>
      </c>
      <c r="M313" s="425">
        <v>52</v>
      </c>
      <c r="N313" s="425">
        <v>52</v>
      </c>
      <c r="O313" s="425">
        <v>4</v>
      </c>
      <c r="P313" s="425">
        <v>4</v>
      </c>
      <c r="Q313" s="294">
        <v>46</v>
      </c>
      <c r="R313" s="295" t="e">
        <f>IF(K313="nio",0,(K313*Q313)/X313)*VLOOKUP(C313,'2-Uren per locatie'!$B$15:$D$74,3,FALSE)</f>
        <v>#DIV/0!</v>
      </c>
      <c r="S313" s="295" t="e">
        <f>IF(K313="nio",0,(L313*Q313)/Y313)*VLOOKUP(C313,'2-Uren per locatie'!$B$15:$D$74,3,FALSE)</f>
        <v>#DIV/0!</v>
      </c>
      <c r="T313" s="295" t="e">
        <f>IF(K313="nio",0,(M313*Q313)/Z313)*VLOOKUP(C313,'2-Uren per locatie'!$B$15:$D$74,3,FALSE)</f>
        <v>#DIV/0!</v>
      </c>
      <c r="U313" s="295" t="e">
        <f>IF(K313="nio",0,(N313*Q313)/AA313)*VLOOKUP(C313,'2-Uren per locatie'!$B$15:$D$74,3,FALSE)</f>
        <v>#DIV/0!</v>
      </c>
      <c r="V313" s="295" t="e">
        <f>IF(K313="nio",0,(O313*Q313)/Z313)*VLOOKUP(C313,'2-Uren per locatie'!$B$15:$D$74,3,FALSE)</f>
        <v>#DIV/0!</v>
      </c>
      <c r="W313" s="295" t="e">
        <f>IF(K313="nio",0,(P313*Q313)/AA313)*VLOOKUP(C313,'2-Uren per locatie'!$B$15:$D$74,3,FALSE)</f>
        <v>#DIV/0!</v>
      </c>
      <c r="X313" s="485">
        <f>IF(K313="nio",0,IF(K313&gt;0,VLOOKUP(H313,'3-Productie normen'!A:F,VLOOKUP(K313,'3-Productie normen'!$B$29:$C$34,2,FALSE),FALSE)))</f>
        <v>0</v>
      </c>
      <c r="Y313" s="485">
        <f>VLOOKUP(H313,'3-Productie normen'!$A$10:$J$24,8,FALSE)*'3-Ruimtestaat'!X313</f>
        <v>0</v>
      </c>
      <c r="Z313" s="485">
        <f>VLOOKUP(H313,'3-Productie normen'!$A$10:$J$24,9,FALSE)*'3-Ruimtestaat'!X313</f>
        <v>0</v>
      </c>
      <c r="AA313" s="485">
        <f>VLOOKUP(H313,'3-Productie normen'!$A$10:$J$24,10,FALSE)*'3-Ruimtestaat'!X313</f>
        <v>0</v>
      </c>
      <c r="AB313" s="292" t="str">
        <f>IF(H313="",0,VLOOKUP(H313,'3-Productie normen'!$A$10:$N$23,14,FALSE))</f>
        <v>V</v>
      </c>
      <c r="AD313" s="296">
        <f t="shared" si="10"/>
        <v>16790</v>
      </c>
      <c r="AE313" s="78"/>
      <c r="AF313" s="300" t="s">
        <v>507</v>
      </c>
      <c r="AG313" s="297"/>
      <c r="AH313" s="297"/>
      <c r="AI313" s="297"/>
      <c r="AJ313" s="297"/>
      <c r="AK313" s="298"/>
      <c r="AL313" s="298"/>
      <c r="AM313" s="298"/>
      <c r="AN313" s="298">
        <f t="shared" si="11"/>
        <v>46</v>
      </c>
      <c r="AO313" s="299"/>
    </row>
    <row r="314" spans="1:41" ht="15" customHeight="1">
      <c r="A314" s="254">
        <v>314</v>
      </c>
      <c r="B314" s="253">
        <v>119</v>
      </c>
      <c r="C314" s="240" t="s">
        <v>70</v>
      </c>
      <c r="D314" s="288" t="s">
        <v>56</v>
      </c>
      <c r="E314" s="289"/>
      <c r="F314" s="239" t="s">
        <v>390</v>
      </c>
      <c r="G314" s="290" t="s">
        <v>537</v>
      </c>
      <c r="H314" s="291" t="s">
        <v>155</v>
      </c>
      <c r="I314" s="239" t="s">
        <v>384</v>
      </c>
      <c r="J314" s="424">
        <f t="shared" si="9"/>
        <v>365</v>
      </c>
      <c r="K314" s="425">
        <v>127</v>
      </c>
      <c r="L314" s="425">
        <v>126</v>
      </c>
      <c r="M314" s="425">
        <v>52</v>
      </c>
      <c r="N314" s="425">
        <v>52</v>
      </c>
      <c r="O314" s="425">
        <v>4</v>
      </c>
      <c r="P314" s="425">
        <v>4</v>
      </c>
      <c r="Q314" s="294">
        <v>16</v>
      </c>
      <c r="R314" s="295" t="e">
        <f>IF(K314="nio",0,(K314*Q314)/X314)*VLOOKUP(C314,'2-Uren per locatie'!$B$15:$D$74,3,FALSE)</f>
        <v>#DIV/0!</v>
      </c>
      <c r="S314" s="295" t="e">
        <f>IF(K314="nio",0,(L314*Q314)/Y314)*VLOOKUP(C314,'2-Uren per locatie'!$B$15:$D$74,3,FALSE)</f>
        <v>#DIV/0!</v>
      </c>
      <c r="T314" s="295" t="e">
        <f>IF(K314="nio",0,(M314*Q314)/Z314)*VLOOKUP(C314,'2-Uren per locatie'!$B$15:$D$74,3,FALSE)</f>
        <v>#DIV/0!</v>
      </c>
      <c r="U314" s="295" t="e">
        <f>IF(K314="nio",0,(N314*Q314)/AA314)*VLOOKUP(C314,'2-Uren per locatie'!$B$15:$D$74,3,FALSE)</f>
        <v>#DIV/0!</v>
      </c>
      <c r="V314" s="295" t="e">
        <f>IF(K314="nio",0,(O314*Q314)/Z314)*VLOOKUP(C314,'2-Uren per locatie'!$B$15:$D$74,3,FALSE)</f>
        <v>#DIV/0!</v>
      </c>
      <c r="W314" s="295" t="e">
        <f>IF(K314="nio",0,(P314*Q314)/AA314)*VLOOKUP(C314,'2-Uren per locatie'!$B$15:$D$74,3,FALSE)</f>
        <v>#DIV/0!</v>
      </c>
      <c r="X314" s="485">
        <f>IF(K314="nio",0,IF(K314&gt;0,VLOOKUP(H314,'3-Productie normen'!A:F,VLOOKUP(K314,'3-Productie normen'!$B$29:$C$34,2,FALSE),FALSE)))</f>
        <v>0</v>
      </c>
      <c r="Y314" s="485">
        <f>VLOOKUP(H314,'3-Productie normen'!$A$10:$J$24,8,FALSE)*'3-Ruimtestaat'!X314</f>
        <v>0</v>
      </c>
      <c r="Z314" s="485">
        <f>VLOOKUP(H314,'3-Productie normen'!$A$10:$J$24,9,FALSE)*'3-Ruimtestaat'!X314</f>
        <v>0</v>
      </c>
      <c r="AA314" s="485">
        <f>VLOOKUP(H314,'3-Productie normen'!$A$10:$J$24,10,FALSE)*'3-Ruimtestaat'!X314</f>
        <v>0</v>
      </c>
      <c r="AB314" s="292" t="str">
        <f>IF(H314="",0,VLOOKUP(H314,'3-Productie normen'!$A$10:$N$23,14,FALSE))</f>
        <v>V</v>
      </c>
      <c r="AD314" s="296">
        <f t="shared" si="10"/>
        <v>5840</v>
      </c>
      <c r="AE314" s="78"/>
      <c r="AF314" s="297"/>
      <c r="AG314" s="297"/>
      <c r="AH314" s="297"/>
      <c r="AI314" s="297"/>
      <c r="AJ314" s="297"/>
      <c r="AK314" s="298"/>
      <c r="AL314" s="298"/>
      <c r="AM314" s="298"/>
      <c r="AN314" s="298">
        <f t="shared" si="11"/>
        <v>16</v>
      </c>
      <c r="AO314" s="299"/>
    </row>
    <row r="315" spans="1:41" ht="15" customHeight="1">
      <c r="A315" s="254">
        <v>315</v>
      </c>
      <c r="B315" s="253">
        <v>119</v>
      </c>
      <c r="C315" s="240" t="s">
        <v>70</v>
      </c>
      <c r="D315" s="288" t="s">
        <v>56</v>
      </c>
      <c r="E315" s="289"/>
      <c r="F315" s="239" t="s">
        <v>538</v>
      </c>
      <c r="G315" s="290" t="s">
        <v>539</v>
      </c>
      <c r="H315" s="291" t="s">
        <v>155</v>
      </c>
      <c r="I315" s="239" t="s">
        <v>384</v>
      </c>
      <c r="J315" s="424">
        <f t="shared" si="9"/>
        <v>365</v>
      </c>
      <c r="K315" s="425">
        <v>127</v>
      </c>
      <c r="L315" s="425">
        <v>126</v>
      </c>
      <c r="M315" s="425">
        <v>52</v>
      </c>
      <c r="N315" s="425">
        <v>52</v>
      </c>
      <c r="O315" s="425">
        <v>4</v>
      </c>
      <c r="P315" s="425">
        <v>4</v>
      </c>
      <c r="Q315" s="294">
        <v>13</v>
      </c>
      <c r="R315" s="295" t="e">
        <f>IF(K315="nio",0,(K315*Q315)/X315)*VLOOKUP(C315,'2-Uren per locatie'!$B$15:$D$74,3,FALSE)</f>
        <v>#DIV/0!</v>
      </c>
      <c r="S315" s="295" t="e">
        <f>IF(K315="nio",0,(L315*Q315)/Y315)*VLOOKUP(C315,'2-Uren per locatie'!$B$15:$D$74,3,FALSE)</f>
        <v>#DIV/0!</v>
      </c>
      <c r="T315" s="295" t="e">
        <f>IF(K315="nio",0,(M315*Q315)/Z315)*VLOOKUP(C315,'2-Uren per locatie'!$B$15:$D$74,3,FALSE)</f>
        <v>#DIV/0!</v>
      </c>
      <c r="U315" s="295" t="e">
        <f>IF(K315="nio",0,(N315*Q315)/AA315)*VLOOKUP(C315,'2-Uren per locatie'!$B$15:$D$74,3,FALSE)</f>
        <v>#DIV/0!</v>
      </c>
      <c r="V315" s="295" t="e">
        <f>IF(K315="nio",0,(O315*Q315)/Z315)*VLOOKUP(C315,'2-Uren per locatie'!$B$15:$D$74,3,FALSE)</f>
        <v>#DIV/0!</v>
      </c>
      <c r="W315" s="295" t="e">
        <f>IF(K315="nio",0,(P315*Q315)/AA315)*VLOOKUP(C315,'2-Uren per locatie'!$B$15:$D$74,3,FALSE)</f>
        <v>#DIV/0!</v>
      </c>
      <c r="X315" s="485">
        <f>IF(K315="nio",0,IF(K315&gt;0,VLOOKUP(H315,'3-Productie normen'!A:F,VLOOKUP(K315,'3-Productie normen'!$B$29:$C$34,2,FALSE),FALSE)))</f>
        <v>0</v>
      </c>
      <c r="Y315" s="485">
        <f>VLOOKUP(H315,'3-Productie normen'!$A$10:$J$24,8,FALSE)*'3-Ruimtestaat'!X315</f>
        <v>0</v>
      </c>
      <c r="Z315" s="485">
        <f>VLOOKUP(H315,'3-Productie normen'!$A$10:$J$24,9,FALSE)*'3-Ruimtestaat'!X315</f>
        <v>0</v>
      </c>
      <c r="AA315" s="485">
        <f>VLOOKUP(H315,'3-Productie normen'!$A$10:$J$24,10,FALSE)*'3-Ruimtestaat'!X315</f>
        <v>0</v>
      </c>
      <c r="AB315" s="292" t="str">
        <f>IF(H315="",0,VLOOKUP(H315,'3-Productie normen'!$A$10:$N$23,14,FALSE))</f>
        <v>V</v>
      </c>
      <c r="AD315" s="296">
        <f t="shared" si="10"/>
        <v>4745</v>
      </c>
      <c r="AE315" s="78"/>
      <c r="AF315" s="297"/>
      <c r="AG315" s="297"/>
      <c r="AH315" s="297">
        <v>43</v>
      </c>
      <c r="AI315" s="297"/>
      <c r="AJ315" s="297"/>
      <c r="AK315" s="298"/>
      <c r="AL315" s="298"/>
      <c r="AM315" s="298">
        <f>Q315</f>
        <v>13</v>
      </c>
      <c r="AN315" s="298"/>
      <c r="AO315" s="299"/>
    </row>
    <row r="316" spans="1:41" ht="15" customHeight="1">
      <c r="A316" s="254">
        <v>316</v>
      </c>
      <c r="B316" s="253">
        <v>119</v>
      </c>
      <c r="C316" s="240" t="s">
        <v>70</v>
      </c>
      <c r="D316" s="288" t="s">
        <v>56</v>
      </c>
      <c r="E316" s="289"/>
      <c r="F316" s="239" t="s">
        <v>540</v>
      </c>
      <c r="G316" s="290" t="s">
        <v>541</v>
      </c>
      <c r="H316" s="291" t="s">
        <v>146</v>
      </c>
      <c r="I316" s="239" t="s">
        <v>420</v>
      </c>
      <c r="J316" s="424">
        <f t="shared" si="9"/>
        <v>365</v>
      </c>
      <c r="K316" s="425">
        <v>127</v>
      </c>
      <c r="L316" s="425">
        <v>126</v>
      </c>
      <c r="M316" s="425">
        <v>52</v>
      </c>
      <c r="N316" s="425">
        <v>52</v>
      </c>
      <c r="O316" s="425">
        <v>4</v>
      </c>
      <c r="P316" s="425">
        <v>4</v>
      </c>
      <c r="Q316" s="294">
        <v>24</v>
      </c>
      <c r="R316" s="295" t="e">
        <f>IF(K316="nio",0,(K316*Q316)/X316)*VLOOKUP(C316,'2-Uren per locatie'!$B$15:$D$74,3,FALSE)</f>
        <v>#DIV/0!</v>
      </c>
      <c r="S316" s="295" t="e">
        <f>IF(K316="nio",0,(L316*Q316)/Y316)*VLOOKUP(C316,'2-Uren per locatie'!$B$15:$D$74,3,FALSE)</f>
        <v>#DIV/0!</v>
      </c>
      <c r="T316" s="295" t="e">
        <f>IF(K316="nio",0,(M316*Q316)/Z316)*VLOOKUP(C316,'2-Uren per locatie'!$B$15:$D$74,3,FALSE)</f>
        <v>#DIV/0!</v>
      </c>
      <c r="U316" s="295" t="e">
        <f>IF(K316="nio",0,(N316*Q316)/AA316)*VLOOKUP(C316,'2-Uren per locatie'!$B$15:$D$74,3,FALSE)</f>
        <v>#DIV/0!</v>
      </c>
      <c r="V316" s="295" t="e">
        <f>IF(K316="nio",0,(O316*Q316)/Z316)*VLOOKUP(C316,'2-Uren per locatie'!$B$15:$D$74,3,FALSE)</f>
        <v>#DIV/0!</v>
      </c>
      <c r="W316" s="295" t="e">
        <f>IF(K316="nio",0,(P316*Q316)/AA316)*VLOOKUP(C316,'2-Uren per locatie'!$B$15:$D$74,3,FALSE)</f>
        <v>#DIV/0!</v>
      </c>
      <c r="X316" s="485">
        <f>IF(K316="nio",0,IF(K316&gt;0,VLOOKUP(H316,'3-Productie normen'!A:F,VLOOKUP(K316,'3-Productie normen'!$B$29:$C$34,2,FALSE),FALSE)))</f>
        <v>0</v>
      </c>
      <c r="Y316" s="485">
        <f>VLOOKUP(H316,'3-Productie normen'!$A$10:$J$24,8,FALSE)*'3-Ruimtestaat'!X316</f>
        <v>0</v>
      </c>
      <c r="Z316" s="485">
        <f>VLOOKUP(H316,'3-Productie normen'!$A$10:$J$24,9,FALSE)*'3-Ruimtestaat'!X316</f>
        <v>0</v>
      </c>
      <c r="AA316" s="485">
        <f>VLOOKUP(H316,'3-Productie normen'!$A$10:$J$24,10,FALSE)*'3-Ruimtestaat'!X316</f>
        <v>0</v>
      </c>
      <c r="AB316" s="292" t="str">
        <f>IF(H316="",0,VLOOKUP(H316,'3-Productie normen'!$A$10:$N$23,14,FALSE))</f>
        <v>B</v>
      </c>
      <c r="AD316" s="296">
        <f t="shared" si="10"/>
        <v>8760</v>
      </c>
      <c r="AE316" s="78"/>
      <c r="AF316" s="297"/>
      <c r="AG316" s="297"/>
      <c r="AH316" s="297"/>
      <c r="AI316" s="297"/>
      <c r="AJ316" s="297"/>
      <c r="AK316" s="298"/>
      <c r="AL316" s="298"/>
      <c r="AM316" s="298"/>
      <c r="AN316" s="298">
        <f>Q316</f>
        <v>24</v>
      </c>
      <c r="AO316" s="299"/>
    </row>
    <row r="317" spans="1:41" ht="15" customHeight="1">
      <c r="A317" s="254">
        <v>317</v>
      </c>
      <c r="B317" s="253">
        <v>119</v>
      </c>
      <c r="C317" s="240" t="s">
        <v>70</v>
      </c>
      <c r="D317" s="288" t="s">
        <v>56</v>
      </c>
      <c r="E317" s="289"/>
      <c r="F317" s="239" t="s">
        <v>390</v>
      </c>
      <c r="G317" s="290" t="s">
        <v>542</v>
      </c>
      <c r="H317" s="291" t="s">
        <v>155</v>
      </c>
      <c r="I317" s="239" t="s">
        <v>384</v>
      </c>
      <c r="J317" s="424">
        <f t="shared" si="9"/>
        <v>365</v>
      </c>
      <c r="K317" s="425">
        <v>127</v>
      </c>
      <c r="L317" s="425">
        <v>126</v>
      </c>
      <c r="M317" s="425">
        <v>52</v>
      </c>
      <c r="N317" s="425">
        <v>52</v>
      </c>
      <c r="O317" s="425">
        <v>4</v>
      </c>
      <c r="P317" s="425">
        <v>4</v>
      </c>
      <c r="Q317" s="294">
        <v>10</v>
      </c>
      <c r="R317" s="295" t="e">
        <f>IF(K317="nio",0,(K317*Q317)/X317)*VLOOKUP(C317,'2-Uren per locatie'!$B$15:$D$74,3,FALSE)</f>
        <v>#DIV/0!</v>
      </c>
      <c r="S317" s="295" t="e">
        <f>IF(K317="nio",0,(L317*Q317)/Y317)*VLOOKUP(C317,'2-Uren per locatie'!$B$15:$D$74,3,FALSE)</f>
        <v>#DIV/0!</v>
      </c>
      <c r="T317" s="295" t="e">
        <f>IF(K317="nio",0,(M317*Q317)/Z317)*VLOOKUP(C317,'2-Uren per locatie'!$B$15:$D$74,3,FALSE)</f>
        <v>#DIV/0!</v>
      </c>
      <c r="U317" s="295" t="e">
        <f>IF(K317="nio",0,(N317*Q317)/AA317)*VLOOKUP(C317,'2-Uren per locatie'!$B$15:$D$74,3,FALSE)</f>
        <v>#DIV/0!</v>
      </c>
      <c r="V317" s="295" t="e">
        <f>IF(K317="nio",0,(O317*Q317)/Z317)*VLOOKUP(C317,'2-Uren per locatie'!$B$15:$D$74,3,FALSE)</f>
        <v>#DIV/0!</v>
      </c>
      <c r="W317" s="295" t="e">
        <f>IF(K317="nio",0,(P317*Q317)/AA317)*VLOOKUP(C317,'2-Uren per locatie'!$B$15:$D$74,3,FALSE)</f>
        <v>#DIV/0!</v>
      </c>
      <c r="X317" s="485">
        <f>IF(K317="nio",0,IF(K317&gt;0,VLOOKUP(H317,'3-Productie normen'!A:F,VLOOKUP(K317,'3-Productie normen'!$B$29:$C$34,2,FALSE),FALSE)))</f>
        <v>0</v>
      </c>
      <c r="Y317" s="485">
        <f>VLOOKUP(H317,'3-Productie normen'!$A$10:$J$24,8,FALSE)*'3-Ruimtestaat'!X317</f>
        <v>0</v>
      </c>
      <c r="Z317" s="485">
        <f>VLOOKUP(H317,'3-Productie normen'!$A$10:$J$24,9,FALSE)*'3-Ruimtestaat'!X317</f>
        <v>0</v>
      </c>
      <c r="AA317" s="485">
        <f>VLOOKUP(H317,'3-Productie normen'!$A$10:$J$24,10,FALSE)*'3-Ruimtestaat'!X317</f>
        <v>0</v>
      </c>
      <c r="AB317" s="292" t="str">
        <f>IF(H317="",0,VLOOKUP(H317,'3-Productie normen'!$A$10:$N$23,14,FALSE))</f>
        <v>V</v>
      </c>
      <c r="AD317" s="296">
        <f t="shared" si="10"/>
        <v>3650</v>
      </c>
      <c r="AE317" s="78"/>
      <c r="AF317" s="297"/>
      <c r="AG317" s="297"/>
      <c r="AH317" s="297"/>
      <c r="AI317" s="297"/>
      <c r="AJ317" s="297"/>
      <c r="AK317" s="298"/>
      <c r="AL317" s="298"/>
      <c r="AM317" s="298"/>
      <c r="AN317" s="298">
        <f>Q317</f>
        <v>10</v>
      </c>
      <c r="AO317" s="299"/>
    </row>
    <row r="318" spans="1:41" ht="15" customHeight="1">
      <c r="A318" s="254">
        <v>318</v>
      </c>
      <c r="B318" s="253">
        <v>119</v>
      </c>
      <c r="C318" s="240" t="s">
        <v>70</v>
      </c>
      <c r="D318" s="288" t="s">
        <v>56</v>
      </c>
      <c r="E318" s="289"/>
      <c r="F318" s="239" t="s">
        <v>249</v>
      </c>
      <c r="G318" s="290" t="s">
        <v>543</v>
      </c>
      <c r="H318" s="291" t="s">
        <v>151</v>
      </c>
      <c r="I318" s="239" t="s">
        <v>203</v>
      </c>
      <c r="J318" s="424">
        <f t="shared" si="9"/>
        <v>365</v>
      </c>
      <c r="K318" s="425">
        <v>127</v>
      </c>
      <c r="L318" s="425">
        <v>126</v>
      </c>
      <c r="M318" s="425">
        <v>52</v>
      </c>
      <c r="N318" s="425">
        <v>52</v>
      </c>
      <c r="O318" s="425">
        <v>4</v>
      </c>
      <c r="P318" s="425">
        <v>4</v>
      </c>
      <c r="Q318" s="294">
        <v>1637</v>
      </c>
      <c r="R318" s="295" t="e">
        <f>IF(K318="nio",0,(K318*Q318)/X318)*VLOOKUP(C318,'2-Uren per locatie'!$B$15:$D$74,3,FALSE)</f>
        <v>#DIV/0!</v>
      </c>
      <c r="S318" s="295" t="e">
        <f>IF(K318="nio",0,(L318*Q318)/Y318)*VLOOKUP(C318,'2-Uren per locatie'!$B$15:$D$74,3,FALSE)</f>
        <v>#DIV/0!</v>
      </c>
      <c r="T318" s="295" t="e">
        <f>IF(K318="nio",0,(M318*Q318)/Z318)*VLOOKUP(C318,'2-Uren per locatie'!$B$15:$D$74,3,FALSE)</f>
        <v>#DIV/0!</v>
      </c>
      <c r="U318" s="295" t="e">
        <f>IF(K318="nio",0,(N318*Q318)/AA318)*VLOOKUP(C318,'2-Uren per locatie'!$B$15:$D$74,3,FALSE)</f>
        <v>#DIV/0!</v>
      </c>
      <c r="V318" s="295" t="e">
        <f>IF(K318="nio",0,(O318*Q318)/Z318)*VLOOKUP(C318,'2-Uren per locatie'!$B$15:$D$74,3,FALSE)</f>
        <v>#DIV/0!</v>
      </c>
      <c r="W318" s="295" t="e">
        <f>IF(K318="nio",0,(P318*Q318)/AA318)*VLOOKUP(C318,'2-Uren per locatie'!$B$15:$D$74,3,FALSE)</f>
        <v>#DIV/0!</v>
      </c>
      <c r="X318" s="485">
        <f>IF(K318="nio",0,IF(K318&gt;0,VLOOKUP(H318,'3-Productie normen'!A:F,VLOOKUP(K318,'3-Productie normen'!$B$29:$C$34,2,FALSE),FALSE)))</f>
        <v>0</v>
      </c>
      <c r="Y318" s="485">
        <f>VLOOKUP(H318,'3-Productie normen'!$A$10:$J$24,8,FALSE)*'3-Ruimtestaat'!X318</f>
        <v>0</v>
      </c>
      <c r="Z318" s="485">
        <f>VLOOKUP(H318,'3-Productie normen'!$A$10:$J$24,9,FALSE)*'3-Ruimtestaat'!X318</f>
        <v>0</v>
      </c>
      <c r="AA318" s="485">
        <f>VLOOKUP(H318,'3-Productie normen'!$A$10:$J$24,10,FALSE)*'3-Ruimtestaat'!X318</f>
        <v>0</v>
      </c>
      <c r="AB318" s="292" t="str">
        <f>IF(H318="",0,VLOOKUP(H318,'3-Productie normen'!$A$10:$N$23,14,FALSE))</f>
        <v>V</v>
      </c>
      <c r="AD318" s="296">
        <f t="shared" si="10"/>
        <v>597505</v>
      </c>
      <c r="AE318" s="78"/>
      <c r="AF318" s="297"/>
      <c r="AG318" s="297"/>
      <c r="AH318" s="297"/>
      <c r="AI318" s="297"/>
      <c r="AJ318" s="297"/>
      <c r="AK318" s="298" t="s">
        <v>544</v>
      </c>
      <c r="AL318" s="298"/>
      <c r="AM318" s="298"/>
      <c r="AN318" s="298"/>
      <c r="AO318" s="299"/>
    </row>
    <row r="319" spans="1:41" ht="15" customHeight="1">
      <c r="A319" s="254">
        <v>319</v>
      </c>
      <c r="B319" s="253">
        <v>120</v>
      </c>
      <c r="C319" s="240" t="s">
        <v>71</v>
      </c>
      <c r="D319" s="288" t="s">
        <v>56</v>
      </c>
      <c r="E319" s="289"/>
      <c r="F319" s="239" t="s">
        <v>395</v>
      </c>
      <c r="G319" s="290" t="s">
        <v>505</v>
      </c>
      <c r="H319" s="291" t="s">
        <v>145</v>
      </c>
      <c r="I319" s="239" t="s">
        <v>545</v>
      </c>
      <c r="J319" s="424">
        <f t="shared" si="9"/>
        <v>365</v>
      </c>
      <c r="K319" s="425">
        <v>102</v>
      </c>
      <c r="L319" s="425">
        <v>153</v>
      </c>
      <c r="M319" s="425"/>
      <c r="N319" s="425">
        <v>102</v>
      </c>
      <c r="O319" s="425"/>
      <c r="P319" s="425">
        <v>8</v>
      </c>
      <c r="Q319" s="294">
        <v>143</v>
      </c>
      <c r="R319" s="295" t="e">
        <f>IF(K319="nio",0,(K319*Q319)/X319)*VLOOKUP(C319,'2-Uren per locatie'!$B$15:$D$74,3,FALSE)</f>
        <v>#DIV/0!</v>
      </c>
      <c r="S319" s="295" t="e">
        <f>IF(K319="nio",0,(L319*Q319)/Y319)*VLOOKUP(C319,'2-Uren per locatie'!$B$15:$D$74,3,FALSE)</f>
        <v>#DIV/0!</v>
      </c>
      <c r="T319" s="295" t="e">
        <f>IF(K319="nio",0,(M319*Q319)/Z319)*VLOOKUP(C319,'2-Uren per locatie'!$B$15:$D$74,3,FALSE)</f>
        <v>#DIV/0!</v>
      </c>
      <c r="U319" s="295" t="e">
        <f>IF(K319="nio",0,(N319*Q319)/AA319)*VLOOKUP(C319,'2-Uren per locatie'!$B$15:$D$74,3,FALSE)</f>
        <v>#DIV/0!</v>
      </c>
      <c r="V319" s="295" t="e">
        <f>IF(K319="nio",0,(O319*Q319)/Z319)*VLOOKUP(C319,'2-Uren per locatie'!$B$15:$D$74,3,FALSE)</f>
        <v>#DIV/0!</v>
      </c>
      <c r="W319" s="295" t="e">
        <f>IF(K319="nio",0,(P319*Q319)/AA319)*VLOOKUP(C319,'2-Uren per locatie'!$B$15:$D$74,3,FALSE)</f>
        <v>#DIV/0!</v>
      </c>
      <c r="X319" s="485">
        <f>IF(K319="nio",0,IF(K319&gt;0,VLOOKUP(H319,'3-Productie normen'!A:F,VLOOKUP(K319,'3-Productie normen'!$B$29:$C$34,2,FALSE),FALSE)))</f>
        <v>0</v>
      </c>
      <c r="Y319" s="485">
        <f>VLOOKUP(H319,'3-Productie normen'!$A$10:$J$24,8,FALSE)*'3-Ruimtestaat'!X319</f>
        <v>0</v>
      </c>
      <c r="Z319" s="485">
        <f>VLOOKUP(H319,'3-Productie normen'!$A$10:$J$24,9,FALSE)*'3-Ruimtestaat'!X319</f>
        <v>0</v>
      </c>
      <c r="AA319" s="485">
        <f>VLOOKUP(H319,'3-Productie normen'!$A$10:$J$24,10,FALSE)*'3-Ruimtestaat'!X319</f>
        <v>0</v>
      </c>
      <c r="AB319" s="292" t="str">
        <f>IF(H319="",0,VLOOKUP(H319,'3-Productie normen'!$A$10:$N$23,14,FALSE))</f>
        <v>V</v>
      </c>
      <c r="AD319" s="296">
        <f t="shared" si="10"/>
        <v>52195</v>
      </c>
      <c r="AE319" s="78"/>
      <c r="AF319" s="297">
        <v>364</v>
      </c>
      <c r="AG319" s="297">
        <v>296</v>
      </c>
      <c r="AH319" s="297"/>
      <c r="AI319" s="297"/>
      <c r="AJ319" s="297"/>
      <c r="AK319" s="298"/>
      <c r="AL319" s="298"/>
      <c r="AM319" s="298">
        <f>Q319</f>
        <v>143</v>
      </c>
      <c r="AN319" s="298"/>
      <c r="AO319" s="299"/>
    </row>
    <row r="320" spans="1:41" ht="15" customHeight="1">
      <c r="A320" s="254">
        <v>320</v>
      </c>
      <c r="B320" s="253">
        <v>120</v>
      </c>
      <c r="C320" s="240" t="s">
        <v>71</v>
      </c>
      <c r="D320" s="288" t="s">
        <v>56</v>
      </c>
      <c r="E320" s="289"/>
      <c r="F320" s="239" t="s">
        <v>546</v>
      </c>
      <c r="G320" s="290" t="s">
        <v>506</v>
      </c>
      <c r="H320" s="291" t="s">
        <v>155</v>
      </c>
      <c r="I320" s="239" t="s">
        <v>384</v>
      </c>
      <c r="J320" s="424">
        <f t="shared" si="9"/>
        <v>365</v>
      </c>
      <c r="K320" s="425">
        <v>102</v>
      </c>
      <c r="L320" s="425">
        <v>153</v>
      </c>
      <c r="M320" s="425"/>
      <c r="N320" s="425">
        <v>102</v>
      </c>
      <c r="O320" s="425"/>
      <c r="P320" s="425">
        <v>8</v>
      </c>
      <c r="Q320" s="294">
        <v>28</v>
      </c>
      <c r="R320" s="295" t="e">
        <f>IF(K320="nio",0,(K320*Q320)/X320)*VLOOKUP(C320,'2-Uren per locatie'!$B$15:$D$74,3,FALSE)</f>
        <v>#DIV/0!</v>
      </c>
      <c r="S320" s="295" t="e">
        <f>IF(K320="nio",0,(L320*Q320)/Y320)*VLOOKUP(C320,'2-Uren per locatie'!$B$15:$D$74,3,FALSE)</f>
        <v>#DIV/0!</v>
      </c>
      <c r="T320" s="295" t="e">
        <f>IF(K320="nio",0,(M320*Q320)/Z320)*VLOOKUP(C320,'2-Uren per locatie'!$B$15:$D$74,3,FALSE)</f>
        <v>#DIV/0!</v>
      </c>
      <c r="U320" s="295" t="e">
        <f>IF(K320="nio",0,(N320*Q320)/AA320)*VLOOKUP(C320,'2-Uren per locatie'!$B$15:$D$74,3,FALSE)</f>
        <v>#DIV/0!</v>
      </c>
      <c r="V320" s="295" t="e">
        <f>IF(K320="nio",0,(O320*Q320)/Z320)*VLOOKUP(C320,'2-Uren per locatie'!$B$15:$D$74,3,FALSE)</f>
        <v>#DIV/0!</v>
      </c>
      <c r="W320" s="295" t="e">
        <f>IF(K320="nio",0,(P320*Q320)/AA320)*VLOOKUP(C320,'2-Uren per locatie'!$B$15:$D$74,3,FALSE)</f>
        <v>#DIV/0!</v>
      </c>
      <c r="X320" s="485">
        <f>IF(K320="nio",0,IF(K320&gt;0,VLOOKUP(H320,'3-Productie normen'!A:F,VLOOKUP(K320,'3-Productie normen'!$B$29:$C$34,2,FALSE),FALSE)))</f>
        <v>0</v>
      </c>
      <c r="Y320" s="485">
        <f>VLOOKUP(H320,'3-Productie normen'!$A$10:$J$24,8,FALSE)*'3-Ruimtestaat'!X320</f>
        <v>0</v>
      </c>
      <c r="Z320" s="485">
        <f>VLOOKUP(H320,'3-Productie normen'!$A$10:$J$24,9,FALSE)*'3-Ruimtestaat'!X320</f>
        <v>0</v>
      </c>
      <c r="AA320" s="485">
        <f>VLOOKUP(H320,'3-Productie normen'!$A$10:$J$24,10,FALSE)*'3-Ruimtestaat'!X320</f>
        <v>0</v>
      </c>
      <c r="AB320" s="292" t="str">
        <f>IF(H320="",0,VLOOKUP(H320,'3-Productie normen'!$A$10:$N$23,14,FALSE))</f>
        <v>V</v>
      </c>
      <c r="AD320" s="296">
        <f t="shared" si="10"/>
        <v>10220</v>
      </c>
      <c r="AE320" s="78"/>
      <c r="AF320" s="297"/>
      <c r="AG320" s="297">
        <v>62</v>
      </c>
      <c r="AH320" s="297"/>
      <c r="AI320" s="297"/>
      <c r="AJ320" s="297"/>
      <c r="AK320" s="298"/>
      <c r="AL320" s="298">
        <f>Q320</f>
        <v>28</v>
      </c>
      <c r="AM320" s="298"/>
      <c r="AN320" s="298"/>
      <c r="AO320" s="299"/>
    </row>
    <row r="321" spans="1:41" ht="15" customHeight="1">
      <c r="A321" s="254">
        <v>321</v>
      </c>
      <c r="B321" s="253">
        <v>120</v>
      </c>
      <c r="C321" s="240" t="s">
        <v>71</v>
      </c>
      <c r="D321" s="288" t="s">
        <v>56</v>
      </c>
      <c r="E321" s="289"/>
      <c r="F321" s="239" t="s">
        <v>376</v>
      </c>
      <c r="G321" s="290" t="s">
        <v>531</v>
      </c>
      <c r="H321" s="291" t="s">
        <v>149</v>
      </c>
      <c r="I321" s="239" t="s">
        <v>401</v>
      </c>
      <c r="J321" s="424">
        <f t="shared" si="9"/>
        <v>365</v>
      </c>
      <c r="K321" s="425">
        <v>102</v>
      </c>
      <c r="L321" s="425">
        <v>153</v>
      </c>
      <c r="M321" s="425"/>
      <c r="N321" s="425">
        <v>102</v>
      </c>
      <c r="O321" s="425"/>
      <c r="P321" s="425">
        <v>8</v>
      </c>
      <c r="Q321" s="294">
        <v>4</v>
      </c>
      <c r="R321" s="295" t="e">
        <f>IF(K321="nio",0,(K321*Q321)/X321)*VLOOKUP(C321,'2-Uren per locatie'!$B$15:$D$74,3,FALSE)</f>
        <v>#DIV/0!</v>
      </c>
      <c r="S321" s="295" t="e">
        <f>IF(K321="nio",0,(L321*Q321)/Y321)*VLOOKUP(C321,'2-Uren per locatie'!$B$15:$D$74,3,FALSE)</f>
        <v>#DIV/0!</v>
      </c>
      <c r="T321" s="295" t="e">
        <f>IF(K321="nio",0,(M321*Q321)/Z321)*VLOOKUP(C321,'2-Uren per locatie'!$B$15:$D$74,3,FALSE)</f>
        <v>#DIV/0!</v>
      </c>
      <c r="U321" s="295" t="e">
        <f>IF(K321="nio",0,(N321*Q321)/AA321)*VLOOKUP(C321,'2-Uren per locatie'!$B$15:$D$74,3,FALSE)</f>
        <v>#DIV/0!</v>
      </c>
      <c r="V321" s="295" t="e">
        <f>IF(K321="nio",0,(O321*Q321)/Z321)*VLOOKUP(C321,'2-Uren per locatie'!$B$15:$D$74,3,FALSE)</f>
        <v>#DIV/0!</v>
      </c>
      <c r="W321" s="295" t="e">
        <f>IF(K321="nio",0,(P321*Q321)/AA321)*VLOOKUP(C321,'2-Uren per locatie'!$B$15:$D$74,3,FALSE)</f>
        <v>#DIV/0!</v>
      </c>
      <c r="X321" s="485">
        <f>IF(K321="nio",0,IF(K321&gt;0,VLOOKUP(H321,'3-Productie normen'!A:F,VLOOKUP(K321,'3-Productie normen'!$B$29:$C$34,2,FALSE),FALSE)))</f>
        <v>0</v>
      </c>
      <c r="Y321" s="485">
        <f>VLOOKUP(H321,'3-Productie normen'!$A$10:$J$24,8,FALSE)*'3-Ruimtestaat'!X321</f>
        <v>0</v>
      </c>
      <c r="Z321" s="485">
        <f>VLOOKUP(H321,'3-Productie normen'!$A$10:$J$24,9,FALSE)*'3-Ruimtestaat'!X321</f>
        <v>0</v>
      </c>
      <c r="AA321" s="485">
        <f>VLOOKUP(H321,'3-Productie normen'!$A$10:$J$24,10,FALSE)*'3-Ruimtestaat'!X321</f>
        <v>0</v>
      </c>
      <c r="AB321" s="292" t="str">
        <f>IF(H321="",0,VLOOKUP(H321,'3-Productie normen'!$A$10:$N$23,14,FALSE))</f>
        <v>V</v>
      </c>
      <c r="AD321" s="296">
        <f t="shared" si="10"/>
        <v>1460</v>
      </c>
      <c r="AE321" s="78"/>
      <c r="AF321" s="297"/>
      <c r="AG321" s="297"/>
      <c r="AH321" s="297"/>
      <c r="AI321" s="297"/>
      <c r="AJ321" s="297"/>
      <c r="AK321" s="298"/>
      <c r="AL321" s="298"/>
      <c r="AM321" s="298"/>
      <c r="AN321" s="298">
        <f>Q321</f>
        <v>4</v>
      </c>
      <c r="AO321" s="299"/>
    </row>
    <row r="322" spans="1:41" ht="15" customHeight="1">
      <c r="A322" s="254">
        <v>322</v>
      </c>
      <c r="B322" s="253">
        <v>120</v>
      </c>
      <c r="C322" s="240" t="s">
        <v>71</v>
      </c>
      <c r="D322" s="288" t="s">
        <v>56</v>
      </c>
      <c r="E322" s="289"/>
      <c r="F322" s="239" t="s">
        <v>450</v>
      </c>
      <c r="G322" s="290" t="s">
        <v>547</v>
      </c>
      <c r="H322" s="291" t="s">
        <v>146</v>
      </c>
      <c r="I322" s="239" t="s">
        <v>384</v>
      </c>
      <c r="J322" s="424">
        <f t="shared" si="9"/>
        <v>156</v>
      </c>
      <c r="K322" s="425">
        <v>156</v>
      </c>
      <c r="L322" s="425"/>
      <c r="M322" s="425"/>
      <c r="N322" s="425"/>
      <c r="O322" s="425"/>
      <c r="P322" s="425"/>
      <c r="Q322" s="294">
        <v>21</v>
      </c>
      <c r="R322" s="295" t="e">
        <f>IF(K322="nio",0,(K322*Q322)/X322)*VLOOKUP(C322,'2-Uren per locatie'!$B$15:$D$74,3,FALSE)</f>
        <v>#DIV/0!</v>
      </c>
      <c r="S322" s="295" t="e">
        <f>IF(K322="nio",0,(L322*Q322)/Y322)*VLOOKUP(C322,'2-Uren per locatie'!$B$15:$D$74,3,FALSE)</f>
        <v>#DIV/0!</v>
      </c>
      <c r="T322" s="295" t="e">
        <f>IF(K322="nio",0,(M322*Q322)/Z322)*VLOOKUP(C322,'2-Uren per locatie'!$B$15:$D$74,3,FALSE)</f>
        <v>#DIV/0!</v>
      </c>
      <c r="U322" s="295" t="e">
        <f>IF(K322="nio",0,(N322*Q322)/AA322)*VLOOKUP(C322,'2-Uren per locatie'!$B$15:$D$74,3,FALSE)</f>
        <v>#DIV/0!</v>
      </c>
      <c r="V322" s="295" t="e">
        <f>IF(K322="nio",0,(O322*Q322)/Z322)*VLOOKUP(C322,'2-Uren per locatie'!$B$15:$D$74,3,FALSE)</f>
        <v>#DIV/0!</v>
      </c>
      <c r="W322" s="295" t="e">
        <f>IF(K322="nio",0,(P322*Q322)/AA322)*VLOOKUP(C322,'2-Uren per locatie'!$B$15:$D$74,3,FALSE)</f>
        <v>#DIV/0!</v>
      </c>
      <c r="X322" s="485">
        <f>IF(K322="nio",0,IF(K322&gt;0,VLOOKUP(H322,'3-Productie normen'!A:F,VLOOKUP(K322,'3-Productie normen'!$B$29:$C$34,2,FALSE),FALSE)))</f>
        <v>0</v>
      </c>
      <c r="Y322" s="485">
        <f>VLOOKUP(H322,'3-Productie normen'!$A$10:$J$24,8,FALSE)*'3-Ruimtestaat'!X322</f>
        <v>0</v>
      </c>
      <c r="Z322" s="485">
        <f>VLOOKUP(H322,'3-Productie normen'!$A$10:$J$24,9,FALSE)*'3-Ruimtestaat'!X322</f>
        <v>0</v>
      </c>
      <c r="AA322" s="485">
        <f>VLOOKUP(H322,'3-Productie normen'!$A$10:$J$24,10,FALSE)*'3-Ruimtestaat'!X322</f>
        <v>0</v>
      </c>
      <c r="AB322" s="292" t="str">
        <f>IF(H322="",0,VLOOKUP(H322,'3-Productie normen'!$A$10:$N$23,14,FALSE))</f>
        <v>B</v>
      </c>
      <c r="AD322" s="296">
        <f t="shared" si="10"/>
        <v>3276</v>
      </c>
      <c r="AE322" s="78"/>
      <c r="AF322" s="297"/>
      <c r="AG322" s="297"/>
      <c r="AH322" s="297">
        <v>55</v>
      </c>
      <c r="AI322" s="297"/>
      <c r="AJ322" s="297"/>
      <c r="AK322" s="298"/>
      <c r="AL322" s="298"/>
      <c r="AM322" s="298">
        <f>Q322</f>
        <v>21</v>
      </c>
      <c r="AN322" s="298"/>
      <c r="AO322" s="299"/>
    </row>
    <row r="323" spans="1:41" ht="15" customHeight="1">
      <c r="A323" s="254">
        <v>323</v>
      </c>
      <c r="B323" s="253">
        <v>120</v>
      </c>
      <c r="C323" s="240" t="s">
        <v>71</v>
      </c>
      <c r="D323" s="288" t="s">
        <v>56</v>
      </c>
      <c r="E323" s="289"/>
      <c r="F323" s="239" t="s">
        <v>529</v>
      </c>
      <c r="G323" s="290" t="s">
        <v>548</v>
      </c>
      <c r="H323" s="291" t="s">
        <v>153</v>
      </c>
      <c r="I323" s="239" t="s">
        <v>384</v>
      </c>
      <c r="J323" s="424">
        <f t="shared" si="9"/>
        <v>365</v>
      </c>
      <c r="K323" s="425">
        <v>255</v>
      </c>
      <c r="L323" s="425"/>
      <c r="M323" s="425">
        <v>102</v>
      </c>
      <c r="N323" s="425"/>
      <c r="O323" s="425">
        <v>8</v>
      </c>
      <c r="P323" s="425"/>
      <c r="Q323" s="294">
        <v>2</v>
      </c>
      <c r="R323" s="295" t="e">
        <f>IF(K323="nio",0,(K323*Q323)/X323)*VLOOKUP(C323,'2-Uren per locatie'!$B$15:$D$74,3,FALSE)</f>
        <v>#DIV/0!</v>
      </c>
      <c r="S323" s="295" t="e">
        <f>IF(K323="nio",0,(L323*Q323)/Y323)*VLOOKUP(C323,'2-Uren per locatie'!$B$15:$D$74,3,FALSE)</f>
        <v>#DIV/0!</v>
      </c>
      <c r="T323" s="295" t="e">
        <f>IF(K323="nio",0,(M323*Q323)/Z323)*VLOOKUP(C323,'2-Uren per locatie'!$B$15:$D$74,3,FALSE)</f>
        <v>#DIV/0!</v>
      </c>
      <c r="U323" s="295" t="e">
        <f>IF(K323="nio",0,(N323*Q323)/AA323)*VLOOKUP(C323,'2-Uren per locatie'!$B$15:$D$74,3,FALSE)</f>
        <v>#DIV/0!</v>
      </c>
      <c r="V323" s="295" t="e">
        <f>IF(K323="nio",0,(O323*Q323)/Z323)*VLOOKUP(C323,'2-Uren per locatie'!$B$15:$D$74,3,FALSE)</f>
        <v>#DIV/0!</v>
      </c>
      <c r="W323" s="295" t="e">
        <f>IF(K323="nio",0,(P323*Q323)/AA323)*VLOOKUP(C323,'2-Uren per locatie'!$B$15:$D$74,3,FALSE)</f>
        <v>#DIV/0!</v>
      </c>
      <c r="X323" s="485">
        <f>IF(K323="nio",0,IF(K323&gt;0,VLOOKUP(H323,'3-Productie normen'!A:F,VLOOKUP(K323,'3-Productie normen'!$B$29:$C$34,2,FALSE),FALSE)))</f>
        <v>0</v>
      </c>
      <c r="Y323" s="485">
        <f>VLOOKUP(H323,'3-Productie normen'!$A$10:$J$24,8,FALSE)*'3-Ruimtestaat'!X323</f>
        <v>0</v>
      </c>
      <c r="Z323" s="485">
        <f>VLOOKUP(H323,'3-Productie normen'!$A$10:$J$24,9,FALSE)*'3-Ruimtestaat'!X323</f>
        <v>0</v>
      </c>
      <c r="AA323" s="485">
        <f>VLOOKUP(H323,'3-Productie normen'!$A$10:$J$24,10,FALSE)*'3-Ruimtestaat'!X323</f>
        <v>0</v>
      </c>
      <c r="AB323" s="292" t="str">
        <f>IF(H323="",0,VLOOKUP(H323,'3-Productie normen'!$A$10:$N$23,14,FALSE))</f>
        <v>S</v>
      </c>
      <c r="AD323" s="296">
        <f t="shared" si="10"/>
        <v>730</v>
      </c>
      <c r="AE323" s="78"/>
      <c r="AF323" s="297"/>
      <c r="AG323" s="297">
        <v>14</v>
      </c>
      <c r="AH323" s="297"/>
      <c r="AI323" s="297"/>
      <c r="AJ323" s="297"/>
      <c r="AK323" s="298"/>
      <c r="AL323" s="298"/>
      <c r="AM323" s="298">
        <f>Q323</f>
        <v>2</v>
      </c>
      <c r="AN323" s="298"/>
      <c r="AO323" s="299"/>
    </row>
    <row r="324" spans="1:41" ht="15" customHeight="1">
      <c r="A324" s="254">
        <v>324</v>
      </c>
      <c r="B324" s="253">
        <v>120</v>
      </c>
      <c r="C324" s="240" t="s">
        <v>71</v>
      </c>
      <c r="D324" s="288" t="s">
        <v>56</v>
      </c>
      <c r="E324" s="289"/>
      <c r="F324" s="239" t="s">
        <v>249</v>
      </c>
      <c r="G324" s="290" t="s">
        <v>543</v>
      </c>
      <c r="H324" s="291" t="s">
        <v>151</v>
      </c>
      <c r="I324" s="239" t="s">
        <v>549</v>
      </c>
      <c r="J324" s="424">
        <f t="shared" si="9"/>
        <v>365</v>
      </c>
      <c r="K324" s="425">
        <v>102</v>
      </c>
      <c r="L324" s="425">
        <v>153</v>
      </c>
      <c r="M324" s="425"/>
      <c r="N324" s="425">
        <v>102</v>
      </c>
      <c r="O324" s="425"/>
      <c r="P324" s="425">
        <v>8</v>
      </c>
      <c r="Q324" s="294">
        <v>1881</v>
      </c>
      <c r="R324" s="295" t="e">
        <f>IF(K324="nio",0,(K324*Q324)/X324)*VLOOKUP(C324,'2-Uren per locatie'!$B$15:$D$74,3,FALSE)</f>
        <v>#DIV/0!</v>
      </c>
      <c r="S324" s="295" t="e">
        <f>IF(K324="nio",0,(L324*Q324)/Y324)*VLOOKUP(C324,'2-Uren per locatie'!$B$15:$D$74,3,FALSE)</f>
        <v>#DIV/0!</v>
      </c>
      <c r="T324" s="295" t="e">
        <f>IF(K324="nio",0,(M324*Q324)/Z324)*VLOOKUP(C324,'2-Uren per locatie'!$B$15:$D$74,3,FALSE)</f>
        <v>#DIV/0!</v>
      </c>
      <c r="U324" s="295" t="e">
        <f>IF(K324="nio",0,(N324*Q324)/AA324)*VLOOKUP(C324,'2-Uren per locatie'!$B$15:$D$74,3,FALSE)</f>
        <v>#DIV/0!</v>
      </c>
      <c r="V324" s="295" t="e">
        <f>IF(K324="nio",0,(O324*Q324)/Z324)*VLOOKUP(C324,'2-Uren per locatie'!$B$15:$D$74,3,FALSE)</f>
        <v>#DIV/0!</v>
      </c>
      <c r="W324" s="295" t="e">
        <f>IF(K324="nio",0,(P324*Q324)/AA324)*VLOOKUP(C324,'2-Uren per locatie'!$B$15:$D$74,3,FALSE)</f>
        <v>#DIV/0!</v>
      </c>
      <c r="X324" s="485">
        <f>IF(K324="nio",0,IF(K324&gt;0,VLOOKUP(H324,'3-Productie normen'!A:F,VLOOKUP(K324,'3-Productie normen'!$B$29:$C$34,2,FALSE),FALSE)))</f>
        <v>0</v>
      </c>
      <c r="Y324" s="485">
        <f>VLOOKUP(H324,'3-Productie normen'!$A$10:$J$24,8,FALSE)*'3-Ruimtestaat'!X324</f>
        <v>0</v>
      </c>
      <c r="Z324" s="485">
        <f>VLOOKUP(H324,'3-Productie normen'!$A$10:$J$24,9,FALSE)*'3-Ruimtestaat'!X324</f>
        <v>0</v>
      </c>
      <c r="AA324" s="485">
        <f>VLOOKUP(H324,'3-Productie normen'!$A$10:$J$24,10,FALSE)*'3-Ruimtestaat'!X324</f>
        <v>0</v>
      </c>
      <c r="AB324" s="292" t="str">
        <f>IF(H324="",0,VLOOKUP(H324,'3-Productie normen'!$A$10:$N$23,14,FALSE))</f>
        <v>V</v>
      </c>
      <c r="AD324" s="296">
        <f t="shared" si="10"/>
        <v>686565</v>
      </c>
      <c r="AE324" s="78"/>
      <c r="AF324" s="297"/>
      <c r="AG324" s="297"/>
      <c r="AH324" s="297"/>
      <c r="AI324" s="297"/>
      <c r="AJ324" s="297"/>
      <c r="AK324" s="298">
        <v>1023</v>
      </c>
      <c r="AL324" s="298"/>
      <c r="AM324" s="298"/>
      <c r="AN324" s="298"/>
      <c r="AO324" s="299"/>
    </row>
    <row r="325" spans="1:41" ht="15" customHeight="1">
      <c r="A325" s="254">
        <v>325</v>
      </c>
      <c r="B325" s="253">
        <v>120</v>
      </c>
      <c r="C325" s="240" t="s">
        <v>71</v>
      </c>
      <c r="D325" s="288" t="s">
        <v>56</v>
      </c>
      <c r="E325" s="289"/>
      <c r="F325" s="239" t="s">
        <v>467</v>
      </c>
      <c r="G325" s="290" t="s">
        <v>550</v>
      </c>
      <c r="H325" s="291" t="s">
        <v>152</v>
      </c>
      <c r="I325" s="239" t="s">
        <v>265</v>
      </c>
      <c r="J325" s="424">
        <f t="shared" si="9"/>
        <v>365</v>
      </c>
      <c r="K325" s="425">
        <v>102</v>
      </c>
      <c r="L325" s="425">
        <v>153</v>
      </c>
      <c r="M325" s="425"/>
      <c r="N325" s="425">
        <v>102</v>
      </c>
      <c r="O325" s="425"/>
      <c r="P325" s="425">
        <v>8</v>
      </c>
      <c r="Q325" s="294">
        <v>41</v>
      </c>
      <c r="R325" s="295" t="e">
        <f>IF(K325="nio",0,(K325*Q325)/X325)*VLOOKUP(C325,'2-Uren per locatie'!$B$15:$D$74,3,FALSE)</f>
        <v>#DIV/0!</v>
      </c>
      <c r="S325" s="295" t="e">
        <f>IF(K325="nio",0,(L325*Q325)/Y325)*VLOOKUP(C325,'2-Uren per locatie'!$B$15:$D$74,3,FALSE)</f>
        <v>#DIV/0!</v>
      </c>
      <c r="T325" s="295" t="e">
        <f>IF(K325="nio",0,(M325*Q325)/Z325)*VLOOKUP(C325,'2-Uren per locatie'!$B$15:$D$74,3,FALSE)</f>
        <v>#DIV/0!</v>
      </c>
      <c r="U325" s="295" t="e">
        <f>IF(K325="nio",0,(N325*Q325)/AA325)*VLOOKUP(C325,'2-Uren per locatie'!$B$15:$D$74,3,FALSE)</f>
        <v>#DIV/0!</v>
      </c>
      <c r="V325" s="295" t="e">
        <f>IF(K325="nio",0,(O325*Q325)/Z325)*VLOOKUP(C325,'2-Uren per locatie'!$B$15:$D$74,3,FALSE)</f>
        <v>#DIV/0!</v>
      </c>
      <c r="W325" s="295" t="e">
        <f>IF(K325="nio",0,(P325*Q325)/AA325)*VLOOKUP(C325,'2-Uren per locatie'!$B$15:$D$74,3,FALSE)</f>
        <v>#DIV/0!</v>
      </c>
      <c r="X325" s="485">
        <f>IF(K325="nio",0,IF(K325&gt;0,VLOOKUP(H325,'3-Productie normen'!A:F,VLOOKUP(K325,'3-Productie normen'!$B$29:$C$34,2,FALSE),FALSE)))</f>
        <v>0</v>
      </c>
      <c r="Y325" s="485">
        <f>VLOOKUP(H325,'3-Productie normen'!$A$10:$J$24,8,FALSE)*'3-Ruimtestaat'!X325</f>
        <v>0</v>
      </c>
      <c r="Z325" s="485">
        <f>VLOOKUP(H325,'3-Productie normen'!$A$10:$J$24,9,FALSE)*'3-Ruimtestaat'!X325</f>
        <v>0</v>
      </c>
      <c r="AA325" s="485">
        <f>VLOOKUP(H325,'3-Productie normen'!$A$10:$J$24,10,FALSE)*'3-Ruimtestaat'!X325</f>
        <v>0</v>
      </c>
      <c r="AB325" s="292" t="str">
        <f>IF(H325="",0,VLOOKUP(H325,'3-Productie normen'!$A$10:$N$23,14,FALSE))</f>
        <v>V</v>
      </c>
      <c r="AD325" s="296">
        <f t="shared" si="10"/>
        <v>14965</v>
      </c>
      <c r="AE325" s="78"/>
      <c r="AF325" s="300" t="s">
        <v>507</v>
      </c>
      <c r="AG325" s="297"/>
      <c r="AH325" s="297"/>
      <c r="AI325" s="297"/>
      <c r="AJ325" s="297"/>
      <c r="AK325" s="298"/>
      <c r="AL325" s="298"/>
      <c r="AM325" s="298"/>
      <c r="AN325" s="298"/>
      <c r="AO325" s="299"/>
    </row>
    <row r="326" spans="1:41" ht="15" customHeight="1">
      <c r="A326" s="254">
        <v>326</v>
      </c>
      <c r="B326" s="253">
        <v>120</v>
      </c>
      <c r="C326" s="240" t="s">
        <v>71</v>
      </c>
      <c r="D326" s="288" t="s">
        <v>56</v>
      </c>
      <c r="E326" s="289"/>
      <c r="F326" s="239" t="s">
        <v>467</v>
      </c>
      <c r="G326" s="290" t="s">
        <v>551</v>
      </c>
      <c r="H326" s="291" t="s">
        <v>152</v>
      </c>
      <c r="I326" s="239" t="s">
        <v>265</v>
      </c>
      <c r="J326" s="424">
        <f t="shared" si="9"/>
        <v>365</v>
      </c>
      <c r="K326" s="425">
        <v>102</v>
      </c>
      <c r="L326" s="425">
        <v>153</v>
      </c>
      <c r="M326" s="425"/>
      <c r="N326" s="425">
        <v>102</v>
      </c>
      <c r="O326" s="425"/>
      <c r="P326" s="425">
        <v>8</v>
      </c>
      <c r="Q326" s="294">
        <v>41</v>
      </c>
      <c r="R326" s="295" t="e">
        <f>IF(K326="nio",0,(K326*Q326)/X326)*VLOOKUP(C326,'2-Uren per locatie'!$B$15:$D$74,3,FALSE)</f>
        <v>#DIV/0!</v>
      </c>
      <c r="S326" s="295" t="e">
        <f>IF(K326="nio",0,(L326*Q326)/Y326)*VLOOKUP(C326,'2-Uren per locatie'!$B$15:$D$74,3,FALSE)</f>
        <v>#DIV/0!</v>
      </c>
      <c r="T326" s="295" t="e">
        <f>IF(K326="nio",0,(M326*Q326)/Z326)*VLOOKUP(C326,'2-Uren per locatie'!$B$15:$D$74,3,FALSE)</f>
        <v>#DIV/0!</v>
      </c>
      <c r="U326" s="295" t="e">
        <f>IF(K326="nio",0,(N326*Q326)/AA326)*VLOOKUP(C326,'2-Uren per locatie'!$B$15:$D$74,3,FALSE)</f>
        <v>#DIV/0!</v>
      </c>
      <c r="V326" s="295" t="e">
        <f>IF(K326="nio",0,(O326*Q326)/Z326)*VLOOKUP(C326,'2-Uren per locatie'!$B$15:$D$74,3,FALSE)</f>
        <v>#DIV/0!</v>
      </c>
      <c r="W326" s="295" t="e">
        <f>IF(K326="nio",0,(P326*Q326)/AA326)*VLOOKUP(C326,'2-Uren per locatie'!$B$15:$D$74,3,FALSE)</f>
        <v>#DIV/0!</v>
      </c>
      <c r="X326" s="485">
        <f>IF(K326="nio",0,IF(K326&gt;0,VLOOKUP(H326,'3-Productie normen'!A:F,VLOOKUP(K326,'3-Productie normen'!$B$29:$C$34,2,FALSE),FALSE)))</f>
        <v>0</v>
      </c>
      <c r="Y326" s="485">
        <f>VLOOKUP(H326,'3-Productie normen'!$A$10:$J$24,8,FALSE)*'3-Ruimtestaat'!X326</f>
        <v>0</v>
      </c>
      <c r="Z326" s="485">
        <f>VLOOKUP(H326,'3-Productie normen'!$A$10:$J$24,9,FALSE)*'3-Ruimtestaat'!X326</f>
        <v>0</v>
      </c>
      <c r="AA326" s="485">
        <f>VLOOKUP(H326,'3-Productie normen'!$A$10:$J$24,10,FALSE)*'3-Ruimtestaat'!X326</f>
        <v>0</v>
      </c>
      <c r="AB326" s="292" t="str">
        <f>IF(H326="",0,VLOOKUP(H326,'3-Productie normen'!$A$10:$N$23,14,FALSE))</f>
        <v>V</v>
      </c>
      <c r="AD326" s="296">
        <f t="shared" si="10"/>
        <v>14965</v>
      </c>
      <c r="AE326" s="78"/>
      <c r="AF326" s="300" t="s">
        <v>507</v>
      </c>
      <c r="AG326" s="297"/>
      <c r="AH326" s="297"/>
      <c r="AI326" s="297"/>
      <c r="AJ326" s="297"/>
      <c r="AK326" s="298"/>
      <c r="AL326" s="298"/>
      <c r="AM326" s="298"/>
      <c r="AN326" s="298"/>
      <c r="AO326" s="299"/>
    </row>
    <row r="327" spans="1:41" ht="15" customHeight="1">
      <c r="A327" s="254">
        <v>327</v>
      </c>
      <c r="B327" s="253">
        <v>120</v>
      </c>
      <c r="C327" s="240" t="s">
        <v>71</v>
      </c>
      <c r="D327" s="288" t="s">
        <v>56</v>
      </c>
      <c r="E327" s="289"/>
      <c r="F327" s="239" t="s">
        <v>467</v>
      </c>
      <c r="G327" s="290" t="s">
        <v>520</v>
      </c>
      <c r="H327" s="291" t="s">
        <v>152</v>
      </c>
      <c r="I327" s="239" t="s">
        <v>265</v>
      </c>
      <c r="J327" s="424">
        <f t="shared" si="9"/>
        <v>365</v>
      </c>
      <c r="K327" s="425">
        <v>102</v>
      </c>
      <c r="L327" s="425">
        <v>153</v>
      </c>
      <c r="M327" s="425"/>
      <c r="N327" s="425">
        <v>102</v>
      </c>
      <c r="O327" s="425"/>
      <c r="P327" s="425">
        <v>8</v>
      </c>
      <c r="Q327" s="294">
        <v>41</v>
      </c>
      <c r="R327" s="295" t="e">
        <f>IF(K327="nio",0,(K327*Q327)/X327)*VLOOKUP(C327,'2-Uren per locatie'!$B$15:$D$74,3,FALSE)</f>
        <v>#DIV/0!</v>
      </c>
      <c r="S327" s="295" t="e">
        <f>IF(K327="nio",0,(L327*Q327)/Y327)*VLOOKUP(C327,'2-Uren per locatie'!$B$15:$D$74,3,FALSE)</f>
        <v>#DIV/0!</v>
      </c>
      <c r="T327" s="295" t="e">
        <f>IF(K327="nio",0,(M327*Q327)/Z327)*VLOOKUP(C327,'2-Uren per locatie'!$B$15:$D$74,3,FALSE)</f>
        <v>#DIV/0!</v>
      </c>
      <c r="U327" s="295" t="e">
        <f>IF(K327="nio",0,(N327*Q327)/AA327)*VLOOKUP(C327,'2-Uren per locatie'!$B$15:$D$74,3,FALSE)</f>
        <v>#DIV/0!</v>
      </c>
      <c r="V327" s="295" t="e">
        <f>IF(K327="nio",0,(O327*Q327)/Z327)*VLOOKUP(C327,'2-Uren per locatie'!$B$15:$D$74,3,FALSE)</f>
        <v>#DIV/0!</v>
      </c>
      <c r="W327" s="295" t="e">
        <f>IF(K327="nio",0,(P327*Q327)/AA327)*VLOOKUP(C327,'2-Uren per locatie'!$B$15:$D$74,3,FALSE)</f>
        <v>#DIV/0!</v>
      </c>
      <c r="X327" s="485">
        <f>IF(K327="nio",0,IF(K327&gt;0,VLOOKUP(H327,'3-Productie normen'!A:F,VLOOKUP(K327,'3-Productie normen'!$B$29:$C$34,2,FALSE),FALSE)))</f>
        <v>0</v>
      </c>
      <c r="Y327" s="485">
        <f>VLOOKUP(H327,'3-Productie normen'!$A$10:$J$24,8,FALSE)*'3-Ruimtestaat'!X327</f>
        <v>0</v>
      </c>
      <c r="Z327" s="485">
        <f>VLOOKUP(H327,'3-Productie normen'!$A$10:$J$24,9,FALSE)*'3-Ruimtestaat'!X327</f>
        <v>0</v>
      </c>
      <c r="AA327" s="485">
        <f>VLOOKUP(H327,'3-Productie normen'!$A$10:$J$24,10,FALSE)*'3-Ruimtestaat'!X327</f>
        <v>0</v>
      </c>
      <c r="AB327" s="292" t="str">
        <f>IF(H327="",0,VLOOKUP(H327,'3-Productie normen'!$A$10:$N$23,14,FALSE))</f>
        <v>V</v>
      </c>
      <c r="AD327" s="296">
        <f t="shared" si="10"/>
        <v>14965</v>
      </c>
      <c r="AE327" s="78"/>
      <c r="AF327" s="300" t="s">
        <v>507</v>
      </c>
      <c r="AG327" s="297"/>
      <c r="AH327" s="297"/>
      <c r="AI327" s="297"/>
      <c r="AJ327" s="297"/>
      <c r="AK327" s="298"/>
      <c r="AL327" s="298"/>
      <c r="AM327" s="298"/>
      <c r="AN327" s="298"/>
      <c r="AO327" s="299"/>
    </row>
    <row r="328" spans="1:41" ht="15" customHeight="1">
      <c r="A328" s="254">
        <v>328</v>
      </c>
      <c r="B328" s="253">
        <v>121</v>
      </c>
      <c r="C328" s="240" t="s">
        <v>72</v>
      </c>
      <c r="D328" s="288" t="s">
        <v>56</v>
      </c>
      <c r="E328" s="289"/>
      <c r="F328" s="239" t="s">
        <v>395</v>
      </c>
      <c r="G328" s="290" t="s">
        <v>505</v>
      </c>
      <c r="H328" s="291" t="s">
        <v>145</v>
      </c>
      <c r="I328" s="239" t="s">
        <v>203</v>
      </c>
      <c r="J328" s="424">
        <f t="shared" ref="J328:J391" si="12">SUM(K328:P328)</f>
        <v>365</v>
      </c>
      <c r="K328" s="425">
        <v>102</v>
      </c>
      <c r="L328" s="425">
        <v>153</v>
      </c>
      <c r="M328" s="425"/>
      <c r="N328" s="425">
        <v>102</v>
      </c>
      <c r="O328" s="425"/>
      <c r="P328" s="425">
        <v>8</v>
      </c>
      <c r="Q328" s="294">
        <v>170</v>
      </c>
      <c r="R328" s="295" t="e">
        <f>IF(K328="nio",0,(K328*Q328)/X328)*VLOOKUP(C328,'2-Uren per locatie'!$B$15:$D$74,3,FALSE)</f>
        <v>#DIV/0!</v>
      </c>
      <c r="S328" s="295" t="e">
        <f>IF(K328="nio",0,(L328*Q328)/Y328)*VLOOKUP(C328,'2-Uren per locatie'!$B$15:$D$74,3,FALSE)</f>
        <v>#DIV/0!</v>
      </c>
      <c r="T328" s="295" t="e">
        <f>IF(K328="nio",0,(M328*Q328)/Z328)*VLOOKUP(C328,'2-Uren per locatie'!$B$15:$D$74,3,FALSE)</f>
        <v>#DIV/0!</v>
      </c>
      <c r="U328" s="295" t="e">
        <f>IF(K328="nio",0,(N328*Q328)/AA328)*VLOOKUP(C328,'2-Uren per locatie'!$B$15:$D$74,3,FALSE)</f>
        <v>#DIV/0!</v>
      </c>
      <c r="V328" s="295" t="e">
        <f>IF(K328="nio",0,(O328*Q328)/Z328)*VLOOKUP(C328,'2-Uren per locatie'!$B$15:$D$74,3,FALSE)</f>
        <v>#DIV/0!</v>
      </c>
      <c r="W328" s="295" t="e">
        <f>IF(K328="nio",0,(P328*Q328)/AA328)*VLOOKUP(C328,'2-Uren per locatie'!$B$15:$D$74,3,FALSE)</f>
        <v>#DIV/0!</v>
      </c>
      <c r="X328" s="485">
        <f>IF(K328="nio",0,IF(K328&gt;0,VLOOKUP(H328,'3-Productie normen'!A:F,VLOOKUP(K328,'3-Productie normen'!$B$29:$C$34,2,FALSE),FALSE)))</f>
        <v>0</v>
      </c>
      <c r="Y328" s="485">
        <f>VLOOKUP(H328,'3-Productie normen'!$A$10:$J$24,8,FALSE)*'3-Ruimtestaat'!X328</f>
        <v>0</v>
      </c>
      <c r="Z328" s="485">
        <f>VLOOKUP(H328,'3-Productie normen'!$A$10:$J$24,9,FALSE)*'3-Ruimtestaat'!X328</f>
        <v>0</v>
      </c>
      <c r="AA328" s="485">
        <f>VLOOKUP(H328,'3-Productie normen'!$A$10:$J$24,10,FALSE)*'3-Ruimtestaat'!X328</f>
        <v>0</v>
      </c>
      <c r="AB328" s="292" t="str">
        <f>IF(H328="",0,VLOOKUP(H328,'3-Productie normen'!$A$10:$N$23,14,FALSE))</f>
        <v>V</v>
      </c>
      <c r="AD328" s="296">
        <f t="shared" si="10"/>
        <v>62050</v>
      </c>
      <c r="AE328" s="78"/>
      <c r="AF328" s="297"/>
      <c r="AG328" s="297">
        <v>470</v>
      </c>
      <c r="AH328" s="297"/>
      <c r="AI328" s="297"/>
      <c r="AJ328" s="297"/>
      <c r="AK328" s="298"/>
      <c r="AL328" s="298"/>
      <c r="AM328" s="298">
        <v>170</v>
      </c>
      <c r="AN328" s="298"/>
      <c r="AO328" s="299"/>
    </row>
    <row r="329" spans="1:41" ht="15" customHeight="1">
      <c r="A329" s="254">
        <v>329</v>
      </c>
      <c r="B329" s="253">
        <v>121</v>
      </c>
      <c r="C329" s="240" t="s">
        <v>72</v>
      </c>
      <c r="D329" s="288" t="s">
        <v>56</v>
      </c>
      <c r="E329" s="289"/>
      <c r="F329" s="239" t="s">
        <v>421</v>
      </c>
      <c r="G329" s="290" t="s">
        <v>509</v>
      </c>
      <c r="H329" s="291" t="s">
        <v>153</v>
      </c>
      <c r="I329" s="239" t="s">
        <v>299</v>
      </c>
      <c r="J329" s="424">
        <f t="shared" si="12"/>
        <v>365</v>
      </c>
      <c r="K329" s="425">
        <v>255</v>
      </c>
      <c r="L329" s="425"/>
      <c r="M329" s="425">
        <v>102</v>
      </c>
      <c r="N329" s="425"/>
      <c r="O329" s="425">
        <v>8</v>
      </c>
      <c r="P329" s="425"/>
      <c r="Q329" s="294">
        <v>4</v>
      </c>
      <c r="R329" s="295" t="e">
        <f>IF(K329="nio",0,(K329*Q329)/X329)*VLOOKUP(C329,'2-Uren per locatie'!$B$15:$D$74,3,FALSE)</f>
        <v>#DIV/0!</v>
      </c>
      <c r="S329" s="295" t="e">
        <f>IF(K329="nio",0,(L329*Q329)/Y329)*VLOOKUP(C329,'2-Uren per locatie'!$B$15:$D$74,3,FALSE)</f>
        <v>#DIV/0!</v>
      </c>
      <c r="T329" s="295" t="e">
        <f>IF(K329="nio",0,(M329*Q329)/Z329)*VLOOKUP(C329,'2-Uren per locatie'!$B$15:$D$74,3,FALSE)</f>
        <v>#DIV/0!</v>
      </c>
      <c r="U329" s="295" t="e">
        <f>IF(K329="nio",0,(N329*Q329)/AA329)*VLOOKUP(C329,'2-Uren per locatie'!$B$15:$D$74,3,FALSE)</f>
        <v>#DIV/0!</v>
      </c>
      <c r="V329" s="295" t="e">
        <f>IF(K329="nio",0,(O329*Q329)/Z329)*VLOOKUP(C329,'2-Uren per locatie'!$B$15:$D$74,3,FALSE)</f>
        <v>#DIV/0!</v>
      </c>
      <c r="W329" s="295" t="e">
        <f>IF(K329="nio",0,(P329*Q329)/AA329)*VLOOKUP(C329,'2-Uren per locatie'!$B$15:$D$74,3,FALSE)</f>
        <v>#DIV/0!</v>
      </c>
      <c r="X329" s="485">
        <f>IF(K329="nio",0,IF(K329&gt;0,VLOOKUP(H329,'3-Productie normen'!A:F,VLOOKUP(K329,'3-Productie normen'!$B$29:$C$34,2,FALSE),FALSE)))</f>
        <v>0</v>
      </c>
      <c r="Y329" s="485">
        <f>VLOOKUP(H329,'3-Productie normen'!$A$10:$J$24,8,FALSE)*'3-Ruimtestaat'!X329</f>
        <v>0</v>
      </c>
      <c r="Z329" s="485">
        <f>VLOOKUP(H329,'3-Productie normen'!$A$10:$J$24,9,FALSE)*'3-Ruimtestaat'!X329</f>
        <v>0</v>
      </c>
      <c r="AA329" s="485">
        <f>VLOOKUP(H329,'3-Productie normen'!$A$10:$J$24,10,FALSE)*'3-Ruimtestaat'!X329</f>
        <v>0</v>
      </c>
      <c r="AB329" s="292" t="str">
        <f>IF(H329="",0,VLOOKUP(H329,'3-Productie normen'!$A$10:$N$23,14,FALSE))</f>
        <v>S</v>
      </c>
      <c r="AD329" s="296">
        <f t="shared" si="10"/>
        <v>1460</v>
      </c>
      <c r="AE329" s="78"/>
      <c r="AF329" s="297">
        <v>24</v>
      </c>
      <c r="AG329" s="297"/>
      <c r="AH329" s="297"/>
      <c r="AI329" s="297"/>
      <c r="AJ329" s="297"/>
      <c r="AK329" s="298"/>
      <c r="AL329" s="298"/>
      <c r="AM329" s="298"/>
      <c r="AN329" s="298">
        <f>Q329</f>
        <v>4</v>
      </c>
      <c r="AO329" s="299"/>
    </row>
    <row r="330" spans="1:41" ht="15" customHeight="1">
      <c r="A330" s="254">
        <v>330</v>
      </c>
      <c r="B330" s="253">
        <v>121</v>
      </c>
      <c r="C330" s="240" t="s">
        <v>72</v>
      </c>
      <c r="D330" s="288" t="s">
        <v>56</v>
      </c>
      <c r="E330" s="289"/>
      <c r="F330" s="239" t="s">
        <v>423</v>
      </c>
      <c r="G330" s="290" t="s">
        <v>511</v>
      </c>
      <c r="H330" s="291" t="s">
        <v>153</v>
      </c>
      <c r="I330" s="239" t="s">
        <v>299</v>
      </c>
      <c r="J330" s="424">
        <f t="shared" si="12"/>
        <v>365</v>
      </c>
      <c r="K330" s="425">
        <v>255</v>
      </c>
      <c r="L330" s="425"/>
      <c r="M330" s="425">
        <v>102</v>
      </c>
      <c r="N330" s="425"/>
      <c r="O330" s="425">
        <v>8</v>
      </c>
      <c r="P330" s="425"/>
      <c r="Q330" s="294">
        <v>4</v>
      </c>
      <c r="R330" s="295" t="e">
        <f>IF(K330="nio",0,(K330*Q330)/X330)*VLOOKUP(C330,'2-Uren per locatie'!$B$15:$D$74,3,FALSE)</f>
        <v>#DIV/0!</v>
      </c>
      <c r="S330" s="295" t="e">
        <f>IF(K330="nio",0,(L330*Q330)/Y330)*VLOOKUP(C330,'2-Uren per locatie'!$B$15:$D$74,3,FALSE)</f>
        <v>#DIV/0!</v>
      </c>
      <c r="T330" s="295" t="e">
        <f>IF(K330="nio",0,(M330*Q330)/Z330)*VLOOKUP(C330,'2-Uren per locatie'!$B$15:$D$74,3,FALSE)</f>
        <v>#DIV/0!</v>
      </c>
      <c r="U330" s="295" t="e">
        <f>IF(K330="nio",0,(N330*Q330)/AA330)*VLOOKUP(C330,'2-Uren per locatie'!$B$15:$D$74,3,FALSE)</f>
        <v>#DIV/0!</v>
      </c>
      <c r="V330" s="295" t="e">
        <f>IF(K330="nio",0,(O330*Q330)/Z330)*VLOOKUP(C330,'2-Uren per locatie'!$B$15:$D$74,3,FALSE)</f>
        <v>#DIV/0!</v>
      </c>
      <c r="W330" s="295" t="e">
        <f>IF(K330="nio",0,(P330*Q330)/AA330)*VLOOKUP(C330,'2-Uren per locatie'!$B$15:$D$74,3,FALSE)</f>
        <v>#DIV/0!</v>
      </c>
      <c r="X330" s="485">
        <f>IF(K330="nio",0,IF(K330&gt;0,VLOOKUP(H330,'3-Productie normen'!A:F,VLOOKUP(K330,'3-Productie normen'!$B$29:$C$34,2,FALSE),FALSE)))</f>
        <v>0</v>
      </c>
      <c r="Y330" s="485">
        <f>VLOOKUP(H330,'3-Productie normen'!$A$10:$J$24,8,FALSE)*'3-Ruimtestaat'!X330</f>
        <v>0</v>
      </c>
      <c r="Z330" s="485">
        <f>VLOOKUP(H330,'3-Productie normen'!$A$10:$J$24,9,FALSE)*'3-Ruimtestaat'!X330</f>
        <v>0</v>
      </c>
      <c r="AA330" s="485">
        <f>VLOOKUP(H330,'3-Productie normen'!$A$10:$J$24,10,FALSE)*'3-Ruimtestaat'!X330</f>
        <v>0</v>
      </c>
      <c r="AB330" s="292" t="str">
        <f>IF(H330="",0,VLOOKUP(H330,'3-Productie normen'!$A$10:$N$23,14,FALSE))</f>
        <v>S</v>
      </c>
      <c r="AD330" s="296">
        <f t="shared" si="10"/>
        <v>1460</v>
      </c>
      <c r="AE330" s="78"/>
      <c r="AF330" s="297">
        <v>24</v>
      </c>
      <c r="AG330" s="297"/>
      <c r="AH330" s="297"/>
      <c r="AI330" s="297"/>
      <c r="AJ330" s="297"/>
      <c r="AK330" s="298"/>
      <c r="AL330" s="298"/>
      <c r="AM330" s="298"/>
      <c r="AN330" s="298">
        <f>Q330</f>
        <v>4</v>
      </c>
      <c r="AO330" s="299"/>
    </row>
    <row r="331" spans="1:41" ht="15" customHeight="1">
      <c r="A331" s="254">
        <v>331</v>
      </c>
      <c r="B331" s="253">
        <v>121</v>
      </c>
      <c r="C331" s="240" t="s">
        <v>72</v>
      </c>
      <c r="D331" s="288" t="s">
        <v>56</v>
      </c>
      <c r="E331" s="289"/>
      <c r="F331" s="239" t="s">
        <v>444</v>
      </c>
      <c r="G331" s="290" t="s">
        <v>531</v>
      </c>
      <c r="H331" s="291" t="s">
        <v>149</v>
      </c>
      <c r="I331" s="239" t="s">
        <v>245</v>
      </c>
      <c r="J331" s="424">
        <f t="shared" si="12"/>
        <v>365</v>
      </c>
      <c r="K331" s="425">
        <v>102</v>
      </c>
      <c r="L331" s="425">
        <v>153</v>
      </c>
      <c r="M331" s="425"/>
      <c r="N331" s="425">
        <v>102</v>
      </c>
      <c r="O331" s="425"/>
      <c r="P331" s="425">
        <v>8</v>
      </c>
      <c r="Q331" s="294">
        <v>6</v>
      </c>
      <c r="R331" s="295" t="e">
        <f>IF(K331="nio",0,(K331*Q331)/X331)*VLOOKUP(C331,'2-Uren per locatie'!$B$15:$D$74,3,FALSE)</f>
        <v>#DIV/0!</v>
      </c>
      <c r="S331" s="295" t="e">
        <f>IF(K331="nio",0,(L331*Q331)/Y331)*VLOOKUP(C331,'2-Uren per locatie'!$B$15:$D$74,3,FALSE)</f>
        <v>#DIV/0!</v>
      </c>
      <c r="T331" s="295" t="e">
        <f>IF(K331="nio",0,(M331*Q331)/Z331)*VLOOKUP(C331,'2-Uren per locatie'!$B$15:$D$74,3,FALSE)</f>
        <v>#DIV/0!</v>
      </c>
      <c r="U331" s="295" t="e">
        <f>IF(K331="nio",0,(N331*Q331)/AA331)*VLOOKUP(C331,'2-Uren per locatie'!$B$15:$D$74,3,FALSE)</f>
        <v>#DIV/0!</v>
      </c>
      <c r="V331" s="295" t="e">
        <f>IF(K331="nio",0,(O331*Q331)/Z331)*VLOOKUP(C331,'2-Uren per locatie'!$B$15:$D$74,3,FALSE)</f>
        <v>#DIV/0!</v>
      </c>
      <c r="W331" s="295" t="e">
        <f>IF(K331="nio",0,(P331*Q331)/AA331)*VLOOKUP(C331,'2-Uren per locatie'!$B$15:$D$74,3,FALSE)</f>
        <v>#DIV/0!</v>
      </c>
      <c r="X331" s="485">
        <f>IF(K331="nio",0,IF(K331&gt;0,VLOOKUP(H331,'3-Productie normen'!A:F,VLOOKUP(K331,'3-Productie normen'!$B$29:$C$34,2,FALSE),FALSE)))</f>
        <v>0</v>
      </c>
      <c r="Y331" s="485">
        <f>VLOOKUP(H331,'3-Productie normen'!$A$10:$J$24,8,FALSE)*'3-Ruimtestaat'!X331</f>
        <v>0</v>
      </c>
      <c r="Z331" s="485">
        <f>VLOOKUP(H331,'3-Productie normen'!$A$10:$J$24,9,FALSE)*'3-Ruimtestaat'!X331</f>
        <v>0</v>
      </c>
      <c r="AA331" s="485">
        <f>VLOOKUP(H331,'3-Productie normen'!$A$10:$J$24,10,FALSE)*'3-Ruimtestaat'!X331</f>
        <v>0</v>
      </c>
      <c r="AB331" s="292" t="str">
        <f>IF(H331="",0,VLOOKUP(H331,'3-Productie normen'!$A$10:$N$23,14,FALSE))</f>
        <v>V</v>
      </c>
      <c r="AD331" s="296">
        <f t="shared" si="10"/>
        <v>2190</v>
      </c>
      <c r="AE331" s="78"/>
      <c r="AF331" s="297"/>
      <c r="AG331" s="297"/>
      <c r="AH331" s="297"/>
      <c r="AI331" s="297">
        <v>15</v>
      </c>
      <c r="AJ331" s="297"/>
      <c r="AK331" s="298"/>
      <c r="AL331" s="298"/>
      <c r="AM331" s="298"/>
      <c r="AN331" s="298">
        <f>Q331</f>
        <v>6</v>
      </c>
      <c r="AO331" s="299"/>
    </row>
    <row r="332" spans="1:41" ht="15" customHeight="1">
      <c r="A332" s="254">
        <v>332</v>
      </c>
      <c r="B332" s="253">
        <v>121</v>
      </c>
      <c r="C332" s="240" t="s">
        <v>72</v>
      </c>
      <c r="D332" s="288" t="s">
        <v>56</v>
      </c>
      <c r="E332" s="289"/>
      <c r="F332" s="239" t="s">
        <v>552</v>
      </c>
      <c r="G332" s="290" t="s">
        <v>553</v>
      </c>
      <c r="H332" s="291" t="s">
        <v>146</v>
      </c>
      <c r="I332" s="239" t="s">
        <v>420</v>
      </c>
      <c r="J332" s="424">
        <f t="shared" si="12"/>
        <v>156</v>
      </c>
      <c r="K332" s="425">
        <v>156</v>
      </c>
      <c r="L332" s="425"/>
      <c r="M332" s="425"/>
      <c r="N332" s="425"/>
      <c r="O332" s="425"/>
      <c r="P332" s="425"/>
      <c r="Q332" s="294">
        <v>25</v>
      </c>
      <c r="R332" s="295" t="e">
        <f>IF(K332="nio",0,(K332*Q332)/X332)*VLOOKUP(C332,'2-Uren per locatie'!$B$15:$D$74,3,FALSE)</f>
        <v>#DIV/0!</v>
      </c>
      <c r="S332" s="295" t="e">
        <f>IF(K332="nio",0,(L332*Q332)/Y332)*VLOOKUP(C332,'2-Uren per locatie'!$B$15:$D$74,3,FALSE)</f>
        <v>#DIV/0!</v>
      </c>
      <c r="T332" s="295" t="e">
        <f>IF(K332="nio",0,(M332*Q332)/Z332)*VLOOKUP(C332,'2-Uren per locatie'!$B$15:$D$74,3,FALSE)</f>
        <v>#DIV/0!</v>
      </c>
      <c r="U332" s="295" t="e">
        <f>IF(K332="nio",0,(N332*Q332)/AA332)*VLOOKUP(C332,'2-Uren per locatie'!$B$15:$D$74,3,FALSE)</f>
        <v>#DIV/0!</v>
      </c>
      <c r="V332" s="295" t="e">
        <f>IF(K332="nio",0,(O332*Q332)/Z332)*VLOOKUP(C332,'2-Uren per locatie'!$B$15:$D$74,3,FALSE)</f>
        <v>#DIV/0!</v>
      </c>
      <c r="W332" s="295" t="e">
        <f>IF(K332="nio",0,(P332*Q332)/AA332)*VLOOKUP(C332,'2-Uren per locatie'!$B$15:$D$74,3,FALSE)</f>
        <v>#DIV/0!</v>
      </c>
      <c r="X332" s="485">
        <f>IF(K332="nio",0,IF(K332&gt;0,VLOOKUP(H332,'3-Productie normen'!A:F,VLOOKUP(K332,'3-Productie normen'!$B$29:$C$34,2,FALSE),FALSE)))</f>
        <v>0</v>
      </c>
      <c r="Y332" s="485">
        <f>VLOOKUP(H332,'3-Productie normen'!$A$10:$J$24,8,FALSE)*'3-Ruimtestaat'!X332</f>
        <v>0</v>
      </c>
      <c r="Z332" s="485">
        <f>VLOOKUP(H332,'3-Productie normen'!$A$10:$J$24,9,FALSE)*'3-Ruimtestaat'!X332</f>
        <v>0</v>
      </c>
      <c r="AA332" s="485">
        <f>VLOOKUP(H332,'3-Productie normen'!$A$10:$J$24,10,FALSE)*'3-Ruimtestaat'!X332</f>
        <v>0</v>
      </c>
      <c r="AB332" s="292" t="str">
        <f>IF(H332="",0,VLOOKUP(H332,'3-Productie normen'!$A$10:$N$23,14,FALSE))</f>
        <v>B</v>
      </c>
      <c r="AD332" s="296">
        <f t="shared" ref="AD332:AD395" si="13">Q332*J332</f>
        <v>3900</v>
      </c>
      <c r="AE332" s="78"/>
      <c r="AF332" s="297"/>
      <c r="AG332" s="297">
        <v>75</v>
      </c>
      <c r="AH332" s="297"/>
      <c r="AI332" s="297"/>
      <c r="AJ332" s="297"/>
      <c r="AK332" s="298"/>
      <c r="AL332" s="298"/>
      <c r="AM332" s="298">
        <f>Q332</f>
        <v>25</v>
      </c>
      <c r="AN332" s="298"/>
      <c r="AO332" s="299"/>
    </row>
    <row r="333" spans="1:41" ht="15" customHeight="1">
      <c r="A333" s="254">
        <v>333</v>
      </c>
      <c r="B333" s="253">
        <v>121</v>
      </c>
      <c r="C333" s="240" t="s">
        <v>72</v>
      </c>
      <c r="D333" s="288" t="s">
        <v>56</v>
      </c>
      <c r="E333" s="289"/>
      <c r="F333" s="239" t="s">
        <v>249</v>
      </c>
      <c r="G333" s="290" t="s">
        <v>526</v>
      </c>
      <c r="H333" s="291" t="s">
        <v>151</v>
      </c>
      <c r="I333" s="239" t="s">
        <v>434</v>
      </c>
      <c r="J333" s="424">
        <f t="shared" si="12"/>
        <v>365</v>
      </c>
      <c r="K333" s="425">
        <v>102</v>
      </c>
      <c r="L333" s="425">
        <v>153</v>
      </c>
      <c r="M333" s="425"/>
      <c r="N333" s="425">
        <v>102</v>
      </c>
      <c r="O333" s="425"/>
      <c r="P333" s="425">
        <v>8</v>
      </c>
      <c r="Q333" s="294">
        <v>1428</v>
      </c>
      <c r="R333" s="295" t="e">
        <f>IF(K333="nio",0,(K333*Q333)/X333)*VLOOKUP(C333,'2-Uren per locatie'!$B$15:$D$74,3,FALSE)</f>
        <v>#DIV/0!</v>
      </c>
      <c r="S333" s="295" t="e">
        <f>IF(K333="nio",0,(L333*Q333)/Y333)*VLOOKUP(C333,'2-Uren per locatie'!$B$15:$D$74,3,FALSE)</f>
        <v>#DIV/0!</v>
      </c>
      <c r="T333" s="295" t="e">
        <f>IF(K333="nio",0,(M333*Q333)/Z333)*VLOOKUP(C333,'2-Uren per locatie'!$B$15:$D$74,3,FALSE)</f>
        <v>#DIV/0!</v>
      </c>
      <c r="U333" s="295" t="e">
        <f>IF(K333="nio",0,(N333*Q333)/AA333)*VLOOKUP(C333,'2-Uren per locatie'!$B$15:$D$74,3,FALSE)</f>
        <v>#DIV/0!</v>
      </c>
      <c r="V333" s="295" t="e">
        <f>IF(K333="nio",0,(O333*Q333)/Z333)*VLOOKUP(C333,'2-Uren per locatie'!$B$15:$D$74,3,FALSE)</f>
        <v>#DIV/0!</v>
      </c>
      <c r="W333" s="295" t="e">
        <f>IF(K333="nio",0,(P333*Q333)/AA333)*VLOOKUP(C333,'2-Uren per locatie'!$B$15:$D$74,3,FALSE)</f>
        <v>#DIV/0!</v>
      </c>
      <c r="X333" s="485">
        <f>IF(K333="nio",0,IF(K333&gt;0,VLOOKUP(H333,'3-Productie normen'!A:F,VLOOKUP(K333,'3-Productie normen'!$B$29:$C$34,2,FALSE),FALSE)))</f>
        <v>0</v>
      </c>
      <c r="Y333" s="485">
        <f>VLOOKUP(H333,'3-Productie normen'!$A$10:$J$24,8,FALSE)*'3-Ruimtestaat'!X333</f>
        <v>0</v>
      </c>
      <c r="Z333" s="485">
        <f>VLOOKUP(H333,'3-Productie normen'!$A$10:$J$24,9,FALSE)*'3-Ruimtestaat'!X333</f>
        <v>0</v>
      </c>
      <c r="AA333" s="485">
        <f>VLOOKUP(H333,'3-Productie normen'!$A$10:$J$24,10,FALSE)*'3-Ruimtestaat'!X333</f>
        <v>0</v>
      </c>
      <c r="AB333" s="292" t="str">
        <f>IF(H333="",0,VLOOKUP(H333,'3-Productie normen'!$A$10:$N$23,14,FALSE))</f>
        <v>V</v>
      </c>
      <c r="AD333" s="296">
        <f t="shared" si="13"/>
        <v>521220</v>
      </c>
      <c r="AE333" s="78"/>
      <c r="AF333" s="297"/>
      <c r="AG333" s="297"/>
      <c r="AH333" s="297"/>
      <c r="AI333" s="297"/>
      <c r="AJ333" s="297"/>
      <c r="AK333" s="298">
        <v>513</v>
      </c>
      <c r="AL333" s="298"/>
      <c r="AM333" s="298"/>
      <c r="AN333" s="298"/>
      <c r="AO333" s="299"/>
    </row>
    <row r="334" spans="1:41" ht="15" customHeight="1">
      <c r="A334" s="254">
        <v>334</v>
      </c>
      <c r="B334" s="253">
        <v>121</v>
      </c>
      <c r="C334" s="240" t="s">
        <v>72</v>
      </c>
      <c r="D334" s="288" t="s">
        <v>56</v>
      </c>
      <c r="E334" s="289"/>
      <c r="F334" s="239" t="s">
        <v>390</v>
      </c>
      <c r="G334" s="290" t="s">
        <v>515</v>
      </c>
      <c r="H334" s="291" t="s">
        <v>155</v>
      </c>
      <c r="I334" s="239" t="s">
        <v>392</v>
      </c>
      <c r="J334" s="424">
        <f t="shared" si="12"/>
        <v>365</v>
      </c>
      <c r="K334" s="425">
        <v>102</v>
      </c>
      <c r="L334" s="425">
        <v>153</v>
      </c>
      <c r="M334" s="425"/>
      <c r="N334" s="425">
        <v>102</v>
      </c>
      <c r="O334" s="425"/>
      <c r="P334" s="425">
        <v>8</v>
      </c>
      <c r="Q334" s="294">
        <v>35</v>
      </c>
      <c r="R334" s="295" t="e">
        <f>IF(K334="nio",0,(K334*Q334)/X334)*VLOOKUP(C334,'2-Uren per locatie'!$B$15:$D$74,3,FALSE)</f>
        <v>#DIV/0!</v>
      </c>
      <c r="S334" s="295" t="e">
        <f>IF(K334="nio",0,(L334*Q334)/Y334)*VLOOKUP(C334,'2-Uren per locatie'!$B$15:$D$74,3,FALSE)</f>
        <v>#DIV/0!</v>
      </c>
      <c r="T334" s="295" t="e">
        <f>IF(K334="nio",0,(M334*Q334)/Z334)*VLOOKUP(C334,'2-Uren per locatie'!$B$15:$D$74,3,FALSE)</f>
        <v>#DIV/0!</v>
      </c>
      <c r="U334" s="295" t="e">
        <f>IF(K334="nio",0,(N334*Q334)/AA334)*VLOOKUP(C334,'2-Uren per locatie'!$B$15:$D$74,3,FALSE)</f>
        <v>#DIV/0!</v>
      </c>
      <c r="V334" s="295" t="e">
        <f>IF(K334="nio",0,(O334*Q334)/Z334)*VLOOKUP(C334,'2-Uren per locatie'!$B$15:$D$74,3,FALSE)</f>
        <v>#DIV/0!</v>
      </c>
      <c r="W334" s="295" t="e">
        <f>IF(K334="nio",0,(P334*Q334)/AA334)*VLOOKUP(C334,'2-Uren per locatie'!$B$15:$D$74,3,FALSE)</f>
        <v>#DIV/0!</v>
      </c>
      <c r="X334" s="485">
        <f>IF(K334="nio",0,IF(K334&gt;0,VLOOKUP(H334,'3-Productie normen'!A:F,VLOOKUP(K334,'3-Productie normen'!$B$29:$C$34,2,FALSE),FALSE)))</f>
        <v>0</v>
      </c>
      <c r="Y334" s="485">
        <f>VLOOKUP(H334,'3-Productie normen'!$A$10:$J$24,8,FALSE)*'3-Ruimtestaat'!X334</f>
        <v>0</v>
      </c>
      <c r="Z334" s="485">
        <f>VLOOKUP(H334,'3-Productie normen'!$A$10:$J$24,9,FALSE)*'3-Ruimtestaat'!X334</f>
        <v>0</v>
      </c>
      <c r="AA334" s="485">
        <f>VLOOKUP(H334,'3-Productie normen'!$A$10:$J$24,10,FALSE)*'3-Ruimtestaat'!X334</f>
        <v>0</v>
      </c>
      <c r="AB334" s="292" t="str">
        <f>IF(H334="",0,VLOOKUP(H334,'3-Productie normen'!$A$10:$N$23,14,FALSE))</f>
        <v>V</v>
      </c>
      <c r="AD334" s="296">
        <f t="shared" si="13"/>
        <v>12775</v>
      </c>
      <c r="AE334" s="78"/>
      <c r="AF334" s="300" t="s">
        <v>507</v>
      </c>
      <c r="AG334" s="297"/>
      <c r="AH334" s="297"/>
      <c r="AI334" s="297"/>
      <c r="AJ334" s="297"/>
      <c r="AK334" s="298"/>
      <c r="AL334" s="298"/>
      <c r="AM334" s="298">
        <f>Q334</f>
        <v>35</v>
      </c>
      <c r="AN334" s="298"/>
      <c r="AO334" s="299"/>
    </row>
    <row r="335" spans="1:41" ht="15" customHeight="1">
      <c r="A335" s="254">
        <v>335</v>
      </c>
      <c r="B335" s="253">
        <v>121</v>
      </c>
      <c r="C335" s="240" t="s">
        <v>72</v>
      </c>
      <c r="D335" s="288" t="s">
        <v>56</v>
      </c>
      <c r="E335" s="289"/>
      <c r="F335" s="239" t="s">
        <v>466</v>
      </c>
      <c r="G335" s="290" t="s">
        <v>520</v>
      </c>
      <c r="H335" s="291" t="s">
        <v>152</v>
      </c>
      <c r="I335" s="239" t="s">
        <v>216</v>
      </c>
      <c r="J335" s="424">
        <f t="shared" si="12"/>
        <v>365</v>
      </c>
      <c r="K335" s="425">
        <v>102</v>
      </c>
      <c r="L335" s="425">
        <v>153</v>
      </c>
      <c r="M335" s="425"/>
      <c r="N335" s="425">
        <v>102</v>
      </c>
      <c r="O335" s="425"/>
      <c r="P335" s="425">
        <v>8</v>
      </c>
      <c r="Q335" s="294">
        <v>27</v>
      </c>
      <c r="R335" s="295" t="e">
        <f>IF(K335="nio",0,(K335*Q335)/X335)*VLOOKUP(C335,'2-Uren per locatie'!$B$15:$D$74,3,FALSE)</f>
        <v>#DIV/0!</v>
      </c>
      <c r="S335" s="295" t="e">
        <f>IF(K335="nio",0,(L335*Q335)/Y335)*VLOOKUP(C335,'2-Uren per locatie'!$B$15:$D$74,3,FALSE)</f>
        <v>#DIV/0!</v>
      </c>
      <c r="T335" s="295" t="e">
        <f>IF(K335="nio",0,(M335*Q335)/Z335)*VLOOKUP(C335,'2-Uren per locatie'!$B$15:$D$74,3,FALSE)</f>
        <v>#DIV/0!</v>
      </c>
      <c r="U335" s="295" t="e">
        <f>IF(K335="nio",0,(N335*Q335)/AA335)*VLOOKUP(C335,'2-Uren per locatie'!$B$15:$D$74,3,FALSE)</f>
        <v>#DIV/0!</v>
      </c>
      <c r="V335" s="295" t="e">
        <f>IF(K335="nio",0,(O335*Q335)/Z335)*VLOOKUP(C335,'2-Uren per locatie'!$B$15:$D$74,3,FALSE)</f>
        <v>#DIV/0!</v>
      </c>
      <c r="W335" s="295" t="e">
        <f>IF(K335="nio",0,(P335*Q335)/AA335)*VLOOKUP(C335,'2-Uren per locatie'!$B$15:$D$74,3,FALSE)</f>
        <v>#DIV/0!</v>
      </c>
      <c r="X335" s="485">
        <f>IF(K335="nio",0,IF(K335&gt;0,VLOOKUP(H335,'3-Productie normen'!A:F,VLOOKUP(K335,'3-Productie normen'!$B$29:$C$34,2,FALSE),FALSE)))</f>
        <v>0</v>
      </c>
      <c r="Y335" s="485">
        <f>VLOOKUP(H335,'3-Productie normen'!$A$10:$J$24,8,FALSE)*'3-Ruimtestaat'!X335</f>
        <v>0</v>
      </c>
      <c r="Z335" s="485">
        <f>VLOOKUP(H335,'3-Productie normen'!$A$10:$J$24,9,FALSE)*'3-Ruimtestaat'!X335</f>
        <v>0</v>
      </c>
      <c r="AA335" s="485">
        <f>VLOOKUP(H335,'3-Productie normen'!$A$10:$J$24,10,FALSE)*'3-Ruimtestaat'!X335</f>
        <v>0</v>
      </c>
      <c r="AB335" s="292" t="str">
        <f>IF(H335="",0,VLOOKUP(H335,'3-Productie normen'!$A$10:$N$23,14,FALSE))</f>
        <v>V</v>
      </c>
      <c r="AD335" s="296">
        <f t="shared" si="13"/>
        <v>9855</v>
      </c>
      <c r="AE335" s="78"/>
      <c r="AF335" s="300" t="s">
        <v>507</v>
      </c>
      <c r="AG335" s="297"/>
      <c r="AH335" s="297"/>
      <c r="AI335" s="297"/>
      <c r="AJ335" s="297"/>
      <c r="AK335" s="298"/>
      <c r="AL335" s="298"/>
      <c r="AM335" s="298">
        <f>Q335</f>
        <v>27</v>
      </c>
      <c r="AN335" s="298"/>
      <c r="AO335" s="299"/>
    </row>
    <row r="336" spans="1:41" ht="15" customHeight="1">
      <c r="A336" s="254">
        <v>336</v>
      </c>
      <c r="B336" s="253">
        <v>201</v>
      </c>
      <c r="C336" s="240" t="s">
        <v>73</v>
      </c>
      <c r="D336" s="288" t="s">
        <v>74</v>
      </c>
      <c r="E336" s="289"/>
      <c r="F336" s="239" t="s">
        <v>249</v>
      </c>
      <c r="G336" s="290" t="s">
        <v>554</v>
      </c>
      <c r="H336" s="291" t="s">
        <v>151</v>
      </c>
      <c r="I336" s="239" t="s">
        <v>555</v>
      </c>
      <c r="J336" s="424">
        <f t="shared" si="12"/>
        <v>365</v>
      </c>
      <c r="K336" s="425">
        <v>102</v>
      </c>
      <c r="L336" s="425">
        <v>153</v>
      </c>
      <c r="M336" s="425"/>
      <c r="N336" s="425">
        <v>102</v>
      </c>
      <c r="O336" s="425"/>
      <c r="P336" s="425">
        <v>8</v>
      </c>
      <c r="Q336" s="294">
        <v>507</v>
      </c>
      <c r="R336" s="295" t="e">
        <f>IF(K336="nio",0,(K336*Q336)/X336)*VLOOKUP(C336,'2-Uren per locatie'!$B$15:$D$74,3,FALSE)</f>
        <v>#DIV/0!</v>
      </c>
      <c r="S336" s="295" t="e">
        <f>IF(K336="nio",0,(L336*Q336)/Y336)*VLOOKUP(C336,'2-Uren per locatie'!$B$15:$D$74,3,FALSE)</f>
        <v>#DIV/0!</v>
      </c>
      <c r="T336" s="295" t="e">
        <f>IF(K336="nio",0,(M336*Q336)/Z336)*VLOOKUP(C336,'2-Uren per locatie'!$B$15:$D$74,3,FALSE)</f>
        <v>#DIV/0!</v>
      </c>
      <c r="U336" s="295" t="e">
        <f>IF(K336="nio",0,(N336*Q336)/AA336)*VLOOKUP(C336,'2-Uren per locatie'!$B$15:$D$74,3,FALSE)</f>
        <v>#DIV/0!</v>
      </c>
      <c r="V336" s="295" t="e">
        <f>IF(K336="nio",0,(O336*Q336)/Z336)*VLOOKUP(C336,'2-Uren per locatie'!$B$15:$D$74,3,FALSE)</f>
        <v>#DIV/0!</v>
      </c>
      <c r="W336" s="295" t="e">
        <f>IF(K336="nio",0,(P336*Q336)/AA336)*VLOOKUP(C336,'2-Uren per locatie'!$B$15:$D$74,3,FALSE)</f>
        <v>#DIV/0!</v>
      </c>
      <c r="X336" s="485">
        <f>IF(K336="nio",0,IF(K336&gt;0,VLOOKUP(H336,'3-Productie normen'!A:F,VLOOKUP(K336,'3-Productie normen'!$B$29:$C$34,2,FALSE),FALSE)))</f>
        <v>0</v>
      </c>
      <c r="Y336" s="485">
        <f>VLOOKUP(H336,'3-Productie normen'!$A$10:$J$24,8,FALSE)*'3-Ruimtestaat'!X336</f>
        <v>0</v>
      </c>
      <c r="Z336" s="485">
        <f>VLOOKUP(H336,'3-Productie normen'!$A$10:$J$24,9,FALSE)*'3-Ruimtestaat'!X336</f>
        <v>0</v>
      </c>
      <c r="AA336" s="485">
        <f>VLOOKUP(H336,'3-Productie normen'!$A$10:$J$24,10,FALSE)*'3-Ruimtestaat'!X336</f>
        <v>0</v>
      </c>
      <c r="AB336" s="292" t="str">
        <f>IF(H336="",0,VLOOKUP(H336,'3-Productie normen'!$A$10:$N$23,14,FALSE))</f>
        <v>V</v>
      </c>
      <c r="AD336" s="296">
        <f t="shared" si="13"/>
        <v>185055</v>
      </c>
      <c r="AE336" s="78"/>
      <c r="AF336" s="297"/>
      <c r="AG336" s="297"/>
      <c r="AH336" s="297"/>
      <c r="AI336" s="297"/>
      <c r="AJ336" s="297"/>
      <c r="AK336" s="298"/>
      <c r="AL336" s="298"/>
      <c r="AM336" s="298"/>
      <c r="AN336" s="298"/>
      <c r="AO336" s="299"/>
    </row>
    <row r="337" spans="1:41" ht="15" customHeight="1">
      <c r="A337" s="254">
        <v>337</v>
      </c>
      <c r="B337" s="253">
        <v>202</v>
      </c>
      <c r="C337" s="240" t="s">
        <v>75</v>
      </c>
      <c r="D337" s="288" t="s">
        <v>74</v>
      </c>
      <c r="E337" s="289"/>
      <c r="F337" s="239" t="s">
        <v>249</v>
      </c>
      <c r="G337" s="290" t="s">
        <v>554</v>
      </c>
      <c r="H337" s="291" t="s">
        <v>151</v>
      </c>
      <c r="I337" s="239" t="s">
        <v>555</v>
      </c>
      <c r="J337" s="424">
        <f t="shared" si="12"/>
        <v>365</v>
      </c>
      <c r="K337" s="425">
        <v>102</v>
      </c>
      <c r="L337" s="425">
        <v>153</v>
      </c>
      <c r="M337" s="425"/>
      <c r="N337" s="425">
        <v>102</v>
      </c>
      <c r="O337" s="425"/>
      <c r="P337" s="425">
        <v>8</v>
      </c>
      <c r="Q337" s="294">
        <v>671</v>
      </c>
      <c r="R337" s="295" t="e">
        <f>IF(K337="nio",0,(K337*Q337)/X337)*VLOOKUP(C337,'2-Uren per locatie'!$B$15:$D$74,3,FALSE)</f>
        <v>#DIV/0!</v>
      </c>
      <c r="S337" s="295" t="e">
        <f>IF(K337="nio",0,(L337*Q337)/Y337)*VLOOKUP(C337,'2-Uren per locatie'!$B$15:$D$74,3,FALSE)</f>
        <v>#DIV/0!</v>
      </c>
      <c r="T337" s="295" t="e">
        <f>IF(K337="nio",0,(M337*Q337)/Z337)*VLOOKUP(C337,'2-Uren per locatie'!$B$15:$D$74,3,FALSE)</f>
        <v>#DIV/0!</v>
      </c>
      <c r="U337" s="295" t="e">
        <f>IF(K337="nio",0,(N337*Q337)/AA337)*VLOOKUP(C337,'2-Uren per locatie'!$B$15:$D$74,3,FALSE)</f>
        <v>#DIV/0!</v>
      </c>
      <c r="V337" s="295" t="e">
        <f>IF(K337="nio",0,(O337*Q337)/Z337)*VLOOKUP(C337,'2-Uren per locatie'!$B$15:$D$74,3,FALSE)</f>
        <v>#DIV/0!</v>
      </c>
      <c r="W337" s="295" t="e">
        <f>IF(K337="nio",0,(P337*Q337)/AA337)*VLOOKUP(C337,'2-Uren per locatie'!$B$15:$D$74,3,FALSE)</f>
        <v>#DIV/0!</v>
      </c>
      <c r="X337" s="485">
        <f>IF(K337="nio",0,IF(K337&gt;0,VLOOKUP(H337,'3-Productie normen'!A:F,VLOOKUP(K337,'3-Productie normen'!$B$29:$C$34,2,FALSE),FALSE)))</f>
        <v>0</v>
      </c>
      <c r="Y337" s="485">
        <f>VLOOKUP(H337,'3-Productie normen'!$A$10:$J$24,8,FALSE)*'3-Ruimtestaat'!X337</f>
        <v>0</v>
      </c>
      <c r="Z337" s="485">
        <f>VLOOKUP(H337,'3-Productie normen'!$A$10:$J$24,9,FALSE)*'3-Ruimtestaat'!X337</f>
        <v>0</v>
      </c>
      <c r="AA337" s="485">
        <f>VLOOKUP(H337,'3-Productie normen'!$A$10:$J$24,10,FALSE)*'3-Ruimtestaat'!X337</f>
        <v>0</v>
      </c>
      <c r="AB337" s="292" t="str">
        <f>IF(H337="",0,VLOOKUP(H337,'3-Productie normen'!$A$10:$N$23,14,FALSE))</f>
        <v>V</v>
      </c>
      <c r="AD337" s="296">
        <f t="shared" si="13"/>
        <v>244915</v>
      </c>
      <c r="AE337" s="78"/>
      <c r="AF337" s="297"/>
      <c r="AG337" s="297"/>
      <c r="AH337" s="297"/>
      <c r="AI337" s="297"/>
      <c r="AJ337" s="297"/>
      <c r="AK337" s="298"/>
      <c r="AL337" s="298"/>
      <c r="AM337" s="298"/>
      <c r="AN337" s="298"/>
      <c r="AO337" s="299"/>
    </row>
    <row r="338" spans="1:41" ht="15" customHeight="1">
      <c r="A338" s="254">
        <v>338</v>
      </c>
      <c r="B338" s="253">
        <v>203</v>
      </c>
      <c r="C338" s="240" t="s">
        <v>76</v>
      </c>
      <c r="D338" s="288" t="s">
        <v>74</v>
      </c>
      <c r="E338" s="289"/>
      <c r="F338" s="239" t="s">
        <v>249</v>
      </c>
      <c r="G338" s="290" t="s">
        <v>556</v>
      </c>
      <c r="H338" s="291" t="s">
        <v>151</v>
      </c>
      <c r="I338" s="239" t="s">
        <v>555</v>
      </c>
      <c r="J338" s="424">
        <f t="shared" si="12"/>
        <v>365</v>
      </c>
      <c r="K338" s="425">
        <v>102</v>
      </c>
      <c r="L338" s="425">
        <v>153</v>
      </c>
      <c r="M338" s="425"/>
      <c r="N338" s="425">
        <v>102</v>
      </c>
      <c r="O338" s="425"/>
      <c r="P338" s="425">
        <v>8</v>
      </c>
      <c r="Q338" s="294">
        <v>507</v>
      </c>
      <c r="R338" s="295" t="e">
        <f>IF(K338="nio",0,(K338*Q338)/X338)*VLOOKUP(C338,'2-Uren per locatie'!$B$15:$D$74,3,FALSE)</f>
        <v>#DIV/0!</v>
      </c>
      <c r="S338" s="295" t="e">
        <f>IF(K338="nio",0,(L338*Q338)/Y338)*VLOOKUP(C338,'2-Uren per locatie'!$B$15:$D$74,3,FALSE)</f>
        <v>#DIV/0!</v>
      </c>
      <c r="T338" s="295" t="e">
        <f>IF(K338="nio",0,(M338*Q338)/Z338)*VLOOKUP(C338,'2-Uren per locatie'!$B$15:$D$74,3,FALSE)</f>
        <v>#DIV/0!</v>
      </c>
      <c r="U338" s="295" t="e">
        <f>IF(K338="nio",0,(N338*Q338)/AA338)*VLOOKUP(C338,'2-Uren per locatie'!$B$15:$D$74,3,FALSE)</f>
        <v>#DIV/0!</v>
      </c>
      <c r="V338" s="295" t="e">
        <f>IF(K338="nio",0,(O338*Q338)/Z338)*VLOOKUP(C338,'2-Uren per locatie'!$B$15:$D$74,3,FALSE)</f>
        <v>#DIV/0!</v>
      </c>
      <c r="W338" s="295" t="e">
        <f>IF(K338="nio",0,(P338*Q338)/AA338)*VLOOKUP(C338,'2-Uren per locatie'!$B$15:$D$74,3,FALSE)</f>
        <v>#DIV/0!</v>
      </c>
      <c r="X338" s="485">
        <f>IF(K338="nio",0,IF(K338&gt;0,VLOOKUP(H338,'3-Productie normen'!A:F,VLOOKUP(K338,'3-Productie normen'!$B$29:$C$34,2,FALSE),FALSE)))</f>
        <v>0</v>
      </c>
      <c r="Y338" s="485">
        <f>VLOOKUP(H338,'3-Productie normen'!$A$10:$J$24,8,FALSE)*'3-Ruimtestaat'!X338</f>
        <v>0</v>
      </c>
      <c r="Z338" s="485">
        <f>VLOOKUP(H338,'3-Productie normen'!$A$10:$J$24,9,FALSE)*'3-Ruimtestaat'!X338</f>
        <v>0</v>
      </c>
      <c r="AA338" s="485">
        <f>VLOOKUP(H338,'3-Productie normen'!$A$10:$J$24,10,FALSE)*'3-Ruimtestaat'!X338</f>
        <v>0</v>
      </c>
      <c r="AB338" s="292" t="str">
        <f>IF(H338="",0,VLOOKUP(H338,'3-Productie normen'!$A$10:$N$23,14,FALSE))</f>
        <v>V</v>
      </c>
      <c r="AD338" s="296">
        <f t="shared" si="13"/>
        <v>185055</v>
      </c>
      <c r="AE338" s="78"/>
      <c r="AF338" s="297"/>
      <c r="AG338" s="297"/>
      <c r="AH338" s="297"/>
      <c r="AI338" s="297"/>
      <c r="AJ338" s="297"/>
      <c r="AK338" s="298"/>
      <c r="AL338" s="298"/>
      <c r="AM338" s="298"/>
      <c r="AN338" s="298"/>
      <c r="AO338" s="299"/>
    </row>
    <row r="339" spans="1:41" ht="15" customHeight="1">
      <c r="A339" s="254">
        <v>339</v>
      </c>
      <c r="B339" s="253">
        <v>203</v>
      </c>
      <c r="C339" s="240" t="s">
        <v>76</v>
      </c>
      <c r="D339" s="288" t="s">
        <v>74</v>
      </c>
      <c r="E339" s="289"/>
      <c r="F339" s="239" t="s">
        <v>155</v>
      </c>
      <c r="G339" s="290" t="s">
        <v>506</v>
      </c>
      <c r="H339" s="291" t="s">
        <v>155</v>
      </c>
      <c r="I339" s="239" t="s">
        <v>557</v>
      </c>
      <c r="J339" s="424">
        <f t="shared" si="12"/>
        <v>365</v>
      </c>
      <c r="K339" s="425">
        <v>102</v>
      </c>
      <c r="L339" s="425">
        <v>153</v>
      </c>
      <c r="M339" s="425"/>
      <c r="N339" s="425">
        <v>102</v>
      </c>
      <c r="O339" s="425"/>
      <c r="P339" s="425">
        <v>8</v>
      </c>
      <c r="Q339" s="294">
        <v>78</v>
      </c>
      <c r="R339" s="295" t="e">
        <f>IF(K339="nio",0,(K339*Q339)/X339)*VLOOKUP(C339,'2-Uren per locatie'!$B$15:$D$74,3,FALSE)</f>
        <v>#DIV/0!</v>
      </c>
      <c r="S339" s="295" t="e">
        <f>IF(K339="nio",0,(L339*Q339)/Y339)*VLOOKUP(C339,'2-Uren per locatie'!$B$15:$D$74,3,FALSE)</f>
        <v>#DIV/0!</v>
      </c>
      <c r="T339" s="295" t="e">
        <f>IF(K339="nio",0,(M339*Q339)/Z339)*VLOOKUP(C339,'2-Uren per locatie'!$B$15:$D$74,3,FALSE)</f>
        <v>#DIV/0!</v>
      </c>
      <c r="U339" s="295" t="e">
        <f>IF(K339="nio",0,(N339*Q339)/AA339)*VLOOKUP(C339,'2-Uren per locatie'!$B$15:$D$74,3,FALSE)</f>
        <v>#DIV/0!</v>
      </c>
      <c r="V339" s="295" t="e">
        <f>IF(K339="nio",0,(O339*Q339)/Z339)*VLOOKUP(C339,'2-Uren per locatie'!$B$15:$D$74,3,FALSE)</f>
        <v>#DIV/0!</v>
      </c>
      <c r="W339" s="295" t="e">
        <f>IF(K339="nio",0,(P339*Q339)/AA339)*VLOOKUP(C339,'2-Uren per locatie'!$B$15:$D$74,3,FALSE)</f>
        <v>#DIV/0!</v>
      </c>
      <c r="X339" s="485">
        <f>IF(K339="nio",0,IF(K339&gt;0,VLOOKUP(H339,'3-Productie normen'!A:F,VLOOKUP(K339,'3-Productie normen'!$B$29:$C$34,2,FALSE),FALSE)))</f>
        <v>0</v>
      </c>
      <c r="Y339" s="485">
        <f>VLOOKUP(H339,'3-Productie normen'!$A$10:$J$24,8,FALSE)*'3-Ruimtestaat'!X339</f>
        <v>0</v>
      </c>
      <c r="Z339" s="485">
        <f>VLOOKUP(H339,'3-Productie normen'!$A$10:$J$24,9,FALSE)*'3-Ruimtestaat'!X339</f>
        <v>0</v>
      </c>
      <c r="AA339" s="485">
        <f>VLOOKUP(H339,'3-Productie normen'!$A$10:$J$24,10,FALSE)*'3-Ruimtestaat'!X339</f>
        <v>0</v>
      </c>
      <c r="AB339" s="292" t="str">
        <f>IF(H339="",0,VLOOKUP(H339,'3-Productie normen'!$A$10:$N$23,14,FALSE))</f>
        <v>V</v>
      </c>
      <c r="AD339" s="296">
        <f t="shared" si="13"/>
        <v>28470</v>
      </c>
      <c r="AE339" s="78"/>
      <c r="AF339" s="297"/>
      <c r="AG339" s="297"/>
      <c r="AH339" s="297"/>
      <c r="AI339" s="297"/>
      <c r="AJ339" s="297"/>
      <c r="AK339" s="298"/>
      <c r="AL339" s="298"/>
      <c r="AM339" s="298"/>
      <c r="AN339" s="298"/>
      <c r="AO339" s="299"/>
    </row>
    <row r="340" spans="1:41" ht="15" customHeight="1">
      <c r="A340" s="254">
        <v>340</v>
      </c>
      <c r="B340" s="253">
        <v>203</v>
      </c>
      <c r="C340" s="240" t="s">
        <v>76</v>
      </c>
      <c r="D340" s="288" t="s">
        <v>74</v>
      </c>
      <c r="E340" s="289"/>
      <c r="F340" s="239" t="s">
        <v>530</v>
      </c>
      <c r="G340" s="290" t="s">
        <v>531</v>
      </c>
      <c r="H340" s="291" t="s">
        <v>149</v>
      </c>
      <c r="I340" s="239" t="s">
        <v>558</v>
      </c>
      <c r="J340" s="424">
        <f t="shared" si="12"/>
        <v>365</v>
      </c>
      <c r="K340" s="425">
        <v>102</v>
      </c>
      <c r="L340" s="425">
        <v>153</v>
      </c>
      <c r="M340" s="425"/>
      <c r="N340" s="425">
        <v>102</v>
      </c>
      <c r="O340" s="425"/>
      <c r="P340" s="425">
        <v>8</v>
      </c>
      <c r="Q340" s="294">
        <v>4</v>
      </c>
      <c r="R340" s="295" t="e">
        <f>IF(K340="nio",0,(K340*Q340)/X340)*VLOOKUP(C340,'2-Uren per locatie'!$B$15:$D$74,3,FALSE)</f>
        <v>#DIV/0!</v>
      </c>
      <c r="S340" s="295" t="e">
        <f>IF(K340="nio",0,(L340*Q340)/Y340)*VLOOKUP(C340,'2-Uren per locatie'!$B$15:$D$74,3,FALSE)</f>
        <v>#DIV/0!</v>
      </c>
      <c r="T340" s="295" t="e">
        <f>IF(K340="nio",0,(M340*Q340)/Z340)*VLOOKUP(C340,'2-Uren per locatie'!$B$15:$D$74,3,FALSE)</f>
        <v>#DIV/0!</v>
      </c>
      <c r="U340" s="295" t="e">
        <f>IF(K340="nio",0,(N340*Q340)/AA340)*VLOOKUP(C340,'2-Uren per locatie'!$B$15:$D$74,3,FALSE)</f>
        <v>#DIV/0!</v>
      </c>
      <c r="V340" s="295" t="e">
        <f>IF(K340="nio",0,(O340*Q340)/Z340)*VLOOKUP(C340,'2-Uren per locatie'!$B$15:$D$74,3,FALSE)</f>
        <v>#DIV/0!</v>
      </c>
      <c r="W340" s="295" t="e">
        <f>IF(K340="nio",0,(P340*Q340)/AA340)*VLOOKUP(C340,'2-Uren per locatie'!$B$15:$D$74,3,FALSE)</f>
        <v>#DIV/0!</v>
      </c>
      <c r="X340" s="485">
        <f>IF(K340="nio",0,IF(K340&gt;0,VLOOKUP(H340,'3-Productie normen'!A:F,VLOOKUP(K340,'3-Productie normen'!$B$29:$C$34,2,FALSE),FALSE)))</f>
        <v>0</v>
      </c>
      <c r="Y340" s="485">
        <f>VLOOKUP(H340,'3-Productie normen'!$A$10:$J$24,8,FALSE)*'3-Ruimtestaat'!X340</f>
        <v>0</v>
      </c>
      <c r="Z340" s="485">
        <f>VLOOKUP(H340,'3-Productie normen'!$A$10:$J$24,9,FALSE)*'3-Ruimtestaat'!X340</f>
        <v>0</v>
      </c>
      <c r="AA340" s="485">
        <f>VLOOKUP(H340,'3-Productie normen'!$A$10:$J$24,10,FALSE)*'3-Ruimtestaat'!X340</f>
        <v>0</v>
      </c>
      <c r="AB340" s="292" t="str">
        <f>IF(H340="",0,VLOOKUP(H340,'3-Productie normen'!$A$10:$N$23,14,FALSE))</f>
        <v>V</v>
      </c>
      <c r="AD340" s="296">
        <f t="shared" si="13"/>
        <v>1460</v>
      </c>
      <c r="AE340" s="78"/>
      <c r="AF340" s="297"/>
      <c r="AG340" s="297"/>
      <c r="AH340" s="297"/>
      <c r="AI340" s="297">
        <v>19</v>
      </c>
      <c r="AJ340" s="297"/>
      <c r="AK340" s="298"/>
      <c r="AL340" s="298"/>
      <c r="AM340" s="298"/>
      <c r="AN340" s="298"/>
      <c r="AO340" s="299"/>
    </row>
    <row r="341" spans="1:41" ht="15" customHeight="1">
      <c r="A341" s="254">
        <v>341</v>
      </c>
      <c r="B341" s="253">
        <v>204</v>
      </c>
      <c r="C341" s="240" t="s">
        <v>77</v>
      </c>
      <c r="D341" s="288" t="s">
        <v>74</v>
      </c>
      <c r="E341" s="289"/>
      <c r="F341" s="239" t="s">
        <v>453</v>
      </c>
      <c r="G341" s="290" t="s">
        <v>554</v>
      </c>
      <c r="H341" s="291" t="s">
        <v>151</v>
      </c>
      <c r="I341" s="239" t="s">
        <v>559</v>
      </c>
      <c r="J341" s="424">
        <f t="shared" si="12"/>
        <v>365</v>
      </c>
      <c r="K341" s="425">
        <v>102</v>
      </c>
      <c r="L341" s="425">
        <v>153</v>
      </c>
      <c r="M341" s="425"/>
      <c r="N341" s="425">
        <v>102</v>
      </c>
      <c r="O341" s="425"/>
      <c r="P341" s="425">
        <v>8</v>
      </c>
      <c r="Q341" s="294">
        <v>581</v>
      </c>
      <c r="R341" s="295" t="e">
        <f>IF(K341="nio",0,(K341*Q341)/X341)*VLOOKUP(C341,'2-Uren per locatie'!$B$15:$D$74,3,FALSE)</f>
        <v>#DIV/0!</v>
      </c>
      <c r="S341" s="295" t="e">
        <f>IF(K341="nio",0,(L341*Q341)/Y341)*VLOOKUP(C341,'2-Uren per locatie'!$B$15:$D$74,3,FALSE)</f>
        <v>#DIV/0!</v>
      </c>
      <c r="T341" s="295" t="e">
        <f>IF(K341="nio",0,(M341*Q341)/Z341)*VLOOKUP(C341,'2-Uren per locatie'!$B$15:$D$74,3,FALSE)</f>
        <v>#DIV/0!</v>
      </c>
      <c r="U341" s="295" t="e">
        <f>IF(K341="nio",0,(N341*Q341)/AA341)*VLOOKUP(C341,'2-Uren per locatie'!$B$15:$D$74,3,FALSE)</f>
        <v>#DIV/0!</v>
      </c>
      <c r="V341" s="295" t="e">
        <f>IF(K341="nio",0,(O341*Q341)/Z341)*VLOOKUP(C341,'2-Uren per locatie'!$B$15:$D$74,3,FALSE)</f>
        <v>#DIV/0!</v>
      </c>
      <c r="W341" s="295" t="e">
        <f>IF(K341="nio",0,(P341*Q341)/AA341)*VLOOKUP(C341,'2-Uren per locatie'!$B$15:$D$74,3,FALSE)</f>
        <v>#DIV/0!</v>
      </c>
      <c r="X341" s="485">
        <f>IF(K341="nio",0,IF(K341&gt;0,VLOOKUP(H341,'3-Productie normen'!A:F,VLOOKUP(K341,'3-Productie normen'!$B$29:$C$34,2,FALSE),FALSE)))</f>
        <v>0</v>
      </c>
      <c r="Y341" s="485">
        <f>VLOOKUP(H341,'3-Productie normen'!$A$10:$J$24,8,FALSE)*'3-Ruimtestaat'!X341</f>
        <v>0</v>
      </c>
      <c r="Z341" s="485">
        <f>VLOOKUP(H341,'3-Productie normen'!$A$10:$J$24,9,FALSE)*'3-Ruimtestaat'!X341</f>
        <v>0</v>
      </c>
      <c r="AA341" s="485">
        <f>VLOOKUP(H341,'3-Productie normen'!$A$10:$J$24,10,FALSE)*'3-Ruimtestaat'!X341</f>
        <v>0</v>
      </c>
      <c r="AB341" s="292" t="str">
        <f>IF(H341="",0,VLOOKUP(H341,'3-Productie normen'!$A$10:$N$23,14,FALSE))</f>
        <v>V</v>
      </c>
      <c r="AD341" s="296">
        <f t="shared" si="13"/>
        <v>212065</v>
      </c>
      <c r="AE341" s="78"/>
      <c r="AF341" s="297"/>
      <c r="AG341" s="297"/>
      <c r="AH341" s="297"/>
      <c r="AI341" s="297">
        <v>120</v>
      </c>
      <c r="AJ341" s="297"/>
      <c r="AK341" s="298"/>
      <c r="AL341" s="298">
        <v>151</v>
      </c>
      <c r="AM341" s="298"/>
      <c r="AN341" s="298"/>
      <c r="AO341" s="299"/>
    </row>
    <row r="342" spans="1:41" ht="15" customHeight="1">
      <c r="A342" s="254">
        <v>342</v>
      </c>
      <c r="B342" s="253">
        <v>204</v>
      </c>
      <c r="C342" s="240" t="s">
        <v>77</v>
      </c>
      <c r="D342" s="288" t="s">
        <v>74</v>
      </c>
      <c r="E342" s="289"/>
      <c r="F342" s="239" t="s">
        <v>560</v>
      </c>
      <c r="G342" s="290"/>
      <c r="H342" s="291" t="s">
        <v>155</v>
      </c>
      <c r="I342" s="239" t="s">
        <v>557</v>
      </c>
      <c r="J342" s="424">
        <f t="shared" si="12"/>
        <v>365</v>
      </c>
      <c r="K342" s="425">
        <v>102</v>
      </c>
      <c r="L342" s="425">
        <v>153</v>
      </c>
      <c r="M342" s="425"/>
      <c r="N342" s="425">
        <v>102</v>
      </c>
      <c r="O342" s="425"/>
      <c r="P342" s="425">
        <v>8</v>
      </c>
      <c r="Q342" s="294">
        <v>77</v>
      </c>
      <c r="R342" s="295" t="e">
        <f>IF(K342="nio",0,(K342*Q342)/X342)*VLOOKUP(C342,'2-Uren per locatie'!$B$15:$D$74,3,FALSE)</f>
        <v>#DIV/0!</v>
      </c>
      <c r="S342" s="295" t="e">
        <f>IF(K342="nio",0,(L342*Q342)/Y342)*VLOOKUP(C342,'2-Uren per locatie'!$B$15:$D$74,3,FALSE)</f>
        <v>#DIV/0!</v>
      </c>
      <c r="T342" s="295" t="e">
        <f>IF(K342="nio",0,(M342*Q342)/Z342)*VLOOKUP(C342,'2-Uren per locatie'!$B$15:$D$74,3,FALSE)</f>
        <v>#DIV/0!</v>
      </c>
      <c r="U342" s="295" t="e">
        <f>IF(K342="nio",0,(N342*Q342)/AA342)*VLOOKUP(C342,'2-Uren per locatie'!$B$15:$D$74,3,FALSE)</f>
        <v>#DIV/0!</v>
      </c>
      <c r="V342" s="295" t="e">
        <f>IF(K342="nio",0,(O342*Q342)/Z342)*VLOOKUP(C342,'2-Uren per locatie'!$B$15:$D$74,3,FALSE)</f>
        <v>#DIV/0!</v>
      </c>
      <c r="W342" s="295" t="e">
        <f>IF(K342="nio",0,(P342*Q342)/AA342)*VLOOKUP(C342,'2-Uren per locatie'!$B$15:$D$74,3,FALSE)</f>
        <v>#DIV/0!</v>
      </c>
      <c r="X342" s="485">
        <f>IF(K342="nio",0,IF(K342&gt;0,VLOOKUP(H342,'3-Productie normen'!A:F,VLOOKUP(K342,'3-Productie normen'!$B$29:$C$34,2,FALSE),FALSE)))</f>
        <v>0</v>
      </c>
      <c r="Y342" s="485">
        <f>VLOOKUP(H342,'3-Productie normen'!$A$10:$J$24,8,FALSE)*'3-Ruimtestaat'!X342</f>
        <v>0</v>
      </c>
      <c r="Z342" s="485">
        <f>VLOOKUP(H342,'3-Productie normen'!$A$10:$J$24,9,FALSE)*'3-Ruimtestaat'!X342</f>
        <v>0</v>
      </c>
      <c r="AA342" s="485">
        <f>VLOOKUP(H342,'3-Productie normen'!$A$10:$J$24,10,FALSE)*'3-Ruimtestaat'!X342</f>
        <v>0</v>
      </c>
      <c r="AB342" s="292" t="str">
        <f>IF(H342="",0,VLOOKUP(H342,'3-Productie normen'!$A$10:$N$23,14,FALSE))</f>
        <v>V</v>
      </c>
      <c r="AD342" s="296">
        <f t="shared" si="13"/>
        <v>28105</v>
      </c>
      <c r="AE342" s="78"/>
      <c r="AF342" s="297"/>
      <c r="AG342" s="297"/>
      <c r="AH342" s="297"/>
      <c r="AI342" s="297"/>
      <c r="AJ342" s="297"/>
      <c r="AK342" s="298"/>
      <c r="AL342" s="298"/>
      <c r="AM342" s="298"/>
      <c r="AN342" s="298"/>
      <c r="AO342" s="299"/>
    </row>
    <row r="343" spans="1:41" ht="15" customHeight="1">
      <c r="A343" s="254">
        <v>343</v>
      </c>
      <c r="B343" s="253">
        <v>204</v>
      </c>
      <c r="C343" s="240" t="s">
        <v>77</v>
      </c>
      <c r="D343" s="288" t="s">
        <v>74</v>
      </c>
      <c r="E343" s="289"/>
      <c r="F343" s="239" t="s">
        <v>530</v>
      </c>
      <c r="G343" s="290" t="s">
        <v>531</v>
      </c>
      <c r="H343" s="291" t="s">
        <v>149</v>
      </c>
      <c r="I343" s="239" t="s">
        <v>558</v>
      </c>
      <c r="J343" s="424">
        <f t="shared" si="12"/>
        <v>365</v>
      </c>
      <c r="K343" s="425">
        <v>102</v>
      </c>
      <c r="L343" s="425">
        <v>153</v>
      </c>
      <c r="M343" s="425"/>
      <c r="N343" s="425">
        <v>102</v>
      </c>
      <c r="O343" s="425"/>
      <c r="P343" s="425">
        <v>8</v>
      </c>
      <c r="Q343" s="294">
        <v>4</v>
      </c>
      <c r="R343" s="295" t="e">
        <f>IF(K343="nio",0,(K343*Q343)/X343)*VLOOKUP(C343,'2-Uren per locatie'!$B$15:$D$74,3,FALSE)</f>
        <v>#DIV/0!</v>
      </c>
      <c r="S343" s="295" t="e">
        <f>IF(K343="nio",0,(L343*Q343)/Y343)*VLOOKUP(C343,'2-Uren per locatie'!$B$15:$D$74,3,FALSE)</f>
        <v>#DIV/0!</v>
      </c>
      <c r="T343" s="295" t="e">
        <f>IF(K343="nio",0,(M343*Q343)/Z343)*VLOOKUP(C343,'2-Uren per locatie'!$B$15:$D$74,3,FALSE)</f>
        <v>#DIV/0!</v>
      </c>
      <c r="U343" s="295" t="e">
        <f>IF(K343="nio",0,(N343*Q343)/AA343)*VLOOKUP(C343,'2-Uren per locatie'!$B$15:$D$74,3,FALSE)</f>
        <v>#DIV/0!</v>
      </c>
      <c r="V343" s="295" t="e">
        <f>IF(K343="nio",0,(O343*Q343)/Z343)*VLOOKUP(C343,'2-Uren per locatie'!$B$15:$D$74,3,FALSE)</f>
        <v>#DIV/0!</v>
      </c>
      <c r="W343" s="295" t="e">
        <f>IF(K343="nio",0,(P343*Q343)/AA343)*VLOOKUP(C343,'2-Uren per locatie'!$B$15:$D$74,3,FALSE)</f>
        <v>#DIV/0!</v>
      </c>
      <c r="X343" s="485">
        <f>IF(K343="nio",0,IF(K343&gt;0,VLOOKUP(H343,'3-Productie normen'!A:F,VLOOKUP(K343,'3-Productie normen'!$B$29:$C$34,2,FALSE),FALSE)))</f>
        <v>0</v>
      </c>
      <c r="Y343" s="485">
        <f>VLOOKUP(H343,'3-Productie normen'!$A$10:$J$24,8,FALSE)*'3-Ruimtestaat'!X343</f>
        <v>0</v>
      </c>
      <c r="Z343" s="485">
        <f>VLOOKUP(H343,'3-Productie normen'!$A$10:$J$24,9,FALSE)*'3-Ruimtestaat'!X343</f>
        <v>0</v>
      </c>
      <c r="AA343" s="485">
        <f>VLOOKUP(H343,'3-Productie normen'!$A$10:$J$24,10,FALSE)*'3-Ruimtestaat'!X343</f>
        <v>0</v>
      </c>
      <c r="AB343" s="292" t="str">
        <f>IF(H343="",0,VLOOKUP(H343,'3-Productie normen'!$A$10:$N$23,14,FALSE))</f>
        <v>V</v>
      </c>
      <c r="AD343" s="296">
        <f t="shared" si="13"/>
        <v>1460</v>
      </c>
      <c r="AE343" s="78"/>
      <c r="AF343" s="297"/>
      <c r="AG343" s="297"/>
      <c r="AH343" s="297"/>
      <c r="AI343" s="297">
        <v>19</v>
      </c>
      <c r="AJ343" s="297"/>
      <c r="AK343" s="298"/>
      <c r="AL343" s="298"/>
      <c r="AM343" s="298"/>
      <c r="AN343" s="298"/>
      <c r="AO343" s="299"/>
    </row>
    <row r="344" spans="1:41" ht="15" customHeight="1">
      <c r="A344" s="254">
        <v>344</v>
      </c>
      <c r="B344" s="253">
        <v>205</v>
      </c>
      <c r="C344" s="240" t="s">
        <v>78</v>
      </c>
      <c r="D344" s="288" t="s">
        <v>74</v>
      </c>
      <c r="E344" s="289"/>
      <c r="F344" s="239" t="s">
        <v>453</v>
      </c>
      <c r="G344" s="290" t="s">
        <v>561</v>
      </c>
      <c r="H344" s="291" t="s">
        <v>151</v>
      </c>
      <c r="I344" s="239" t="s">
        <v>559</v>
      </c>
      <c r="J344" s="424">
        <f t="shared" si="12"/>
        <v>365</v>
      </c>
      <c r="K344" s="425">
        <v>102</v>
      </c>
      <c r="L344" s="425">
        <v>153</v>
      </c>
      <c r="M344" s="425"/>
      <c r="N344" s="425">
        <v>102</v>
      </c>
      <c r="O344" s="425"/>
      <c r="P344" s="425">
        <v>8</v>
      </c>
      <c r="Q344" s="294">
        <v>581</v>
      </c>
      <c r="R344" s="295" t="e">
        <f>IF(K344="nio",0,(K344*Q344)/X344)*VLOOKUP(C344,'2-Uren per locatie'!$B$15:$D$74,3,FALSE)</f>
        <v>#DIV/0!</v>
      </c>
      <c r="S344" s="295" t="e">
        <f>IF(K344="nio",0,(L344*Q344)/Y344)*VLOOKUP(C344,'2-Uren per locatie'!$B$15:$D$74,3,FALSE)</f>
        <v>#DIV/0!</v>
      </c>
      <c r="T344" s="295" t="e">
        <f>IF(K344="nio",0,(M344*Q344)/Z344)*VLOOKUP(C344,'2-Uren per locatie'!$B$15:$D$74,3,FALSE)</f>
        <v>#DIV/0!</v>
      </c>
      <c r="U344" s="295" t="e">
        <f>IF(K344="nio",0,(N344*Q344)/AA344)*VLOOKUP(C344,'2-Uren per locatie'!$B$15:$D$74,3,FALSE)</f>
        <v>#DIV/0!</v>
      </c>
      <c r="V344" s="295" t="e">
        <f>IF(K344="nio",0,(O344*Q344)/Z344)*VLOOKUP(C344,'2-Uren per locatie'!$B$15:$D$74,3,FALSE)</f>
        <v>#DIV/0!</v>
      </c>
      <c r="W344" s="295" t="e">
        <f>IF(K344="nio",0,(P344*Q344)/AA344)*VLOOKUP(C344,'2-Uren per locatie'!$B$15:$D$74,3,FALSE)</f>
        <v>#DIV/0!</v>
      </c>
      <c r="X344" s="485">
        <f>IF(K344="nio",0,IF(K344&gt;0,VLOOKUP(H344,'3-Productie normen'!A:F,VLOOKUP(K344,'3-Productie normen'!$B$29:$C$34,2,FALSE),FALSE)))</f>
        <v>0</v>
      </c>
      <c r="Y344" s="485">
        <f>VLOOKUP(H344,'3-Productie normen'!$A$10:$J$24,8,FALSE)*'3-Ruimtestaat'!X344</f>
        <v>0</v>
      </c>
      <c r="Z344" s="485">
        <f>VLOOKUP(H344,'3-Productie normen'!$A$10:$J$24,9,FALSE)*'3-Ruimtestaat'!X344</f>
        <v>0</v>
      </c>
      <c r="AA344" s="485">
        <f>VLOOKUP(H344,'3-Productie normen'!$A$10:$J$24,10,FALSE)*'3-Ruimtestaat'!X344</f>
        <v>0</v>
      </c>
      <c r="AB344" s="292" t="str">
        <f>IF(H344="",0,VLOOKUP(H344,'3-Productie normen'!$A$10:$N$23,14,FALSE))</f>
        <v>V</v>
      </c>
      <c r="AD344" s="296">
        <f t="shared" si="13"/>
        <v>212065</v>
      </c>
      <c r="AE344" s="78"/>
      <c r="AF344" s="297"/>
      <c r="AG344" s="297"/>
      <c r="AH344" s="297"/>
      <c r="AI344" s="297">
        <v>120</v>
      </c>
      <c r="AJ344" s="297"/>
      <c r="AK344" s="298"/>
      <c r="AL344" s="298">
        <v>151</v>
      </c>
      <c r="AM344" s="298"/>
      <c r="AN344" s="298"/>
      <c r="AO344" s="299"/>
    </row>
    <row r="345" spans="1:41" ht="15" customHeight="1">
      <c r="A345" s="254">
        <v>345</v>
      </c>
      <c r="B345" s="253">
        <v>205</v>
      </c>
      <c r="C345" s="240" t="s">
        <v>78</v>
      </c>
      <c r="D345" s="288" t="s">
        <v>74</v>
      </c>
      <c r="E345" s="289"/>
      <c r="F345" s="239" t="s">
        <v>560</v>
      </c>
      <c r="G345" s="290"/>
      <c r="H345" s="291" t="s">
        <v>155</v>
      </c>
      <c r="I345" s="239" t="s">
        <v>557</v>
      </c>
      <c r="J345" s="424">
        <f t="shared" si="12"/>
        <v>365</v>
      </c>
      <c r="K345" s="425">
        <v>102</v>
      </c>
      <c r="L345" s="425">
        <v>153</v>
      </c>
      <c r="M345" s="425"/>
      <c r="N345" s="425">
        <v>102</v>
      </c>
      <c r="O345" s="425"/>
      <c r="P345" s="425">
        <v>8</v>
      </c>
      <c r="Q345" s="294">
        <v>77</v>
      </c>
      <c r="R345" s="295" t="e">
        <f>IF(K345="nio",0,(K345*Q345)/X345)*VLOOKUP(C345,'2-Uren per locatie'!$B$15:$D$74,3,FALSE)</f>
        <v>#DIV/0!</v>
      </c>
      <c r="S345" s="295" t="e">
        <f>IF(K345="nio",0,(L345*Q345)/Y345)*VLOOKUP(C345,'2-Uren per locatie'!$B$15:$D$74,3,FALSE)</f>
        <v>#DIV/0!</v>
      </c>
      <c r="T345" s="295" t="e">
        <f>IF(K345="nio",0,(M345*Q345)/Z345)*VLOOKUP(C345,'2-Uren per locatie'!$B$15:$D$74,3,FALSE)</f>
        <v>#DIV/0!</v>
      </c>
      <c r="U345" s="295" t="e">
        <f>IF(K345="nio",0,(N345*Q345)/AA345)*VLOOKUP(C345,'2-Uren per locatie'!$B$15:$D$74,3,FALSE)</f>
        <v>#DIV/0!</v>
      </c>
      <c r="V345" s="295" t="e">
        <f>IF(K345="nio",0,(O345*Q345)/Z345)*VLOOKUP(C345,'2-Uren per locatie'!$B$15:$D$74,3,FALSE)</f>
        <v>#DIV/0!</v>
      </c>
      <c r="W345" s="295" t="e">
        <f>IF(K345="nio",0,(P345*Q345)/AA345)*VLOOKUP(C345,'2-Uren per locatie'!$B$15:$D$74,3,FALSE)</f>
        <v>#DIV/0!</v>
      </c>
      <c r="X345" s="485">
        <f>IF(K345="nio",0,IF(K345&gt;0,VLOOKUP(H345,'3-Productie normen'!A:F,VLOOKUP(K345,'3-Productie normen'!$B$29:$C$34,2,FALSE),FALSE)))</f>
        <v>0</v>
      </c>
      <c r="Y345" s="485">
        <f>VLOOKUP(H345,'3-Productie normen'!$A$10:$J$24,8,FALSE)*'3-Ruimtestaat'!X345</f>
        <v>0</v>
      </c>
      <c r="Z345" s="485">
        <f>VLOOKUP(H345,'3-Productie normen'!$A$10:$J$24,9,FALSE)*'3-Ruimtestaat'!X345</f>
        <v>0</v>
      </c>
      <c r="AA345" s="485">
        <f>VLOOKUP(H345,'3-Productie normen'!$A$10:$J$24,10,FALSE)*'3-Ruimtestaat'!X345</f>
        <v>0</v>
      </c>
      <c r="AB345" s="292" t="str">
        <f>IF(H345="",0,VLOOKUP(H345,'3-Productie normen'!$A$10:$N$23,14,FALSE))</f>
        <v>V</v>
      </c>
      <c r="AD345" s="296">
        <f t="shared" si="13"/>
        <v>28105</v>
      </c>
      <c r="AE345" s="78"/>
      <c r="AF345" s="297"/>
      <c r="AG345" s="297"/>
      <c r="AH345" s="297"/>
      <c r="AI345" s="297"/>
      <c r="AJ345" s="297"/>
      <c r="AK345" s="298"/>
      <c r="AL345" s="298"/>
      <c r="AM345" s="298"/>
      <c r="AN345" s="298"/>
      <c r="AO345" s="299"/>
    </row>
    <row r="346" spans="1:41" ht="15" customHeight="1">
      <c r="A346" s="254">
        <v>346</v>
      </c>
      <c r="B346" s="253">
        <v>205</v>
      </c>
      <c r="C346" s="240" t="s">
        <v>78</v>
      </c>
      <c r="D346" s="288" t="s">
        <v>74</v>
      </c>
      <c r="E346" s="289"/>
      <c r="F346" s="239" t="s">
        <v>530</v>
      </c>
      <c r="G346" s="290" t="s">
        <v>531</v>
      </c>
      <c r="H346" s="291" t="s">
        <v>149</v>
      </c>
      <c r="I346" s="239" t="s">
        <v>558</v>
      </c>
      <c r="J346" s="424">
        <f t="shared" si="12"/>
        <v>365</v>
      </c>
      <c r="K346" s="425">
        <v>102</v>
      </c>
      <c r="L346" s="425">
        <v>153</v>
      </c>
      <c r="M346" s="425"/>
      <c r="N346" s="425">
        <v>102</v>
      </c>
      <c r="O346" s="425"/>
      <c r="P346" s="425">
        <v>8</v>
      </c>
      <c r="Q346" s="294">
        <v>4</v>
      </c>
      <c r="R346" s="295" t="e">
        <f>IF(K346="nio",0,(K346*Q346)/X346)*VLOOKUP(C346,'2-Uren per locatie'!$B$15:$D$74,3,FALSE)</f>
        <v>#DIV/0!</v>
      </c>
      <c r="S346" s="295" t="e">
        <f>IF(K346="nio",0,(L346*Q346)/Y346)*VLOOKUP(C346,'2-Uren per locatie'!$B$15:$D$74,3,FALSE)</f>
        <v>#DIV/0!</v>
      </c>
      <c r="T346" s="295" t="e">
        <f>IF(K346="nio",0,(M346*Q346)/Z346)*VLOOKUP(C346,'2-Uren per locatie'!$B$15:$D$74,3,FALSE)</f>
        <v>#DIV/0!</v>
      </c>
      <c r="U346" s="295" t="e">
        <f>IF(K346="nio",0,(N346*Q346)/AA346)*VLOOKUP(C346,'2-Uren per locatie'!$B$15:$D$74,3,FALSE)</f>
        <v>#DIV/0!</v>
      </c>
      <c r="V346" s="295" t="e">
        <f>IF(K346="nio",0,(O346*Q346)/Z346)*VLOOKUP(C346,'2-Uren per locatie'!$B$15:$D$74,3,FALSE)</f>
        <v>#DIV/0!</v>
      </c>
      <c r="W346" s="295" t="e">
        <f>IF(K346="nio",0,(P346*Q346)/AA346)*VLOOKUP(C346,'2-Uren per locatie'!$B$15:$D$74,3,FALSE)</f>
        <v>#DIV/0!</v>
      </c>
      <c r="X346" s="485">
        <f>IF(K346="nio",0,IF(K346&gt;0,VLOOKUP(H346,'3-Productie normen'!A:F,VLOOKUP(K346,'3-Productie normen'!$B$29:$C$34,2,FALSE),FALSE)))</f>
        <v>0</v>
      </c>
      <c r="Y346" s="485">
        <f>VLOOKUP(H346,'3-Productie normen'!$A$10:$J$24,8,FALSE)*'3-Ruimtestaat'!X346</f>
        <v>0</v>
      </c>
      <c r="Z346" s="485">
        <f>VLOOKUP(H346,'3-Productie normen'!$A$10:$J$24,9,FALSE)*'3-Ruimtestaat'!X346</f>
        <v>0</v>
      </c>
      <c r="AA346" s="485">
        <f>VLOOKUP(H346,'3-Productie normen'!$A$10:$J$24,10,FALSE)*'3-Ruimtestaat'!X346</f>
        <v>0</v>
      </c>
      <c r="AB346" s="292" t="str">
        <f>IF(H346="",0,VLOOKUP(H346,'3-Productie normen'!$A$10:$N$23,14,FALSE))</f>
        <v>V</v>
      </c>
      <c r="AD346" s="296">
        <f t="shared" si="13"/>
        <v>1460</v>
      </c>
      <c r="AE346" s="78"/>
      <c r="AF346" s="297"/>
      <c r="AG346" s="297"/>
      <c r="AH346" s="297"/>
      <c r="AI346" s="297">
        <v>19</v>
      </c>
      <c r="AJ346" s="297"/>
      <c r="AK346" s="298"/>
      <c r="AL346" s="298"/>
      <c r="AM346" s="298"/>
      <c r="AN346" s="298"/>
      <c r="AO346" s="299"/>
    </row>
    <row r="347" spans="1:41" ht="15" customHeight="1">
      <c r="A347" s="254">
        <v>347</v>
      </c>
      <c r="B347" s="253">
        <v>206</v>
      </c>
      <c r="C347" s="240" t="s">
        <v>79</v>
      </c>
      <c r="D347" s="288" t="s">
        <v>74</v>
      </c>
      <c r="E347" s="289"/>
      <c r="F347" s="239" t="s">
        <v>249</v>
      </c>
      <c r="G347" s="290" t="s">
        <v>556</v>
      </c>
      <c r="H347" s="291" t="s">
        <v>151</v>
      </c>
      <c r="I347" s="239" t="s">
        <v>559</v>
      </c>
      <c r="J347" s="424">
        <f t="shared" si="12"/>
        <v>365</v>
      </c>
      <c r="K347" s="425">
        <v>102</v>
      </c>
      <c r="L347" s="425">
        <v>153</v>
      </c>
      <c r="M347" s="425"/>
      <c r="N347" s="425">
        <v>102</v>
      </c>
      <c r="O347" s="425"/>
      <c r="P347" s="425">
        <v>8</v>
      </c>
      <c r="Q347" s="294">
        <v>462</v>
      </c>
      <c r="R347" s="295" t="e">
        <f>IF(K347="nio",0,(K347*Q347)/X347)*VLOOKUP(C347,'2-Uren per locatie'!$B$15:$D$74,3,FALSE)</f>
        <v>#DIV/0!</v>
      </c>
      <c r="S347" s="295" t="e">
        <f>IF(K347="nio",0,(L347*Q347)/Y347)*VLOOKUP(C347,'2-Uren per locatie'!$B$15:$D$74,3,FALSE)</f>
        <v>#DIV/0!</v>
      </c>
      <c r="T347" s="295" t="e">
        <f>IF(K347="nio",0,(M347*Q347)/Z347)*VLOOKUP(C347,'2-Uren per locatie'!$B$15:$D$74,3,FALSE)</f>
        <v>#DIV/0!</v>
      </c>
      <c r="U347" s="295" t="e">
        <f>IF(K347="nio",0,(N347*Q347)/AA347)*VLOOKUP(C347,'2-Uren per locatie'!$B$15:$D$74,3,FALSE)</f>
        <v>#DIV/0!</v>
      </c>
      <c r="V347" s="295" t="e">
        <f>IF(K347="nio",0,(O347*Q347)/Z347)*VLOOKUP(C347,'2-Uren per locatie'!$B$15:$D$74,3,FALSE)</f>
        <v>#DIV/0!</v>
      </c>
      <c r="W347" s="295" t="e">
        <f>IF(K347="nio",0,(P347*Q347)/AA347)*VLOOKUP(C347,'2-Uren per locatie'!$B$15:$D$74,3,FALSE)</f>
        <v>#DIV/0!</v>
      </c>
      <c r="X347" s="485">
        <f>IF(K347="nio",0,IF(K347&gt;0,VLOOKUP(H347,'3-Productie normen'!A:F,VLOOKUP(K347,'3-Productie normen'!$B$29:$C$34,2,FALSE),FALSE)))</f>
        <v>0</v>
      </c>
      <c r="Y347" s="485">
        <f>VLOOKUP(H347,'3-Productie normen'!$A$10:$J$24,8,FALSE)*'3-Ruimtestaat'!X347</f>
        <v>0</v>
      </c>
      <c r="Z347" s="485">
        <f>VLOOKUP(H347,'3-Productie normen'!$A$10:$J$24,9,FALSE)*'3-Ruimtestaat'!X347</f>
        <v>0</v>
      </c>
      <c r="AA347" s="485">
        <f>VLOOKUP(H347,'3-Productie normen'!$A$10:$J$24,10,FALSE)*'3-Ruimtestaat'!X347</f>
        <v>0</v>
      </c>
      <c r="AB347" s="292" t="str">
        <f>IF(H347="",0,VLOOKUP(H347,'3-Productie normen'!$A$10:$N$23,14,FALSE))</f>
        <v>V</v>
      </c>
      <c r="AD347" s="296">
        <f t="shared" si="13"/>
        <v>168630</v>
      </c>
      <c r="AE347" s="78"/>
      <c r="AF347" s="297"/>
      <c r="AG347" s="297"/>
      <c r="AH347" s="297">
        <v>100</v>
      </c>
      <c r="AI347" s="297"/>
      <c r="AJ347" s="297"/>
      <c r="AK347" s="298"/>
      <c r="AL347" s="298"/>
      <c r="AM347" s="298"/>
      <c r="AN347" s="298"/>
      <c r="AO347" s="299"/>
    </row>
    <row r="348" spans="1:41" ht="15" customHeight="1">
      <c r="A348" s="254">
        <v>348</v>
      </c>
      <c r="B348" s="253">
        <v>206</v>
      </c>
      <c r="C348" s="240" t="s">
        <v>79</v>
      </c>
      <c r="D348" s="288" t="s">
        <v>74</v>
      </c>
      <c r="E348" s="289"/>
      <c r="F348" s="239" t="s">
        <v>562</v>
      </c>
      <c r="G348" s="290" t="s">
        <v>506</v>
      </c>
      <c r="H348" s="291" t="s">
        <v>155</v>
      </c>
      <c r="I348" s="239" t="s">
        <v>557</v>
      </c>
      <c r="J348" s="424">
        <f t="shared" si="12"/>
        <v>365</v>
      </c>
      <c r="K348" s="425">
        <v>102</v>
      </c>
      <c r="L348" s="425">
        <v>153</v>
      </c>
      <c r="M348" s="425"/>
      <c r="N348" s="425">
        <v>102</v>
      </c>
      <c r="O348" s="425"/>
      <c r="P348" s="425">
        <v>8</v>
      </c>
      <c r="Q348" s="294">
        <v>64</v>
      </c>
      <c r="R348" s="295" t="e">
        <f>IF(K348="nio",0,(K348*Q348)/X348)*VLOOKUP(C348,'2-Uren per locatie'!$B$15:$D$74,3,FALSE)</f>
        <v>#DIV/0!</v>
      </c>
      <c r="S348" s="295" t="e">
        <f>IF(K348="nio",0,(L348*Q348)/Y348)*VLOOKUP(C348,'2-Uren per locatie'!$B$15:$D$74,3,FALSE)</f>
        <v>#DIV/0!</v>
      </c>
      <c r="T348" s="295" t="e">
        <f>IF(K348="nio",0,(M348*Q348)/Z348)*VLOOKUP(C348,'2-Uren per locatie'!$B$15:$D$74,3,FALSE)</f>
        <v>#DIV/0!</v>
      </c>
      <c r="U348" s="295" t="e">
        <f>IF(K348="nio",0,(N348*Q348)/AA348)*VLOOKUP(C348,'2-Uren per locatie'!$B$15:$D$74,3,FALSE)</f>
        <v>#DIV/0!</v>
      </c>
      <c r="V348" s="295" t="e">
        <f>IF(K348="nio",0,(O348*Q348)/Z348)*VLOOKUP(C348,'2-Uren per locatie'!$B$15:$D$74,3,FALSE)</f>
        <v>#DIV/0!</v>
      </c>
      <c r="W348" s="295" t="e">
        <f>IF(K348="nio",0,(P348*Q348)/AA348)*VLOOKUP(C348,'2-Uren per locatie'!$B$15:$D$74,3,FALSE)</f>
        <v>#DIV/0!</v>
      </c>
      <c r="X348" s="485">
        <f>IF(K348="nio",0,IF(K348&gt;0,VLOOKUP(H348,'3-Productie normen'!A:F,VLOOKUP(K348,'3-Productie normen'!$B$29:$C$34,2,FALSE),FALSE)))</f>
        <v>0</v>
      </c>
      <c r="Y348" s="485">
        <f>VLOOKUP(H348,'3-Productie normen'!$A$10:$J$24,8,FALSE)*'3-Ruimtestaat'!X348</f>
        <v>0</v>
      </c>
      <c r="Z348" s="485">
        <f>VLOOKUP(H348,'3-Productie normen'!$A$10:$J$24,9,FALSE)*'3-Ruimtestaat'!X348</f>
        <v>0</v>
      </c>
      <c r="AA348" s="485">
        <f>VLOOKUP(H348,'3-Productie normen'!$A$10:$J$24,10,FALSE)*'3-Ruimtestaat'!X348</f>
        <v>0</v>
      </c>
      <c r="AB348" s="292" t="str">
        <f>IF(H348="",0,VLOOKUP(H348,'3-Productie normen'!$A$10:$N$23,14,FALSE))</f>
        <v>V</v>
      </c>
      <c r="AD348" s="296">
        <f t="shared" si="13"/>
        <v>23360</v>
      </c>
      <c r="AE348" s="78"/>
      <c r="AF348" s="297"/>
      <c r="AG348" s="297"/>
      <c r="AH348" s="297"/>
      <c r="AI348" s="297"/>
      <c r="AJ348" s="297"/>
      <c r="AK348" s="298"/>
      <c r="AL348" s="298"/>
      <c r="AM348" s="298"/>
      <c r="AN348" s="298"/>
      <c r="AO348" s="299"/>
    </row>
    <row r="349" spans="1:41" ht="15" customHeight="1">
      <c r="A349" s="254">
        <v>349</v>
      </c>
      <c r="B349" s="253">
        <v>206</v>
      </c>
      <c r="C349" s="240" t="s">
        <v>79</v>
      </c>
      <c r="D349" s="288" t="s">
        <v>74</v>
      </c>
      <c r="E349" s="289"/>
      <c r="F349" s="239" t="s">
        <v>530</v>
      </c>
      <c r="G349" s="290" t="s">
        <v>531</v>
      </c>
      <c r="H349" s="291" t="s">
        <v>149</v>
      </c>
      <c r="I349" s="239" t="s">
        <v>558</v>
      </c>
      <c r="J349" s="424">
        <f t="shared" si="12"/>
        <v>365</v>
      </c>
      <c r="K349" s="425">
        <v>102</v>
      </c>
      <c r="L349" s="425">
        <v>153</v>
      </c>
      <c r="M349" s="425"/>
      <c r="N349" s="425">
        <v>102</v>
      </c>
      <c r="O349" s="425"/>
      <c r="P349" s="425">
        <v>8</v>
      </c>
      <c r="Q349" s="294">
        <v>4</v>
      </c>
      <c r="R349" s="295" t="e">
        <f>IF(K349="nio",0,(K349*Q349)/X349)*VLOOKUP(C349,'2-Uren per locatie'!$B$15:$D$74,3,FALSE)</f>
        <v>#DIV/0!</v>
      </c>
      <c r="S349" s="295" t="e">
        <f>IF(K349="nio",0,(L349*Q349)/Y349)*VLOOKUP(C349,'2-Uren per locatie'!$B$15:$D$74,3,FALSE)</f>
        <v>#DIV/0!</v>
      </c>
      <c r="T349" s="295" t="e">
        <f>IF(K349="nio",0,(M349*Q349)/Z349)*VLOOKUP(C349,'2-Uren per locatie'!$B$15:$D$74,3,FALSE)</f>
        <v>#DIV/0!</v>
      </c>
      <c r="U349" s="295" t="e">
        <f>IF(K349="nio",0,(N349*Q349)/AA349)*VLOOKUP(C349,'2-Uren per locatie'!$B$15:$D$74,3,FALSE)</f>
        <v>#DIV/0!</v>
      </c>
      <c r="V349" s="295" t="e">
        <f>IF(K349="nio",0,(O349*Q349)/Z349)*VLOOKUP(C349,'2-Uren per locatie'!$B$15:$D$74,3,FALSE)</f>
        <v>#DIV/0!</v>
      </c>
      <c r="W349" s="295" t="e">
        <f>IF(K349="nio",0,(P349*Q349)/AA349)*VLOOKUP(C349,'2-Uren per locatie'!$B$15:$D$74,3,FALSE)</f>
        <v>#DIV/0!</v>
      </c>
      <c r="X349" s="485">
        <f>IF(K349="nio",0,IF(K349&gt;0,VLOOKUP(H349,'3-Productie normen'!A:F,VLOOKUP(K349,'3-Productie normen'!$B$29:$C$34,2,FALSE),FALSE)))</f>
        <v>0</v>
      </c>
      <c r="Y349" s="485">
        <f>VLOOKUP(H349,'3-Productie normen'!$A$10:$J$24,8,FALSE)*'3-Ruimtestaat'!X349</f>
        <v>0</v>
      </c>
      <c r="Z349" s="485">
        <f>VLOOKUP(H349,'3-Productie normen'!$A$10:$J$24,9,FALSE)*'3-Ruimtestaat'!X349</f>
        <v>0</v>
      </c>
      <c r="AA349" s="485">
        <f>VLOOKUP(H349,'3-Productie normen'!$A$10:$J$24,10,FALSE)*'3-Ruimtestaat'!X349</f>
        <v>0</v>
      </c>
      <c r="AB349" s="292" t="str">
        <f>IF(H349="",0,VLOOKUP(H349,'3-Productie normen'!$A$10:$N$23,14,FALSE))</f>
        <v>V</v>
      </c>
      <c r="AD349" s="296">
        <f t="shared" si="13"/>
        <v>1460</v>
      </c>
      <c r="AE349" s="78"/>
      <c r="AF349" s="297"/>
      <c r="AG349" s="297"/>
      <c r="AH349" s="297"/>
      <c r="AI349" s="297">
        <v>19</v>
      </c>
      <c r="AJ349" s="297"/>
      <c r="AK349" s="298"/>
      <c r="AL349" s="298"/>
      <c r="AM349" s="298"/>
      <c r="AN349" s="298"/>
      <c r="AO349" s="299"/>
    </row>
    <row r="350" spans="1:41" ht="15" customHeight="1">
      <c r="A350" s="254">
        <v>350</v>
      </c>
      <c r="B350" s="253">
        <v>207</v>
      </c>
      <c r="C350" s="240" t="s">
        <v>80</v>
      </c>
      <c r="D350" s="288" t="s">
        <v>74</v>
      </c>
      <c r="E350" s="289"/>
      <c r="F350" s="239" t="s">
        <v>249</v>
      </c>
      <c r="G350" s="290" t="s">
        <v>556</v>
      </c>
      <c r="H350" s="291" t="s">
        <v>151</v>
      </c>
      <c r="I350" s="239" t="s">
        <v>559</v>
      </c>
      <c r="J350" s="424">
        <f t="shared" si="12"/>
        <v>365</v>
      </c>
      <c r="K350" s="425">
        <v>102</v>
      </c>
      <c r="L350" s="425">
        <v>153</v>
      </c>
      <c r="M350" s="425"/>
      <c r="N350" s="425">
        <v>102</v>
      </c>
      <c r="O350" s="425"/>
      <c r="P350" s="425">
        <v>8</v>
      </c>
      <c r="Q350" s="294">
        <v>532</v>
      </c>
      <c r="R350" s="295" t="e">
        <f>IF(K350="nio",0,(K350*Q350)/X350)*VLOOKUP(C350,'2-Uren per locatie'!$B$15:$D$74,3,FALSE)</f>
        <v>#DIV/0!</v>
      </c>
      <c r="S350" s="295" t="e">
        <f>IF(K350="nio",0,(L350*Q350)/Y350)*VLOOKUP(C350,'2-Uren per locatie'!$B$15:$D$74,3,FALSE)</f>
        <v>#DIV/0!</v>
      </c>
      <c r="T350" s="295" t="e">
        <f>IF(K350="nio",0,(M350*Q350)/Z350)*VLOOKUP(C350,'2-Uren per locatie'!$B$15:$D$74,3,FALSE)</f>
        <v>#DIV/0!</v>
      </c>
      <c r="U350" s="295" t="e">
        <f>IF(K350="nio",0,(N350*Q350)/AA350)*VLOOKUP(C350,'2-Uren per locatie'!$B$15:$D$74,3,FALSE)</f>
        <v>#DIV/0!</v>
      </c>
      <c r="V350" s="295" t="e">
        <f>IF(K350="nio",0,(O350*Q350)/Z350)*VLOOKUP(C350,'2-Uren per locatie'!$B$15:$D$74,3,FALSE)</f>
        <v>#DIV/0!</v>
      </c>
      <c r="W350" s="295" t="e">
        <f>IF(K350="nio",0,(P350*Q350)/AA350)*VLOOKUP(C350,'2-Uren per locatie'!$B$15:$D$74,3,FALSE)</f>
        <v>#DIV/0!</v>
      </c>
      <c r="X350" s="485">
        <f>IF(K350="nio",0,IF(K350&gt;0,VLOOKUP(H350,'3-Productie normen'!A:F,VLOOKUP(K350,'3-Productie normen'!$B$29:$C$34,2,FALSE),FALSE)))</f>
        <v>0</v>
      </c>
      <c r="Y350" s="485">
        <f>VLOOKUP(H350,'3-Productie normen'!$A$10:$J$24,8,FALSE)*'3-Ruimtestaat'!X350</f>
        <v>0</v>
      </c>
      <c r="Z350" s="485">
        <f>VLOOKUP(H350,'3-Productie normen'!$A$10:$J$24,9,FALSE)*'3-Ruimtestaat'!X350</f>
        <v>0</v>
      </c>
      <c r="AA350" s="485">
        <f>VLOOKUP(H350,'3-Productie normen'!$A$10:$J$24,10,FALSE)*'3-Ruimtestaat'!X350</f>
        <v>0</v>
      </c>
      <c r="AB350" s="292" t="str">
        <f>IF(H350="",0,VLOOKUP(H350,'3-Productie normen'!$A$10:$N$23,14,FALSE))</f>
        <v>V</v>
      </c>
      <c r="AD350" s="296">
        <f t="shared" si="13"/>
        <v>194180</v>
      </c>
      <c r="AE350" s="78"/>
      <c r="AF350" s="297"/>
      <c r="AG350" s="297"/>
      <c r="AH350" s="297">
        <v>177</v>
      </c>
      <c r="AI350" s="297">
        <v>13</v>
      </c>
      <c r="AJ350" s="297"/>
      <c r="AK350" s="298"/>
      <c r="AL350" s="298"/>
      <c r="AM350" s="298"/>
      <c r="AN350" s="298"/>
      <c r="AO350" s="299"/>
    </row>
    <row r="351" spans="1:41" ht="15" customHeight="1">
      <c r="A351" s="254">
        <v>351</v>
      </c>
      <c r="B351" s="253">
        <v>207</v>
      </c>
      <c r="C351" s="240" t="s">
        <v>80</v>
      </c>
      <c r="D351" s="288" t="s">
        <v>74</v>
      </c>
      <c r="E351" s="289"/>
      <c r="F351" s="239" t="s">
        <v>155</v>
      </c>
      <c r="G351" s="290" t="s">
        <v>563</v>
      </c>
      <c r="H351" s="291" t="s">
        <v>155</v>
      </c>
      <c r="I351" s="239" t="s">
        <v>557</v>
      </c>
      <c r="J351" s="424">
        <f t="shared" si="12"/>
        <v>365</v>
      </c>
      <c r="K351" s="425">
        <v>102</v>
      </c>
      <c r="L351" s="425">
        <v>153</v>
      </c>
      <c r="M351" s="425"/>
      <c r="N351" s="425">
        <v>102</v>
      </c>
      <c r="O351" s="425"/>
      <c r="P351" s="425">
        <v>8</v>
      </c>
      <c r="Q351" s="294">
        <v>64</v>
      </c>
      <c r="R351" s="295" t="e">
        <f>IF(K351="nio",0,(K351*Q351)/X351)*VLOOKUP(C351,'2-Uren per locatie'!$B$15:$D$74,3,FALSE)</f>
        <v>#DIV/0!</v>
      </c>
      <c r="S351" s="295" t="e">
        <f>IF(K351="nio",0,(L351*Q351)/Y351)*VLOOKUP(C351,'2-Uren per locatie'!$B$15:$D$74,3,FALSE)</f>
        <v>#DIV/0!</v>
      </c>
      <c r="T351" s="295" t="e">
        <f>IF(K351="nio",0,(M351*Q351)/Z351)*VLOOKUP(C351,'2-Uren per locatie'!$B$15:$D$74,3,FALSE)</f>
        <v>#DIV/0!</v>
      </c>
      <c r="U351" s="295" t="e">
        <f>IF(K351="nio",0,(N351*Q351)/AA351)*VLOOKUP(C351,'2-Uren per locatie'!$B$15:$D$74,3,FALSE)</f>
        <v>#DIV/0!</v>
      </c>
      <c r="V351" s="295" t="e">
        <f>IF(K351="nio",0,(O351*Q351)/Z351)*VLOOKUP(C351,'2-Uren per locatie'!$B$15:$D$74,3,FALSE)</f>
        <v>#DIV/0!</v>
      </c>
      <c r="W351" s="295" t="e">
        <f>IF(K351="nio",0,(P351*Q351)/AA351)*VLOOKUP(C351,'2-Uren per locatie'!$B$15:$D$74,3,FALSE)</f>
        <v>#DIV/0!</v>
      </c>
      <c r="X351" s="485">
        <f>IF(K351="nio",0,IF(K351&gt;0,VLOOKUP(H351,'3-Productie normen'!A:F,VLOOKUP(K351,'3-Productie normen'!$B$29:$C$34,2,FALSE),FALSE)))</f>
        <v>0</v>
      </c>
      <c r="Y351" s="485">
        <f>VLOOKUP(H351,'3-Productie normen'!$A$10:$J$24,8,FALSE)*'3-Ruimtestaat'!X351</f>
        <v>0</v>
      </c>
      <c r="Z351" s="485">
        <f>VLOOKUP(H351,'3-Productie normen'!$A$10:$J$24,9,FALSE)*'3-Ruimtestaat'!X351</f>
        <v>0</v>
      </c>
      <c r="AA351" s="485">
        <f>VLOOKUP(H351,'3-Productie normen'!$A$10:$J$24,10,FALSE)*'3-Ruimtestaat'!X351</f>
        <v>0</v>
      </c>
      <c r="AB351" s="292" t="str">
        <f>IF(H351="",0,VLOOKUP(H351,'3-Productie normen'!$A$10:$N$23,14,FALSE))</f>
        <v>V</v>
      </c>
      <c r="AD351" s="296">
        <f t="shared" si="13"/>
        <v>23360</v>
      </c>
      <c r="AE351" s="78"/>
      <c r="AF351" s="297"/>
      <c r="AG351" s="297"/>
      <c r="AH351" s="297"/>
      <c r="AI351" s="297"/>
      <c r="AJ351" s="297"/>
      <c r="AK351" s="298"/>
      <c r="AL351" s="298"/>
      <c r="AM351" s="298"/>
      <c r="AN351" s="298"/>
      <c r="AO351" s="299"/>
    </row>
    <row r="352" spans="1:41" ht="15" customHeight="1">
      <c r="A352" s="254">
        <v>352</v>
      </c>
      <c r="B352" s="253">
        <v>207</v>
      </c>
      <c r="C352" s="240" t="s">
        <v>80</v>
      </c>
      <c r="D352" s="288" t="s">
        <v>74</v>
      </c>
      <c r="E352" s="289"/>
      <c r="F352" s="239" t="s">
        <v>530</v>
      </c>
      <c r="G352" s="290" t="s">
        <v>531</v>
      </c>
      <c r="H352" s="291" t="s">
        <v>149</v>
      </c>
      <c r="I352" s="239" t="s">
        <v>558</v>
      </c>
      <c r="J352" s="424">
        <f t="shared" si="12"/>
        <v>365</v>
      </c>
      <c r="K352" s="425">
        <v>102</v>
      </c>
      <c r="L352" s="425">
        <v>153</v>
      </c>
      <c r="M352" s="425"/>
      <c r="N352" s="425">
        <v>102</v>
      </c>
      <c r="O352" s="425"/>
      <c r="P352" s="425">
        <v>8</v>
      </c>
      <c r="Q352" s="294">
        <v>4</v>
      </c>
      <c r="R352" s="295" t="e">
        <f>IF(K352="nio",0,(K352*Q352)/X352)*VLOOKUP(C352,'2-Uren per locatie'!$B$15:$D$74,3,FALSE)</f>
        <v>#DIV/0!</v>
      </c>
      <c r="S352" s="295" t="e">
        <f>IF(K352="nio",0,(L352*Q352)/Y352)*VLOOKUP(C352,'2-Uren per locatie'!$B$15:$D$74,3,FALSE)</f>
        <v>#DIV/0!</v>
      </c>
      <c r="T352" s="295" t="e">
        <f>IF(K352="nio",0,(M352*Q352)/Z352)*VLOOKUP(C352,'2-Uren per locatie'!$B$15:$D$74,3,FALSE)</f>
        <v>#DIV/0!</v>
      </c>
      <c r="U352" s="295" t="e">
        <f>IF(K352="nio",0,(N352*Q352)/AA352)*VLOOKUP(C352,'2-Uren per locatie'!$B$15:$D$74,3,FALSE)</f>
        <v>#DIV/0!</v>
      </c>
      <c r="V352" s="295" t="e">
        <f>IF(K352="nio",0,(O352*Q352)/Z352)*VLOOKUP(C352,'2-Uren per locatie'!$B$15:$D$74,3,FALSE)</f>
        <v>#DIV/0!</v>
      </c>
      <c r="W352" s="295" t="e">
        <f>IF(K352="nio",0,(P352*Q352)/AA352)*VLOOKUP(C352,'2-Uren per locatie'!$B$15:$D$74,3,FALSE)</f>
        <v>#DIV/0!</v>
      </c>
      <c r="X352" s="485">
        <f>IF(K352="nio",0,IF(K352&gt;0,VLOOKUP(H352,'3-Productie normen'!A:F,VLOOKUP(K352,'3-Productie normen'!$B$29:$C$34,2,FALSE),FALSE)))</f>
        <v>0</v>
      </c>
      <c r="Y352" s="485">
        <f>VLOOKUP(H352,'3-Productie normen'!$A$10:$J$24,8,FALSE)*'3-Ruimtestaat'!X352</f>
        <v>0</v>
      </c>
      <c r="Z352" s="485">
        <f>VLOOKUP(H352,'3-Productie normen'!$A$10:$J$24,9,FALSE)*'3-Ruimtestaat'!X352</f>
        <v>0</v>
      </c>
      <c r="AA352" s="485">
        <f>VLOOKUP(H352,'3-Productie normen'!$A$10:$J$24,10,FALSE)*'3-Ruimtestaat'!X352</f>
        <v>0</v>
      </c>
      <c r="AB352" s="292" t="str">
        <f>IF(H352="",0,VLOOKUP(H352,'3-Productie normen'!$A$10:$N$23,14,FALSE))</f>
        <v>V</v>
      </c>
      <c r="AD352" s="296">
        <f t="shared" si="13"/>
        <v>1460</v>
      </c>
      <c r="AE352" s="78"/>
      <c r="AF352" s="297"/>
      <c r="AG352" s="297"/>
      <c r="AH352" s="297"/>
      <c r="AI352" s="297">
        <v>19</v>
      </c>
      <c r="AJ352" s="297"/>
      <c r="AK352" s="298"/>
      <c r="AL352" s="298"/>
      <c r="AM352" s="298"/>
      <c r="AN352" s="298"/>
      <c r="AO352" s="299"/>
    </row>
    <row r="353" spans="1:41" ht="15" customHeight="1">
      <c r="A353" s="254">
        <v>353</v>
      </c>
      <c r="B353" s="253">
        <v>208</v>
      </c>
      <c r="C353" s="240" t="s">
        <v>81</v>
      </c>
      <c r="D353" s="288" t="s">
        <v>74</v>
      </c>
      <c r="E353" s="289"/>
      <c r="F353" s="239" t="s">
        <v>249</v>
      </c>
      <c r="G353" s="290" t="s">
        <v>554</v>
      </c>
      <c r="H353" s="291" t="s">
        <v>151</v>
      </c>
      <c r="I353" s="239" t="s">
        <v>555</v>
      </c>
      <c r="J353" s="424">
        <f t="shared" si="12"/>
        <v>365</v>
      </c>
      <c r="K353" s="425">
        <v>102</v>
      </c>
      <c r="L353" s="425">
        <v>153</v>
      </c>
      <c r="M353" s="425"/>
      <c r="N353" s="425">
        <v>102</v>
      </c>
      <c r="O353" s="425"/>
      <c r="P353" s="425">
        <v>8</v>
      </c>
      <c r="Q353" s="294">
        <v>609</v>
      </c>
      <c r="R353" s="295" t="e">
        <f>IF(K353="nio",0,(K353*Q353)/X353)*VLOOKUP(C353,'2-Uren per locatie'!$B$15:$D$74,3,FALSE)</f>
        <v>#DIV/0!</v>
      </c>
      <c r="S353" s="295" t="e">
        <f>IF(K353="nio",0,(L353*Q353)/Y353)*VLOOKUP(C353,'2-Uren per locatie'!$B$15:$D$74,3,FALSE)</f>
        <v>#DIV/0!</v>
      </c>
      <c r="T353" s="295" t="e">
        <f>IF(K353="nio",0,(M353*Q353)/Z353)*VLOOKUP(C353,'2-Uren per locatie'!$B$15:$D$74,3,FALSE)</f>
        <v>#DIV/0!</v>
      </c>
      <c r="U353" s="295" t="e">
        <f>IF(K353="nio",0,(N353*Q353)/AA353)*VLOOKUP(C353,'2-Uren per locatie'!$B$15:$D$74,3,FALSE)</f>
        <v>#DIV/0!</v>
      </c>
      <c r="V353" s="295" t="e">
        <f>IF(K353="nio",0,(O353*Q353)/Z353)*VLOOKUP(C353,'2-Uren per locatie'!$B$15:$D$74,3,FALSE)</f>
        <v>#DIV/0!</v>
      </c>
      <c r="W353" s="295" t="e">
        <f>IF(K353="nio",0,(P353*Q353)/AA353)*VLOOKUP(C353,'2-Uren per locatie'!$B$15:$D$74,3,FALSE)</f>
        <v>#DIV/0!</v>
      </c>
      <c r="X353" s="485">
        <f>IF(K353="nio",0,IF(K353&gt;0,VLOOKUP(H353,'3-Productie normen'!A:F,VLOOKUP(K353,'3-Productie normen'!$B$29:$C$34,2,FALSE),FALSE)))</f>
        <v>0</v>
      </c>
      <c r="Y353" s="485">
        <f>VLOOKUP(H353,'3-Productie normen'!$A$10:$J$24,8,FALSE)*'3-Ruimtestaat'!X353</f>
        <v>0</v>
      </c>
      <c r="Z353" s="485">
        <f>VLOOKUP(H353,'3-Productie normen'!$A$10:$J$24,9,FALSE)*'3-Ruimtestaat'!X353</f>
        <v>0</v>
      </c>
      <c r="AA353" s="485">
        <f>VLOOKUP(H353,'3-Productie normen'!$A$10:$J$24,10,FALSE)*'3-Ruimtestaat'!X353</f>
        <v>0</v>
      </c>
      <c r="AB353" s="292" t="str">
        <f>IF(H353="",0,VLOOKUP(H353,'3-Productie normen'!$A$10:$N$23,14,FALSE))</f>
        <v>V</v>
      </c>
      <c r="AD353" s="296">
        <f t="shared" si="13"/>
        <v>222285</v>
      </c>
      <c r="AE353" s="78"/>
      <c r="AF353" s="297"/>
      <c r="AG353" s="297"/>
      <c r="AH353" s="297"/>
      <c r="AI353" s="297"/>
      <c r="AJ353" s="297"/>
      <c r="AK353" s="298"/>
      <c r="AL353" s="298"/>
      <c r="AM353" s="298"/>
      <c r="AN353" s="298"/>
      <c r="AO353" s="299"/>
    </row>
    <row r="354" spans="1:41" ht="15" customHeight="1">
      <c r="A354" s="254">
        <v>354</v>
      </c>
      <c r="B354" s="253">
        <v>209</v>
      </c>
      <c r="C354" s="240" t="s">
        <v>82</v>
      </c>
      <c r="D354" s="288" t="s">
        <v>74</v>
      </c>
      <c r="E354" s="289"/>
      <c r="F354" s="239" t="s">
        <v>249</v>
      </c>
      <c r="G354" s="290" t="s">
        <v>556</v>
      </c>
      <c r="H354" s="291" t="s">
        <v>151</v>
      </c>
      <c r="I354" s="239" t="s">
        <v>564</v>
      </c>
      <c r="J354" s="424">
        <f t="shared" si="12"/>
        <v>365</v>
      </c>
      <c r="K354" s="425">
        <v>102</v>
      </c>
      <c r="L354" s="425">
        <v>153</v>
      </c>
      <c r="M354" s="425"/>
      <c r="N354" s="425">
        <v>102</v>
      </c>
      <c r="O354" s="425"/>
      <c r="P354" s="425">
        <v>8</v>
      </c>
      <c r="Q354" s="294">
        <v>836</v>
      </c>
      <c r="R354" s="295" t="e">
        <f>IF(K354="nio",0,(K354*Q354)/X354)*VLOOKUP(C354,'2-Uren per locatie'!$B$15:$D$74,3,FALSE)</f>
        <v>#DIV/0!</v>
      </c>
      <c r="S354" s="295" t="e">
        <f>IF(K354="nio",0,(L354*Q354)/Y354)*VLOOKUP(C354,'2-Uren per locatie'!$B$15:$D$74,3,FALSE)</f>
        <v>#DIV/0!</v>
      </c>
      <c r="T354" s="295" t="e">
        <f>IF(K354="nio",0,(M354*Q354)/Z354)*VLOOKUP(C354,'2-Uren per locatie'!$B$15:$D$74,3,FALSE)</f>
        <v>#DIV/0!</v>
      </c>
      <c r="U354" s="295" t="e">
        <f>IF(K354="nio",0,(N354*Q354)/AA354)*VLOOKUP(C354,'2-Uren per locatie'!$B$15:$D$74,3,FALSE)</f>
        <v>#DIV/0!</v>
      </c>
      <c r="V354" s="295" t="e">
        <f>IF(K354="nio",0,(O354*Q354)/Z354)*VLOOKUP(C354,'2-Uren per locatie'!$B$15:$D$74,3,FALSE)</f>
        <v>#DIV/0!</v>
      </c>
      <c r="W354" s="295" t="e">
        <f>IF(K354="nio",0,(P354*Q354)/AA354)*VLOOKUP(C354,'2-Uren per locatie'!$B$15:$D$74,3,FALSE)</f>
        <v>#DIV/0!</v>
      </c>
      <c r="X354" s="485">
        <f>IF(K354="nio",0,IF(K354&gt;0,VLOOKUP(H354,'3-Productie normen'!A:F,VLOOKUP(K354,'3-Productie normen'!$B$29:$C$34,2,FALSE),FALSE)))</f>
        <v>0</v>
      </c>
      <c r="Y354" s="485">
        <f>VLOOKUP(H354,'3-Productie normen'!$A$10:$J$24,8,FALSE)*'3-Ruimtestaat'!X354</f>
        <v>0</v>
      </c>
      <c r="Z354" s="485">
        <f>VLOOKUP(H354,'3-Productie normen'!$A$10:$J$24,9,FALSE)*'3-Ruimtestaat'!X354</f>
        <v>0</v>
      </c>
      <c r="AA354" s="485">
        <f>VLOOKUP(H354,'3-Productie normen'!$A$10:$J$24,10,FALSE)*'3-Ruimtestaat'!X354</f>
        <v>0</v>
      </c>
      <c r="AB354" s="292" t="str">
        <f>IF(H354="",0,VLOOKUP(H354,'3-Productie normen'!$A$10:$N$23,14,FALSE))</f>
        <v>V</v>
      </c>
      <c r="AD354" s="296">
        <f t="shared" si="13"/>
        <v>305140</v>
      </c>
      <c r="AE354" s="78"/>
      <c r="AF354" s="297"/>
      <c r="AG354" s="297"/>
      <c r="AH354" s="297"/>
      <c r="AI354" s="297">
        <v>104</v>
      </c>
      <c r="AJ354" s="297"/>
      <c r="AK354" s="298"/>
      <c r="AL354" s="298">
        <v>40</v>
      </c>
      <c r="AM354" s="298"/>
      <c r="AN354" s="298"/>
      <c r="AO354" s="299"/>
    </row>
    <row r="355" spans="1:41" ht="15" customHeight="1">
      <c r="A355" s="254">
        <v>355</v>
      </c>
      <c r="B355" s="253">
        <v>209</v>
      </c>
      <c r="C355" s="240" t="s">
        <v>82</v>
      </c>
      <c r="D355" s="288" t="s">
        <v>74</v>
      </c>
      <c r="E355" s="289"/>
      <c r="F355" s="239" t="s">
        <v>155</v>
      </c>
      <c r="G355" s="290" t="s">
        <v>563</v>
      </c>
      <c r="H355" s="291" t="s">
        <v>155</v>
      </c>
      <c r="I355" s="239" t="s">
        <v>557</v>
      </c>
      <c r="J355" s="424">
        <f t="shared" si="12"/>
        <v>365</v>
      </c>
      <c r="K355" s="425">
        <v>102</v>
      </c>
      <c r="L355" s="425">
        <v>153</v>
      </c>
      <c r="M355" s="425"/>
      <c r="N355" s="425">
        <v>102</v>
      </c>
      <c r="O355" s="425"/>
      <c r="P355" s="425">
        <v>8</v>
      </c>
      <c r="Q355" s="294">
        <v>63</v>
      </c>
      <c r="R355" s="295" t="e">
        <f>IF(K355="nio",0,(K355*Q355)/X355)*VLOOKUP(C355,'2-Uren per locatie'!$B$15:$D$74,3,FALSE)</f>
        <v>#DIV/0!</v>
      </c>
      <c r="S355" s="295" t="e">
        <f>IF(K355="nio",0,(L355*Q355)/Y355)*VLOOKUP(C355,'2-Uren per locatie'!$B$15:$D$74,3,FALSE)</f>
        <v>#DIV/0!</v>
      </c>
      <c r="T355" s="295" t="e">
        <f>IF(K355="nio",0,(M355*Q355)/Z355)*VLOOKUP(C355,'2-Uren per locatie'!$B$15:$D$74,3,FALSE)</f>
        <v>#DIV/0!</v>
      </c>
      <c r="U355" s="295" t="e">
        <f>IF(K355="nio",0,(N355*Q355)/AA355)*VLOOKUP(C355,'2-Uren per locatie'!$B$15:$D$74,3,FALSE)</f>
        <v>#DIV/0!</v>
      </c>
      <c r="V355" s="295" t="e">
        <f>IF(K355="nio",0,(O355*Q355)/Z355)*VLOOKUP(C355,'2-Uren per locatie'!$B$15:$D$74,3,FALSE)</f>
        <v>#DIV/0!</v>
      </c>
      <c r="W355" s="295" t="e">
        <f>IF(K355="nio",0,(P355*Q355)/AA355)*VLOOKUP(C355,'2-Uren per locatie'!$B$15:$D$74,3,FALSE)</f>
        <v>#DIV/0!</v>
      </c>
      <c r="X355" s="485">
        <f>IF(K355="nio",0,IF(K355&gt;0,VLOOKUP(H355,'3-Productie normen'!A:F,VLOOKUP(K355,'3-Productie normen'!$B$29:$C$34,2,FALSE),FALSE)))</f>
        <v>0</v>
      </c>
      <c r="Y355" s="485">
        <f>VLOOKUP(H355,'3-Productie normen'!$A$10:$J$24,8,FALSE)*'3-Ruimtestaat'!X355</f>
        <v>0</v>
      </c>
      <c r="Z355" s="485">
        <f>VLOOKUP(H355,'3-Productie normen'!$A$10:$J$24,9,FALSE)*'3-Ruimtestaat'!X355</f>
        <v>0</v>
      </c>
      <c r="AA355" s="485">
        <f>VLOOKUP(H355,'3-Productie normen'!$A$10:$J$24,10,FALSE)*'3-Ruimtestaat'!X355</f>
        <v>0</v>
      </c>
      <c r="AB355" s="292" t="str">
        <f>IF(H355="",0,VLOOKUP(H355,'3-Productie normen'!$A$10:$N$23,14,FALSE))</f>
        <v>V</v>
      </c>
      <c r="AD355" s="296">
        <f t="shared" si="13"/>
        <v>22995</v>
      </c>
      <c r="AE355" s="78"/>
      <c r="AF355" s="297"/>
      <c r="AG355" s="297"/>
      <c r="AH355" s="297"/>
      <c r="AI355" s="297"/>
      <c r="AJ355" s="297"/>
      <c r="AK355" s="298"/>
      <c r="AL355" s="298"/>
      <c r="AM355" s="298"/>
      <c r="AN355" s="298"/>
      <c r="AO355" s="299"/>
    </row>
    <row r="356" spans="1:41" ht="15" customHeight="1">
      <c r="A356" s="254">
        <v>356</v>
      </c>
      <c r="B356" s="253">
        <v>209</v>
      </c>
      <c r="C356" s="240" t="s">
        <v>82</v>
      </c>
      <c r="D356" s="288" t="s">
        <v>74</v>
      </c>
      <c r="E356" s="289"/>
      <c r="F356" s="239" t="s">
        <v>530</v>
      </c>
      <c r="G356" s="290" t="s">
        <v>531</v>
      </c>
      <c r="H356" s="291" t="s">
        <v>149</v>
      </c>
      <c r="I356" s="239" t="s">
        <v>558</v>
      </c>
      <c r="J356" s="424">
        <f t="shared" si="12"/>
        <v>365</v>
      </c>
      <c r="K356" s="425">
        <v>102</v>
      </c>
      <c r="L356" s="425">
        <v>153</v>
      </c>
      <c r="M356" s="425"/>
      <c r="N356" s="425">
        <v>102</v>
      </c>
      <c r="O356" s="425"/>
      <c r="P356" s="425">
        <v>8</v>
      </c>
      <c r="Q356" s="294">
        <v>4</v>
      </c>
      <c r="R356" s="295" t="e">
        <f>IF(K356="nio",0,(K356*Q356)/X356)*VLOOKUP(C356,'2-Uren per locatie'!$B$15:$D$74,3,FALSE)</f>
        <v>#DIV/0!</v>
      </c>
      <c r="S356" s="295" t="e">
        <f>IF(K356="nio",0,(L356*Q356)/Y356)*VLOOKUP(C356,'2-Uren per locatie'!$B$15:$D$74,3,FALSE)</f>
        <v>#DIV/0!</v>
      </c>
      <c r="T356" s="295" t="e">
        <f>IF(K356="nio",0,(M356*Q356)/Z356)*VLOOKUP(C356,'2-Uren per locatie'!$B$15:$D$74,3,FALSE)</f>
        <v>#DIV/0!</v>
      </c>
      <c r="U356" s="295" t="e">
        <f>IF(K356="nio",0,(N356*Q356)/AA356)*VLOOKUP(C356,'2-Uren per locatie'!$B$15:$D$74,3,FALSE)</f>
        <v>#DIV/0!</v>
      </c>
      <c r="V356" s="295" t="e">
        <f>IF(K356="nio",0,(O356*Q356)/Z356)*VLOOKUP(C356,'2-Uren per locatie'!$B$15:$D$74,3,FALSE)</f>
        <v>#DIV/0!</v>
      </c>
      <c r="W356" s="295" t="e">
        <f>IF(K356="nio",0,(P356*Q356)/AA356)*VLOOKUP(C356,'2-Uren per locatie'!$B$15:$D$74,3,FALSE)</f>
        <v>#DIV/0!</v>
      </c>
      <c r="X356" s="485">
        <f>IF(K356="nio",0,IF(K356&gt;0,VLOOKUP(H356,'3-Productie normen'!A:F,VLOOKUP(K356,'3-Productie normen'!$B$29:$C$34,2,FALSE),FALSE)))</f>
        <v>0</v>
      </c>
      <c r="Y356" s="485">
        <f>VLOOKUP(H356,'3-Productie normen'!$A$10:$J$24,8,FALSE)*'3-Ruimtestaat'!X356</f>
        <v>0</v>
      </c>
      <c r="Z356" s="485">
        <f>VLOOKUP(H356,'3-Productie normen'!$A$10:$J$24,9,FALSE)*'3-Ruimtestaat'!X356</f>
        <v>0</v>
      </c>
      <c r="AA356" s="485">
        <f>VLOOKUP(H356,'3-Productie normen'!$A$10:$J$24,10,FALSE)*'3-Ruimtestaat'!X356</f>
        <v>0</v>
      </c>
      <c r="AB356" s="292" t="str">
        <f>IF(H356="",0,VLOOKUP(H356,'3-Productie normen'!$A$10:$N$23,14,FALSE))</f>
        <v>V</v>
      </c>
      <c r="AD356" s="296">
        <f t="shared" si="13"/>
        <v>1460</v>
      </c>
      <c r="AE356" s="78"/>
      <c r="AF356" s="297"/>
      <c r="AG356" s="297"/>
      <c r="AH356" s="297"/>
      <c r="AI356" s="297"/>
      <c r="AJ356" s="297"/>
      <c r="AK356" s="298"/>
      <c r="AL356" s="298"/>
      <c r="AM356" s="298"/>
      <c r="AN356" s="298"/>
      <c r="AO356" s="299"/>
    </row>
    <row r="357" spans="1:41" ht="15" customHeight="1">
      <c r="A357" s="254">
        <v>357</v>
      </c>
      <c r="B357" s="253">
        <v>210</v>
      </c>
      <c r="C357" s="240" t="s">
        <v>83</v>
      </c>
      <c r="D357" s="288" t="s">
        <v>74</v>
      </c>
      <c r="E357" s="289"/>
      <c r="F357" s="239" t="s">
        <v>249</v>
      </c>
      <c r="G357" s="290" t="s">
        <v>556</v>
      </c>
      <c r="H357" s="291" t="s">
        <v>151</v>
      </c>
      <c r="I357" s="239" t="s">
        <v>564</v>
      </c>
      <c r="J357" s="424">
        <f t="shared" si="12"/>
        <v>365</v>
      </c>
      <c r="K357" s="425">
        <v>102</v>
      </c>
      <c r="L357" s="425">
        <v>153</v>
      </c>
      <c r="M357" s="425"/>
      <c r="N357" s="425">
        <v>102</v>
      </c>
      <c r="O357" s="425"/>
      <c r="P357" s="425">
        <v>8</v>
      </c>
      <c r="Q357" s="294">
        <v>581</v>
      </c>
      <c r="R357" s="295" t="e">
        <f>IF(K357="nio",0,(K357*Q357)/X357)*VLOOKUP(C357,'2-Uren per locatie'!$B$15:$D$74,3,FALSE)</f>
        <v>#DIV/0!</v>
      </c>
      <c r="S357" s="295" t="e">
        <f>IF(K357="nio",0,(L357*Q357)/Y357)*VLOOKUP(C357,'2-Uren per locatie'!$B$15:$D$74,3,FALSE)</f>
        <v>#DIV/0!</v>
      </c>
      <c r="T357" s="295" t="e">
        <f>IF(K357="nio",0,(M357*Q357)/Z357)*VLOOKUP(C357,'2-Uren per locatie'!$B$15:$D$74,3,FALSE)</f>
        <v>#DIV/0!</v>
      </c>
      <c r="U357" s="295" t="e">
        <f>IF(K357="nio",0,(N357*Q357)/AA357)*VLOOKUP(C357,'2-Uren per locatie'!$B$15:$D$74,3,FALSE)</f>
        <v>#DIV/0!</v>
      </c>
      <c r="V357" s="295" t="e">
        <f>IF(K357="nio",0,(O357*Q357)/Z357)*VLOOKUP(C357,'2-Uren per locatie'!$B$15:$D$74,3,FALSE)</f>
        <v>#DIV/0!</v>
      </c>
      <c r="W357" s="295" t="e">
        <f>IF(K357="nio",0,(P357*Q357)/AA357)*VLOOKUP(C357,'2-Uren per locatie'!$B$15:$D$74,3,FALSE)</f>
        <v>#DIV/0!</v>
      </c>
      <c r="X357" s="485">
        <f>IF(K357="nio",0,IF(K357&gt;0,VLOOKUP(H357,'3-Productie normen'!A:F,VLOOKUP(K357,'3-Productie normen'!$B$29:$C$34,2,FALSE),FALSE)))</f>
        <v>0</v>
      </c>
      <c r="Y357" s="485">
        <f>VLOOKUP(H357,'3-Productie normen'!$A$10:$J$24,8,FALSE)*'3-Ruimtestaat'!X357</f>
        <v>0</v>
      </c>
      <c r="Z357" s="485">
        <f>VLOOKUP(H357,'3-Productie normen'!$A$10:$J$24,9,FALSE)*'3-Ruimtestaat'!X357</f>
        <v>0</v>
      </c>
      <c r="AA357" s="485">
        <f>VLOOKUP(H357,'3-Productie normen'!$A$10:$J$24,10,FALSE)*'3-Ruimtestaat'!X357</f>
        <v>0</v>
      </c>
      <c r="AB357" s="292" t="str">
        <f>IF(H357="",0,VLOOKUP(H357,'3-Productie normen'!$A$10:$N$23,14,FALSE))</f>
        <v>V</v>
      </c>
      <c r="AD357" s="296">
        <f t="shared" si="13"/>
        <v>212065</v>
      </c>
      <c r="AE357" s="78"/>
      <c r="AF357" s="297"/>
      <c r="AG357" s="297"/>
      <c r="AH357" s="297"/>
      <c r="AI357" s="297">
        <v>120</v>
      </c>
      <c r="AJ357" s="297"/>
      <c r="AK357" s="298"/>
      <c r="AL357" s="298">
        <v>151</v>
      </c>
      <c r="AM357" s="298"/>
      <c r="AN357" s="298"/>
      <c r="AO357" s="299"/>
    </row>
    <row r="358" spans="1:41" ht="15" customHeight="1">
      <c r="A358" s="254">
        <v>358</v>
      </c>
      <c r="B358" s="253">
        <v>210</v>
      </c>
      <c r="C358" s="240" t="s">
        <v>83</v>
      </c>
      <c r="D358" s="288" t="s">
        <v>74</v>
      </c>
      <c r="E358" s="289"/>
      <c r="F358" s="239" t="s">
        <v>155</v>
      </c>
      <c r="G358" s="290" t="s">
        <v>563</v>
      </c>
      <c r="H358" s="291" t="s">
        <v>155</v>
      </c>
      <c r="I358" s="239" t="s">
        <v>557</v>
      </c>
      <c r="J358" s="424">
        <f t="shared" si="12"/>
        <v>365</v>
      </c>
      <c r="K358" s="425">
        <v>102</v>
      </c>
      <c r="L358" s="425">
        <v>153</v>
      </c>
      <c r="M358" s="425"/>
      <c r="N358" s="425">
        <v>102</v>
      </c>
      <c r="O358" s="425"/>
      <c r="P358" s="425">
        <v>8</v>
      </c>
      <c r="Q358" s="294">
        <v>77</v>
      </c>
      <c r="R358" s="295" t="e">
        <f>IF(K358="nio",0,(K358*Q358)/X358)*VLOOKUP(C358,'2-Uren per locatie'!$B$15:$D$74,3,FALSE)</f>
        <v>#DIV/0!</v>
      </c>
      <c r="S358" s="295" t="e">
        <f>IF(K358="nio",0,(L358*Q358)/Y358)*VLOOKUP(C358,'2-Uren per locatie'!$B$15:$D$74,3,FALSE)</f>
        <v>#DIV/0!</v>
      </c>
      <c r="T358" s="295" t="e">
        <f>IF(K358="nio",0,(M358*Q358)/Z358)*VLOOKUP(C358,'2-Uren per locatie'!$B$15:$D$74,3,FALSE)</f>
        <v>#DIV/0!</v>
      </c>
      <c r="U358" s="295" t="e">
        <f>IF(K358="nio",0,(N358*Q358)/AA358)*VLOOKUP(C358,'2-Uren per locatie'!$B$15:$D$74,3,FALSE)</f>
        <v>#DIV/0!</v>
      </c>
      <c r="V358" s="295" t="e">
        <f>IF(K358="nio",0,(O358*Q358)/Z358)*VLOOKUP(C358,'2-Uren per locatie'!$B$15:$D$74,3,FALSE)</f>
        <v>#DIV/0!</v>
      </c>
      <c r="W358" s="295" t="e">
        <f>IF(K358="nio",0,(P358*Q358)/AA358)*VLOOKUP(C358,'2-Uren per locatie'!$B$15:$D$74,3,FALSE)</f>
        <v>#DIV/0!</v>
      </c>
      <c r="X358" s="485">
        <f>IF(K358="nio",0,IF(K358&gt;0,VLOOKUP(H358,'3-Productie normen'!A:F,VLOOKUP(K358,'3-Productie normen'!$B$29:$C$34,2,FALSE),FALSE)))</f>
        <v>0</v>
      </c>
      <c r="Y358" s="485">
        <f>VLOOKUP(H358,'3-Productie normen'!$A$10:$J$24,8,FALSE)*'3-Ruimtestaat'!X358</f>
        <v>0</v>
      </c>
      <c r="Z358" s="485">
        <f>VLOOKUP(H358,'3-Productie normen'!$A$10:$J$24,9,FALSE)*'3-Ruimtestaat'!X358</f>
        <v>0</v>
      </c>
      <c r="AA358" s="485">
        <f>VLOOKUP(H358,'3-Productie normen'!$A$10:$J$24,10,FALSE)*'3-Ruimtestaat'!X358</f>
        <v>0</v>
      </c>
      <c r="AB358" s="292" t="str">
        <f>IF(H358="",0,VLOOKUP(H358,'3-Productie normen'!$A$10:$N$23,14,FALSE))</f>
        <v>V</v>
      </c>
      <c r="AD358" s="296">
        <f t="shared" si="13"/>
        <v>28105</v>
      </c>
      <c r="AE358" s="78"/>
      <c r="AF358" s="297"/>
      <c r="AG358" s="297"/>
      <c r="AH358" s="297"/>
      <c r="AI358" s="297"/>
      <c r="AJ358" s="297"/>
      <c r="AK358" s="298"/>
      <c r="AL358" s="298"/>
      <c r="AM358" s="298"/>
      <c r="AN358" s="298"/>
      <c r="AO358" s="299"/>
    </row>
    <row r="359" spans="1:41" ht="15" customHeight="1">
      <c r="A359" s="254">
        <v>359</v>
      </c>
      <c r="B359" s="253">
        <v>210</v>
      </c>
      <c r="C359" s="240" t="s">
        <v>83</v>
      </c>
      <c r="D359" s="288" t="s">
        <v>74</v>
      </c>
      <c r="E359" s="289"/>
      <c r="F359" s="239" t="s">
        <v>530</v>
      </c>
      <c r="G359" s="290" t="s">
        <v>531</v>
      </c>
      <c r="H359" s="291" t="s">
        <v>149</v>
      </c>
      <c r="I359" s="239" t="s">
        <v>558</v>
      </c>
      <c r="J359" s="424">
        <f t="shared" si="12"/>
        <v>365</v>
      </c>
      <c r="K359" s="425">
        <v>102</v>
      </c>
      <c r="L359" s="425">
        <v>153</v>
      </c>
      <c r="M359" s="425"/>
      <c r="N359" s="425">
        <v>102</v>
      </c>
      <c r="O359" s="425"/>
      <c r="P359" s="425">
        <v>8</v>
      </c>
      <c r="Q359" s="294">
        <v>4</v>
      </c>
      <c r="R359" s="295" t="e">
        <f>IF(K359="nio",0,(K359*Q359)/X359)*VLOOKUP(C359,'2-Uren per locatie'!$B$15:$D$74,3,FALSE)</f>
        <v>#DIV/0!</v>
      </c>
      <c r="S359" s="295" t="e">
        <f>IF(K359="nio",0,(L359*Q359)/Y359)*VLOOKUP(C359,'2-Uren per locatie'!$B$15:$D$74,3,FALSE)</f>
        <v>#DIV/0!</v>
      </c>
      <c r="T359" s="295" t="e">
        <f>IF(K359="nio",0,(M359*Q359)/Z359)*VLOOKUP(C359,'2-Uren per locatie'!$B$15:$D$74,3,FALSE)</f>
        <v>#DIV/0!</v>
      </c>
      <c r="U359" s="295" t="e">
        <f>IF(K359="nio",0,(N359*Q359)/AA359)*VLOOKUP(C359,'2-Uren per locatie'!$B$15:$D$74,3,FALSE)</f>
        <v>#DIV/0!</v>
      </c>
      <c r="V359" s="295" t="e">
        <f>IF(K359="nio",0,(O359*Q359)/Z359)*VLOOKUP(C359,'2-Uren per locatie'!$B$15:$D$74,3,FALSE)</f>
        <v>#DIV/0!</v>
      </c>
      <c r="W359" s="295" t="e">
        <f>IF(K359="nio",0,(P359*Q359)/AA359)*VLOOKUP(C359,'2-Uren per locatie'!$B$15:$D$74,3,FALSE)</f>
        <v>#DIV/0!</v>
      </c>
      <c r="X359" s="485">
        <f>IF(K359="nio",0,IF(K359&gt;0,VLOOKUP(H359,'3-Productie normen'!A:F,VLOOKUP(K359,'3-Productie normen'!$B$29:$C$34,2,FALSE),FALSE)))</f>
        <v>0</v>
      </c>
      <c r="Y359" s="485">
        <f>VLOOKUP(H359,'3-Productie normen'!$A$10:$J$24,8,FALSE)*'3-Ruimtestaat'!X359</f>
        <v>0</v>
      </c>
      <c r="Z359" s="485">
        <f>VLOOKUP(H359,'3-Productie normen'!$A$10:$J$24,9,FALSE)*'3-Ruimtestaat'!X359</f>
        <v>0</v>
      </c>
      <c r="AA359" s="485">
        <f>VLOOKUP(H359,'3-Productie normen'!$A$10:$J$24,10,FALSE)*'3-Ruimtestaat'!X359</f>
        <v>0</v>
      </c>
      <c r="AB359" s="292" t="str">
        <f>IF(H359="",0,VLOOKUP(H359,'3-Productie normen'!$A$10:$N$23,14,FALSE))</f>
        <v>V</v>
      </c>
      <c r="AD359" s="296">
        <f t="shared" si="13"/>
        <v>1460</v>
      </c>
      <c r="AE359" s="78"/>
      <c r="AF359" s="297"/>
      <c r="AG359" s="297"/>
      <c r="AH359" s="297"/>
      <c r="AI359" s="297">
        <v>19</v>
      </c>
      <c r="AJ359" s="297"/>
      <c r="AK359" s="298"/>
      <c r="AL359" s="298"/>
      <c r="AM359" s="298"/>
      <c r="AN359" s="298"/>
      <c r="AO359" s="299"/>
    </row>
    <row r="360" spans="1:41" ht="15" customHeight="1">
      <c r="A360" s="254">
        <v>360</v>
      </c>
      <c r="B360" s="253">
        <v>211</v>
      </c>
      <c r="C360" s="240" t="s">
        <v>84</v>
      </c>
      <c r="D360" s="288" t="s">
        <v>74</v>
      </c>
      <c r="E360" s="289"/>
      <c r="F360" s="239" t="s">
        <v>249</v>
      </c>
      <c r="G360" s="290" t="s">
        <v>556</v>
      </c>
      <c r="H360" s="291" t="s">
        <v>151</v>
      </c>
      <c r="I360" s="239" t="s">
        <v>555</v>
      </c>
      <c r="J360" s="424">
        <f t="shared" si="12"/>
        <v>365</v>
      </c>
      <c r="K360" s="425">
        <v>102</v>
      </c>
      <c r="L360" s="425">
        <v>153</v>
      </c>
      <c r="M360" s="425"/>
      <c r="N360" s="425">
        <v>102</v>
      </c>
      <c r="O360" s="425"/>
      <c r="P360" s="425">
        <v>8</v>
      </c>
      <c r="Q360" s="294">
        <v>334</v>
      </c>
      <c r="R360" s="295" t="e">
        <f>IF(K360="nio",0,(K360*Q360)/X360)*VLOOKUP(C360,'2-Uren per locatie'!$B$15:$D$74,3,FALSE)</f>
        <v>#DIV/0!</v>
      </c>
      <c r="S360" s="295" t="e">
        <f>IF(K360="nio",0,(L360*Q360)/Y360)*VLOOKUP(C360,'2-Uren per locatie'!$B$15:$D$74,3,FALSE)</f>
        <v>#DIV/0!</v>
      </c>
      <c r="T360" s="295" t="e">
        <f>IF(K360="nio",0,(M360*Q360)/Z360)*VLOOKUP(C360,'2-Uren per locatie'!$B$15:$D$74,3,FALSE)</f>
        <v>#DIV/0!</v>
      </c>
      <c r="U360" s="295" t="e">
        <f>IF(K360="nio",0,(N360*Q360)/AA360)*VLOOKUP(C360,'2-Uren per locatie'!$B$15:$D$74,3,FALSE)</f>
        <v>#DIV/0!</v>
      </c>
      <c r="V360" s="295" t="e">
        <f>IF(K360="nio",0,(O360*Q360)/Z360)*VLOOKUP(C360,'2-Uren per locatie'!$B$15:$D$74,3,FALSE)</f>
        <v>#DIV/0!</v>
      </c>
      <c r="W360" s="295" t="e">
        <f>IF(K360="nio",0,(P360*Q360)/AA360)*VLOOKUP(C360,'2-Uren per locatie'!$B$15:$D$74,3,FALSE)</f>
        <v>#DIV/0!</v>
      </c>
      <c r="X360" s="485">
        <f>IF(K360="nio",0,IF(K360&gt;0,VLOOKUP(H360,'3-Productie normen'!A:F,VLOOKUP(K360,'3-Productie normen'!$B$29:$C$34,2,FALSE),FALSE)))</f>
        <v>0</v>
      </c>
      <c r="Y360" s="485">
        <f>VLOOKUP(H360,'3-Productie normen'!$A$10:$J$24,8,FALSE)*'3-Ruimtestaat'!X360</f>
        <v>0</v>
      </c>
      <c r="Z360" s="485">
        <f>VLOOKUP(H360,'3-Productie normen'!$A$10:$J$24,9,FALSE)*'3-Ruimtestaat'!X360</f>
        <v>0</v>
      </c>
      <c r="AA360" s="485">
        <f>VLOOKUP(H360,'3-Productie normen'!$A$10:$J$24,10,FALSE)*'3-Ruimtestaat'!X360</f>
        <v>0</v>
      </c>
      <c r="AB360" s="292" t="str">
        <f>IF(H360="",0,VLOOKUP(H360,'3-Productie normen'!$A$10:$N$23,14,FALSE))</f>
        <v>V</v>
      </c>
      <c r="AD360" s="296">
        <f t="shared" si="13"/>
        <v>121910</v>
      </c>
      <c r="AE360" s="78"/>
      <c r="AF360" s="297"/>
      <c r="AG360" s="297"/>
      <c r="AH360" s="297">
        <v>40</v>
      </c>
      <c r="AI360" s="297"/>
      <c r="AJ360" s="297"/>
      <c r="AK360" s="298"/>
      <c r="AL360" s="298"/>
      <c r="AM360" s="298"/>
      <c r="AN360" s="298"/>
      <c r="AO360" s="299"/>
    </row>
    <row r="361" spans="1:41" ht="15" customHeight="1">
      <c r="A361" s="254">
        <v>361</v>
      </c>
      <c r="B361" s="253">
        <v>211</v>
      </c>
      <c r="C361" s="240" t="s">
        <v>84</v>
      </c>
      <c r="D361" s="288" t="s">
        <v>74</v>
      </c>
      <c r="E361" s="289"/>
      <c r="F361" s="239" t="s">
        <v>155</v>
      </c>
      <c r="G361" s="290" t="s">
        <v>563</v>
      </c>
      <c r="H361" s="291" t="s">
        <v>155</v>
      </c>
      <c r="I361" s="239" t="s">
        <v>557</v>
      </c>
      <c r="J361" s="424">
        <f t="shared" si="12"/>
        <v>365</v>
      </c>
      <c r="K361" s="425">
        <v>102</v>
      </c>
      <c r="L361" s="425">
        <v>153</v>
      </c>
      <c r="M361" s="425"/>
      <c r="N361" s="425">
        <v>102</v>
      </c>
      <c r="O361" s="425"/>
      <c r="P361" s="425">
        <v>8</v>
      </c>
      <c r="Q361" s="294">
        <v>60</v>
      </c>
      <c r="R361" s="295" t="e">
        <f>IF(K361="nio",0,(K361*Q361)/X361)*VLOOKUP(C361,'2-Uren per locatie'!$B$15:$D$74,3,FALSE)</f>
        <v>#DIV/0!</v>
      </c>
      <c r="S361" s="295" t="e">
        <f>IF(K361="nio",0,(L361*Q361)/Y361)*VLOOKUP(C361,'2-Uren per locatie'!$B$15:$D$74,3,FALSE)</f>
        <v>#DIV/0!</v>
      </c>
      <c r="T361" s="295" t="e">
        <f>IF(K361="nio",0,(M361*Q361)/Z361)*VLOOKUP(C361,'2-Uren per locatie'!$B$15:$D$74,3,FALSE)</f>
        <v>#DIV/0!</v>
      </c>
      <c r="U361" s="295" t="e">
        <f>IF(K361="nio",0,(N361*Q361)/AA361)*VLOOKUP(C361,'2-Uren per locatie'!$B$15:$D$74,3,FALSE)</f>
        <v>#DIV/0!</v>
      </c>
      <c r="V361" s="295" t="e">
        <f>IF(K361="nio",0,(O361*Q361)/Z361)*VLOOKUP(C361,'2-Uren per locatie'!$B$15:$D$74,3,FALSE)</f>
        <v>#DIV/0!</v>
      </c>
      <c r="W361" s="295" t="e">
        <f>IF(K361="nio",0,(P361*Q361)/AA361)*VLOOKUP(C361,'2-Uren per locatie'!$B$15:$D$74,3,FALSE)</f>
        <v>#DIV/0!</v>
      </c>
      <c r="X361" s="485">
        <f>IF(K361="nio",0,IF(K361&gt;0,VLOOKUP(H361,'3-Productie normen'!A:F,VLOOKUP(K361,'3-Productie normen'!$B$29:$C$34,2,FALSE),FALSE)))</f>
        <v>0</v>
      </c>
      <c r="Y361" s="485">
        <f>VLOOKUP(H361,'3-Productie normen'!$A$10:$J$24,8,FALSE)*'3-Ruimtestaat'!X361</f>
        <v>0</v>
      </c>
      <c r="Z361" s="485">
        <f>VLOOKUP(H361,'3-Productie normen'!$A$10:$J$24,9,FALSE)*'3-Ruimtestaat'!X361</f>
        <v>0</v>
      </c>
      <c r="AA361" s="485">
        <f>VLOOKUP(H361,'3-Productie normen'!$A$10:$J$24,10,FALSE)*'3-Ruimtestaat'!X361</f>
        <v>0</v>
      </c>
      <c r="AB361" s="292" t="str">
        <f>IF(H361="",0,VLOOKUP(H361,'3-Productie normen'!$A$10:$N$23,14,FALSE))</f>
        <v>V</v>
      </c>
      <c r="AD361" s="296">
        <f t="shared" si="13"/>
        <v>21900</v>
      </c>
      <c r="AE361" s="78"/>
      <c r="AF361" s="297"/>
      <c r="AG361" s="297"/>
      <c r="AH361" s="297"/>
      <c r="AI361" s="297"/>
      <c r="AJ361" s="297"/>
      <c r="AK361" s="298"/>
      <c r="AL361" s="298"/>
      <c r="AM361" s="298"/>
      <c r="AN361" s="298"/>
      <c r="AO361" s="299"/>
    </row>
    <row r="362" spans="1:41" ht="15" customHeight="1">
      <c r="A362" s="254">
        <v>362</v>
      </c>
      <c r="B362" s="253">
        <v>211</v>
      </c>
      <c r="C362" s="240" t="s">
        <v>84</v>
      </c>
      <c r="D362" s="288" t="s">
        <v>74</v>
      </c>
      <c r="E362" s="289"/>
      <c r="F362" s="239" t="s">
        <v>530</v>
      </c>
      <c r="G362" s="290" t="s">
        <v>531</v>
      </c>
      <c r="H362" s="291" t="s">
        <v>149</v>
      </c>
      <c r="I362" s="239" t="s">
        <v>558</v>
      </c>
      <c r="J362" s="424">
        <f t="shared" si="12"/>
        <v>365</v>
      </c>
      <c r="K362" s="425">
        <v>102</v>
      </c>
      <c r="L362" s="425">
        <v>153</v>
      </c>
      <c r="M362" s="425"/>
      <c r="N362" s="425">
        <v>102</v>
      </c>
      <c r="O362" s="425"/>
      <c r="P362" s="425">
        <v>8</v>
      </c>
      <c r="Q362" s="294">
        <v>4</v>
      </c>
      <c r="R362" s="295" t="e">
        <f>IF(K362="nio",0,(K362*Q362)/X362)*VLOOKUP(C362,'2-Uren per locatie'!$B$15:$D$74,3,FALSE)</f>
        <v>#DIV/0!</v>
      </c>
      <c r="S362" s="295" t="e">
        <f>IF(K362="nio",0,(L362*Q362)/Y362)*VLOOKUP(C362,'2-Uren per locatie'!$B$15:$D$74,3,FALSE)</f>
        <v>#DIV/0!</v>
      </c>
      <c r="T362" s="295" t="e">
        <f>IF(K362="nio",0,(M362*Q362)/Z362)*VLOOKUP(C362,'2-Uren per locatie'!$B$15:$D$74,3,FALSE)</f>
        <v>#DIV/0!</v>
      </c>
      <c r="U362" s="295" t="e">
        <f>IF(K362="nio",0,(N362*Q362)/AA362)*VLOOKUP(C362,'2-Uren per locatie'!$B$15:$D$74,3,FALSE)</f>
        <v>#DIV/0!</v>
      </c>
      <c r="V362" s="295" t="e">
        <f>IF(K362="nio",0,(O362*Q362)/Z362)*VLOOKUP(C362,'2-Uren per locatie'!$B$15:$D$74,3,FALSE)</f>
        <v>#DIV/0!</v>
      </c>
      <c r="W362" s="295" t="e">
        <f>IF(K362="nio",0,(P362*Q362)/AA362)*VLOOKUP(C362,'2-Uren per locatie'!$B$15:$D$74,3,FALSE)</f>
        <v>#DIV/0!</v>
      </c>
      <c r="X362" s="485">
        <f>IF(K362="nio",0,IF(K362&gt;0,VLOOKUP(H362,'3-Productie normen'!A:F,VLOOKUP(K362,'3-Productie normen'!$B$29:$C$34,2,FALSE),FALSE)))</f>
        <v>0</v>
      </c>
      <c r="Y362" s="485">
        <f>VLOOKUP(H362,'3-Productie normen'!$A$10:$J$24,8,FALSE)*'3-Ruimtestaat'!X362</f>
        <v>0</v>
      </c>
      <c r="Z362" s="485">
        <f>VLOOKUP(H362,'3-Productie normen'!$A$10:$J$24,9,FALSE)*'3-Ruimtestaat'!X362</f>
        <v>0</v>
      </c>
      <c r="AA362" s="485">
        <f>VLOOKUP(H362,'3-Productie normen'!$A$10:$J$24,10,FALSE)*'3-Ruimtestaat'!X362</f>
        <v>0</v>
      </c>
      <c r="AB362" s="292" t="str">
        <f>IF(H362="",0,VLOOKUP(H362,'3-Productie normen'!$A$10:$N$23,14,FALSE))</f>
        <v>V</v>
      </c>
      <c r="AD362" s="296">
        <f t="shared" si="13"/>
        <v>1460</v>
      </c>
      <c r="AE362" s="78"/>
      <c r="AF362" s="297"/>
      <c r="AG362" s="297"/>
      <c r="AH362" s="297"/>
      <c r="AI362" s="297"/>
      <c r="AJ362" s="297"/>
      <c r="AK362" s="298"/>
      <c r="AL362" s="298"/>
      <c r="AM362" s="298"/>
      <c r="AN362" s="298"/>
      <c r="AO362" s="299"/>
    </row>
    <row r="363" spans="1:41" ht="15" customHeight="1">
      <c r="A363" s="254">
        <v>363</v>
      </c>
      <c r="B363" s="253">
        <v>212</v>
      </c>
      <c r="C363" s="240" t="s">
        <v>85</v>
      </c>
      <c r="D363" s="288" t="s">
        <v>74</v>
      </c>
      <c r="E363" s="289"/>
      <c r="F363" s="239" t="s">
        <v>249</v>
      </c>
      <c r="G363" s="290" t="s">
        <v>554</v>
      </c>
      <c r="H363" s="291" t="s">
        <v>151</v>
      </c>
      <c r="I363" s="239" t="s">
        <v>564</v>
      </c>
      <c r="J363" s="424">
        <f t="shared" si="12"/>
        <v>365</v>
      </c>
      <c r="K363" s="425">
        <v>102</v>
      </c>
      <c r="L363" s="425">
        <v>153</v>
      </c>
      <c r="M363" s="425"/>
      <c r="N363" s="425">
        <v>102</v>
      </c>
      <c r="O363" s="425"/>
      <c r="P363" s="425">
        <v>8</v>
      </c>
      <c r="Q363" s="294">
        <v>378</v>
      </c>
      <c r="R363" s="295" t="e">
        <f>IF(K363="nio",0,(K363*Q363)/X363)*VLOOKUP(C363,'2-Uren per locatie'!$B$15:$D$74,3,FALSE)</f>
        <v>#DIV/0!</v>
      </c>
      <c r="S363" s="295" t="e">
        <f>IF(K363="nio",0,(L363*Q363)/Y363)*VLOOKUP(C363,'2-Uren per locatie'!$B$15:$D$74,3,FALSE)</f>
        <v>#DIV/0!</v>
      </c>
      <c r="T363" s="295" t="e">
        <f>IF(K363="nio",0,(M363*Q363)/Z363)*VLOOKUP(C363,'2-Uren per locatie'!$B$15:$D$74,3,FALSE)</f>
        <v>#DIV/0!</v>
      </c>
      <c r="U363" s="295" t="e">
        <f>IF(K363="nio",0,(N363*Q363)/AA363)*VLOOKUP(C363,'2-Uren per locatie'!$B$15:$D$74,3,FALSE)</f>
        <v>#DIV/0!</v>
      </c>
      <c r="V363" s="295" t="e">
        <f>IF(K363="nio",0,(O363*Q363)/Z363)*VLOOKUP(C363,'2-Uren per locatie'!$B$15:$D$74,3,FALSE)</f>
        <v>#DIV/0!</v>
      </c>
      <c r="W363" s="295" t="e">
        <f>IF(K363="nio",0,(P363*Q363)/AA363)*VLOOKUP(C363,'2-Uren per locatie'!$B$15:$D$74,3,FALSE)</f>
        <v>#DIV/0!</v>
      </c>
      <c r="X363" s="485">
        <f>IF(K363="nio",0,IF(K363&gt;0,VLOOKUP(H363,'3-Productie normen'!A:F,VLOOKUP(K363,'3-Productie normen'!$B$29:$C$34,2,FALSE),FALSE)))</f>
        <v>0</v>
      </c>
      <c r="Y363" s="485">
        <f>VLOOKUP(H363,'3-Productie normen'!$A$10:$J$24,8,FALSE)*'3-Ruimtestaat'!X363</f>
        <v>0</v>
      </c>
      <c r="Z363" s="485">
        <f>VLOOKUP(H363,'3-Productie normen'!$A$10:$J$24,9,FALSE)*'3-Ruimtestaat'!X363</f>
        <v>0</v>
      </c>
      <c r="AA363" s="485">
        <f>VLOOKUP(H363,'3-Productie normen'!$A$10:$J$24,10,FALSE)*'3-Ruimtestaat'!X363</f>
        <v>0</v>
      </c>
      <c r="AB363" s="292" t="str">
        <f>IF(H363="",0,VLOOKUP(H363,'3-Productie normen'!$A$10:$N$23,14,FALSE))</f>
        <v>V</v>
      </c>
      <c r="AD363" s="296">
        <f t="shared" si="13"/>
        <v>137970</v>
      </c>
      <c r="AE363" s="78"/>
      <c r="AF363" s="297"/>
      <c r="AG363" s="297"/>
      <c r="AH363" s="297"/>
      <c r="AI363" s="297"/>
      <c r="AJ363" s="297"/>
      <c r="AK363" s="298"/>
      <c r="AL363" s="298"/>
      <c r="AM363" s="298"/>
      <c r="AN363" s="298"/>
      <c r="AO363" s="299"/>
    </row>
    <row r="364" spans="1:41" ht="15" customHeight="1">
      <c r="A364" s="254">
        <v>364</v>
      </c>
      <c r="B364" s="253">
        <v>213</v>
      </c>
      <c r="C364" s="240" t="s">
        <v>86</v>
      </c>
      <c r="D364" s="288" t="s">
        <v>74</v>
      </c>
      <c r="E364" s="289"/>
      <c r="F364" s="239" t="s">
        <v>249</v>
      </c>
      <c r="G364" s="290" t="s">
        <v>554</v>
      </c>
      <c r="H364" s="291" t="s">
        <v>151</v>
      </c>
      <c r="I364" s="239" t="s">
        <v>564</v>
      </c>
      <c r="J364" s="424">
        <f t="shared" si="12"/>
        <v>365</v>
      </c>
      <c r="K364" s="425">
        <v>102</v>
      </c>
      <c r="L364" s="425">
        <v>153</v>
      </c>
      <c r="M364" s="425"/>
      <c r="N364" s="425">
        <v>102</v>
      </c>
      <c r="O364" s="425"/>
      <c r="P364" s="425">
        <v>8</v>
      </c>
      <c r="Q364" s="294">
        <v>492</v>
      </c>
      <c r="R364" s="295" t="e">
        <f>IF(K364="nio",0,(K364*Q364)/X364)*VLOOKUP(C364,'2-Uren per locatie'!$B$15:$D$74,3,FALSE)</f>
        <v>#DIV/0!</v>
      </c>
      <c r="S364" s="295" t="e">
        <f>IF(K364="nio",0,(L364*Q364)/Y364)*VLOOKUP(C364,'2-Uren per locatie'!$B$15:$D$74,3,FALSE)</f>
        <v>#DIV/0!</v>
      </c>
      <c r="T364" s="295" t="e">
        <f>IF(K364="nio",0,(M364*Q364)/Z364)*VLOOKUP(C364,'2-Uren per locatie'!$B$15:$D$74,3,FALSE)</f>
        <v>#DIV/0!</v>
      </c>
      <c r="U364" s="295" t="e">
        <f>IF(K364="nio",0,(N364*Q364)/AA364)*VLOOKUP(C364,'2-Uren per locatie'!$B$15:$D$74,3,FALSE)</f>
        <v>#DIV/0!</v>
      </c>
      <c r="V364" s="295" t="e">
        <f>IF(K364="nio",0,(O364*Q364)/Z364)*VLOOKUP(C364,'2-Uren per locatie'!$B$15:$D$74,3,FALSE)</f>
        <v>#DIV/0!</v>
      </c>
      <c r="W364" s="295" t="e">
        <f>IF(K364="nio",0,(P364*Q364)/AA364)*VLOOKUP(C364,'2-Uren per locatie'!$B$15:$D$74,3,FALSE)</f>
        <v>#DIV/0!</v>
      </c>
      <c r="X364" s="485">
        <f>IF(K364="nio",0,IF(K364&gt;0,VLOOKUP(H364,'3-Productie normen'!A:F,VLOOKUP(K364,'3-Productie normen'!$B$29:$C$34,2,FALSE),FALSE)))</f>
        <v>0</v>
      </c>
      <c r="Y364" s="485">
        <f>VLOOKUP(H364,'3-Productie normen'!$A$10:$J$24,8,FALSE)*'3-Ruimtestaat'!X364</f>
        <v>0</v>
      </c>
      <c r="Z364" s="485">
        <f>VLOOKUP(H364,'3-Productie normen'!$A$10:$J$24,9,FALSE)*'3-Ruimtestaat'!X364</f>
        <v>0</v>
      </c>
      <c r="AA364" s="485">
        <f>VLOOKUP(H364,'3-Productie normen'!$A$10:$J$24,10,FALSE)*'3-Ruimtestaat'!X364</f>
        <v>0</v>
      </c>
      <c r="AB364" s="292" t="str">
        <f>IF(H364="",0,VLOOKUP(H364,'3-Productie normen'!$A$10:$N$23,14,FALSE))</f>
        <v>V</v>
      </c>
      <c r="AD364" s="296">
        <f t="shared" si="13"/>
        <v>179580</v>
      </c>
      <c r="AE364" s="78"/>
      <c r="AF364" s="297"/>
      <c r="AG364" s="297"/>
      <c r="AH364" s="297"/>
      <c r="AI364" s="297"/>
      <c r="AJ364" s="297"/>
      <c r="AK364" s="298"/>
      <c r="AL364" s="298"/>
      <c r="AM364" s="298"/>
      <c r="AN364" s="298"/>
      <c r="AO364" s="299"/>
    </row>
    <row r="365" spans="1:41" ht="15" customHeight="1">
      <c r="A365" s="254">
        <v>365</v>
      </c>
      <c r="B365" s="253">
        <v>214</v>
      </c>
      <c r="C365" s="240" t="s">
        <v>87</v>
      </c>
      <c r="D365" s="288" t="s">
        <v>74</v>
      </c>
      <c r="E365" s="289"/>
      <c r="F365" s="239" t="s">
        <v>249</v>
      </c>
      <c r="G365" s="290" t="s">
        <v>554</v>
      </c>
      <c r="H365" s="291" t="s">
        <v>151</v>
      </c>
      <c r="I365" s="239" t="s">
        <v>564</v>
      </c>
      <c r="J365" s="424">
        <f t="shared" si="12"/>
        <v>365</v>
      </c>
      <c r="K365" s="425">
        <v>102</v>
      </c>
      <c r="L365" s="425">
        <v>153</v>
      </c>
      <c r="M365" s="425"/>
      <c r="N365" s="425">
        <v>102</v>
      </c>
      <c r="O365" s="425"/>
      <c r="P365" s="425">
        <v>8</v>
      </c>
      <c r="Q365" s="294">
        <v>467</v>
      </c>
      <c r="R365" s="295" t="e">
        <f>IF(K365="nio",0,(K365*Q365)/X365)*VLOOKUP(C365,'2-Uren per locatie'!$B$15:$D$74,3,FALSE)</f>
        <v>#DIV/0!</v>
      </c>
      <c r="S365" s="295" t="e">
        <f>IF(K365="nio",0,(L365*Q365)/Y365)*VLOOKUP(C365,'2-Uren per locatie'!$B$15:$D$74,3,FALSE)</f>
        <v>#DIV/0!</v>
      </c>
      <c r="T365" s="295" t="e">
        <f>IF(K365="nio",0,(M365*Q365)/Z365)*VLOOKUP(C365,'2-Uren per locatie'!$B$15:$D$74,3,FALSE)</f>
        <v>#DIV/0!</v>
      </c>
      <c r="U365" s="295" t="e">
        <f>IF(K365="nio",0,(N365*Q365)/AA365)*VLOOKUP(C365,'2-Uren per locatie'!$B$15:$D$74,3,FALSE)</f>
        <v>#DIV/0!</v>
      </c>
      <c r="V365" s="295" t="e">
        <f>IF(K365="nio",0,(O365*Q365)/Z365)*VLOOKUP(C365,'2-Uren per locatie'!$B$15:$D$74,3,FALSE)</f>
        <v>#DIV/0!</v>
      </c>
      <c r="W365" s="295" t="e">
        <f>IF(K365="nio",0,(P365*Q365)/AA365)*VLOOKUP(C365,'2-Uren per locatie'!$B$15:$D$74,3,FALSE)</f>
        <v>#DIV/0!</v>
      </c>
      <c r="X365" s="485">
        <f>IF(K365="nio",0,IF(K365&gt;0,VLOOKUP(H365,'3-Productie normen'!A:F,VLOOKUP(K365,'3-Productie normen'!$B$29:$C$34,2,FALSE),FALSE)))</f>
        <v>0</v>
      </c>
      <c r="Y365" s="485">
        <f>VLOOKUP(H365,'3-Productie normen'!$A$10:$J$24,8,FALSE)*'3-Ruimtestaat'!X365</f>
        <v>0</v>
      </c>
      <c r="Z365" s="485">
        <f>VLOOKUP(H365,'3-Productie normen'!$A$10:$J$24,9,FALSE)*'3-Ruimtestaat'!X365</f>
        <v>0</v>
      </c>
      <c r="AA365" s="485">
        <f>VLOOKUP(H365,'3-Productie normen'!$A$10:$J$24,10,FALSE)*'3-Ruimtestaat'!X365</f>
        <v>0</v>
      </c>
      <c r="AB365" s="292" t="str">
        <f>IF(H365="",0,VLOOKUP(H365,'3-Productie normen'!$A$10:$N$23,14,FALSE))</f>
        <v>V</v>
      </c>
      <c r="AD365" s="296">
        <f t="shared" si="13"/>
        <v>170455</v>
      </c>
      <c r="AE365" s="78"/>
      <c r="AF365" s="297"/>
      <c r="AG365" s="297"/>
      <c r="AH365" s="297"/>
      <c r="AI365" s="297"/>
      <c r="AJ365" s="297"/>
      <c r="AK365" s="298"/>
      <c r="AL365" s="298"/>
      <c r="AM365" s="298"/>
      <c r="AN365" s="298"/>
      <c r="AO365" s="299"/>
    </row>
    <row r="366" spans="1:41" ht="15" customHeight="1">
      <c r="A366" s="254">
        <v>366</v>
      </c>
      <c r="B366" s="253">
        <v>215</v>
      </c>
      <c r="C366" s="240" t="s">
        <v>88</v>
      </c>
      <c r="D366" s="288" t="s">
        <v>74</v>
      </c>
      <c r="E366" s="289"/>
      <c r="F366" s="239" t="s">
        <v>249</v>
      </c>
      <c r="G366" s="290" t="s">
        <v>554</v>
      </c>
      <c r="H366" s="291" t="s">
        <v>151</v>
      </c>
      <c r="I366" s="239" t="s">
        <v>564</v>
      </c>
      <c r="J366" s="424">
        <f t="shared" si="12"/>
        <v>365</v>
      </c>
      <c r="K366" s="425">
        <v>102</v>
      </c>
      <c r="L366" s="425">
        <v>153</v>
      </c>
      <c r="M366" s="425"/>
      <c r="N366" s="425">
        <v>102</v>
      </c>
      <c r="O366" s="425"/>
      <c r="P366" s="425">
        <v>8</v>
      </c>
      <c r="Q366" s="294">
        <v>510</v>
      </c>
      <c r="R366" s="295" t="e">
        <f>IF(K366="nio",0,(K366*Q366)/X366)*VLOOKUP(C366,'2-Uren per locatie'!$B$15:$D$74,3,FALSE)</f>
        <v>#DIV/0!</v>
      </c>
      <c r="S366" s="295" t="e">
        <f>IF(K366="nio",0,(L366*Q366)/Y366)*VLOOKUP(C366,'2-Uren per locatie'!$B$15:$D$74,3,FALSE)</f>
        <v>#DIV/0!</v>
      </c>
      <c r="T366" s="295" t="e">
        <f>IF(K366="nio",0,(M366*Q366)/Z366)*VLOOKUP(C366,'2-Uren per locatie'!$B$15:$D$74,3,FALSE)</f>
        <v>#DIV/0!</v>
      </c>
      <c r="U366" s="295" t="e">
        <f>IF(K366="nio",0,(N366*Q366)/AA366)*VLOOKUP(C366,'2-Uren per locatie'!$B$15:$D$74,3,FALSE)</f>
        <v>#DIV/0!</v>
      </c>
      <c r="V366" s="295" t="e">
        <f>IF(K366="nio",0,(O366*Q366)/Z366)*VLOOKUP(C366,'2-Uren per locatie'!$B$15:$D$74,3,FALSE)</f>
        <v>#DIV/0!</v>
      </c>
      <c r="W366" s="295" t="e">
        <f>IF(K366="nio",0,(P366*Q366)/AA366)*VLOOKUP(C366,'2-Uren per locatie'!$B$15:$D$74,3,FALSE)</f>
        <v>#DIV/0!</v>
      </c>
      <c r="X366" s="485">
        <f>IF(K366="nio",0,IF(K366&gt;0,VLOOKUP(H366,'3-Productie normen'!A:F,VLOOKUP(K366,'3-Productie normen'!$B$29:$C$34,2,FALSE),FALSE)))</f>
        <v>0</v>
      </c>
      <c r="Y366" s="485">
        <f>VLOOKUP(H366,'3-Productie normen'!$A$10:$J$24,8,FALSE)*'3-Ruimtestaat'!X366</f>
        <v>0</v>
      </c>
      <c r="Z366" s="485">
        <f>VLOOKUP(H366,'3-Productie normen'!$A$10:$J$24,9,FALSE)*'3-Ruimtestaat'!X366</f>
        <v>0</v>
      </c>
      <c r="AA366" s="485">
        <f>VLOOKUP(H366,'3-Productie normen'!$A$10:$J$24,10,FALSE)*'3-Ruimtestaat'!X366</f>
        <v>0</v>
      </c>
      <c r="AB366" s="292" t="str">
        <f>IF(H366="",0,VLOOKUP(H366,'3-Productie normen'!$A$10:$N$23,14,FALSE))</f>
        <v>V</v>
      </c>
      <c r="AD366" s="296">
        <f t="shared" si="13"/>
        <v>186150</v>
      </c>
      <c r="AE366" s="78"/>
      <c r="AF366" s="297"/>
      <c r="AG366" s="297"/>
      <c r="AH366" s="297"/>
      <c r="AI366" s="297"/>
      <c r="AJ366" s="297"/>
      <c r="AK366" s="298"/>
      <c r="AL366" s="298"/>
      <c r="AM366" s="298"/>
      <c r="AN366" s="298"/>
      <c r="AO366" s="299"/>
    </row>
    <row r="367" spans="1:41" ht="15" customHeight="1">
      <c r="A367" s="254">
        <v>367</v>
      </c>
      <c r="B367" s="253" t="s">
        <v>89</v>
      </c>
      <c r="C367" s="240" t="s">
        <v>90</v>
      </c>
      <c r="D367" s="288" t="s">
        <v>74</v>
      </c>
      <c r="E367" s="289"/>
      <c r="F367" s="239" t="s">
        <v>249</v>
      </c>
      <c r="G367" s="290" t="s">
        <v>554</v>
      </c>
      <c r="H367" s="291" t="s">
        <v>151</v>
      </c>
      <c r="I367" s="239" t="s">
        <v>564</v>
      </c>
      <c r="J367" s="424">
        <f t="shared" si="12"/>
        <v>365</v>
      </c>
      <c r="K367" s="425">
        <v>102</v>
      </c>
      <c r="L367" s="425">
        <v>153</v>
      </c>
      <c r="M367" s="425"/>
      <c r="N367" s="425">
        <v>102</v>
      </c>
      <c r="O367" s="425"/>
      <c r="P367" s="425">
        <v>8</v>
      </c>
      <c r="Q367" s="294">
        <v>348</v>
      </c>
      <c r="R367" s="295" t="e">
        <f>IF(K367="nio",0,(K367*Q367)/X367)*VLOOKUP(C367,'2-Uren per locatie'!$B$15:$D$74,3,FALSE)</f>
        <v>#DIV/0!</v>
      </c>
      <c r="S367" s="295" t="e">
        <f>IF(K367="nio",0,(L367*Q367)/Y367)*VLOOKUP(C367,'2-Uren per locatie'!$B$15:$D$74,3,FALSE)</f>
        <v>#DIV/0!</v>
      </c>
      <c r="T367" s="295" t="e">
        <f>IF(K367="nio",0,(M367*Q367)/Z367)*VLOOKUP(C367,'2-Uren per locatie'!$B$15:$D$74,3,FALSE)</f>
        <v>#DIV/0!</v>
      </c>
      <c r="U367" s="295" t="e">
        <f>IF(K367="nio",0,(N367*Q367)/AA367)*VLOOKUP(C367,'2-Uren per locatie'!$B$15:$D$74,3,FALSE)</f>
        <v>#DIV/0!</v>
      </c>
      <c r="V367" s="295" t="e">
        <f>IF(K367="nio",0,(O367*Q367)/Z367)*VLOOKUP(C367,'2-Uren per locatie'!$B$15:$D$74,3,FALSE)</f>
        <v>#DIV/0!</v>
      </c>
      <c r="W367" s="295" t="e">
        <f>IF(K367="nio",0,(P367*Q367)/AA367)*VLOOKUP(C367,'2-Uren per locatie'!$B$15:$D$74,3,FALSE)</f>
        <v>#DIV/0!</v>
      </c>
      <c r="X367" s="485">
        <f>IF(K367="nio",0,IF(K367&gt;0,VLOOKUP(H367,'3-Productie normen'!A:F,VLOOKUP(K367,'3-Productie normen'!$B$29:$C$34,2,FALSE),FALSE)))</f>
        <v>0</v>
      </c>
      <c r="Y367" s="485">
        <f>VLOOKUP(H367,'3-Productie normen'!$A$10:$J$24,8,FALSE)*'3-Ruimtestaat'!X367</f>
        <v>0</v>
      </c>
      <c r="Z367" s="485">
        <f>VLOOKUP(H367,'3-Productie normen'!$A$10:$J$24,9,FALSE)*'3-Ruimtestaat'!X367</f>
        <v>0</v>
      </c>
      <c r="AA367" s="485">
        <f>VLOOKUP(H367,'3-Productie normen'!$A$10:$J$24,10,FALSE)*'3-Ruimtestaat'!X367</f>
        <v>0</v>
      </c>
      <c r="AB367" s="292" t="str">
        <f>IF(H367="",0,VLOOKUP(H367,'3-Productie normen'!$A$10:$N$23,14,FALSE))</f>
        <v>V</v>
      </c>
      <c r="AD367" s="296">
        <f t="shared" si="13"/>
        <v>127020</v>
      </c>
      <c r="AE367" s="78"/>
      <c r="AF367" s="297"/>
      <c r="AG367" s="297"/>
      <c r="AH367" s="297"/>
      <c r="AI367" s="297"/>
      <c r="AJ367" s="297"/>
      <c r="AK367" s="298"/>
      <c r="AL367" s="298"/>
      <c r="AM367" s="298"/>
      <c r="AN367" s="298"/>
      <c r="AO367" s="299"/>
    </row>
    <row r="368" spans="1:41" ht="15" customHeight="1">
      <c r="A368" s="254">
        <v>368</v>
      </c>
      <c r="B368" s="253" t="s">
        <v>91</v>
      </c>
      <c r="C368" s="240" t="s">
        <v>92</v>
      </c>
      <c r="D368" s="288" t="s">
        <v>74</v>
      </c>
      <c r="E368" s="289"/>
      <c r="F368" s="239" t="s">
        <v>249</v>
      </c>
      <c r="G368" s="290" t="s">
        <v>554</v>
      </c>
      <c r="H368" s="291" t="s">
        <v>151</v>
      </c>
      <c r="I368" s="239" t="s">
        <v>564</v>
      </c>
      <c r="J368" s="424">
        <f t="shared" si="12"/>
        <v>365</v>
      </c>
      <c r="K368" s="425">
        <v>102</v>
      </c>
      <c r="L368" s="425">
        <v>153</v>
      </c>
      <c r="M368" s="425"/>
      <c r="N368" s="425">
        <v>102</v>
      </c>
      <c r="O368" s="425"/>
      <c r="P368" s="425">
        <v>8</v>
      </c>
      <c r="Q368" s="294">
        <v>360</v>
      </c>
      <c r="R368" s="295" t="e">
        <f>IF(K368="nio",0,(K368*Q368)/X368)*VLOOKUP(C368,'2-Uren per locatie'!$B$15:$D$74,3,FALSE)</f>
        <v>#DIV/0!</v>
      </c>
      <c r="S368" s="295" t="e">
        <f>IF(K368="nio",0,(L368*Q368)/Y368)*VLOOKUP(C368,'2-Uren per locatie'!$B$15:$D$74,3,FALSE)</f>
        <v>#DIV/0!</v>
      </c>
      <c r="T368" s="295" t="e">
        <f>IF(K368="nio",0,(M368*Q368)/Z368)*VLOOKUP(C368,'2-Uren per locatie'!$B$15:$D$74,3,FALSE)</f>
        <v>#DIV/0!</v>
      </c>
      <c r="U368" s="295" t="e">
        <f>IF(K368="nio",0,(N368*Q368)/AA368)*VLOOKUP(C368,'2-Uren per locatie'!$B$15:$D$74,3,FALSE)</f>
        <v>#DIV/0!</v>
      </c>
      <c r="V368" s="295" t="e">
        <f>IF(K368="nio",0,(O368*Q368)/Z368)*VLOOKUP(C368,'2-Uren per locatie'!$B$15:$D$74,3,FALSE)</f>
        <v>#DIV/0!</v>
      </c>
      <c r="W368" s="295" t="e">
        <f>IF(K368="nio",0,(P368*Q368)/AA368)*VLOOKUP(C368,'2-Uren per locatie'!$B$15:$D$74,3,FALSE)</f>
        <v>#DIV/0!</v>
      </c>
      <c r="X368" s="485">
        <f>IF(K368="nio",0,IF(K368&gt;0,VLOOKUP(H368,'3-Productie normen'!A:F,VLOOKUP(K368,'3-Productie normen'!$B$29:$C$34,2,FALSE),FALSE)))</f>
        <v>0</v>
      </c>
      <c r="Y368" s="485">
        <f>VLOOKUP(H368,'3-Productie normen'!$A$10:$J$24,8,FALSE)*'3-Ruimtestaat'!X368</f>
        <v>0</v>
      </c>
      <c r="Z368" s="485">
        <f>VLOOKUP(H368,'3-Productie normen'!$A$10:$J$24,9,FALSE)*'3-Ruimtestaat'!X368</f>
        <v>0</v>
      </c>
      <c r="AA368" s="485">
        <f>VLOOKUP(H368,'3-Productie normen'!$A$10:$J$24,10,FALSE)*'3-Ruimtestaat'!X368</f>
        <v>0</v>
      </c>
      <c r="AB368" s="292" t="str">
        <f>IF(H368="",0,VLOOKUP(H368,'3-Productie normen'!$A$10:$N$23,14,FALSE))</f>
        <v>V</v>
      </c>
      <c r="AD368" s="296">
        <f t="shared" si="13"/>
        <v>131400</v>
      </c>
      <c r="AE368" s="78"/>
      <c r="AF368" s="297"/>
      <c r="AG368" s="297"/>
      <c r="AH368" s="297"/>
      <c r="AI368" s="297"/>
      <c r="AJ368" s="297"/>
      <c r="AK368" s="298"/>
      <c r="AL368" s="298"/>
      <c r="AM368" s="298"/>
      <c r="AN368" s="298"/>
      <c r="AO368" s="299"/>
    </row>
    <row r="369" spans="1:41" ht="15" customHeight="1">
      <c r="A369" s="254">
        <v>369</v>
      </c>
      <c r="B369" s="253" t="s">
        <v>93</v>
      </c>
      <c r="C369" s="240" t="s">
        <v>94</v>
      </c>
      <c r="D369" s="288" t="s">
        <v>74</v>
      </c>
      <c r="E369" s="289"/>
      <c r="F369" s="239" t="s">
        <v>249</v>
      </c>
      <c r="G369" s="290" t="s">
        <v>554</v>
      </c>
      <c r="H369" s="291" t="s">
        <v>151</v>
      </c>
      <c r="I369" s="239" t="s">
        <v>564</v>
      </c>
      <c r="J369" s="424">
        <f t="shared" si="12"/>
        <v>365</v>
      </c>
      <c r="K369" s="425">
        <v>102</v>
      </c>
      <c r="L369" s="425">
        <v>153</v>
      </c>
      <c r="M369" s="425"/>
      <c r="N369" s="425">
        <v>102</v>
      </c>
      <c r="O369" s="425"/>
      <c r="P369" s="425">
        <v>8</v>
      </c>
      <c r="Q369" s="294">
        <v>364</v>
      </c>
      <c r="R369" s="295" t="e">
        <f>IF(K369="nio",0,(K369*Q369)/X369)*VLOOKUP(C369,'2-Uren per locatie'!$B$15:$D$74,3,FALSE)</f>
        <v>#DIV/0!</v>
      </c>
      <c r="S369" s="295" t="e">
        <f>IF(K369="nio",0,(L369*Q369)/Y369)*VLOOKUP(C369,'2-Uren per locatie'!$B$15:$D$74,3,FALSE)</f>
        <v>#DIV/0!</v>
      </c>
      <c r="T369" s="295" t="e">
        <f>IF(K369="nio",0,(M369*Q369)/Z369)*VLOOKUP(C369,'2-Uren per locatie'!$B$15:$D$74,3,FALSE)</f>
        <v>#DIV/0!</v>
      </c>
      <c r="U369" s="295" t="e">
        <f>IF(K369="nio",0,(N369*Q369)/AA369)*VLOOKUP(C369,'2-Uren per locatie'!$B$15:$D$74,3,FALSE)</f>
        <v>#DIV/0!</v>
      </c>
      <c r="V369" s="295" t="e">
        <f>IF(K369="nio",0,(O369*Q369)/Z369)*VLOOKUP(C369,'2-Uren per locatie'!$B$15:$D$74,3,FALSE)</f>
        <v>#DIV/0!</v>
      </c>
      <c r="W369" s="295" t="e">
        <f>IF(K369="nio",0,(P369*Q369)/AA369)*VLOOKUP(C369,'2-Uren per locatie'!$B$15:$D$74,3,FALSE)</f>
        <v>#DIV/0!</v>
      </c>
      <c r="X369" s="485">
        <f>IF(K369="nio",0,IF(K369&gt;0,VLOOKUP(H369,'3-Productie normen'!A:F,VLOOKUP(K369,'3-Productie normen'!$B$29:$C$34,2,FALSE),FALSE)))</f>
        <v>0</v>
      </c>
      <c r="Y369" s="485">
        <f>VLOOKUP(H369,'3-Productie normen'!$A$10:$J$24,8,FALSE)*'3-Ruimtestaat'!X369</f>
        <v>0</v>
      </c>
      <c r="Z369" s="485">
        <f>VLOOKUP(H369,'3-Productie normen'!$A$10:$J$24,9,FALSE)*'3-Ruimtestaat'!X369</f>
        <v>0</v>
      </c>
      <c r="AA369" s="485">
        <f>VLOOKUP(H369,'3-Productie normen'!$A$10:$J$24,10,FALSE)*'3-Ruimtestaat'!X369</f>
        <v>0</v>
      </c>
      <c r="AB369" s="292" t="str">
        <f>IF(H369="",0,VLOOKUP(H369,'3-Productie normen'!$A$10:$N$23,14,FALSE))</f>
        <v>V</v>
      </c>
      <c r="AD369" s="296">
        <f t="shared" si="13"/>
        <v>132860</v>
      </c>
      <c r="AE369" s="78"/>
      <c r="AF369" s="297"/>
      <c r="AG369" s="297"/>
      <c r="AH369" s="297"/>
      <c r="AI369" s="297"/>
      <c r="AJ369" s="297"/>
      <c r="AK369" s="298"/>
      <c r="AL369" s="298"/>
      <c r="AM369" s="298"/>
      <c r="AN369" s="298"/>
      <c r="AO369" s="299"/>
    </row>
    <row r="370" spans="1:41" ht="15" customHeight="1">
      <c r="A370" s="254">
        <v>370</v>
      </c>
      <c r="B370" s="253">
        <v>301</v>
      </c>
      <c r="C370" s="240" t="s">
        <v>95</v>
      </c>
      <c r="D370" s="288" t="s">
        <v>96</v>
      </c>
      <c r="E370" s="289"/>
      <c r="F370" s="239" t="s">
        <v>565</v>
      </c>
      <c r="G370" s="290" t="s">
        <v>526</v>
      </c>
      <c r="H370" s="291" t="s">
        <v>152</v>
      </c>
      <c r="I370" s="239" t="s">
        <v>392</v>
      </c>
      <c r="J370" s="424">
        <f t="shared" si="12"/>
        <v>365</v>
      </c>
      <c r="K370" s="425">
        <v>102</v>
      </c>
      <c r="L370" s="425">
        <v>153</v>
      </c>
      <c r="M370" s="425"/>
      <c r="N370" s="425">
        <v>102</v>
      </c>
      <c r="O370" s="425"/>
      <c r="P370" s="425">
        <v>8</v>
      </c>
      <c r="Q370" s="294">
        <v>108</v>
      </c>
      <c r="R370" s="295" t="e">
        <f>IF(K370="nio",0,(K370*Q370)/X370)*VLOOKUP(C370,'2-Uren per locatie'!$B$15:$D$74,3,FALSE)</f>
        <v>#DIV/0!</v>
      </c>
      <c r="S370" s="295" t="e">
        <f>IF(K370="nio",0,(L370*Q370)/Y370)*VLOOKUP(C370,'2-Uren per locatie'!$B$15:$D$74,3,FALSE)</f>
        <v>#DIV/0!</v>
      </c>
      <c r="T370" s="295" t="e">
        <f>IF(K370="nio",0,(M370*Q370)/Z370)*VLOOKUP(C370,'2-Uren per locatie'!$B$15:$D$74,3,FALSE)</f>
        <v>#DIV/0!</v>
      </c>
      <c r="U370" s="295" t="e">
        <f>IF(K370="nio",0,(N370*Q370)/AA370)*VLOOKUP(C370,'2-Uren per locatie'!$B$15:$D$74,3,FALSE)</f>
        <v>#DIV/0!</v>
      </c>
      <c r="V370" s="295" t="e">
        <f>IF(K370="nio",0,(O370*Q370)/Z370)*VLOOKUP(C370,'2-Uren per locatie'!$B$15:$D$74,3,FALSE)</f>
        <v>#DIV/0!</v>
      </c>
      <c r="W370" s="295" t="e">
        <f>IF(K370="nio",0,(P370*Q370)/AA370)*VLOOKUP(C370,'2-Uren per locatie'!$B$15:$D$74,3,FALSE)</f>
        <v>#DIV/0!</v>
      </c>
      <c r="X370" s="485">
        <f>IF(K370="nio",0,IF(K370&gt;0,VLOOKUP(H370,'3-Productie normen'!A:F,VLOOKUP(K370,'3-Productie normen'!$B$29:$C$34,2,FALSE),FALSE)))</f>
        <v>0</v>
      </c>
      <c r="Y370" s="485">
        <f>VLOOKUP(H370,'3-Productie normen'!$A$10:$J$24,8,FALSE)*'3-Ruimtestaat'!X370</f>
        <v>0</v>
      </c>
      <c r="Z370" s="485">
        <f>VLOOKUP(H370,'3-Productie normen'!$A$10:$J$24,9,FALSE)*'3-Ruimtestaat'!X370</f>
        <v>0</v>
      </c>
      <c r="AA370" s="485">
        <f>VLOOKUP(H370,'3-Productie normen'!$A$10:$J$24,10,FALSE)*'3-Ruimtestaat'!X370</f>
        <v>0</v>
      </c>
      <c r="AB370" s="292" t="str">
        <f>IF(H370="",0,VLOOKUP(H370,'3-Productie normen'!$A$10:$N$23,14,FALSE))</f>
        <v>V</v>
      </c>
      <c r="AD370" s="296">
        <f t="shared" si="13"/>
        <v>39420</v>
      </c>
      <c r="AE370" s="78"/>
      <c r="AF370" s="297"/>
      <c r="AG370" s="297"/>
      <c r="AH370" s="297"/>
      <c r="AI370" s="297"/>
      <c r="AJ370" s="297"/>
      <c r="AK370" s="298"/>
      <c r="AL370" s="298"/>
      <c r="AM370" s="298"/>
      <c r="AN370" s="298"/>
      <c r="AO370" s="299"/>
    </row>
    <row r="371" spans="1:41" ht="15" customHeight="1">
      <c r="A371" s="254">
        <v>371</v>
      </c>
      <c r="B371" s="253">
        <v>301</v>
      </c>
      <c r="C371" s="240" t="s">
        <v>95</v>
      </c>
      <c r="D371" s="288" t="s">
        <v>96</v>
      </c>
      <c r="E371" s="289"/>
      <c r="F371" s="239" t="s">
        <v>566</v>
      </c>
      <c r="G371" s="290" t="s">
        <v>567</v>
      </c>
      <c r="H371" s="291" t="s">
        <v>151</v>
      </c>
      <c r="I371" s="239" t="s">
        <v>545</v>
      </c>
      <c r="J371" s="424">
        <f t="shared" si="12"/>
        <v>365</v>
      </c>
      <c r="K371" s="425">
        <v>102</v>
      </c>
      <c r="L371" s="425">
        <v>153</v>
      </c>
      <c r="M371" s="425"/>
      <c r="N371" s="425">
        <v>102</v>
      </c>
      <c r="O371" s="425"/>
      <c r="P371" s="425">
        <v>8</v>
      </c>
      <c r="Q371" s="294">
        <v>1400</v>
      </c>
      <c r="R371" s="295" t="e">
        <f>IF(K371="nio",0,(K371*Q371)/X371)*VLOOKUP(C371,'2-Uren per locatie'!$B$15:$D$74,3,FALSE)</f>
        <v>#DIV/0!</v>
      </c>
      <c r="S371" s="295" t="e">
        <f>IF(K371="nio",0,(L371*Q371)/Y371)*VLOOKUP(C371,'2-Uren per locatie'!$B$15:$D$74,3,FALSE)</f>
        <v>#DIV/0!</v>
      </c>
      <c r="T371" s="295" t="e">
        <f>IF(K371="nio",0,(M371*Q371)/Z371)*VLOOKUP(C371,'2-Uren per locatie'!$B$15:$D$74,3,FALSE)</f>
        <v>#DIV/0!</v>
      </c>
      <c r="U371" s="295" t="e">
        <f>IF(K371="nio",0,(N371*Q371)/AA371)*VLOOKUP(C371,'2-Uren per locatie'!$B$15:$D$74,3,FALSE)</f>
        <v>#DIV/0!</v>
      </c>
      <c r="V371" s="295" t="e">
        <f>IF(K371="nio",0,(O371*Q371)/Z371)*VLOOKUP(C371,'2-Uren per locatie'!$B$15:$D$74,3,FALSE)</f>
        <v>#DIV/0!</v>
      </c>
      <c r="W371" s="295" t="e">
        <f>IF(K371="nio",0,(P371*Q371)/AA371)*VLOOKUP(C371,'2-Uren per locatie'!$B$15:$D$74,3,FALSE)</f>
        <v>#DIV/0!</v>
      </c>
      <c r="X371" s="485">
        <f>IF(K371="nio",0,IF(K371&gt;0,VLOOKUP(H371,'3-Productie normen'!A:F,VLOOKUP(K371,'3-Productie normen'!$B$29:$C$34,2,FALSE),FALSE)))</f>
        <v>0</v>
      </c>
      <c r="Y371" s="485">
        <f>VLOOKUP(H371,'3-Productie normen'!$A$10:$J$24,8,FALSE)*'3-Ruimtestaat'!X371</f>
        <v>0</v>
      </c>
      <c r="Z371" s="485">
        <f>VLOOKUP(H371,'3-Productie normen'!$A$10:$J$24,9,FALSE)*'3-Ruimtestaat'!X371</f>
        <v>0</v>
      </c>
      <c r="AA371" s="485">
        <f>VLOOKUP(H371,'3-Productie normen'!$A$10:$J$24,10,FALSE)*'3-Ruimtestaat'!X371</f>
        <v>0</v>
      </c>
      <c r="AB371" s="292" t="str">
        <f>IF(H371="",0,VLOOKUP(H371,'3-Productie normen'!$A$10:$N$23,14,FALSE))</f>
        <v>V</v>
      </c>
      <c r="AD371" s="296">
        <f t="shared" si="13"/>
        <v>511000</v>
      </c>
      <c r="AE371" s="78"/>
      <c r="AF371" s="297"/>
      <c r="AG371" s="297"/>
      <c r="AH371" s="297"/>
      <c r="AI371" s="297"/>
      <c r="AJ371" s="297"/>
      <c r="AK371" s="298"/>
      <c r="AL371" s="298"/>
      <c r="AM371" s="298"/>
      <c r="AN371" s="298"/>
      <c r="AO371" s="299"/>
    </row>
    <row r="372" spans="1:41" ht="15" customHeight="1">
      <c r="A372" s="254">
        <v>372</v>
      </c>
      <c r="B372" s="253">
        <v>301</v>
      </c>
      <c r="C372" s="240" t="s">
        <v>95</v>
      </c>
      <c r="D372" s="288" t="s">
        <v>96</v>
      </c>
      <c r="E372" s="289"/>
      <c r="F372" s="429" t="s">
        <v>568</v>
      </c>
      <c r="G372" s="431"/>
      <c r="H372" s="426" t="s">
        <v>143</v>
      </c>
      <c r="I372" s="239" t="s">
        <v>545</v>
      </c>
      <c r="J372" s="424">
        <f t="shared" si="12"/>
        <v>365</v>
      </c>
      <c r="K372" s="425">
        <v>102</v>
      </c>
      <c r="L372" s="425">
        <v>153</v>
      </c>
      <c r="M372" s="425"/>
      <c r="N372" s="425">
        <v>102</v>
      </c>
      <c r="O372" s="425"/>
      <c r="P372" s="425">
        <v>8</v>
      </c>
      <c r="Q372" s="294">
        <v>335</v>
      </c>
      <c r="R372" s="295" t="e">
        <f>IF(K372="nio",0,(K372*Q372)/X372)*VLOOKUP(C372,'2-Uren per locatie'!$B$15:$D$74,3,FALSE)</f>
        <v>#DIV/0!</v>
      </c>
      <c r="S372" s="295" t="e">
        <f>IF(K372="nio",0,(L372*Q372)/Y372)*VLOOKUP(C372,'2-Uren per locatie'!$B$15:$D$74,3,FALSE)</f>
        <v>#DIV/0!</v>
      </c>
      <c r="T372" s="295" t="e">
        <f>IF(K372="nio",0,(M372*Q372)/Z372)*VLOOKUP(C372,'2-Uren per locatie'!$B$15:$D$74,3,FALSE)</f>
        <v>#DIV/0!</v>
      </c>
      <c r="U372" s="295" t="e">
        <f>IF(K372="nio",0,(N372*Q372)/AA372)*VLOOKUP(C372,'2-Uren per locatie'!$B$15:$D$74,3,FALSE)</f>
        <v>#DIV/0!</v>
      </c>
      <c r="V372" s="295" t="e">
        <f>IF(K372="nio",0,(O372*Q372)/Z372)*VLOOKUP(C372,'2-Uren per locatie'!$B$15:$D$74,3,FALSE)</f>
        <v>#DIV/0!</v>
      </c>
      <c r="W372" s="295" t="e">
        <f>IF(K372="nio",0,(P372*Q372)/AA372)*VLOOKUP(C372,'2-Uren per locatie'!$B$15:$D$74,3,FALSE)</f>
        <v>#DIV/0!</v>
      </c>
      <c r="X372" s="485">
        <f>IF(K372="nio",0,IF(K372&gt;0,VLOOKUP(H372,'3-Productie normen'!A:F,VLOOKUP(K372,'3-Productie normen'!$B$29:$C$34,2,FALSE),FALSE)))</f>
        <v>0</v>
      </c>
      <c r="Y372" s="485">
        <f>VLOOKUP(H372,'3-Productie normen'!$A$10:$J$24,8,FALSE)*'3-Ruimtestaat'!X372</f>
        <v>0</v>
      </c>
      <c r="Z372" s="485">
        <f>VLOOKUP(H372,'3-Productie normen'!$A$10:$J$24,9,FALSE)*'3-Ruimtestaat'!X372</f>
        <v>0</v>
      </c>
      <c r="AA372" s="485">
        <f>VLOOKUP(H372,'3-Productie normen'!$A$10:$J$24,10,FALSE)*'3-Ruimtestaat'!X372</f>
        <v>0</v>
      </c>
      <c r="AB372" s="292" t="str">
        <f>IF(H372="",0,VLOOKUP(H372,'3-Productie normen'!$A$10:$N$23,14,FALSE))</f>
        <v>V</v>
      </c>
      <c r="AD372" s="296">
        <f t="shared" si="13"/>
        <v>122275</v>
      </c>
      <c r="AE372" s="78"/>
      <c r="AF372" s="297"/>
      <c r="AG372" s="297"/>
      <c r="AH372" s="297">
        <v>3</v>
      </c>
      <c r="AI372" s="297"/>
      <c r="AJ372" s="297"/>
      <c r="AK372" s="298"/>
      <c r="AL372" s="298"/>
      <c r="AM372" s="298"/>
      <c r="AN372" s="298"/>
      <c r="AO372" s="299"/>
    </row>
    <row r="373" spans="1:41" ht="15" customHeight="1">
      <c r="A373" s="254">
        <v>373</v>
      </c>
      <c r="B373" s="253">
        <v>301</v>
      </c>
      <c r="C373" s="240" t="s">
        <v>95</v>
      </c>
      <c r="D373" s="288" t="s">
        <v>96</v>
      </c>
      <c r="E373" s="289"/>
      <c r="F373" s="239" t="s">
        <v>569</v>
      </c>
      <c r="G373" s="290" t="s">
        <v>570</v>
      </c>
      <c r="H373" s="291" t="s">
        <v>149</v>
      </c>
      <c r="I373" s="239" t="s">
        <v>401</v>
      </c>
      <c r="J373" s="424">
        <f t="shared" si="12"/>
        <v>365</v>
      </c>
      <c r="K373" s="425">
        <v>102</v>
      </c>
      <c r="L373" s="425">
        <v>153</v>
      </c>
      <c r="M373" s="425"/>
      <c r="N373" s="425">
        <v>102</v>
      </c>
      <c r="O373" s="425"/>
      <c r="P373" s="425">
        <v>8</v>
      </c>
      <c r="Q373" s="294">
        <v>5</v>
      </c>
      <c r="R373" s="295" t="e">
        <f>IF(K373="nio",0,(K373*Q373)/X373)*VLOOKUP(C373,'2-Uren per locatie'!$B$15:$D$74,3,FALSE)</f>
        <v>#DIV/0!</v>
      </c>
      <c r="S373" s="295" t="e">
        <f>IF(K373="nio",0,(L373*Q373)/Y373)*VLOOKUP(C373,'2-Uren per locatie'!$B$15:$D$74,3,FALSE)</f>
        <v>#DIV/0!</v>
      </c>
      <c r="T373" s="295" t="e">
        <f>IF(K373="nio",0,(M373*Q373)/Z373)*VLOOKUP(C373,'2-Uren per locatie'!$B$15:$D$74,3,FALSE)</f>
        <v>#DIV/0!</v>
      </c>
      <c r="U373" s="295" t="e">
        <f>IF(K373="nio",0,(N373*Q373)/AA373)*VLOOKUP(C373,'2-Uren per locatie'!$B$15:$D$74,3,FALSE)</f>
        <v>#DIV/0!</v>
      </c>
      <c r="V373" s="295" t="e">
        <f>IF(K373="nio",0,(O373*Q373)/Z373)*VLOOKUP(C373,'2-Uren per locatie'!$B$15:$D$74,3,FALSE)</f>
        <v>#DIV/0!</v>
      </c>
      <c r="W373" s="295" t="e">
        <f>IF(K373="nio",0,(P373*Q373)/AA373)*VLOOKUP(C373,'2-Uren per locatie'!$B$15:$D$74,3,FALSE)</f>
        <v>#DIV/0!</v>
      </c>
      <c r="X373" s="485">
        <f>IF(K373="nio",0,IF(K373&gt;0,VLOOKUP(H373,'3-Productie normen'!A:F,VLOOKUP(K373,'3-Productie normen'!$B$29:$C$34,2,FALSE),FALSE)))</f>
        <v>0</v>
      </c>
      <c r="Y373" s="485">
        <f>VLOOKUP(H373,'3-Productie normen'!$A$10:$J$24,8,FALSE)*'3-Ruimtestaat'!X373</f>
        <v>0</v>
      </c>
      <c r="Z373" s="485">
        <f>VLOOKUP(H373,'3-Productie normen'!$A$10:$J$24,9,FALSE)*'3-Ruimtestaat'!X373</f>
        <v>0</v>
      </c>
      <c r="AA373" s="485">
        <f>VLOOKUP(H373,'3-Productie normen'!$A$10:$J$24,10,FALSE)*'3-Ruimtestaat'!X373</f>
        <v>0</v>
      </c>
      <c r="AB373" s="292" t="str">
        <f>IF(H373="",0,VLOOKUP(H373,'3-Productie normen'!$A$10:$N$23,14,FALSE))</f>
        <v>V</v>
      </c>
      <c r="AD373" s="296">
        <f t="shared" si="13"/>
        <v>1825</v>
      </c>
      <c r="AE373" s="78"/>
      <c r="AF373" s="297"/>
      <c r="AG373" s="297"/>
      <c r="AH373" s="297"/>
      <c r="AI373" s="297">
        <v>15</v>
      </c>
      <c r="AJ373" s="297"/>
      <c r="AK373" s="298"/>
      <c r="AL373" s="298"/>
      <c r="AM373" s="298"/>
      <c r="AN373" s="298"/>
      <c r="AO373" s="299"/>
    </row>
    <row r="374" spans="1:41" ht="15" customHeight="1">
      <c r="A374" s="254">
        <v>374</v>
      </c>
      <c r="B374" s="253">
        <v>301</v>
      </c>
      <c r="C374" s="240" t="s">
        <v>95</v>
      </c>
      <c r="D374" s="288" t="s">
        <v>96</v>
      </c>
      <c r="E374" s="289"/>
      <c r="F374" s="239" t="s">
        <v>571</v>
      </c>
      <c r="G374" s="290" t="s">
        <v>572</v>
      </c>
      <c r="H374" s="291" t="s">
        <v>149</v>
      </c>
      <c r="I374" s="239" t="s">
        <v>401</v>
      </c>
      <c r="J374" s="424">
        <f t="shared" si="12"/>
        <v>365</v>
      </c>
      <c r="K374" s="425">
        <v>102</v>
      </c>
      <c r="L374" s="425">
        <v>153</v>
      </c>
      <c r="M374" s="425"/>
      <c r="N374" s="425">
        <v>102</v>
      </c>
      <c r="O374" s="425"/>
      <c r="P374" s="425">
        <v>8</v>
      </c>
      <c r="Q374" s="294">
        <v>5</v>
      </c>
      <c r="R374" s="295" t="e">
        <f>IF(K374="nio",0,(K374*Q374)/X374)*VLOOKUP(C374,'2-Uren per locatie'!$B$15:$D$74,3,FALSE)</f>
        <v>#DIV/0!</v>
      </c>
      <c r="S374" s="295" t="e">
        <f>IF(K374="nio",0,(L374*Q374)/Y374)*VLOOKUP(C374,'2-Uren per locatie'!$B$15:$D$74,3,FALSE)</f>
        <v>#DIV/0!</v>
      </c>
      <c r="T374" s="295" t="e">
        <f>IF(K374="nio",0,(M374*Q374)/Z374)*VLOOKUP(C374,'2-Uren per locatie'!$B$15:$D$74,3,FALSE)</f>
        <v>#DIV/0!</v>
      </c>
      <c r="U374" s="295" t="e">
        <f>IF(K374="nio",0,(N374*Q374)/AA374)*VLOOKUP(C374,'2-Uren per locatie'!$B$15:$D$74,3,FALSE)</f>
        <v>#DIV/0!</v>
      </c>
      <c r="V374" s="295" t="e">
        <f>IF(K374="nio",0,(O374*Q374)/Z374)*VLOOKUP(C374,'2-Uren per locatie'!$B$15:$D$74,3,FALSE)</f>
        <v>#DIV/0!</v>
      </c>
      <c r="W374" s="295" t="e">
        <f>IF(K374="nio",0,(P374*Q374)/AA374)*VLOOKUP(C374,'2-Uren per locatie'!$B$15:$D$74,3,FALSE)</f>
        <v>#DIV/0!</v>
      </c>
      <c r="X374" s="485">
        <f>IF(K374="nio",0,IF(K374&gt;0,VLOOKUP(H374,'3-Productie normen'!A:F,VLOOKUP(K374,'3-Productie normen'!$B$29:$C$34,2,FALSE),FALSE)))</f>
        <v>0</v>
      </c>
      <c r="Y374" s="485">
        <f>VLOOKUP(H374,'3-Productie normen'!$A$10:$J$24,8,FALSE)*'3-Ruimtestaat'!X374</f>
        <v>0</v>
      </c>
      <c r="Z374" s="485">
        <f>VLOOKUP(H374,'3-Productie normen'!$A$10:$J$24,9,FALSE)*'3-Ruimtestaat'!X374</f>
        <v>0</v>
      </c>
      <c r="AA374" s="485">
        <f>VLOOKUP(H374,'3-Productie normen'!$A$10:$J$24,10,FALSE)*'3-Ruimtestaat'!X374</f>
        <v>0</v>
      </c>
      <c r="AB374" s="292" t="str">
        <f>IF(H374="",0,VLOOKUP(H374,'3-Productie normen'!$A$10:$N$23,14,FALSE))</f>
        <v>V</v>
      </c>
      <c r="AD374" s="296">
        <f t="shared" si="13"/>
        <v>1825</v>
      </c>
      <c r="AE374" s="78"/>
      <c r="AF374" s="297"/>
      <c r="AG374" s="297"/>
      <c r="AH374" s="297"/>
      <c r="AI374" s="297">
        <v>15</v>
      </c>
      <c r="AJ374" s="297"/>
      <c r="AK374" s="298"/>
      <c r="AL374" s="298"/>
      <c r="AM374" s="298"/>
      <c r="AN374" s="298"/>
      <c r="AO374" s="299"/>
    </row>
    <row r="375" spans="1:41" ht="15" customHeight="1">
      <c r="A375" s="254">
        <v>375</v>
      </c>
      <c r="B375" s="253">
        <v>302</v>
      </c>
      <c r="C375" s="240" t="s">
        <v>97</v>
      </c>
      <c r="D375" s="288" t="s">
        <v>96</v>
      </c>
      <c r="E375" s="289"/>
      <c r="F375" s="239" t="s">
        <v>565</v>
      </c>
      <c r="G375" s="290" t="s">
        <v>526</v>
      </c>
      <c r="H375" s="291" t="s">
        <v>155</v>
      </c>
      <c r="I375" s="239" t="s">
        <v>392</v>
      </c>
      <c r="J375" s="424">
        <f t="shared" si="12"/>
        <v>365</v>
      </c>
      <c r="K375" s="425">
        <v>127</v>
      </c>
      <c r="L375" s="425">
        <v>126</v>
      </c>
      <c r="M375" s="425">
        <v>52</v>
      </c>
      <c r="N375" s="425">
        <v>52</v>
      </c>
      <c r="O375" s="425">
        <v>4</v>
      </c>
      <c r="P375" s="425">
        <v>4</v>
      </c>
      <c r="Q375" s="294">
        <v>48</v>
      </c>
      <c r="R375" s="295" t="e">
        <f>IF(K375="nio",0,(K375*Q375)/X375)*VLOOKUP(C375,'2-Uren per locatie'!$B$15:$D$74,3,FALSE)</f>
        <v>#DIV/0!</v>
      </c>
      <c r="S375" s="295" t="e">
        <f>IF(K375="nio",0,(L375*Q375)/Y375)*VLOOKUP(C375,'2-Uren per locatie'!$B$15:$D$74,3,FALSE)</f>
        <v>#DIV/0!</v>
      </c>
      <c r="T375" s="295" t="e">
        <f>IF(K375="nio",0,(M375*Q375)/Z375)*VLOOKUP(C375,'2-Uren per locatie'!$B$15:$D$74,3,FALSE)</f>
        <v>#DIV/0!</v>
      </c>
      <c r="U375" s="295" t="e">
        <f>IF(K375="nio",0,(N375*Q375)/AA375)*VLOOKUP(C375,'2-Uren per locatie'!$B$15:$D$74,3,FALSE)</f>
        <v>#DIV/0!</v>
      </c>
      <c r="V375" s="295" t="e">
        <f>IF(K375="nio",0,(O375*Q375)/Z375)*VLOOKUP(C375,'2-Uren per locatie'!$B$15:$D$74,3,FALSE)</f>
        <v>#DIV/0!</v>
      </c>
      <c r="W375" s="295" t="e">
        <f>IF(K375="nio",0,(P375*Q375)/AA375)*VLOOKUP(C375,'2-Uren per locatie'!$B$15:$D$74,3,FALSE)</f>
        <v>#DIV/0!</v>
      </c>
      <c r="X375" s="485">
        <f>IF(K375="nio",0,IF(K375&gt;0,VLOOKUP(H375,'3-Productie normen'!A:F,VLOOKUP(K375,'3-Productie normen'!$B$29:$C$34,2,FALSE),FALSE)))</f>
        <v>0</v>
      </c>
      <c r="Y375" s="485">
        <f>VLOOKUP(H375,'3-Productie normen'!$A$10:$J$24,8,FALSE)*'3-Ruimtestaat'!X375</f>
        <v>0</v>
      </c>
      <c r="Z375" s="485">
        <f>VLOOKUP(H375,'3-Productie normen'!$A$10:$J$24,9,FALSE)*'3-Ruimtestaat'!X375</f>
        <v>0</v>
      </c>
      <c r="AA375" s="485">
        <f>VLOOKUP(H375,'3-Productie normen'!$A$10:$J$24,10,FALSE)*'3-Ruimtestaat'!X375</f>
        <v>0</v>
      </c>
      <c r="AB375" s="292" t="str">
        <f>IF(H375="",0,VLOOKUP(H375,'3-Productie normen'!$A$10:$N$23,14,FALSE))</f>
        <v>V</v>
      </c>
      <c r="AD375" s="296">
        <f t="shared" si="13"/>
        <v>17520</v>
      </c>
      <c r="AE375" s="78"/>
      <c r="AF375" s="300" t="s">
        <v>507</v>
      </c>
      <c r="AG375" s="297"/>
      <c r="AH375" s="297"/>
      <c r="AI375" s="297"/>
      <c r="AJ375" s="297"/>
      <c r="AK375" s="298"/>
      <c r="AL375" s="298"/>
      <c r="AM375" s="298"/>
      <c r="AN375" s="298"/>
      <c r="AO375" s="299"/>
    </row>
    <row r="376" spans="1:41" ht="15" customHeight="1">
      <c r="A376" s="254">
        <v>376</v>
      </c>
      <c r="B376" s="253">
        <v>302</v>
      </c>
      <c r="C376" s="240" t="s">
        <v>97</v>
      </c>
      <c r="D376" s="288" t="s">
        <v>96</v>
      </c>
      <c r="E376" s="289"/>
      <c r="F376" s="239" t="s">
        <v>566</v>
      </c>
      <c r="G376" s="290" t="s">
        <v>567</v>
      </c>
      <c r="H376" s="291" t="s">
        <v>151</v>
      </c>
      <c r="I376" s="239" t="s">
        <v>459</v>
      </c>
      <c r="J376" s="424">
        <f t="shared" si="12"/>
        <v>365</v>
      </c>
      <c r="K376" s="425">
        <v>127</v>
      </c>
      <c r="L376" s="425">
        <v>126</v>
      </c>
      <c r="M376" s="425">
        <v>52</v>
      </c>
      <c r="N376" s="425">
        <v>52</v>
      </c>
      <c r="O376" s="425">
        <v>4</v>
      </c>
      <c r="P376" s="425">
        <v>4</v>
      </c>
      <c r="Q376" s="294">
        <v>1178</v>
      </c>
      <c r="R376" s="295" t="e">
        <f>IF(K376="nio",0,(K376*Q376)/X376)*VLOOKUP(C376,'2-Uren per locatie'!$B$15:$D$74,3,FALSE)</f>
        <v>#DIV/0!</v>
      </c>
      <c r="S376" s="295" t="e">
        <f>IF(K376="nio",0,(L376*Q376)/Y376)*VLOOKUP(C376,'2-Uren per locatie'!$B$15:$D$74,3,FALSE)</f>
        <v>#DIV/0!</v>
      </c>
      <c r="T376" s="295" t="e">
        <f>IF(K376="nio",0,(M376*Q376)/Z376)*VLOOKUP(C376,'2-Uren per locatie'!$B$15:$D$74,3,FALSE)</f>
        <v>#DIV/0!</v>
      </c>
      <c r="U376" s="295" t="e">
        <f>IF(K376="nio",0,(N376*Q376)/AA376)*VLOOKUP(C376,'2-Uren per locatie'!$B$15:$D$74,3,FALSE)</f>
        <v>#DIV/0!</v>
      </c>
      <c r="V376" s="295" t="e">
        <f>IF(K376="nio",0,(O376*Q376)/Z376)*VLOOKUP(C376,'2-Uren per locatie'!$B$15:$D$74,3,FALSE)</f>
        <v>#DIV/0!</v>
      </c>
      <c r="W376" s="295" t="e">
        <f>IF(K376="nio",0,(P376*Q376)/AA376)*VLOOKUP(C376,'2-Uren per locatie'!$B$15:$D$74,3,FALSE)</f>
        <v>#DIV/0!</v>
      </c>
      <c r="X376" s="485">
        <f>IF(K376="nio",0,IF(K376&gt;0,VLOOKUP(H376,'3-Productie normen'!A:F,VLOOKUP(K376,'3-Productie normen'!$B$29:$C$34,2,FALSE),FALSE)))</f>
        <v>0</v>
      </c>
      <c r="Y376" s="485">
        <f>VLOOKUP(H376,'3-Productie normen'!$A$10:$J$24,8,FALSE)*'3-Ruimtestaat'!X376</f>
        <v>0</v>
      </c>
      <c r="Z376" s="485">
        <f>VLOOKUP(H376,'3-Productie normen'!$A$10:$J$24,9,FALSE)*'3-Ruimtestaat'!X376</f>
        <v>0</v>
      </c>
      <c r="AA376" s="485">
        <f>VLOOKUP(H376,'3-Productie normen'!$A$10:$J$24,10,FALSE)*'3-Ruimtestaat'!X376</f>
        <v>0</v>
      </c>
      <c r="AB376" s="292" t="str">
        <f>IF(H376="",0,VLOOKUP(H376,'3-Productie normen'!$A$10:$N$23,14,FALSE))</f>
        <v>V</v>
      </c>
      <c r="AD376" s="296">
        <f t="shared" si="13"/>
        <v>429970</v>
      </c>
      <c r="AE376" s="78"/>
      <c r="AF376" s="297"/>
      <c r="AG376" s="297"/>
      <c r="AH376" s="297"/>
      <c r="AI376" s="297"/>
      <c r="AJ376" s="297"/>
      <c r="AK376" s="298"/>
      <c r="AL376" s="298"/>
      <c r="AM376" s="298"/>
      <c r="AN376" s="298"/>
      <c r="AO376" s="299"/>
    </row>
    <row r="377" spans="1:41" ht="15" customHeight="1">
      <c r="A377" s="254">
        <v>377</v>
      </c>
      <c r="B377" s="253">
        <v>302</v>
      </c>
      <c r="C377" s="240" t="s">
        <v>97</v>
      </c>
      <c r="D377" s="288" t="s">
        <v>96</v>
      </c>
      <c r="E377" s="289"/>
      <c r="F377" s="239" t="s">
        <v>452</v>
      </c>
      <c r="G377" s="290" t="s">
        <v>573</v>
      </c>
      <c r="H377" s="291" t="s">
        <v>153</v>
      </c>
      <c r="I377" s="239" t="s">
        <v>420</v>
      </c>
      <c r="J377" s="424">
        <f t="shared" si="12"/>
        <v>183</v>
      </c>
      <c r="K377" s="425">
        <v>127</v>
      </c>
      <c r="L377" s="425"/>
      <c r="M377" s="425">
        <v>52</v>
      </c>
      <c r="N377" s="425"/>
      <c r="O377" s="425">
        <v>4</v>
      </c>
      <c r="P377" s="425"/>
      <c r="Q377" s="294">
        <v>35</v>
      </c>
      <c r="R377" s="295" t="e">
        <f>IF(K377="nio",0,(K377*Q377)/X377)*VLOOKUP(C377,'2-Uren per locatie'!$B$15:$D$74,3,FALSE)</f>
        <v>#DIV/0!</v>
      </c>
      <c r="S377" s="295" t="e">
        <f>IF(K377="nio",0,(L377*Q377)/Y377)*VLOOKUP(C377,'2-Uren per locatie'!$B$15:$D$74,3,FALSE)</f>
        <v>#DIV/0!</v>
      </c>
      <c r="T377" s="295" t="e">
        <f>IF(K377="nio",0,(M377*Q377)/Z377)*VLOOKUP(C377,'2-Uren per locatie'!$B$15:$D$74,3,FALSE)</f>
        <v>#DIV/0!</v>
      </c>
      <c r="U377" s="295" t="e">
        <f>IF(K377="nio",0,(N377*Q377)/AA377)*VLOOKUP(C377,'2-Uren per locatie'!$B$15:$D$74,3,FALSE)</f>
        <v>#DIV/0!</v>
      </c>
      <c r="V377" s="295" t="e">
        <f>IF(K377="nio",0,(O377*Q377)/Z377)*VLOOKUP(C377,'2-Uren per locatie'!$B$15:$D$74,3,FALSE)</f>
        <v>#DIV/0!</v>
      </c>
      <c r="W377" s="295" t="e">
        <f>IF(K377="nio",0,(P377*Q377)/AA377)*VLOOKUP(C377,'2-Uren per locatie'!$B$15:$D$74,3,FALSE)</f>
        <v>#DIV/0!</v>
      </c>
      <c r="X377" s="485">
        <f>IF(K377="nio",0,IF(K377&gt;0,VLOOKUP(H377,'3-Productie normen'!A:F,VLOOKUP(K377,'3-Productie normen'!$B$29:$C$34,2,FALSE),FALSE)))</f>
        <v>0</v>
      </c>
      <c r="Y377" s="485">
        <f>VLOOKUP(H377,'3-Productie normen'!$A$10:$J$24,8,FALSE)*'3-Ruimtestaat'!X377</f>
        <v>0</v>
      </c>
      <c r="Z377" s="485">
        <f>VLOOKUP(H377,'3-Productie normen'!$A$10:$J$24,9,FALSE)*'3-Ruimtestaat'!X377</f>
        <v>0</v>
      </c>
      <c r="AA377" s="485">
        <f>VLOOKUP(H377,'3-Productie normen'!$A$10:$J$24,10,FALSE)*'3-Ruimtestaat'!X377</f>
        <v>0</v>
      </c>
      <c r="AB377" s="292" t="str">
        <f>IF(H377="",0,VLOOKUP(H377,'3-Productie normen'!$A$10:$N$23,14,FALSE))</f>
        <v>S</v>
      </c>
      <c r="AD377" s="296">
        <f t="shared" si="13"/>
        <v>6405</v>
      </c>
      <c r="AE377" s="78"/>
      <c r="AF377" s="297">
        <v>20</v>
      </c>
      <c r="AG377" s="297">
        <v>19</v>
      </c>
      <c r="AH377" s="297">
        <v>10</v>
      </c>
      <c r="AI377" s="297"/>
      <c r="AJ377" s="297"/>
      <c r="AK377" s="298"/>
      <c r="AL377" s="298"/>
      <c r="AM377" s="298"/>
      <c r="AN377" s="298">
        <v>35</v>
      </c>
      <c r="AO377" s="299" t="s">
        <v>574</v>
      </c>
    </row>
    <row r="378" spans="1:41" ht="15" customHeight="1">
      <c r="A378" s="254">
        <v>378</v>
      </c>
      <c r="B378" s="253">
        <v>302</v>
      </c>
      <c r="C378" s="240" t="s">
        <v>97</v>
      </c>
      <c r="D378" s="288" t="s">
        <v>96</v>
      </c>
      <c r="E378" s="289"/>
      <c r="F378" s="239" t="s">
        <v>575</v>
      </c>
      <c r="G378" s="290" t="s">
        <v>576</v>
      </c>
      <c r="H378" s="291" t="s">
        <v>152</v>
      </c>
      <c r="I378" s="239" t="s">
        <v>265</v>
      </c>
      <c r="J378" s="424">
        <f t="shared" si="12"/>
        <v>365</v>
      </c>
      <c r="K378" s="425">
        <v>127</v>
      </c>
      <c r="L378" s="425">
        <v>126</v>
      </c>
      <c r="M378" s="425">
        <v>52</v>
      </c>
      <c r="N378" s="425">
        <v>52</v>
      </c>
      <c r="O378" s="425">
        <v>4</v>
      </c>
      <c r="P378" s="425">
        <v>4</v>
      </c>
      <c r="Q378" s="294">
        <v>29</v>
      </c>
      <c r="R378" s="295" t="e">
        <f>IF(K378="nio",0,(K378*Q378)/X378)*VLOOKUP(C378,'2-Uren per locatie'!$B$15:$D$74,3,FALSE)</f>
        <v>#DIV/0!</v>
      </c>
      <c r="S378" s="295" t="e">
        <f>IF(K378="nio",0,(L378*Q378)/Y378)*VLOOKUP(C378,'2-Uren per locatie'!$B$15:$D$74,3,FALSE)</f>
        <v>#DIV/0!</v>
      </c>
      <c r="T378" s="295" t="e">
        <f>IF(K378="nio",0,(M378*Q378)/Z378)*VLOOKUP(C378,'2-Uren per locatie'!$B$15:$D$74,3,FALSE)</f>
        <v>#DIV/0!</v>
      </c>
      <c r="U378" s="295" t="e">
        <f>IF(K378="nio",0,(N378*Q378)/AA378)*VLOOKUP(C378,'2-Uren per locatie'!$B$15:$D$74,3,FALSE)</f>
        <v>#DIV/0!</v>
      </c>
      <c r="V378" s="295" t="e">
        <f>IF(K378="nio",0,(O378*Q378)/Z378)*VLOOKUP(C378,'2-Uren per locatie'!$B$15:$D$74,3,FALSE)</f>
        <v>#DIV/0!</v>
      </c>
      <c r="W378" s="295" t="e">
        <f>IF(K378="nio",0,(P378*Q378)/AA378)*VLOOKUP(C378,'2-Uren per locatie'!$B$15:$D$74,3,FALSE)</f>
        <v>#DIV/0!</v>
      </c>
      <c r="X378" s="485">
        <f>IF(K378="nio",0,IF(K378&gt;0,VLOOKUP(H378,'3-Productie normen'!A:F,VLOOKUP(K378,'3-Productie normen'!$B$29:$C$34,2,FALSE),FALSE)))</f>
        <v>0</v>
      </c>
      <c r="Y378" s="485">
        <f>VLOOKUP(H378,'3-Productie normen'!$A$10:$J$24,8,FALSE)*'3-Ruimtestaat'!X378</f>
        <v>0</v>
      </c>
      <c r="Z378" s="485">
        <f>VLOOKUP(H378,'3-Productie normen'!$A$10:$J$24,9,FALSE)*'3-Ruimtestaat'!X378</f>
        <v>0</v>
      </c>
      <c r="AA378" s="485">
        <f>VLOOKUP(H378,'3-Productie normen'!$A$10:$J$24,10,FALSE)*'3-Ruimtestaat'!X378</f>
        <v>0</v>
      </c>
      <c r="AB378" s="292" t="str">
        <f>IF(H378="",0,VLOOKUP(H378,'3-Productie normen'!$A$10:$N$23,14,FALSE))</f>
        <v>V</v>
      </c>
      <c r="AD378" s="296">
        <f t="shared" si="13"/>
        <v>10585</v>
      </c>
      <c r="AE378" s="78"/>
      <c r="AF378" s="297"/>
      <c r="AG378" s="297"/>
      <c r="AH378" s="297"/>
      <c r="AI378" s="297">
        <v>20</v>
      </c>
      <c r="AJ378" s="297"/>
      <c r="AK378" s="298"/>
      <c r="AL378" s="298"/>
      <c r="AM378" s="298"/>
      <c r="AN378" s="298"/>
      <c r="AO378" s="299"/>
    </row>
    <row r="379" spans="1:41" ht="15" customHeight="1">
      <c r="A379" s="254">
        <v>379</v>
      </c>
      <c r="B379" s="253">
        <v>302</v>
      </c>
      <c r="C379" s="240" t="s">
        <v>97</v>
      </c>
      <c r="D379" s="288" t="s">
        <v>96</v>
      </c>
      <c r="E379" s="289"/>
      <c r="F379" s="239" t="s">
        <v>577</v>
      </c>
      <c r="G379" s="290" t="s">
        <v>505</v>
      </c>
      <c r="H379" s="291" t="s">
        <v>145</v>
      </c>
      <c r="I379" s="239" t="s">
        <v>203</v>
      </c>
      <c r="J379" s="424">
        <f t="shared" si="12"/>
        <v>365</v>
      </c>
      <c r="K379" s="425">
        <v>127</v>
      </c>
      <c r="L379" s="425">
        <v>126</v>
      </c>
      <c r="M379" s="425">
        <v>52</v>
      </c>
      <c r="N379" s="425">
        <v>52</v>
      </c>
      <c r="O379" s="425">
        <v>4</v>
      </c>
      <c r="P379" s="425">
        <v>4</v>
      </c>
      <c r="Q379" s="294">
        <v>181</v>
      </c>
      <c r="R379" s="295" t="e">
        <f>IF(K379="nio",0,(K379*Q379)/X379)*VLOOKUP(C379,'2-Uren per locatie'!$B$15:$D$74,3,FALSE)</f>
        <v>#DIV/0!</v>
      </c>
      <c r="S379" s="295" t="e">
        <f>IF(K379="nio",0,(L379*Q379)/Y379)*VLOOKUP(C379,'2-Uren per locatie'!$B$15:$D$74,3,FALSE)</f>
        <v>#DIV/0!</v>
      </c>
      <c r="T379" s="295" t="e">
        <f>IF(K379="nio",0,(M379*Q379)/Z379)*VLOOKUP(C379,'2-Uren per locatie'!$B$15:$D$74,3,FALSE)</f>
        <v>#DIV/0!</v>
      </c>
      <c r="U379" s="295" t="e">
        <f>IF(K379="nio",0,(N379*Q379)/AA379)*VLOOKUP(C379,'2-Uren per locatie'!$B$15:$D$74,3,FALSE)</f>
        <v>#DIV/0!</v>
      </c>
      <c r="V379" s="295" t="e">
        <f>IF(K379="nio",0,(O379*Q379)/Z379)*VLOOKUP(C379,'2-Uren per locatie'!$B$15:$D$74,3,FALSE)</f>
        <v>#DIV/0!</v>
      </c>
      <c r="W379" s="295" t="e">
        <f>IF(K379="nio",0,(P379*Q379)/AA379)*VLOOKUP(C379,'2-Uren per locatie'!$B$15:$D$74,3,FALSE)</f>
        <v>#DIV/0!</v>
      </c>
      <c r="X379" s="485">
        <f>IF(K379="nio",0,IF(K379&gt;0,VLOOKUP(H379,'3-Productie normen'!A:F,VLOOKUP(K379,'3-Productie normen'!$B$29:$C$34,2,FALSE),FALSE)))</f>
        <v>0</v>
      </c>
      <c r="Y379" s="485">
        <f>VLOOKUP(H379,'3-Productie normen'!$A$10:$J$24,8,FALSE)*'3-Ruimtestaat'!X379</f>
        <v>0</v>
      </c>
      <c r="Z379" s="485">
        <f>VLOOKUP(H379,'3-Productie normen'!$A$10:$J$24,9,FALSE)*'3-Ruimtestaat'!X379</f>
        <v>0</v>
      </c>
      <c r="AA379" s="485">
        <f>VLOOKUP(H379,'3-Productie normen'!$A$10:$J$24,10,FALSE)*'3-Ruimtestaat'!X379</f>
        <v>0</v>
      </c>
      <c r="AB379" s="292" t="str">
        <f>IF(H379="",0,VLOOKUP(H379,'3-Productie normen'!$A$10:$N$23,14,FALSE))</f>
        <v>V</v>
      </c>
      <c r="AD379" s="296">
        <f t="shared" si="13"/>
        <v>66065</v>
      </c>
      <c r="AE379" s="78"/>
      <c r="AF379" s="297">
        <v>13</v>
      </c>
      <c r="AG379" s="297">
        <v>98</v>
      </c>
      <c r="AH379" s="297"/>
      <c r="AI379" s="297">
        <v>8</v>
      </c>
      <c r="AJ379" s="297"/>
      <c r="AK379" s="298"/>
      <c r="AL379" s="298"/>
      <c r="AM379" s="298"/>
      <c r="AN379" s="298">
        <v>181</v>
      </c>
      <c r="AO379" s="299" t="s">
        <v>578</v>
      </c>
    </row>
    <row r="380" spans="1:41" ht="15" customHeight="1">
      <c r="A380" s="254">
        <v>380</v>
      </c>
      <c r="B380" s="253">
        <v>302</v>
      </c>
      <c r="C380" s="240" t="s">
        <v>97</v>
      </c>
      <c r="D380" s="288" t="s">
        <v>96</v>
      </c>
      <c r="E380" s="289"/>
      <c r="F380" s="239" t="s">
        <v>579</v>
      </c>
      <c r="G380" s="290" t="s">
        <v>533</v>
      </c>
      <c r="H380" s="291" t="s">
        <v>149</v>
      </c>
      <c r="I380" s="239" t="s">
        <v>401</v>
      </c>
      <c r="J380" s="424">
        <f t="shared" si="12"/>
        <v>365</v>
      </c>
      <c r="K380" s="425">
        <v>127</v>
      </c>
      <c r="L380" s="425">
        <v>126</v>
      </c>
      <c r="M380" s="425">
        <v>52</v>
      </c>
      <c r="N380" s="425">
        <v>52</v>
      </c>
      <c r="O380" s="425">
        <v>4</v>
      </c>
      <c r="P380" s="425">
        <v>4</v>
      </c>
      <c r="Q380" s="294">
        <v>5</v>
      </c>
      <c r="R380" s="295" t="e">
        <f>IF(K380="nio",0,(K380*Q380)/X380)*VLOOKUP(C380,'2-Uren per locatie'!$B$15:$D$74,3,FALSE)</f>
        <v>#DIV/0!</v>
      </c>
      <c r="S380" s="295" t="e">
        <f>IF(K380="nio",0,(L380*Q380)/Y380)*VLOOKUP(C380,'2-Uren per locatie'!$B$15:$D$74,3,FALSE)</f>
        <v>#DIV/0!</v>
      </c>
      <c r="T380" s="295" t="e">
        <f>IF(K380="nio",0,(M380*Q380)/Z380)*VLOOKUP(C380,'2-Uren per locatie'!$B$15:$D$74,3,FALSE)</f>
        <v>#DIV/0!</v>
      </c>
      <c r="U380" s="295" t="e">
        <f>IF(K380="nio",0,(N380*Q380)/AA380)*VLOOKUP(C380,'2-Uren per locatie'!$B$15:$D$74,3,FALSE)</f>
        <v>#DIV/0!</v>
      </c>
      <c r="V380" s="295" t="e">
        <f>IF(K380="nio",0,(O380*Q380)/Z380)*VLOOKUP(C380,'2-Uren per locatie'!$B$15:$D$74,3,FALSE)</f>
        <v>#DIV/0!</v>
      </c>
      <c r="W380" s="295" t="e">
        <f>IF(K380="nio",0,(P380*Q380)/AA380)*VLOOKUP(C380,'2-Uren per locatie'!$B$15:$D$74,3,FALSE)</f>
        <v>#DIV/0!</v>
      </c>
      <c r="X380" s="485">
        <f>IF(K380="nio",0,IF(K380&gt;0,VLOOKUP(H380,'3-Productie normen'!A:F,VLOOKUP(K380,'3-Productie normen'!$B$29:$C$34,2,FALSE),FALSE)))</f>
        <v>0</v>
      </c>
      <c r="Y380" s="485">
        <f>VLOOKUP(H380,'3-Productie normen'!$A$10:$J$24,8,FALSE)*'3-Ruimtestaat'!X380</f>
        <v>0</v>
      </c>
      <c r="Z380" s="485">
        <f>VLOOKUP(H380,'3-Productie normen'!$A$10:$J$24,9,FALSE)*'3-Ruimtestaat'!X380</f>
        <v>0</v>
      </c>
      <c r="AA380" s="485">
        <f>VLOOKUP(H380,'3-Productie normen'!$A$10:$J$24,10,FALSE)*'3-Ruimtestaat'!X380</f>
        <v>0</v>
      </c>
      <c r="AB380" s="292" t="str">
        <f>IF(H380="",0,VLOOKUP(H380,'3-Productie normen'!$A$10:$N$23,14,FALSE))</f>
        <v>V</v>
      </c>
      <c r="AD380" s="296">
        <f t="shared" si="13"/>
        <v>1825</v>
      </c>
      <c r="AE380" s="78"/>
      <c r="AF380" s="297"/>
      <c r="AG380" s="297"/>
      <c r="AH380" s="297"/>
      <c r="AI380" s="297">
        <v>15</v>
      </c>
      <c r="AJ380" s="297"/>
      <c r="AK380" s="298"/>
      <c r="AL380" s="298"/>
      <c r="AM380" s="298"/>
      <c r="AN380" s="298"/>
      <c r="AO380" s="299"/>
    </row>
    <row r="381" spans="1:41" ht="15" customHeight="1">
      <c r="A381" s="254">
        <v>381</v>
      </c>
      <c r="B381" s="253">
        <v>303</v>
      </c>
      <c r="C381" s="240" t="s">
        <v>98</v>
      </c>
      <c r="D381" s="288" t="s">
        <v>96</v>
      </c>
      <c r="E381" s="289"/>
      <c r="F381" s="239" t="s">
        <v>580</v>
      </c>
      <c r="G381" s="290" t="s">
        <v>526</v>
      </c>
      <c r="H381" s="291" t="s">
        <v>155</v>
      </c>
      <c r="I381" s="239" t="s">
        <v>392</v>
      </c>
      <c r="J381" s="424">
        <f t="shared" si="12"/>
        <v>365</v>
      </c>
      <c r="K381" s="425">
        <v>255</v>
      </c>
      <c r="L381" s="425"/>
      <c r="M381" s="425">
        <v>102</v>
      </c>
      <c r="N381" s="425"/>
      <c r="O381" s="425">
        <v>8</v>
      </c>
      <c r="P381" s="425"/>
      <c r="Q381" s="294">
        <v>104</v>
      </c>
      <c r="R381" s="295" t="e">
        <f>IF(K381="nio",0,(K381*Q381)/X381)*VLOOKUP(C381,'2-Uren per locatie'!$B$15:$D$74,3,FALSE)</f>
        <v>#DIV/0!</v>
      </c>
      <c r="S381" s="295" t="e">
        <f>IF(K381="nio",0,(L381*Q381)/Y381)*VLOOKUP(C381,'2-Uren per locatie'!$B$15:$D$74,3,FALSE)</f>
        <v>#DIV/0!</v>
      </c>
      <c r="T381" s="295" t="e">
        <f>IF(K381="nio",0,(M381*Q381)/Z381)*VLOOKUP(C381,'2-Uren per locatie'!$B$15:$D$74,3,FALSE)</f>
        <v>#DIV/0!</v>
      </c>
      <c r="U381" s="295" t="e">
        <f>IF(K381="nio",0,(N381*Q381)/AA381)*VLOOKUP(C381,'2-Uren per locatie'!$B$15:$D$74,3,FALSE)</f>
        <v>#DIV/0!</v>
      </c>
      <c r="V381" s="295" t="e">
        <f>IF(K381="nio",0,(O381*Q381)/Z381)*VLOOKUP(C381,'2-Uren per locatie'!$B$15:$D$74,3,FALSE)</f>
        <v>#DIV/0!</v>
      </c>
      <c r="W381" s="295" t="e">
        <f>IF(K381="nio",0,(P381*Q381)/AA381)*VLOOKUP(C381,'2-Uren per locatie'!$B$15:$D$74,3,FALSE)</f>
        <v>#DIV/0!</v>
      </c>
      <c r="X381" s="485">
        <f>IF(K381="nio",0,IF(K381&gt;0,VLOOKUP(H381,'3-Productie normen'!A:F,VLOOKUP(K381,'3-Productie normen'!$B$29:$C$34,2,FALSE),FALSE)))</f>
        <v>0</v>
      </c>
      <c r="Y381" s="485">
        <f>VLOOKUP(H381,'3-Productie normen'!$A$10:$J$24,8,FALSE)*'3-Ruimtestaat'!X381</f>
        <v>0</v>
      </c>
      <c r="Z381" s="485">
        <f>VLOOKUP(H381,'3-Productie normen'!$A$10:$J$24,9,FALSE)*'3-Ruimtestaat'!X381</f>
        <v>0</v>
      </c>
      <c r="AA381" s="485">
        <f>VLOOKUP(H381,'3-Productie normen'!$A$10:$J$24,10,FALSE)*'3-Ruimtestaat'!X381</f>
        <v>0</v>
      </c>
      <c r="AB381" s="292" t="str">
        <f>IF(H381="",0,VLOOKUP(H381,'3-Productie normen'!$A$10:$N$23,14,FALSE))</f>
        <v>V</v>
      </c>
      <c r="AD381" s="296">
        <f t="shared" si="13"/>
        <v>37960</v>
      </c>
      <c r="AE381" s="78"/>
      <c r="AF381" s="300" t="s">
        <v>581</v>
      </c>
      <c r="AG381" s="297"/>
      <c r="AH381" s="297"/>
      <c r="AI381" s="297"/>
      <c r="AJ381" s="297"/>
      <c r="AK381" s="298"/>
      <c r="AL381" s="298"/>
      <c r="AM381" s="298"/>
      <c r="AN381" s="298"/>
      <c r="AO381" s="299"/>
    </row>
    <row r="382" spans="1:41" ht="15" customHeight="1">
      <c r="A382" s="254">
        <v>382</v>
      </c>
      <c r="B382" s="253">
        <v>303</v>
      </c>
      <c r="C382" s="240" t="s">
        <v>98</v>
      </c>
      <c r="D382" s="288" t="s">
        <v>96</v>
      </c>
      <c r="E382" s="289"/>
      <c r="F382" s="239" t="s">
        <v>566</v>
      </c>
      <c r="G382" s="290" t="s">
        <v>567</v>
      </c>
      <c r="H382" s="291" t="s">
        <v>151</v>
      </c>
      <c r="I382" s="239" t="s">
        <v>459</v>
      </c>
      <c r="J382" s="424">
        <f t="shared" si="12"/>
        <v>365</v>
      </c>
      <c r="K382" s="425">
        <v>255</v>
      </c>
      <c r="L382" s="425"/>
      <c r="M382" s="425">
        <v>102</v>
      </c>
      <c r="N382" s="425"/>
      <c r="O382" s="425">
        <v>8</v>
      </c>
      <c r="P382" s="425"/>
      <c r="Q382" s="294">
        <v>731</v>
      </c>
      <c r="R382" s="295" t="e">
        <f>IF(K382="nio",0,(K382*Q382)/X382)*VLOOKUP(C382,'2-Uren per locatie'!$B$15:$D$74,3,FALSE)</f>
        <v>#DIV/0!</v>
      </c>
      <c r="S382" s="295" t="e">
        <f>IF(K382="nio",0,(L382*Q382)/Y382)*VLOOKUP(C382,'2-Uren per locatie'!$B$15:$D$74,3,FALSE)</f>
        <v>#DIV/0!</v>
      </c>
      <c r="T382" s="295" t="e">
        <f>IF(K382="nio",0,(M382*Q382)/Z382)*VLOOKUP(C382,'2-Uren per locatie'!$B$15:$D$74,3,FALSE)</f>
        <v>#DIV/0!</v>
      </c>
      <c r="U382" s="295" t="e">
        <f>IF(K382="nio",0,(N382*Q382)/AA382)*VLOOKUP(C382,'2-Uren per locatie'!$B$15:$D$74,3,FALSE)</f>
        <v>#DIV/0!</v>
      </c>
      <c r="V382" s="295" t="e">
        <f>IF(K382="nio",0,(O382*Q382)/Z382)*VLOOKUP(C382,'2-Uren per locatie'!$B$15:$D$74,3,FALSE)</f>
        <v>#DIV/0!</v>
      </c>
      <c r="W382" s="295" t="e">
        <f>IF(K382="nio",0,(P382*Q382)/AA382)*VLOOKUP(C382,'2-Uren per locatie'!$B$15:$D$74,3,FALSE)</f>
        <v>#DIV/0!</v>
      </c>
      <c r="X382" s="485">
        <f>IF(K382="nio",0,IF(K382&gt;0,VLOOKUP(H382,'3-Productie normen'!A:F,VLOOKUP(K382,'3-Productie normen'!$B$29:$C$34,2,FALSE),FALSE)))</f>
        <v>0</v>
      </c>
      <c r="Y382" s="485">
        <f>VLOOKUP(H382,'3-Productie normen'!$A$10:$J$24,8,FALSE)*'3-Ruimtestaat'!X382</f>
        <v>0</v>
      </c>
      <c r="Z382" s="485">
        <f>VLOOKUP(H382,'3-Productie normen'!$A$10:$J$24,9,FALSE)*'3-Ruimtestaat'!X382</f>
        <v>0</v>
      </c>
      <c r="AA382" s="485">
        <f>VLOOKUP(H382,'3-Productie normen'!$A$10:$J$24,10,FALSE)*'3-Ruimtestaat'!X382</f>
        <v>0</v>
      </c>
      <c r="AB382" s="292" t="str">
        <f>IF(H382="",0,VLOOKUP(H382,'3-Productie normen'!$A$10:$N$23,14,FALSE))</f>
        <v>V</v>
      </c>
      <c r="AD382" s="296">
        <f t="shared" si="13"/>
        <v>266815</v>
      </c>
      <c r="AE382" s="78"/>
      <c r="AF382" s="297"/>
      <c r="AG382" s="297"/>
      <c r="AH382" s="297"/>
      <c r="AI382" s="297"/>
      <c r="AJ382" s="297"/>
      <c r="AK382" s="298"/>
      <c r="AL382" s="298"/>
      <c r="AM382" s="298"/>
      <c r="AN382" s="298"/>
      <c r="AO382" s="299"/>
    </row>
    <row r="383" spans="1:41" ht="15" customHeight="1">
      <c r="A383" s="254">
        <v>383</v>
      </c>
      <c r="B383" s="253">
        <v>303</v>
      </c>
      <c r="C383" s="240" t="s">
        <v>98</v>
      </c>
      <c r="D383" s="288" t="s">
        <v>96</v>
      </c>
      <c r="E383" s="289"/>
      <c r="F383" s="239" t="s">
        <v>566</v>
      </c>
      <c r="G383" s="290" t="s">
        <v>515</v>
      </c>
      <c r="H383" s="291" t="s">
        <v>151</v>
      </c>
      <c r="I383" s="239" t="s">
        <v>459</v>
      </c>
      <c r="J383" s="424">
        <f t="shared" si="12"/>
        <v>365</v>
      </c>
      <c r="K383" s="425">
        <v>255</v>
      </c>
      <c r="L383" s="425"/>
      <c r="M383" s="425">
        <v>102</v>
      </c>
      <c r="N383" s="425"/>
      <c r="O383" s="425">
        <v>8</v>
      </c>
      <c r="P383" s="425"/>
      <c r="Q383" s="294">
        <v>803</v>
      </c>
      <c r="R383" s="295" t="e">
        <f>IF(K383="nio",0,(K383*Q383)/X383)*VLOOKUP(C383,'2-Uren per locatie'!$B$15:$D$74,3,FALSE)</f>
        <v>#DIV/0!</v>
      </c>
      <c r="S383" s="295" t="e">
        <f>IF(K383="nio",0,(L383*Q383)/Y383)*VLOOKUP(C383,'2-Uren per locatie'!$B$15:$D$74,3,FALSE)</f>
        <v>#DIV/0!</v>
      </c>
      <c r="T383" s="295" t="e">
        <f>IF(K383="nio",0,(M383*Q383)/Z383)*VLOOKUP(C383,'2-Uren per locatie'!$B$15:$D$74,3,FALSE)</f>
        <v>#DIV/0!</v>
      </c>
      <c r="U383" s="295" t="e">
        <f>IF(K383="nio",0,(N383*Q383)/AA383)*VLOOKUP(C383,'2-Uren per locatie'!$B$15:$D$74,3,FALSE)</f>
        <v>#DIV/0!</v>
      </c>
      <c r="V383" s="295" t="e">
        <f>IF(K383="nio",0,(O383*Q383)/Z383)*VLOOKUP(C383,'2-Uren per locatie'!$B$15:$D$74,3,FALSE)</f>
        <v>#DIV/0!</v>
      </c>
      <c r="W383" s="295" t="e">
        <f>IF(K383="nio",0,(P383*Q383)/AA383)*VLOOKUP(C383,'2-Uren per locatie'!$B$15:$D$74,3,FALSE)</f>
        <v>#DIV/0!</v>
      </c>
      <c r="X383" s="485">
        <f>IF(K383="nio",0,IF(K383&gt;0,VLOOKUP(H383,'3-Productie normen'!A:F,VLOOKUP(K383,'3-Productie normen'!$B$29:$C$34,2,FALSE),FALSE)))</f>
        <v>0</v>
      </c>
      <c r="Y383" s="485">
        <f>VLOOKUP(H383,'3-Productie normen'!$A$10:$J$24,8,FALSE)*'3-Ruimtestaat'!X383</f>
        <v>0</v>
      </c>
      <c r="Z383" s="485">
        <f>VLOOKUP(H383,'3-Productie normen'!$A$10:$J$24,9,FALSE)*'3-Ruimtestaat'!X383</f>
        <v>0</v>
      </c>
      <c r="AA383" s="485">
        <f>VLOOKUP(H383,'3-Productie normen'!$A$10:$J$24,10,FALSE)*'3-Ruimtestaat'!X383</f>
        <v>0</v>
      </c>
      <c r="AB383" s="292" t="str">
        <f>IF(H383="",0,VLOOKUP(H383,'3-Productie normen'!$A$10:$N$23,14,FALSE))</f>
        <v>V</v>
      </c>
      <c r="AD383" s="296">
        <f t="shared" si="13"/>
        <v>293095</v>
      </c>
      <c r="AE383" s="78"/>
      <c r="AF383" s="297"/>
      <c r="AG383" s="297"/>
      <c r="AH383" s="297"/>
      <c r="AI383" s="297"/>
      <c r="AJ383" s="297"/>
      <c r="AK383" s="298"/>
      <c r="AL383" s="298"/>
      <c r="AM383" s="298"/>
      <c r="AN383" s="298"/>
      <c r="AO383" s="299"/>
    </row>
    <row r="384" spans="1:41" ht="15" customHeight="1">
      <c r="A384" s="254">
        <v>384</v>
      </c>
      <c r="B384" s="253">
        <v>303</v>
      </c>
      <c r="C384" s="240" t="s">
        <v>98</v>
      </c>
      <c r="D384" s="288" t="s">
        <v>96</v>
      </c>
      <c r="E384" s="289"/>
      <c r="F384" s="239" t="s">
        <v>453</v>
      </c>
      <c r="G384" s="290" t="s">
        <v>582</v>
      </c>
      <c r="H384" s="291" t="s">
        <v>151</v>
      </c>
      <c r="I384" s="239" t="s">
        <v>583</v>
      </c>
      <c r="J384" s="424">
        <f t="shared" si="12"/>
        <v>365</v>
      </c>
      <c r="K384" s="425">
        <v>255</v>
      </c>
      <c r="L384" s="425"/>
      <c r="M384" s="425">
        <v>102</v>
      </c>
      <c r="N384" s="425"/>
      <c r="O384" s="425">
        <v>8</v>
      </c>
      <c r="P384" s="425"/>
      <c r="Q384" s="294">
        <v>47</v>
      </c>
      <c r="R384" s="295" t="e">
        <f>IF(K384="nio",0,(K384*Q384)/X384)*VLOOKUP(C384,'2-Uren per locatie'!$B$15:$D$74,3,FALSE)</f>
        <v>#DIV/0!</v>
      </c>
      <c r="S384" s="295" t="e">
        <f>IF(K384="nio",0,(L384*Q384)/Y384)*VLOOKUP(C384,'2-Uren per locatie'!$B$15:$D$74,3,FALSE)</f>
        <v>#DIV/0!</v>
      </c>
      <c r="T384" s="295" t="e">
        <f>IF(K384="nio",0,(M384*Q384)/Z384)*VLOOKUP(C384,'2-Uren per locatie'!$B$15:$D$74,3,FALSE)</f>
        <v>#DIV/0!</v>
      </c>
      <c r="U384" s="295" t="e">
        <f>IF(K384="nio",0,(N384*Q384)/AA384)*VLOOKUP(C384,'2-Uren per locatie'!$B$15:$D$74,3,FALSE)</f>
        <v>#DIV/0!</v>
      </c>
      <c r="V384" s="295" t="e">
        <f>IF(K384="nio",0,(O384*Q384)/Z384)*VLOOKUP(C384,'2-Uren per locatie'!$B$15:$D$74,3,FALSE)</f>
        <v>#DIV/0!</v>
      </c>
      <c r="W384" s="295" t="e">
        <f>IF(K384="nio",0,(P384*Q384)/AA384)*VLOOKUP(C384,'2-Uren per locatie'!$B$15:$D$74,3,FALSE)</f>
        <v>#DIV/0!</v>
      </c>
      <c r="X384" s="485">
        <f>IF(K384="nio",0,IF(K384&gt;0,VLOOKUP(H384,'3-Productie normen'!A:F,VLOOKUP(K384,'3-Productie normen'!$B$29:$C$34,2,FALSE),FALSE)))</f>
        <v>0</v>
      </c>
      <c r="Y384" s="485">
        <f>VLOOKUP(H384,'3-Productie normen'!$A$10:$J$24,8,FALSE)*'3-Ruimtestaat'!X384</f>
        <v>0</v>
      </c>
      <c r="Z384" s="485">
        <f>VLOOKUP(H384,'3-Productie normen'!$A$10:$J$24,9,FALSE)*'3-Ruimtestaat'!X384</f>
        <v>0</v>
      </c>
      <c r="AA384" s="485">
        <f>VLOOKUP(H384,'3-Productie normen'!$A$10:$J$24,10,FALSE)*'3-Ruimtestaat'!X384</f>
        <v>0</v>
      </c>
      <c r="AB384" s="292" t="str">
        <f>IF(H384="",0,VLOOKUP(H384,'3-Productie normen'!$A$10:$N$23,14,FALSE))</f>
        <v>V</v>
      </c>
      <c r="AD384" s="296">
        <f t="shared" si="13"/>
        <v>17155</v>
      </c>
      <c r="AE384" s="78"/>
      <c r="AF384" s="297"/>
      <c r="AG384" s="297"/>
      <c r="AH384" s="297"/>
      <c r="AI384" s="297"/>
      <c r="AJ384" s="297"/>
      <c r="AK384" s="298"/>
      <c r="AL384" s="298"/>
      <c r="AM384" s="298"/>
      <c r="AN384" s="298"/>
      <c r="AO384" s="299"/>
    </row>
    <row r="385" spans="1:41" ht="15" customHeight="1">
      <c r="A385" s="254">
        <v>385</v>
      </c>
      <c r="B385" s="253">
        <v>303</v>
      </c>
      <c r="C385" s="240" t="s">
        <v>98</v>
      </c>
      <c r="D385" s="288" t="s">
        <v>96</v>
      </c>
      <c r="E385" s="289"/>
      <c r="F385" s="239" t="s">
        <v>566</v>
      </c>
      <c r="G385" s="290" t="s">
        <v>584</v>
      </c>
      <c r="H385" s="291" t="s">
        <v>151</v>
      </c>
      <c r="I385" s="239" t="s">
        <v>459</v>
      </c>
      <c r="J385" s="424">
        <f t="shared" ref="J385" si="14">SUM(K385:P385)</f>
        <v>365</v>
      </c>
      <c r="K385" s="425">
        <v>255</v>
      </c>
      <c r="L385" s="425"/>
      <c r="M385" s="425">
        <v>102</v>
      </c>
      <c r="N385" s="425"/>
      <c r="O385" s="425">
        <v>8</v>
      </c>
      <c r="P385" s="425"/>
      <c r="Q385" s="294">
        <v>122</v>
      </c>
      <c r="R385" s="295" t="e">
        <f>IF(K385="nio",0,(K385*Q385)/X385)*VLOOKUP(C385,'2-Uren per locatie'!$B$15:$D$74,3,FALSE)</f>
        <v>#DIV/0!</v>
      </c>
      <c r="S385" s="295" t="e">
        <f>IF(K385="nio",0,(L385*Q385)/Y385)*VLOOKUP(C385,'2-Uren per locatie'!$B$15:$D$74,3,FALSE)</f>
        <v>#DIV/0!</v>
      </c>
      <c r="T385" s="295" t="e">
        <f>IF(K385="nio",0,(M385*Q385)/Z385)*VLOOKUP(C385,'2-Uren per locatie'!$B$15:$D$74,3,FALSE)</f>
        <v>#DIV/0!</v>
      </c>
      <c r="U385" s="295" t="e">
        <f>IF(K385="nio",0,(N385*Q385)/AA385)*VLOOKUP(C385,'2-Uren per locatie'!$B$15:$D$74,3,FALSE)</f>
        <v>#DIV/0!</v>
      </c>
      <c r="V385" s="295" t="e">
        <f>IF(K385="nio",0,(O385*Q385)/Z385)*VLOOKUP(C385,'2-Uren per locatie'!$B$15:$D$74,3,FALSE)</f>
        <v>#DIV/0!</v>
      </c>
      <c r="W385" s="295" t="e">
        <f>IF(K385="nio",0,(P385*Q385)/AA385)*VLOOKUP(C385,'2-Uren per locatie'!$B$15:$D$74,3,FALSE)</f>
        <v>#DIV/0!</v>
      </c>
      <c r="X385" s="485">
        <f>IF(K385="nio",0,IF(K385&gt;0,VLOOKUP(H385,'3-Productie normen'!A:F,VLOOKUP(K385,'3-Productie normen'!$B$29:$C$34,2,FALSE),FALSE)))</f>
        <v>0</v>
      </c>
      <c r="Y385" s="485">
        <f>VLOOKUP(H385,'3-Productie normen'!$A$10:$J$24,8,FALSE)*'3-Ruimtestaat'!X385</f>
        <v>0</v>
      </c>
      <c r="Z385" s="485">
        <f>VLOOKUP(H385,'3-Productie normen'!$A$10:$J$24,9,FALSE)*'3-Ruimtestaat'!X385</f>
        <v>0</v>
      </c>
      <c r="AA385" s="485">
        <f>VLOOKUP(H385,'3-Productie normen'!$A$10:$J$24,10,FALSE)*'3-Ruimtestaat'!X385</f>
        <v>0</v>
      </c>
      <c r="AB385" s="292" t="str">
        <f>IF(H385="",0,VLOOKUP(H385,'3-Productie normen'!$A$10:$N$23,14,FALSE))</f>
        <v>V</v>
      </c>
      <c r="AD385" s="296">
        <f t="shared" si="13"/>
        <v>44530</v>
      </c>
      <c r="AE385" s="78"/>
      <c r="AF385" s="297"/>
      <c r="AG385" s="297"/>
      <c r="AH385" s="297"/>
      <c r="AI385" s="297"/>
      <c r="AJ385" s="297"/>
      <c r="AK385" s="298"/>
      <c r="AL385" s="298"/>
      <c r="AM385" s="298"/>
      <c r="AN385" s="298"/>
      <c r="AO385" s="299"/>
    </row>
    <row r="386" spans="1:41" ht="15" customHeight="1">
      <c r="A386" s="254">
        <v>386</v>
      </c>
      <c r="B386" s="253">
        <v>303</v>
      </c>
      <c r="C386" s="240" t="s">
        <v>98</v>
      </c>
      <c r="D386" s="288" t="s">
        <v>96</v>
      </c>
      <c r="E386" s="289"/>
      <c r="F386" s="239" t="s">
        <v>566</v>
      </c>
      <c r="G386" s="290"/>
      <c r="H386" s="291" t="s">
        <v>151</v>
      </c>
      <c r="I386" s="239" t="s">
        <v>459</v>
      </c>
      <c r="J386" s="424">
        <f t="shared" si="12"/>
        <v>365</v>
      </c>
      <c r="K386" s="425">
        <v>255</v>
      </c>
      <c r="L386" s="425"/>
      <c r="M386" s="425">
        <v>102</v>
      </c>
      <c r="N386" s="425"/>
      <c r="O386" s="425">
        <v>8</v>
      </c>
      <c r="P386" s="425"/>
      <c r="Q386" s="294">
        <v>2050</v>
      </c>
      <c r="R386" s="295" t="e">
        <f>IF(K386="nio",0,(K386*Q386)/X386)*VLOOKUP(C386,'2-Uren per locatie'!$B$15:$D$74,3,FALSE)</f>
        <v>#DIV/0!</v>
      </c>
      <c r="S386" s="295" t="e">
        <f>IF(K386="nio",0,(L386*Q386)/Y386)*VLOOKUP(C386,'2-Uren per locatie'!$B$15:$D$74,3,FALSE)</f>
        <v>#DIV/0!</v>
      </c>
      <c r="T386" s="295" t="e">
        <f>IF(K386="nio",0,(M386*Q386)/Z386)*VLOOKUP(C386,'2-Uren per locatie'!$B$15:$D$74,3,FALSE)</f>
        <v>#DIV/0!</v>
      </c>
      <c r="U386" s="295" t="e">
        <f>IF(K386="nio",0,(N386*Q386)/AA386)*VLOOKUP(C386,'2-Uren per locatie'!$B$15:$D$74,3,FALSE)</f>
        <v>#DIV/0!</v>
      </c>
      <c r="V386" s="295" t="e">
        <f>IF(K386="nio",0,(O386*Q386)/Z386)*VLOOKUP(C386,'2-Uren per locatie'!$B$15:$D$74,3,FALSE)</f>
        <v>#DIV/0!</v>
      </c>
      <c r="W386" s="295" t="e">
        <f>IF(K386="nio",0,(P386*Q386)/AA386)*VLOOKUP(C386,'2-Uren per locatie'!$B$15:$D$74,3,FALSE)</f>
        <v>#DIV/0!</v>
      </c>
      <c r="X386" s="485">
        <f>IF(K386="nio",0,IF(K386&gt;0,VLOOKUP(H386,'3-Productie normen'!A:F,VLOOKUP(K386,'3-Productie normen'!$B$29:$C$34,2,FALSE),FALSE)))</f>
        <v>0</v>
      </c>
      <c r="Y386" s="485">
        <f>VLOOKUP(H386,'3-Productie normen'!$A$10:$J$24,8,FALSE)*'3-Ruimtestaat'!X386</f>
        <v>0</v>
      </c>
      <c r="Z386" s="485">
        <f>VLOOKUP(H386,'3-Productie normen'!$A$10:$J$24,9,FALSE)*'3-Ruimtestaat'!X386</f>
        <v>0</v>
      </c>
      <c r="AA386" s="485">
        <f>VLOOKUP(H386,'3-Productie normen'!$A$10:$J$24,10,FALSE)*'3-Ruimtestaat'!X386</f>
        <v>0</v>
      </c>
      <c r="AB386" s="292" t="str">
        <f>IF(H386="",0,VLOOKUP(H386,'3-Productie normen'!$A$10:$N$23,14,FALSE))</f>
        <v>V</v>
      </c>
      <c r="AD386" s="296">
        <f t="shared" si="13"/>
        <v>748250</v>
      </c>
      <c r="AE386" s="78"/>
      <c r="AF386" s="297"/>
      <c r="AG386" s="297"/>
      <c r="AH386" s="297"/>
      <c r="AI386" s="297"/>
      <c r="AJ386" s="297"/>
      <c r="AK386" s="298"/>
      <c r="AL386" s="298"/>
      <c r="AM386" s="298"/>
      <c r="AN386" s="298"/>
      <c r="AO386" s="299"/>
    </row>
    <row r="387" spans="1:41" ht="15" customHeight="1">
      <c r="A387" s="254">
        <v>387</v>
      </c>
      <c r="B387" s="253">
        <v>303</v>
      </c>
      <c r="C387" s="240" t="s">
        <v>98</v>
      </c>
      <c r="D387" s="288" t="s">
        <v>96</v>
      </c>
      <c r="E387" s="289"/>
      <c r="F387" s="239" t="s">
        <v>231</v>
      </c>
      <c r="G387" s="290" t="s">
        <v>585</v>
      </c>
      <c r="H387" s="291" t="s">
        <v>153</v>
      </c>
      <c r="I387" s="239" t="s">
        <v>203</v>
      </c>
      <c r="J387" s="424">
        <f t="shared" si="12"/>
        <v>365</v>
      </c>
      <c r="K387" s="425">
        <v>255</v>
      </c>
      <c r="L387" s="425"/>
      <c r="M387" s="425">
        <v>102</v>
      </c>
      <c r="N387" s="425"/>
      <c r="O387" s="425">
        <v>8</v>
      </c>
      <c r="P387" s="425"/>
      <c r="Q387" s="427">
        <v>3</v>
      </c>
      <c r="R387" s="295" t="e">
        <f>IF(K387="nio",0,(K387*Q387)/X387)*VLOOKUP(C387,'2-Uren per locatie'!$B$15:$D$74,3,FALSE)</f>
        <v>#DIV/0!</v>
      </c>
      <c r="S387" s="295" t="e">
        <f>IF(K387="nio",0,(L387*Q387)/Y387)*VLOOKUP(C387,'2-Uren per locatie'!$B$15:$D$74,3,FALSE)</f>
        <v>#DIV/0!</v>
      </c>
      <c r="T387" s="295" t="e">
        <f>IF(K387="nio",0,(M387*Q387)/Z387)*VLOOKUP(C387,'2-Uren per locatie'!$B$15:$D$74,3,FALSE)</f>
        <v>#DIV/0!</v>
      </c>
      <c r="U387" s="295" t="e">
        <f>IF(K387="nio",0,(N387*Q387)/AA387)*VLOOKUP(C387,'2-Uren per locatie'!$B$15:$D$74,3,FALSE)</f>
        <v>#DIV/0!</v>
      </c>
      <c r="V387" s="295" t="e">
        <f>IF(K387="nio",0,(O387*Q387)/Z387)*VLOOKUP(C387,'2-Uren per locatie'!$B$15:$D$74,3,FALSE)</f>
        <v>#DIV/0!</v>
      </c>
      <c r="W387" s="295" t="e">
        <f>IF(K387="nio",0,(P387*Q387)/AA387)*VLOOKUP(C387,'2-Uren per locatie'!$B$15:$D$74,3,FALSE)</f>
        <v>#DIV/0!</v>
      </c>
      <c r="X387" s="485">
        <f>IF(K387="nio",0,IF(K387&gt;0,VLOOKUP(H387,'3-Productie normen'!A:F,VLOOKUP(K387,'3-Productie normen'!$B$29:$C$34,2,FALSE),FALSE)))</f>
        <v>0</v>
      </c>
      <c r="Y387" s="485">
        <f>VLOOKUP(H387,'3-Productie normen'!$A$10:$J$24,8,FALSE)*'3-Ruimtestaat'!X387</f>
        <v>0</v>
      </c>
      <c r="Z387" s="485">
        <f>VLOOKUP(H387,'3-Productie normen'!$A$10:$J$24,9,FALSE)*'3-Ruimtestaat'!X387</f>
        <v>0</v>
      </c>
      <c r="AA387" s="485">
        <f>VLOOKUP(H387,'3-Productie normen'!$A$10:$J$24,10,FALSE)*'3-Ruimtestaat'!X387</f>
        <v>0</v>
      </c>
      <c r="AB387" s="292" t="str">
        <f>IF(H387="",0,VLOOKUP(H387,'3-Productie normen'!$A$10:$N$23,14,FALSE))</f>
        <v>S</v>
      </c>
      <c r="AD387" s="296">
        <f t="shared" si="13"/>
        <v>1095</v>
      </c>
      <c r="AE387" s="78"/>
      <c r="AF387" s="297"/>
      <c r="AG387" s="297">
        <v>32</v>
      </c>
      <c r="AH387" s="297">
        <v>26</v>
      </c>
      <c r="AI387" s="297"/>
      <c r="AJ387" s="297"/>
      <c r="AK387" s="298"/>
      <c r="AL387" s="298"/>
      <c r="AM387" s="298"/>
      <c r="AN387" s="298">
        <v>49</v>
      </c>
      <c r="AO387" s="299"/>
    </row>
    <row r="388" spans="1:41" ht="15" customHeight="1">
      <c r="A388" s="254">
        <v>388</v>
      </c>
      <c r="B388" s="253">
        <v>303</v>
      </c>
      <c r="C388" s="240" t="s">
        <v>98</v>
      </c>
      <c r="D388" s="288" t="s">
        <v>96</v>
      </c>
      <c r="E388" s="289"/>
      <c r="F388" s="239" t="s">
        <v>586</v>
      </c>
      <c r="G388" s="290" t="s">
        <v>576</v>
      </c>
      <c r="H388" s="291" t="s">
        <v>152</v>
      </c>
      <c r="I388" s="239" t="s">
        <v>265</v>
      </c>
      <c r="J388" s="424">
        <f t="shared" si="12"/>
        <v>365</v>
      </c>
      <c r="K388" s="425">
        <v>255</v>
      </c>
      <c r="L388" s="425"/>
      <c r="M388" s="425">
        <v>102</v>
      </c>
      <c r="N388" s="425"/>
      <c r="O388" s="425">
        <v>8</v>
      </c>
      <c r="P388" s="425"/>
      <c r="Q388" s="294">
        <v>62</v>
      </c>
      <c r="R388" s="295" t="e">
        <f>IF(K388="nio",0,(K388*Q388)/X388)*VLOOKUP(C388,'2-Uren per locatie'!$B$15:$D$74,3,FALSE)</f>
        <v>#DIV/0!</v>
      </c>
      <c r="S388" s="295" t="e">
        <f>IF(K388="nio",0,(L388*Q388)/Y388)*VLOOKUP(C388,'2-Uren per locatie'!$B$15:$D$74,3,FALSE)</f>
        <v>#DIV/0!</v>
      </c>
      <c r="T388" s="295" t="e">
        <f>IF(K388="nio",0,(M388*Q388)/Z388)*VLOOKUP(C388,'2-Uren per locatie'!$B$15:$D$74,3,FALSE)</f>
        <v>#DIV/0!</v>
      </c>
      <c r="U388" s="295" t="e">
        <f>IF(K388="nio",0,(N388*Q388)/AA388)*VLOOKUP(C388,'2-Uren per locatie'!$B$15:$D$74,3,FALSE)</f>
        <v>#DIV/0!</v>
      </c>
      <c r="V388" s="295" t="e">
        <f>IF(K388="nio",0,(O388*Q388)/Z388)*VLOOKUP(C388,'2-Uren per locatie'!$B$15:$D$74,3,FALSE)</f>
        <v>#DIV/0!</v>
      </c>
      <c r="W388" s="295" t="e">
        <f>IF(K388="nio",0,(P388*Q388)/AA388)*VLOOKUP(C388,'2-Uren per locatie'!$B$15:$D$74,3,FALSE)</f>
        <v>#DIV/0!</v>
      </c>
      <c r="X388" s="485">
        <f>IF(K388="nio",0,IF(K388&gt;0,VLOOKUP(H388,'3-Productie normen'!A:F,VLOOKUP(K388,'3-Productie normen'!$B$29:$C$34,2,FALSE),FALSE)))</f>
        <v>0</v>
      </c>
      <c r="Y388" s="485">
        <f>VLOOKUP(H388,'3-Productie normen'!$A$10:$J$24,8,FALSE)*'3-Ruimtestaat'!X388</f>
        <v>0</v>
      </c>
      <c r="Z388" s="485">
        <f>VLOOKUP(H388,'3-Productie normen'!$A$10:$J$24,9,FALSE)*'3-Ruimtestaat'!X388</f>
        <v>0</v>
      </c>
      <c r="AA388" s="485">
        <f>VLOOKUP(H388,'3-Productie normen'!$A$10:$J$24,10,FALSE)*'3-Ruimtestaat'!X388</f>
        <v>0</v>
      </c>
      <c r="AB388" s="292" t="str">
        <f>IF(H388="",0,VLOOKUP(H388,'3-Productie normen'!$A$10:$N$23,14,FALSE))</f>
        <v>V</v>
      </c>
      <c r="AD388" s="296">
        <f t="shared" si="13"/>
        <v>22630</v>
      </c>
      <c r="AE388" s="78"/>
      <c r="AF388" s="297"/>
      <c r="AG388" s="297"/>
      <c r="AH388" s="297"/>
      <c r="AI388" s="297"/>
      <c r="AJ388" s="297"/>
      <c r="AK388" s="298"/>
      <c r="AL388" s="298"/>
      <c r="AM388" s="298"/>
      <c r="AN388" s="298"/>
      <c r="AO388" s="299"/>
    </row>
    <row r="389" spans="1:41" ht="15" customHeight="1">
      <c r="A389" s="254">
        <v>389</v>
      </c>
      <c r="B389" s="253">
        <v>303</v>
      </c>
      <c r="C389" s="240" t="s">
        <v>98</v>
      </c>
      <c r="D389" s="288" t="s">
        <v>96</v>
      </c>
      <c r="E389" s="289"/>
      <c r="F389" s="239" t="s">
        <v>587</v>
      </c>
      <c r="G389" s="290" t="s">
        <v>573</v>
      </c>
      <c r="H389" s="291" t="s">
        <v>145</v>
      </c>
      <c r="I389" s="239" t="s">
        <v>203</v>
      </c>
      <c r="J389" s="424">
        <f t="shared" si="12"/>
        <v>365</v>
      </c>
      <c r="K389" s="425">
        <v>255</v>
      </c>
      <c r="L389" s="425"/>
      <c r="M389" s="425">
        <v>102</v>
      </c>
      <c r="N389" s="425"/>
      <c r="O389" s="425">
        <v>8</v>
      </c>
      <c r="P389" s="425"/>
      <c r="Q389" s="294">
        <v>1013</v>
      </c>
      <c r="R389" s="295" t="e">
        <f>IF(K389="nio",0,(K389*Q389)/X389)*VLOOKUP(C389,'2-Uren per locatie'!$B$15:$D$74,3,FALSE)</f>
        <v>#DIV/0!</v>
      </c>
      <c r="S389" s="295" t="e">
        <f>IF(K389="nio",0,(L389*Q389)/Y389)*VLOOKUP(C389,'2-Uren per locatie'!$B$15:$D$74,3,FALSE)</f>
        <v>#DIV/0!</v>
      </c>
      <c r="T389" s="295" t="e">
        <f>IF(K389="nio",0,(M389*Q389)/Z389)*VLOOKUP(C389,'2-Uren per locatie'!$B$15:$D$74,3,FALSE)</f>
        <v>#DIV/0!</v>
      </c>
      <c r="U389" s="295" t="e">
        <f>IF(K389="nio",0,(N389*Q389)/AA389)*VLOOKUP(C389,'2-Uren per locatie'!$B$15:$D$74,3,FALSE)</f>
        <v>#DIV/0!</v>
      </c>
      <c r="V389" s="295" t="e">
        <f>IF(K389="nio",0,(O389*Q389)/Z389)*VLOOKUP(C389,'2-Uren per locatie'!$B$15:$D$74,3,FALSE)</f>
        <v>#DIV/0!</v>
      </c>
      <c r="W389" s="295" t="e">
        <f>IF(K389="nio",0,(P389*Q389)/AA389)*VLOOKUP(C389,'2-Uren per locatie'!$B$15:$D$74,3,FALSE)</f>
        <v>#DIV/0!</v>
      </c>
      <c r="X389" s="485">
        <f>IF(K389="nio",0,IF(K389&gt;0,VLOOKUP(H389,'3-Productie normen'!A:F,VLOOKUP(K389,'3-Productie normen'!$B$29:$C$34,2,FALSE),FALSE)))</f>
        <v>0</v>
      </c>
      <c r="Y389" s="485">
        <f>VLOOKUP(H389,'3-Productie normen'!$A$10:$J$24,8,FALSE)*'3-Ruimtestaat'!X389</f>
        <v>0</v>
      </c>
      <c r="Z389" s="485">
        <f>VLOOKUP(H389,'3-Productie normen'!$A$10:$J$24,9,FALSE)*'3-Ruimtestaat'!X389</f>
        <v>0</v>
      </c>
      <c r="AA389" s="485">
        <f>VLOOKUP(H389,'3-Productie normen'!$A$10:$J$24,10,FALSE)*'3-Ruimtestaat'!X389</f>
        <v>0</v>
      </c>
      <c r="AB389" s="292" t="str">
        <f>IF(H389="",0,VLOOKUP(H389,'3-Productie normen'!$A$10:$N$23,14,FALSE))</f>
        <v>V</v>
      </c>
      <c r="AD389" s="296">
        <f t="shared" si="13"/>
        <v>369745</v>
      </c>
      <c r="AE389" s="78"/>
      <c r="AF389" s="297">
        <v>92</v>
      </c>
      <c r="AG389" s="297">
        <v>59</v>
      </c>
      <c r="AH389" s="297"/>
      <c r="AI389" s="297"/>
      <c r="AJ389" s="297"/>
      <c r="AK389" s="298"/>
      <c r="AL389" s="298"/>
      <c r="AM389" s="298"/>
      <c r="AN389" s="298">
        <v>119</v>
      </c>
      <c r="AO389" s="299" t="s">
        <v>588</v>
      </c>
    </row>
    <row r="390" spans="1:41" ht="15" customHeight="1">
      <c r="A390" s="254">
        <v>390</v>
      </c>
      <c r="B390" s="253">
        <v>303</v>
      </c>
      <c r="C390" s="240" t="s">
        <v>98</v>
      </c>
      <c r="D390" s="288" t="s">
        <v>96</v>
      </c>
      <c r="E390" s="289"/>
      <c r="F390" s="239" t="s">
        <v>530</v>
      </c>
      <c r="G390" s="290"/>
      <c r="H390" s="291" t="s">
        <v>149</v>
      </c>
      <c r="I390" s="239" t="s">
        <v>401</v>
      </c>
      <c r="J390" s="424">
        <f t="shared" si="12"/>
        <v>365</v>
      </c>
      <c r="K390" s="425">
        <v>255</v>
      </c>
      <c r="L390" s="425"/>
      <c r="M390" s="425">
        <v>102</v>
      </c>
      <c r="N390" s="425"/>
      <c r="O390" s="425">
        <v>8</v>
      </c>
      <c r="P390" s="425"/>
      <c r="Q390" s="294">
        <v>5</v>
      </c>
      <c r="R390" s="295" t="e">
        <f>IF(K390="nio",0,(K390*Q390)/X390)*VLOOKUP(C390,'2-Uren per locatie'!$B$15:$D$74,3,FALSE)</f>
        <v>#DIV/0!</v>
      </c>
      <c r="S390" s="295" t="e">
        <f>IF(K390="nio",0,(L390*Q390)/Y390)*VLOOKUP(C390,'2-Uren per locatie'!$B$15:$D$74,3,FALSE)</f>
        <v>#DIV/0!</v>
      </c>
      <c r="T390" s="295" t="e">
        <f>IF(K390="nio",0,(M390*Q390)/Z390)*VLOOKUP(C390,'2-Uren per locatie'!$B$15:$D$74,3,FALSE)</f>
        <v>#DIV/0!</v>
      </c>
      <c r="U390" s="295" t="e">
        <f>IF(K390="nio",0,(N390*Q390)/AA390)*VLOOKUP(C390,'2-Uren per locatie'!$B$15:$D$74,3,FALSE)</f>
        <v>#DIV/0!</v>
      </c>
      <c r="V390" s="295" t="e">
        <f>IF(K390="nio",0,(O390*Q390)/Z390)*VLOOKUP(C390,'2-Uren per locatie'!$B$15:$D$74,3,FALSE)</f>
        <v>#DIV/0!</v>
      </c>
      <c r="W390" s="295" t="e">
        <f>IF(K390="nio",0,(P390*Q390)/AA390)*VLOOKUP(C390,'2-Uren per locatie'!$B$15:$D$74,3,FALSE)</f>
        <v>#DIV/0!</v>
      </c>
      <c r="X390" s="485">
        <f>IF(K390="nio",0,IF(K390&gt;0,VLOOKUP(H390,'3-Productie normen'!A:F,VLOOKUP(K390,'3-Productie normen'!$B$29:$C$34,2,FALSE),FALSE)))</f>
        <v>0</v>
      </c>
      <c r="Y390" s="485">
        <f>VLOOKUP(H390,'3-Productie normen'!$A$10:$J$24,8,FALSE)*'3-Ruimtestaat'!X390</f>
        <v>0</v>
      </c>
      <c r="Z390" s="485">
        <f>VLOOKUP(H390,'3-Productie normen'!$A$10:$J$24,9,FALSE)*'3-Ruimtestaat'!X390</f>
        <v>0</v>
      </c>
      <c r="AA390" s="485">
        <f>VLOOKUP(H390,'3-Productie normen'!$A$10:$J$24,10,FALSE)*'3-Ruimtestaat'!X390</f>
        <v>0</v>
      </c>
      <c r="AB390" s="292" t="str">
        <f>IF(H390="",0,VLOOKUP(H390,'3-Productie normen'!$A$10:$N$23,14,FALSE))</f>
        <v>V</v>
      </c>
      <c r="AD390" s="296">
        <f t="shared" si="13"/>
        <v>1825</v>
      </c>
      <c r="AE390" s="78"/>
      <c r="AF390" s="297"/>
      <c r="AG390" s="297"/>
      <c r="AH390" s="297">
        <v>0</v>
      </c>
      <c r="AI390" s="297"/>
      <c r="AJ390" s="297"/>
      <c r="AK390" s="298"/>
      <c r="AL390" s="298"/>
      <c r="AM390" s="298"/>
      <c r="AN390" s="298"/>
      <c r="AO390" s="299"/>
    </row>
    <row r="391" spans="1:41" ht="15" customHeight="1">
      <c r="A391" s="254">
        <v>391</v>
      </c>
      <c r="B391" s="253">
        <v>303</v>
      </c>
      <c r="C391" s="240" t="s">
        <v>98</v>
      </c>
      <c r="D391" s="288" t="s">
        <v>96</v>
      </c>
      <c r="E391" s="289"/>
      <c r="F391" s="239" t="s">
        <v>530</v>
      </c>
      <c r="G391" s="290"/>
      <c r="H391" s="291" t="s">
        <v>149</v>
      </c>
      <c r="I391" s="239" t="s">
        <v>401</v>
      </c>
      <c r="J391" s="424">
        <f t="shared" si="12"/>
        <v>365</v>
      </c>
      <c r="K391" s="425">
        <v>255</v>
      </c>
      <c r="L391" s="425"/>
      <c r="M391" s="425">
        <v>102</v>
      </c>
      <c r="N391" s="425"/>
      <c r="O391" s="425">
        <v>8</v>
      </c>
      <c r="P391" s="425"/>
      <c r="Q391" s="294">
        <v>5</v>
      </c>
      <c r="R391" s="295" t="e">
        <f>IF(K391="nio",0,(K391*Q391)/X391)*VLOOKUP(C391,'2-Uren per locatie'!$B$15:$D$74,3,FALSE)</f>
        <v>#DIV/0!</v>
      </c>
      <c r="S391" s="295" t="e">
        <f>IF(K391="nio",0,(L391*Q391)/Y391)*VLOOKUP(C391,'2-Uren per locatie'!$B$15:$D$74,3,FALSE)</f>
        <v>#DIV/0!</v>
      </c>
      <c r="T391" s="295" t="e">
        <f>IF(K391="nio",0,(M391*Q391)/Z391)*VLOOKUP(C391,'2-Uren per locatie'!$B$15:$D$74,3,FALSE)</f>
        <v>#DIV/0!</v>
      </c>
      <c r="U391" s="295" t="e">
        <f>IF(K391="nio",0,(N391*Q391)/AA391)*VLOOKUP(C391,'2-Uren per locatie'!$B$15:$D$74,3,FALSE)</f>
        <v>#DIV/0!</v>
      </c>
      <c r="V391" s="295" t="e">
        <f>IF(K391="nio",0,(O391*Q391)/Z391)*VLOOKUP(C391,'2-Uren per locatie'!$B$15:$D$74,3,FALSE)</f>
        <v>#DIV/0!</v>
      </c>
      <c r="W391" s="295" t="e">
        <f>IF(K391="nio",0,(P391*Q391)/AA391)*VLOOKUP(C391,'2-Uren per locatie'!$B$15:$D$74,3,FALSE)</f>
        <v>#DIV/0!</v>
      </c>
      <c r="X391" s="485">
        <f>IF(K391="nio",0,IF(K391&gt;0,VLOOKUP(H391,'3-Productie normen'!A:F,VLOOKUP(K391,'3-Productie normen'!$B$29:$C$34,2,FALSE),FALSE)))</f>
        <v>0</v>
      </c>
      <c r="Y391" s="485">
        <f>VLOOKUP(H391,'3-Productie normen'!$A$10:$J$24,8,FALSE)*'3-Ruimtestaat'!X391</f>
        <v>0</v>
      </c>
      <c r="Z391" s="485">
        <f>VLOOKUP(H391,'3-Productie normen'!$A$10:$J$24,9,FALSE)*'3-Ruimtestaat'!X391</f>
        <v>0</v>
      </c>
      <c r="AA391" s="485">
        <f>VLOOKUP(H391,'3-Productie normen'!$A$10:$J$24,10,FALSE)*'3-Ruimtestaat'!X391</f>
        <v>0</v>
      </c>
      <c r="AB391" s="292" t="str">
        <f>IF(H391="",0,VLOOKUP(H391,'3-Productie normen'!$A$10:$N$23,14,FALSE))</f>
        <v>V</v>
      </c>
      <c r="AD391" s="296">
        <f t="shared" si="13"/>
        <v>1825</v>
      </c>
      <c r="AE391" s="78"/>
      <c r="AF391" s="297"/>
      <c r="AG391" s="297"/>
      <c r="AH391" s="297">
        <v>0</v>
      </c>
      <c r="AI391" s="297"/>
      <c r="AJ391" s="297"/>
      <c r="AK391" s="298"/>
      <c r="AL391" s="298"/>
      <c r="AM391" s="298"/>
      <c r="AN391" s="298"/>
      <c r="AO391" s="299"/>
    </row>
    <row r="392" spans="1:41" ht="15" customHeight="1">
      <c r="A392" s="254">
        <v>392</v>
      </c>
      <c r="B392" s="253">
        <v>303</v>
      </c>
      <c r="C392" s="240" t="s">
        <v>98</v>
      </c>
      <c r="D392" s="288" t="s">
        <v>96</v>
      </c>
      <c r="E392" s="289"/>
      <c r="F392" s="239" t="s">
        <v>589</v>
      </c>
      <c r="G392" s="290" t="s">
        <v>590</v>
      </c>
      <c r="H392" s="291" t="s">
        <v>149</v>
      </c>
      <c r="I392" s="239" t="s">
        <v>401</v>
      </c>
      <c r="J392" s="424">
        <f t="shared" ref="J392:J453" si="15">SUM(K392:P392)</f>
        <v>365</v>
      </c>
      <c r="K392" s="425">
        <v>255</v>
      </c>
      <c r="L392" s="425"/>
      <c r="M392" s="425">
        <v>102</v>
      </c>
      <c r="N392" s="425"/>
      <c r="O392" s="425">
        <v>8</v>
      </c>
      <c r="P392" s="425"/>
      <c r="Q392" s="294">
        <v>7</v>
      </c>
      <c r="R392" s="295" t="e">
        <f>IF(K392="nio",0,(K392*Q392)/X392)*VLOOKUP(C392,'2-Uren per locatie'!$B$15:$D$74,3,FALSE)</f>
        <v>#DIV/0!</v>
      </c>
      <c r="S392" s="295" t="e">
        <f>IF(K392="nio",0,(L392*Q392)/Y392)*VLOOKUP(C392,'2-Uren per locatie'!$B$15:$D$74,3,FALSE)</f>
        <v>#DIV/0!</v>
      </c>
      <c r="T392" s="295" t="e">
        <f>IF(K392="nio",0,(M392*Q392)/Z392)*VLOOKUP(C392,'2-Uren per locatie'!$B$15:$D$74,3,FALSE)</f>
        <v>#DIV/0!</v>
      </c>
      <c r="U392" s="295" t="e">
        <f>IF(K392="nio",0,(N392*Q392)/AA392)*VLOOKUP(C392,'2-Uren per locatie'!$B$15:$D$74,3,FALSE)</f>
        <v>#DIV/0!</v>
      </c>
      <c r="V392" s="295" t="e">
        <f>IF(K392="nio",0,(O392*Q392)/Z392)*VLOOKUP(C392,'2-Uren per locatie'!$B$15:$D$74,3,FALSE)</f>
        <v>#DIV/0!</v>
      </c>
      <c r="W392" s="295" t="e">
        <f>IF(K392="nio",0,(P392*Q392)/AA392)*VLOOKUP(C392,'2-Uren per locatie'!$B$15:$D$74,3,FALSE)</f>
        <v>#DIV/0!</v>
      </c>
      <c r="X392" s="485">
        <f>IF(K392="nio",0,IF(K392&gt;0,VLOOKUP(H392,'3-Productie normen'!A:F,VLOOKUP(K392,'3-Productie normen'!$B$29:$C$34,2,FALSE),FALSE)))</f>
        <v>0</v>
      </c>
      <c r="Y392" s="485">
        <f>VLOOKUP(H392,'3-Productie normen'!$A$10:$J$24,8,FALSE)*'3-Ruimtestaat'!X392</f>
        <v>0</v>
      </c>
      <c r="Z392" s="485">
        <f>VLOOKUP(H392,'3-Productie normen'!$A$10:$J$24,9,FALSE)*'3-Ruimtestaat'!X392</f>
        <v>0</v>
      </c>
      <c r="AA392" s="485">
        <f>VLOOKUP(H392,'3-Productie normen'!$A$10:$J$24,10,FALSE)*'3-Ruimtestaat'!X392</f>
        <v>0</v>
      </c>
      <c r="AB392" s="292" t="str">
        <f>IF(H392="",0,VLOOKUP(H392,'3-Productie normen'!$A$10:$N$23,14,FALSE))</f>
        <v>V</v>
      </c>
      <c r="AD392" s="296">
        <f t="shared" si="13"/>
        <v>2555</v>
      </c>
      <c r="AE392" s="78"/>
      <c r="AF392" s="297"/>
      <c r="AG392" s="297"/>
      <c r="AH392" s="297">
        <v>92</v>
      </c>
      <c r="AI392" s="297"/>
      <c r="AJ392" s="297"/>
      <c r="AK392" s="298"/>
      <c r="AL392" s="298"/>
      <c r="AM392" s="298"/>
      <c r="AN392" s="298"/>
      <c r="AO392" s="299"/>
    </row>
    <row r="393" spans="1:41" ht="15" customHeight="1">
      <c r="A393" s="254">
        <v>393</v>
      </c>
      <c r="B393" s="253">
        <v>304</v>
      </c>
      <c r="C393" s="240" t="s">
        <v>99</v>
      </c>
      <c r="D393" s="288" t="s">
        <v>96</v>
      </c>
      <c r="E393" s="289"/>
      <c r="F393" s="239" t="s">
        <v>565</v>
      </c>
      <c r="G393" s="290" t="s">
        <v>591</v>
      </c>
      <c r="H393" s="291" t="s">
        <v>155</v>
      </c>
      <c r="I393" s="239" t="s">
        <v>392</v>
      </c>
      <c r="J393" s="424">
        <f t="shared" si="15"/>
        <v>365</v>
      </c>
      <c r="K393" s="425">
        <v>127</v>
      </c>
      <c r="L393" s="425">
        <v>126</v>
      </c>
      <c r="M393" s="425">
        <v>52</v>
      </c>
      <c r="N393" s="425">
        <v>52</v>
      </c>
      <c r="O393" s="425">
        <v>4</v>
      </c>
      <c r="P393" s="425">
        <v>4</v>
      </c>
      <c r="Q393" s="294">
        <v>152</v>
      </c>
      <c r="R393" s="295" t="e">
        <f>IF(K393="nio",0,(K393*Q393)/X393)*VLOOKUP(C393,'2-Uren per locatie'!$B$15:$D$74,3,FALSE)</f>
        <v>#DIV/0!</v>
      </c>
      <c r="S393" s="295" t="e">
        <f>IF(K393="nio",0,(L393*Q393)/Y393)*VLOOKUP(C393,'2-Uren per locatie'!$B$15:$D$74,3,FALSE)</f>
        <v>#DIV/0!</v>
      </c>
      <c r="T393" s="295" t="e">
        <f>IF(K393="nio",0,(M393*Q393)/Z393)*VLOOKUP(C393,'2-Uren per locatie'!$B$15:$D$74,3,FALSE)</f>
        <v>#DIV/0!</v>
      </c>
      <c r="U393" s="295" t="e">
        <f>IF(K393="nio",0,(N393*Q393)/AA393)*VLOOKUP(C393,'2-Uren per locatie'!$B$15:$D$74,3,FALSE)</f>
        <v>#DIV/0!</v>
      </c>
      <c r="V393" s="295" t="e">
        <f>IF(K393="nio",0,(O393*Q393)/Z393)*VLOOKUP(C393,'2-Uren per locatie'!$B$15:$D$74,3,FALSE)</f>
        <v>#DIV/0!</v>
      </c>
      <c r="W393" s="295" t="e">
        <f>IF(K393="nio",0,(P393*Q393)/AA393)*VLOOKUP(C393,'2-Uren per locatie'!$B$15:$D$74,3,FALSE)</f>
        <v>#DIV/0!</v>
      </c>
      <c r="X393" s="485">
        <f>IF(K393="nio",0,IF(K393&gt;0,VLOOKUP(H393,'3-Productie normen'!A:F,VLOOKUP(K393,'3-Productie normen'!$B$29:$C$34,2,FALSE),FALSE)))</f>
        <v>0</v>
      </c>
      <c r="Y393" s="485">
        <f>VLOOKUP(H393,'3-Productie normen'!$A$10:$J$24,8,FALSE)*'3-Ruimtestaat'!X393</f>
        <v>0</v>
      </c>
      <c r="Z393" s="485">
        <f>VLOOKUP(H393,'3-Productie normen'!$A$10:$J$24,9,FALSE)*'3-Ruimtestaat'!X393</f>
        <v>0</v>
      </c>
      <c r="AA393" s="485">
        <f>VLOOKUP(H393,'3-Productie normen'!$A$10:$J$24,10,FALSE)*'3-Ruimtestaat'!X393</f>
        <v>0</v>
      </c>
      <c r="AB393" s="292" t="str">
        <f>IF(H393="",0,VLOOKUP(H393,'3-Productie normen'!$A$10:$N$23,14,FALSE))</f>
        <v>V</v>
      </c>
      <c r="AD393" s="296">
        <f t="shared" si="13"/>
        <v>55480</v>
      </c>
      <c r="AE393" s="78"/>
      <c r="AF393" s="297"/>
      <c r="AG393" s="297"/>
      <c r="AH393" s="297"/>
      <c r="AI393" s="297"/>
      <c r="AJ393" s="297"/>
      <c r="AK393" s="298"/>
      <c r="AL393" s="298"/>
      <c r="AM393" s="298"/>
      <c r="AN393" s="298"/>
      <c r="AO393" s="299"/>
    </row>
    <row r="394" spans="1:41" ht="15" customHeight="1">
      <c r="A394" s="254">
        <v>394</v>
      </c>
      <c r="B394" s="253">
        <v>304</v>
      </c>
      <c r="C394" s="240" t="s">
        <v>99</v>
      </c>
      <c r="D394" s="288" t="s">
        <v>96</v>
      </c>
      <c r="E394" s="289"/>
      <c r="F394" s="239" t="s">
        <v>566</v>
      </c>
      <c r="G394" s="290" t="s">
        <v>567</v>
      </c>
      <c r="H394" s="291" t="s">
        <v>151</v>
      </c>
      <c r="I394" s="239" t="s">
        <v>592</v>
      </c>
      <c r="J394" s="424">
        <f t="shared" si="15"/>
        <v>365</v>
      </c>
      <c r="K394" s="425">
        <v>127</v>
      </c>
      <c r="L394" s="425">
        <v>126</v>
      </c>
      <c r="M394" s="425">
        <v>52</v>
      </c>
      <c r="N394" s="425">
        <v>52</v>
      </c>
      <c r="O394" s="425">
        <v>4</v>
      </c>
      <c r="P394" s="425">
        <v>4</v>
      </c>
      <c r="Q394" s="294">
        <v>1279</v>
      </c>
      <c r="R394" s="295" t="e">
        <f>IF(K394="nio",0,(K394*Q394)/X394)*VLOOKUP(C394,'2-Uren per locatie'!$B$15:$D$74,3,FALSE)</f>
        <v>#DIV/0!</v>
      </c>
      <c r="S394" s="295" t="e">
        <f>IF(K394="nio",0,(L394*Q394)/Y394)*VLOOKUP(C394,'2-Uren per locatie'!$B$15:$D$74,3,FALSE)</f>
        <v>#DIV/0!</v>
      </c>
      <c r="T394" s="295" t="e">
        <f>IF(K394="nio",0,(M394*Q394)/Z394)*VLOOKUP(C394,'2-Uren per locatie'!$B$15:$D$74,3,FALSE)</f>
        <v>#DIV/0!</v>
      </c>
      <c r="U394" s="295" t="e">
        <f>IF(K394="nio",0,(N394*Q394)/AA394)*VLOOKUP(C394,'2-Uren per locatie'!$B$15:$D$74,3,FALSE)</f>
        <v>#DIV/0!</v>
      </c>
      <c r="V394" s="295" t="e">
        <f>IF(K394="nio",0,(O394*Q394)/Z394)*VLOOKUP(C394,'2-Uren per locatie'!$B$15:$D$74,3,FALSE)</f>
        <v>#DIV/0!</v>
      </c>
      <c r="W394" s="295" t="e">
        <f>IF(K394="nio",0,(P394*Q394)/AA394)*VLOOKUP(C394,'2-Uren per locatie'!$B$15:$D$74,3,FALSE)</f>
        <v>#DIV/0!</v>
      </c>
      <c r="X394" s="485">
        <f>IF(K394="nio",0,IF(K394&gt;0,VLOOKUP(H394,'3-Productie normen'!A:F,VLOOKUP(K394,'3-Productie normen'!$B$29:$C$34,2,FALSE),FALSE)))</f>
        <v>0</v>
      </c>
      <c r="Y394" s="485">
        <f>VLOOKUP(H394,'3-Productie normen'!$A$10:$J$24,8,FALSE)*'3-Ruimtestaat'!X394</f>
        <v>0</v>
      </c>
      <c r="Z394" s="485">
        <f>VLOOKUP(H394,'3-Productie normen'!$A$10:$J$24,9,FALSE)*'3-Ruimtestaat'!X394</f>
        <v>0</v>
      </c>
      <c r="AA394" s="485">
        <f>VLOOKUP(H394,'3-Productie normen'!$A$10:$J$24,10,FALSE)*'3-Ruimtestaat'!X394</f>
        <v>0</v>
      </c>
      <c r="AB394" s="292" t="str">
        <f>IF(H394="",0,VLOOKUP(H394,'3-Productie normen'!$A$10:$N$23,14,FALSE))</f>
        <v>V</v>
      </c>
      <c r="AD394" s="296">
        <f t="shared" si="13"/>
        <v>466835</v>
      </c>
      <c r="AE394" s="78"/>
      <c r="AF394" s="297"/>
      <c r="AG394" s="297"/>
      <c r="AH394" s="297"/>
      <c r="AI394" s="297"/>
      <c r="AJ394" s="297"/>
      <c r="AK394" s="298"/>
      <c r="AL394" s="298"/>
      <c r="AM394" s="298"/>
      <c r="AN394" s="298"/>
      <c r="AO394" s="299"/>
    </row>
    <row r="395" spans="1:41" ht="15" customHeight="1">
      <c r="A395" s="254">
        <v>395</v>
      </c>
      <c r="B395" s="253">
        <v>304</v>
      </c>
      <c r="C395" s="240" t="s">
        <v>99</v>
      </c>
      <c r="D395" s="288" t="s">
        <v>96</v>
      </c>
      <c r="E395" s="289"/>
      <c r="F395" s="239" t="s">
        <v>593</v>
      </c>
      <c r="G395" s="290" t="s">
        <v>567</v>
      </c>
      <c r="H395" s="291" t="s">
        <v>151</v>
      </c>
      <c r="I395" s="239" t="s">
        <v>594</v>
      </c>
      <c r="J395" s="424">
        <f t="shared" si="15"/>
        <v>365</v>
      </c>
      <c r="K395" s="425">
        <v>127</v>
      </c>
      <c r="L395" s="425">
        <v>126</v>
      </c>
      <c r="M395" s="425">
        <v>52</v>
      </c>
      <c r="N395" s="425">
        <v>52</v>
      </c>
      <c r="O395" s="425">
        <v>4</v>
      </c>
      <c r="P395" s="425">
        <v>4</v>
      </c>
      <c r="Q395" s="294">
        <v>165</v>
      </c>
      <c r="R395" s="295" t="e">
        <f>IF(K395="nio",0,(K395*Q395)/X395)*VLOOKUP(C395,'2-Uren per locatie'!$B$15:$D$74,3,FALSE)</f>
        <v>#DIV/0!</v>
      </c>
      <c r="S395" s="295" t="e">
        <f>IF(K395="nio",0,(L395*Q395)/Y395)*VLOOKUP(C395,'2-Uren per locatie'!$B$15:$D$74,3,FALSE)</f>
        <v>#DIV/0!</v>
      </c>
      <c r="T395" s="295" t="e">
        <f>IF(K395="nio",0,(M395*Q395)/Z395)*VLOOKUP(C395,'2-Uren per locatie'!$B$15:$D$74,3,FALSE)</f>
        <v>#DIV/0!</v>
      </c>
      <c r="U395" s="295" t="e">
        <f>IF(K395="nio",0,(N395*Q395)/AA395)*VLOOKUP(C395,'2-Uren per locatie'!$B$15:$D$74,3,FALSE)</f>
        <v>#DIV/0!</v>
      </c>
      <c r="V395" s="295" t="e">
        <f>IF(K395="nio",0,(O395*Q395)/Z395)*VLOOKUP(C395,'2-Uren per locatie'!$B$15:$D$74,3,FALSE)</f>
        <v>#DIV/0!</v>
      </c>
      <c r="W395" s="295" t="e">
        <f>IF(K395="nio",0,(P395*Q395)/AA395)*VLOOKUP(C395,'2-Uren per locatie'!$B$15:$D$74,3,FALSE)</f>
        <v>#DIV/0!</v>
      </c>
      <c r="X395" s="485">
        <f>IF(K395="nio",0,IF(K395&gt;0,VLOOKUP(H395,'3-Productie normen'!A:F,VLOOKUP(K395,'3-Productie normen'!$B$29:$C$34,2,FALSE),FALSE)))</f>
        <v>0</v>
      </c>
      <c r="Y395" s="485">
        <f>VLOOKUP(H395,'3-Productie normen'!$A$10:$J$24,8,FALSE)*'3-Ruimtestaat'!X395</f>
        <v>0</v>
      </c>
      <c r="Z395" s="485">
        <f>VLOOKUP(H395,'3-Productie normen'!$A$10:$J$24,9,FALSE)*'3-Ruimtestaat'!X395</f>
        <v>0</v>
      </c>
      <c r="AA395" s="485">
        <f>VLOOKUP(H395,'3-Productie normen'!$A$10:$J$24,10,FALSE)*'3-Ruimtestaat'!X395</f>
        <v>0</v>
      </c>
      <c r="AB395" s="292" t="str">
        <f>IF(H395="",0,VLOOKUP(H395,'3-Productie normen'!$A$10:$N$23,14,FALSE))</f>
        <v>V</v>
      </c>
      <c r="AD395" s="296">
        <f t="shared" si="13"/>
        <v>60225</v>
      </c>
      <c r="AE395" s="78"/>
      <c r="AF395" s="297"/>
      <c r="AG395" s="297"/>
      <c r="AH395" s="297"/>
      <c r="AI395" s="297"/>
      <c r="AJ395" s="297"/>
      <c r="AK395" s="298"/>
      <c r="AL395" s="298"/>
      <c r="AM395" s="298"/>
      <c r="AN395" s="298"/>
      <c r="AO395" s="299"/>
    </row>
    <row r="396" spans="1:41" ht="15" customHeight="1">
      <c r="A396" s="254">
        <v>396</v>
      </c>
      <c r="B396" s="253">
        <v>304</v>
      </c>
      <c r="C396" s="240" t="s">
        <v>99</v>
      </c>
      <c r="D396" s="288" t="s">
        <v>96</v>
      </c>
      <c r="E396" s="289"/>
      <c r="F396" s="239" t="s">
        <v>595</v>
      </c>
      <c r="G396" s="290" t="s">
        <v>567</v>
      </c>
      <c r="H396" s="291" t="s">
        <v>151</v>
      </c>
      <c r="I396" s="239" t="s">
        <v>459</v>
      </c>
      <c r="J396" s="424">
        <f t="shared" si="15"/>
        <v>365</v>
      </c>
      <c r="K396" s="425">
        <v>127</v>
      </c>
      <c r="L396" s="425">
        <v>126</v>
      </c>
      <c r="M396" s="425">
        <v>52</v>
      </c>
      <c r="N396" s="425">
        <v>52</v>
      </c>
      <c r="O396" s="425">
        <v>4</v>
      </c>
      <c r="P396" s="425">
        <v>4</v>
      </c>
      <c r="Q396" s="294">
        <v>241</v>
      </c>
      <c r="R396" s="295" t="e">
        <f>IF(K396="nio",0,(K396*Q396)/X396)*VLOOKUP(C396,'2-Uren per locatie'!$B$15:$D$74,3,FALSE)</f>
        <v>#DIV/0!</v>
      </c>
      <c r="S396" s="295" t="e">
        <f>IF(K396="nio",0,(L396*Q396)/Y396)*VLOOKUP(C396,'2-Uren per locatie'!$B$15:$D$74,3,FALSE)</f>
        <v>#DIV/0!</v>
      </c>
      <c r="T396" s="295" t="e">
        <f>IF(K396="nio",0,(M396*Q396)/Z396)*VLOOKUP(C396,'2-Uren per locatie'!$B$15:$D$74,3,FALSE)</f>
        <v>#DIV/0!</v>
      </c>
      <c r="U396" s="295" t="e">
        <f>IF(K396="nio",0,(N396*Q396)/AA396)*VLOOKUP(C396,'2-Uren per locatie'!$B$15:$D$74,3,FALSE)</f>
        <v>#DIV/0!</v>
      </c>
      <c r="V396" s="295" t="e">
        <f>IF(K396="nio",0,(O396*Q396)/Z396)*VLOOKUP(C396,'2-Uren per locatie'!$B$15:$D$74,3,FALSE)</f>
        <v>#DIV/0!</v>
      </c>
      <c r="W396" s="295" t="e">
        <f>IF(K396="nio",0,(P396*Q396)/AA396)*VLOOKUP(C396,'2-Uren per locatie'!$B$15:$D$74,3,FALSE)</f>
        <v>#DIV/0!</v>
      </c>
      <c r="X396" s="485">
        <f>IF(K396="nio",0,IF(K396&gt;0,VLOOKUP(H396,'3-Productie normen'!A:F,VLOOKUP(K396,'3-Productie normen'!$B$29:$C$34,2,FALSE),FALSE)))</f>
        <v>0</v>
      </c>
      <c r="Y396" s="485">
        <f>VLOOKUP(H396,'3-Productie normen'!$A$10:$J$24,8,FALSE)*'3-Ruimtestaat'!X396</f>
        <v>0</v>
      </c>
      <c r="Z396" s="485">
        <f>VLOOKUP(H396,'3-Productie normen'!$A$10:$J$24,9,FALSE)*'3-Ruimtestaat'!X396</f>
        <v>0</v>
      </c>
      <c r="AA396" s="485">
        <f>VLOOKUP(H396,'3-Productie normen'!$A$10:$J$24,10,FALSE)*'3-Ruimtestaat'!X396</f>
        <v>0</v>
      </c>
      <c r="AB396" s="292" t="str">
        <f>IF(H396="",0,VLOOKUP(H396,'3-Productie normen'!$A$10:$N$23,14,FALSE))</f>
        <v>V</v>
      </c>
      <c r="AD396" s="296">
        <f t="shared" ref="AD396:AD459" si="16">Q396*J396</f>
        <v>87965</v>
      </c>
      <c r="AE396" s="78"/>
      <c r="AF396" s="297"/>
      <c r="AG396" s="297"/>
      <c r="AH396" s="297"/>
      <c r="AI396" s="297"/>
      <c r="AJ396" s="297"/>
      <c r="AK396" s="298"/>
      <c r="AL396" s="298"/>
      <c r="AM396" s="298"/>
      <c r="AN396" s="298"/>
      <c r="AO396" s="299"/>
    </row>
    <row r="397" spans="1:41" ht="15" customHeight="1">
      <c r="A397" s="254">
        <v>397</v>
      </c>
      <c r="B397" s="253">
        <v>304</v>
      </c>
      <c r="C397" s="240" t="s">
        <v>99</v>
      </c>
      <c r="D397" s="288" t="s">
        <v>96</v>
      </c>
      <c r="E397" s="289"/>
      <c r="F397" s="239" t="s">
        <v>575</v>
      </c>
      <c r="G397" s="290" t="s">
        <v>596</v>
      </c>
      <c r="H397" s="291" t="s">
        <v>152</v>
      </c>
      <c r="I397" s="239" t="s">
        <v>265</v>
      </c>
      <c r="J397" s="424">
        <f t="shared" si="15"/>
        <v>365</v>
      </c>
      <c r="K397" s="425">
        <v>127</v>
      </c>
      <c r="L397" s="425">
        <v>126</v>
      </c>
      <c r="M397" s="425">
        <v>52</v>
      </c>
      <c r="N397" s="425">
        <v>52</v>
      </c>
      <c r="O397" s="425">
        <v>4</v>
      </c>
      <c r="P397" s="425">
        <v>4</v>
      </c>
      <c r="Q397" s="294">
        <v>62</v>
      </c>
      <c r="R397" s="295" t="e">
        <f>IF(K397="nio",0,(K397*Q397)/X397)*VLOOKUP(C397,'2-Uren per locatie'!$B$15:$D$74,3,FALSE)</f>
        <v>#DIV/0!</v>
      </c>
      <c r="S397" s="295" t="e">
        <f>IF(K397="nio",0,(L397*Q397)/Y397)*VLOOKUP(C397,'2-Uren per locatie'!$B$15:$D$74,3,FALSE)</f>
        <v>#DIV/0!</v>
      </c>
      <c r="T397" s="295" t="e">
        <f>IF(K397="nio",0,(M397*Q397)/Z397)*VLOOKUP(C397,'2-Uren per locatie'!$B$15:$D$74,3,FALSE)</f>
        <v>#DIV/0!</v>
      </c>
      <c r="U397" s="295" t="e">
        <f>IF(K397="nio",0,(N397*Q397)/AA397)*VLOOKUP(C397,'2-Uren per locatie'!$B$15:$D$74,3,FALSE)</f>
        <v>#DIV/0!</v>
      </c>
      <c r="V397" s="295" t="e">
        <f>IF(K397="nio",0,(O397*Q397)/Z397)*VLOOKUP(C397,'2-Uren per locatie'!$B$15:$D$74,3,FALSE)</f>
        <v>#DIV/0!</v>
      </c>
      <c r="W397" s="295" t="e">
        <f>IF(K397="nio",0,(P397*Q397)/AA397)*VLOOKUP(C397,'2-Uren per locatie'!$B$15:$D$74,3,FALSE)</f>
        <v>#DIV/0!</v>
      </c>
      <c r="X397" s="485">
        <f>IF(K397="nio",0,IF(K397&gt;0,VLOOKUP(H397,'3-Productie normen'!A:F,VLOOKUP(K397,'3-Productie normen'!$B$29:$C$34,2,FALSE),FALSE)))</f>
        <v>0</v>
      </c>
      <c r="Y397" s="485">
        <f>VLOOKUP(H397,'3-Productie normen'!$A$10:$J$24,8,FALSE)*'3-Ruimtestaat'!X397</f>
        <v>0</v>
      </c>
      <c r="Z397" s="485">
        <f>VLOOKUP(H397,'3-Productie normen'!$A$10:$J$24,9,FALSE)*'3-Ruimtestaat'!X397</f>
        <v>0</v>
      </c>
      <c r="AA397" s="485">
        <f>VLOOKUP(H397,'3-Productie normen'!$A$10:$J$24,10,FALSE)*'3-Ruimtestaat'!X397</f>
        <v>0</v>
      </c>
      <c r="AB397" s="292" t="str">
        <f>IF(H397="",0,VLOOKUP(H397,'3-Productie normen'!$A$10:$N$23,14,FALSE))</f>
        <v>V</v>
      </c>
      <c r="AD397" s="296">
        <f t="shared" si="16"/>
        <v>22630</v>
      </c>
      <c r="AE397" s="78"/>
      <c r="AF397" s="297"/>
      <c r="AG397" s="297"/>
      <c r="AH397" s="297"/>
      <c r="AI397" s="297">
        <v>36</v>
      </c>
      <c r="AJ397" s="297"/>
      <c r="AK397" s="298"/>
      <c r="AL397" s="298"/>
      <c r="AM397" s="298"/>
      <c r="AN397" s="298"/>
      <c r="AO397" s="299"/>
    </row>
    <row r="398" spans="1:41" ht="15" customHeight="1">
      <c r="A398" s="254">
        <v>398</v>
      </c>
      <c r="B398" s="253">
        <v>304</v>
      </c>
      <c r="C398" s="240" t="s">
        <v>99</v>
      </c>
      <c r="D398" s="288" t="s">
        <v>96</v>
      </c>
      <c r="E398" s="289"/>
      <c r="F398" s="239" t="s">
        <v>597</v>
      </c>
      <c r="G398" s="290" t="s">
        <v>598</v>
      </c>
      <c r="H398" s="291" t="s">
        <v>143</v>
      </c>
      <c r="I398" s="239" t="s">
        <v>545</v>
      </c>
      <c r="J398" s="424">
        <f t="shared" si="15"/>
        <v>365</v>
      </c>
      <c r="K398" s="425">
        <v>127</v>
      </c>
      <c r="L398" s="425">
        <v>126</v>
      </c>
      <c r="M398" s="425">
        <v>52</v>
      </c>
      <c r="N398" s="425">
        <v>52</v>
      </c>
      <c r="O398" s="425">
        <v>4</v>
      </c>
      <c r="P398" s="425">
        <v>4</v>
      </c>
      <c r="Q398" s="294">
        <v>90</v>
      </c>
      <c r="R398" s="295" t="e">
        <f>IF(K398="nio",0,(K398*Q398)/X398)*VLOOKUP(C398,'2-Uren per locatie'!$B$15:$D$74,3,FALSE)</f>
        <v>#DIV/0!</v>
      </c>
      <c r="S398" s="295" t="e">
        <f>IF(K398="nio",0,(L398*Q398)/Y398)*VLOOKUP(C398,'2-Uren per locatie'!$B$15:$D$74,3,FALSE)</f>
        <v>#DIV/0!</v>
      </c>
      <c r="T398" s="295" t="e">
        <f>IF(K398="nio",0,(M398*Q398)/Z398)*VLOOKUP(C398,'2-Uren per locatie'!$B$15:$D$74,3,FALSE)</f>
        <v>#DIV/0!</v>
      </c>
      <c r="U398" s="295" t="e">
        <f>IF(K398="nio",0,(N398*Q398)/AA398)*VLOOKUP(C398,'2-Uren per locatie'!$B$15:$D$74,3,FALSE)</f>
        <v>#DIV/0!</v>
      </c>
      <c r="V398" s="295" t="e">
        <f>IF(K398="nio",0,(O398*Q398)/Z398)*VLOOKUP(C398,'2-Uren per locatie'!$B$15:$D$74,3,FALSE)</f>
        <v>#DIV/0!</v>
      </c>
      <c r="W398" s="295" t="e">
        <f>IF(K398="nio",0,(P398*Q398)/AA398)*VLOOKUP(C398,'2-Uren per locatie'!$B$15:$D$74,3,FALSE)</f>
        <v>#DIV/0!</v>
      </c>
      <c r="X398" s="485">
        <f>IF(K398="nio",0,IF(K398&gt;0,VLOOKUP(H398,'3-Productie normen'!A:F,VLOOKUP(K398,'3-Productie normen'!$B$29:$C$34,2,FALSE),FALSE)))</f>
        <v>0</v>
      </c>
      <c r="Y398" s="485">
        <f>VLOOKUP(H398,'3-Productie normen'!$A$10:$J$24,8,FALSE)*'3-Ruimtestaat'!X398</f>
        <v>0</v>
      </c>
      <c r="Z398" s="485">
        <f>VLOOKUP(H398,'3-Productie normen'!$A$10:$J$24,9,FALSE)*'3-Ruimtestaat'!X398</f>
        <v>0</v>
      </c>
      <c r="AA398" s="485">
        <f>VLOOKUP(H398,'3-Productie normen'!$A$10:$J$24,10,FALSE)*'3-Ruimtestaat'!X398</f>
        <v>0</v>
      </c>
      <c r="AB398" s="292" t="str">
        <f>IF(H398="",0,VLOOKUP(H398,'3-Productie normen'!$A$10:$N$23,14,FALSE))</f>
        <v>V</v>
      </c>
      <c r="AD398" s="296">
        <f t="shared" si="16"/>
        <v>32850</v>
      </c>
      <c r="AE398" s="78"/>
      <c r="AF398" s="297"/>
      <c r="AG398" s="297"/>
      <c r="AH398" s="297"/>
      <c r="AI398" s="297"/>
      <c r="AJ398" s="297"/>
      <c r="AK398" s="298"/>
      <c r="AL398" s="298"/>
      <c r="AM398" s="298"/>
      <c r="AN398" s="298"/>
      <c r="AO398" s="299" t="s">
        <v>599</v>
      </c>
    </row>
    <row r="399" spans="1:41" ht="15" customHeight="1">
      <c r="A399" s="254">
        <v>399</v>
      </c>
      <c r="B399" s="253">
        <v>304</v>
      </c>
      <c r="C399" s="240" t="s">
        <v>99</v>
      </c>
      <c r="D399" s="288" t="s">
        <v>96</v>
      </c>
      <c r="E399" s="289"/>
      <c r="F399" s="239" t="s">
        <v>579</v>
      </c>
      <c r="G399" s="290" t="s">
        <v>533</v>
      </c>
      <c r="H399" s="291" t="s">
        <v>149</v>
      </c>
      <c r="I399" s="239" t="s">
        <v>401</v>
      </c>
      <c r="J399" s="424">
        <f t="shared" si="15"/>
        <v>365</v>
      </c>
      <c r="K399" s="425">
        <v>127</v>
      </c>
      <c r="L399" s="425">
        <v>126</v>
      </c>
      <c r="M399" s="425">
        <v>52</v>
      </c>
      <c r="N399" s="425">
        <v>52</v>
      </c>
      <c r="O399" s="425">
        <v>4</v>
      </c>
      <c r="P399" s="425">
        <v>4</v>
      </c>
      <c r="Q399" s="294">
        <v>5</v>
      </c>
      <c r="R399" s="295" t="e">
        <f>IF(K399="nio",0,(K399*Q399)/X399)*VLOOKUP(C399,'2-Uren per locatie'!$B$15:$D$74,3,FALSE)</f>
        <v>#DIV/0!</v>
      </c>
      <c r="S399" s="295" t="e">
        <f>IF(K399="nio",0,(L399*Q399)/Y399)*VLOOKUP(C399,'2-Uren per locatie'!$B$15:$D$74,3,FALSE)</f>
        <v>#DIV/0!</v>
      </c>
      <c r="T399" s="295" t="e">
        <f>IF(K399="nio",0,(M399*Q399)/Z399)*VLOOKUP(C399,'2-Uren per locatie'!$B$15:$D$74,3,FALSE)</f>
        <v>#DIV/0!</v>
      </c>
      <c r="U399" s="295" t="e">
        <f>IF(K399="nio",0,(N399*Q399)/AA399)*VLOOKUP(C399,'2-Uren per locatie'!$B$15:$D$74,3,FALSE)</f>
        <v>#DIV/0!</v>
      </c>
      <c r="V399" s="295" t="e">
        <f>IF(K399="nio",0,(O399*Q399)/Z399)*VLOOKUP(C399,'2-Uren per locatie'!$B$15:$D$74,3,FALSE)</f>
        <v>#DIV/0!</v>
      </c>
      <c r="W399" s="295" t="e">
        <f>IF(K399="nio",0,(P399*Q399)/AA399)*VLOOKUP(C399,'2-Uren per locatie'!$B$15:$D$74,3,FALSE)</f>
        <v>#DIV/0!</v>
      </c>
      <c r="X399" s="485">
        <f>IF(K399="nio",0,IF(K399&gt;0,VLOOKUP(H399,'3-Productie normen'!A:F,VLOOKUP(K399,'3-Productie normen'!$B$29:$C$34,2,FALSE),FALSE)))</f>
        <v>0</v>
      </c>
      <c r="Y399" s="485">
        <f>VLOOKUP(H399,'3-Productie normen'!$A$10:$J$24,8,FALSE)*'3-Ruimtestaat'!X399</f>
        <v>0</v>
      </c>
      <c r="Z399" s="485">
        <f>VLOOKUP(H399,'3-Productie normen'!$A$10:$J$24,9,FALSE)*'3-Ruimtestaat'!X399</f>
        <v>0</v>
      </c>
      <c r="AA399" s="485">
        <f>VLOOKUP(H399,'3-Productie normen'!$A$10:$J$24,10,FALSE)*'3-Ruimtestaat'!X399</f>
        <v>0</v>
      </c>
      <c r="AB399" s="292" t="str">
        <f>IF(H399="",0,VLOOKUP(H399,'3-Productie normen'!$A$10:$N$23,14,FALSE))</f>
        <v>V</v>
      </c>
      <c r="AD399" s="296">
        <f t="shared" si="16"/>
        <v>1825</v>
      </c>
      <c r="AE399" s="78"/>
      <c r="AF399" s="297"/>
      <c r="AG399" s="297"/>
      <c r="AH399" s="297"/>
      <c r="AI399" s="297"/>
      <c r="AJ399" s="297"/>
      <c r="AK399" s="298"/>
      <c r="AL399" s="298"/>
      <c r="AM399" s="298"/>
      <c r="AN399" s="298"/>
      <c r="AO399" s="299"/>
    </row>
    <row r="400" spans="1:41" ht="15" customHeight="1">
      <c r="A400" s="254">
        <v>400</v>
      </c>
      <c r="B400" s="253">
        <v>305</v>
      </c>
      <c r="C400" s="240" t="s">
        <v>100</v>
      </c>
      <c r="D400" s="288" t="s">
        <v>96</v>
      </c>
      <c r="E400" s="289"/>
      <c r="F400" s="239" t="s">
        <v>453</v>
      </c>
      <c r="G400" s="290" t="s">
        <v>600</v>
      </c>
      <c r="H400" s="291" t="s">
        <v>151</v>
      </c>
      <c r="I400" s="239" t="s">
        <v>592</v>
      </c>
      <c r="J400" s="424">
        <f t="shared" si="15"/>
        <v>365</v>
      </c>
      <c r="K400" s="425">
        <v>102</v>
      </c>
      <c r="L400" s="425">
        <v>153</v>
      </c>
      <c r="M400" s="425"/>
      <c r="N400" s="425">
        <v>102</v>
      </c>
      <c r="O400" s="425"/>
      <c r="P400" s="425">
        <v>8</v>
      </c>
      <c r="Q400" s="294">
        <v>608</v>
      </c>
      <c r="R400" s="295" t="e">
        <f>IF(K400="nio",0,(K400*Q400)/X400)*VLOOKUP(C400,'2-Uren per locatie'!$B$15:$D$74,3,FALSE)</f>
        <v>#DIV/0!</v>
      </c>
      <c r="S400" s="295" t="e">
        <f>IF(K400="nio",0,(L400*Q400)/Y400)*VLOOKUP(C400,'2-Uren per locatie'!$B$15:$D$74,3,FALSE)</f>
        <v>#DIV/0!</v>
      </c>
      <c r="T400" s="295" t="e">
        <f>IF(K400="nio",0,(M400*Q400)/Z400)*VLOOKUP(C400,'2-Uren per locatie'!$B$15:$D$74,3,FALSE)</f>
        <v>#DIV/0!</v>
      </c>
      <c r="U400" s="295" t="e">
        <f>IF(K400="nio",0,(N400*Q400)/AA400)*VLOOKUP(C400,'2-Uren per locatie'!$B$15:$D$74,3,FALSE)</f>
        <v>#DIV/0!</v>
      </c>
      <c r="V400" s="295" t="e">
        <f>IF(K400="nio",0,(O400*Q400)/Z400)*VLOOKUP(C400,'2-Uren per locatie'!$B$15:$D$74,3,FALSE)</f>
        <v>#DIV/0!</v>
      </c>
      <c r="W400" s="295" t="e">
        <f>IF(K400="nio",0,(P400*Q400)/AA400)*VLOOKUP(C400,'2-Uren per locatie'!$B$15:$D$74,3,FALSE)</f>
        <v>#DIV/0!</v>
      </c>
      <c r="X400" s="485">
        <f>IF(K400="nio",0,IF(K400&gt;0,VLOOKUP(H400,'3-Productie normen'!A:F,VLOOKUP(K400,'3-Productie normen'!$B$29:$C$34,2,FALSE),FALSE)))</f>
        <v>0</v>
      </c>
      <c r="Y400" s="485">
        <f>VLOOKUP(H400,'3-Productie normen'!$A$10:$J$24,8,FALSE)*'3-Ruimtestaat'!X400</f>
        <v>0</v>
      </c>
      <c r="Z400" s="485">
        <f>VLOOKUP(H400,'3-Productie normen'!$A$10:$J$24,9,FALSE)*'3-Ruimtestaat'!X400</f>
        <v>0</v>
      </c>
      <c r="AA400" s="485">
        <f>VLOOKUP(H400,'3-Productie normen'!$A$10:$J$24,10,FALSE)*'3-Ruimtestaat'!X400</f>
        <v>0</v>
      </c>
      <c r="AB400" s="292" t="str">
        <f>IF(H400="",0,VLOOKUP(H400,'3-Productie normen'!$A$10:$N$23,14,FALSE))</f>
        <v>V</v>
      </c>
      <c r="AD400" s="296">
        <f t="shared" si="16"/>
        <v>221920</v>
      </c>
      <c r="AE400" s="78"/>
      <c r="AF400" s="297"/>
      <c r="AG400" s="297"/>
      <c r="AH400" s="297"/>
      <c r="AI400" s="297"/>
      <c r="AJ400" s="297"/>
      <c r="AK400" s="298"/>
      <c r="AL400" s="298"/>
      <c r="AM400" s="298"/>
      <c r="AN400" s="298"/>
      <c r="AO400" s="299"/>
    </row>
    <row r="401" spans="1:41" ht="15" customHeight="1">
      <c r="A401" s="254">
        <v>401</v>
      </c>
      <c r="B401" s="253">
        <v>305</v>
      </c>
      <c r="C401" s="240" t="s">
        <v>100</v>
      </c>
      <c r="D401" s="288" t="s">
        <v>96</v>
      </c>
      <c r="E401" s="289"/>
      <c r="F401" s="239" t="s">
        <v>593</v>
      </c>
      <c r="G401" s="290" t="s">
        <v>600</v>
      </c>
      <c r="H401" s="291" t="s">
        <v>151</v>
      </c>
      <c r="I401" s="239" t="s">
        <v>594</v>
      </c>
      <c r="J401" s="424">
        <f t="shared" si="15"/>
        <v>365</v>
      </c>
      <c r="K401" s="425">
        <v>102</v>
      </c>
      <c r="L401" s="425">
        <v>153</v>
      </c>
      <c r="M401" s="425"/>
      <c r="N401" s="425">
        <v>102</v>
      </c>
      <c r="O401" s="425"/>
      <c r="P401" s="425">
        <v>8</v>
      </c>
      <c r="Q401" s="294">
        <v>358</v>
      </c>
      <c r="R401" s="295" t="e">
        <f>IF(K401="nio",0,(K401*Q401)/X401)*VLOOKUP(C401,'2-Uren per locatie'!$B$15:$D$74,3,FALSE)</f>
        <v>#DIV/0!</v>
      </c>
      <c r="S401" s="295" t="e">
        <f>IF(K401="nio",0,(L401*Q401)/Y401)*VLOOKUP(C401,'2-Uren per locatie'!$B$15:$D$74,3,FALSE)</f>
        <v>#DIV/0!</v>
      </c>
      <c r="T401" s="295" t="e">
        <f>IF(K401="nio",0,(M401*Q401)/Z401)*VLOOKUP(C401,'2-Uren per locatie'!$B$15:$D$74,3,FALSE)</f>
        <v>#DIV/0!</v>
      </c>
      <c r="U401" s="295" t="e">
        <f>IF(K401="nio",0,(N401*Q401)/AA401)*VLOOKUP(C401,'2-Uren per locatie'!$B$15:$D$74,3,FALSE)</f>
        <v>#DIV/0!</v>
      </c>
      <c r="V401" s="295" t="e">
        <f>IF(K401="nio",0,(O401*Q401)/Z401)*VLOOKUP(C401,'2-Uren per locatie'!$B$15:$D$74,3,FALSE)</f>
        <v>#DIV/0!</v>
      </c>
      <c r="W401" s="295" t="e">
        <f>IF(K401="nio",0,(P401*Q401)/AA401)*VLOOKUP(C401,'2-Uren per locatie'!$B$15:$D$74,3,FALSE)</f>
        <v>#DIV/0!</v>
      </c>
      <c r="X401" s="485">
        <f>IF(K401="nio",0,IF(K401&gt;0,VLOOKUP(H401,'3-Productie normen'!A:F,VLOOKUP(K401,'3-Productie normen'!$B$29:$C$34,2,FALSE),FALSE)))</f>
        <v>0</v>
      </c>
      <c r="Y401" s="485">
        <f>VLOOKUP(H401,'3-Productie normen'!$A$10:$J$24,8,FALSE)*'3-Ruimtestaat'!X401</f>
        <v>0</v>
      </c>
      <c r="Z401" s="485">
        <f>VLOOKUP(H401,'3-Productie normen'!$A$10:$J$24,9,FALSE)*'3-Ruimtestaat'!X401</f>
        <v>0</v>
      </c>
      <c r="AA401" s="485">
        <f>VLOOKUP(H401,'3-Productie normen'!$A$10:$J$24,10,FALSE)*'3-Ruimtestaat'!X401</f>
        <v>0</v>
      </c>
      <c r="AB401" s="292" t="str">
        <f>IF(H401="",0,VLOOKUP(H401,'3-Productie normen'!$A$10:$N$23,14,FALSE))</f>
        <v>V</v>
      </c>
      <c r="AD401" s="296">
        <f t="shared" si="16"/>
        <v>130670</v>
      </c>
      <c r="AE401" s="78"/>
      <c r="AF401" s="297"/>
      <c r="AG401" s="297"/>
      <c r="AH401" s="297"/>
      <c r="AI401" s="297"/>
      <c r="AJ401" s="297"/>
      <c r="AK401" s="298"/>
      <c r="AL401" s="298"/>
      <c r="AM401" s="298"/>
      <c r="AN401" s="298"/>
      <c r="AO401" s="299"/>
    </row>
    <row r="402" spans="1:41" ht="15" customHeight="1">
      <c r="A402" s="254">
        <v>402</v>
      </c>
      <c r="B402" s="253">
        <v>305</v>
      </c>
      <c r="C402" s="240" t="s">
        <v>100</v>
      </c>
      <c r="D402" s="288" t="s">
        <v>96</v>
      </c>
      <c r="E402" s="289"/>
      <c r="F402" s="239" t="s">
        <v>595</v>
      </c>
      <c r="G402" s="290" t="s">
        <v>600</v>
      </c>
      <c r="H402" s="291" t="s">
        <v>151</v>
      </c>
      <c r="I402" s="239" t="s">
        <v>459</v>
      </c>
      <c r="J402" s="424">
        <f t="shared" si="15"/>
        <v>365</v>
      </c>
      <c r="K402" s="425">
        <v>102</v>
      </c>
      <c r="L402" s="425">
        <v>153</v>
      </c>
      <c r="M402" s="425"/>
      <c r="N402" s="425">
        <v>102</v>
      </c>
      <c r="O402" s="425"/>
      <c r="P402" s="425">
        <v>8</v>
      </c>
      <c r="Q402" s="294">
        <v>204</v>
      </c>
      <c r="R402" s="295" t="e">
        <f>IF(K402="nio",0,(K402*Q402)/X402)*VLOOKUP(C402,'2-Uren per locatie'!$B$15:$D$74,3,FALSE)</f>
        <v>#DIV/0!</v>
      </c>
      <c r="S402" s="295" t="e">
        <f>IF(K402="nio",0,(L402*Q402)/Y402)*VLOOKUP(C402,'2-Uren per locatie'!$B$15:$D$74,3,FALSE)</f>
        <v>#DIV/0!</v>
      </c>
      <c r="T402" s="295" t="e">
        <f>IF(K402="nio",0,(M402*Q402)/Z402)*VLOOKUP(C402,'2-Uren per locatie'!$B$15:$D$74,3,FALSE)</f>
        <v>#DIV/0!</v>
      </c>
      <c r="U402" s="295" t="e">
        <f>IF(K402="nio",0,(N402*Q402)/AA402)*VLOOKUP(C402,'2-Uren per locatie'!$B$15:$D$74,3,FALSE)</f>
        <v>#DIV/0!</v>
      </c>
      <c r="V402" s="295" t="e">
        <f>IF(K402="nio",0,(O402*Q402)/Z402)*VLOOKUP(C402,'2-Uren per locatie'!$B$15:$D$74,3,FALSE)</f>
        <v>#DIV/0!</v>
      </c>
      <c r="W402" s="295" t="e">
        <f>IF(K402="nio",0,(P402*Q402)/AA402)*VLOOKUP(C402,'2-Uren per locatie'!$B$15:$D$74,3,FALSE)</f>
        <v>#DIV/0!</v>
      </c>
      <c r="X402" s="485">
        <f>IF(K402="nio",0,IF(K402&gt;0,VLOOKUP(H402,'3-Productie normen'!A:F,VLOOKUP(K402,'3-Productie normen'!$B$29:$C$34,2,FALSE),FALSE)))</f>
        <v>0</v>
      </c>
      <c r="Y402" s="485">
        <f>VLOOKUP(H402,'3-Productie normen'!$A$10:$J$24,8,FALSE)*'3-Ruimtestaat'!X402</f>
        <v>0</v>
      </c>
      <c r="Z402" s="485">
        <f>VLOOKUP(H402,'3-Productie normen'!$A$10:$J$24,9,FALSE)*'3-Ruimtestaat'!X402</f>
        <v>0</v>
      </c>
      <c r="AA402" s="485">
        <f>VLOOKUP(H402,'3-Productie normen'!$A$10:$J$24,10,FALSE)*'3-Ruimtestaat'!X402</f>
        <v>0</v>
      </c>
      <c r="AB402" s="292" t="str">
        <f>IF(H402="",0,VLOOKUP(H402,'3-Productie normen'!$A$10:$N$23,14,FALSE))</f>
        <v>V</v>
      </c>
      <c r="AD402" s="296">
        <f t="shared" si="16"/>
        <v>74460</v>
      </c>
      <c r="AE402" s="78"/>
      <c r="AF402" s="297"/>
      <c r="AG402" s="297"/>
      <c r="AH402" s="297"/>
      <c r="AI402" s="297"/>
      <c r="AJ402" s="297"/>
      <c r="AK402" s="298"/>
      <c r="AL402" s="298"/>
      <c r="AM402" s="298"/>
      <c r="AN402" s="298"/>
      <c r="AO402" s="299"/>
    </row>
    <row r="403" spans="1:41" ht="15" customHeight="1">
      <c r="A403" s="254">
        <v>403</v>
      </c>
      <c r="B403" s="253">
        <v>305</v>
      </c>
      <c r="C403" s="240" t="s">
        <v>100</v>
      </c>
      <c r="D403" s="288" t="s">
        <v>96</v>
      </c>
      <c r="E403" s="289"/>
      <c r="F403" s="239" t="s">
        <v>601</v>
      </c>
      <c r="G403" s="290"/>
      <c r="H403" s="291" t="s">
        <v>143</v>
      </c>
      <c r="I403" s="239" t="s">
        <v>545</v>
      </c>
      <c r="J403" s="424">
        <f t="shared" si="15"/>
        <v>365</v>
      </c>
      <c r="K403" s="425">
        <v>102</v>
      </c>
      <c r="L403" s="425">
        <v>153</v>
      </c>
      <c r="M403" s="425"/>
      <c r="N403" s="425">
        <v>102</v>
      </c>
      <c r="O403" s="425"/>
      <c r="P403" s="425">
        <v>8</v>
      </c>
      <c r="Q403" s="294">
        <v>146</v>
      </c>
      <c r="R403" s="295" t="e">
        <f>IF(K403="nio",0,(K403*Q403)/X403)*VLOOKUP(C403,'2-Uren per locatie'!$B$15:$D$74,3,FALSE)</f>
        <v>#DIV/0!</v>
      </c>
      <c r="S403" s="295" t="e">
        <f>IF(K403="nio",0,(L403*Q403)/Y403)*VLOOKUP(C403,'2-Uren per locatie'!$B$15:$D$74,3,FALSE)</f>
        <v>#DIV/0!</v>
      </c>
      <c r="T403" s="295" t="e">
        <f>IF(K403="nio",0,(M403*Q403)/Z403)*VLOOKUP(C403,'2-Uren per locatie'!$B$15:$D$74,3,FALSE)</f>
        <v>#DIV/0!</v>
      </c>
      <c r="U403" s="295" t="e">
        <f>IF(K403="nio",0,(N403*Q403)/AA403)*VLOOKUP(C403,'2-Uren per locatie'!$B$15:$D$74,3,FALSE)</f>
        <v>#DIV/0!</v>
      </c>
      <c r="V403" s="295" t="e">
        <f>IF(K403="nio",0,(O403*Q403)/Z403)*VLOOKUP(C403,'2-Uren per locatie'!$B$15:$D$74,3,FALSE)</f>
        <v>#DIV/0!</v>
      </c>
      <c r="W403" s="295" t="e">
        <f>IF(K403="nio",0,(P403*Q403)/AA403)*VLOOKUP(C403,'2-Uren per locatie'!$B$15:$D$74,3,FALSE)</f>
        <v>#DIV/0!</v>
      </c>
      <c r="X403" s="485">
        <f>IF(K403="nio",0,IF(K403&gt;0,VLOOKUP(H403,'3-Productie normen'!A:F,VLOOKUP(K403,'3-Productie normen'!$B$29:$C$34,2,FALSE),FALSE)))</f>
        <v>0</v>
      </c>
      <c r="Y403" s="485">
        <f>VLOOKUP(H403,'3-Productie normen'!$A$10:$J$24,8,FALSE)*'3-Ruimtestaat'!X403</f>
        <v>0</v>
      </c>
      <c r="Z403" s="485">
        <f>VLOOKUP(H403,'3-Productie normen'!$A$10:$J$24,9,FALSE)*'3-Ruimtestaat'!X403</f>
        <v>0</v>
      </c>
      <c r="AA403" s="485">
        <f>VLOOKUP(H403,'3-Productie normen'!$A$10:$J$24,10,FALSE)*'3-Ruimtestaat'!X403</f>
        <v>0</v>
      </c>
      <c r="AB403" s="292" t="str">
        <f>IF(H403="",0,VLOOKUP(H403,'3-Productie normen'!$A$10:$N$23,14,FALSE))</f>
        <v>V</v>
      </c>
      <c r="AD403" s="296">
        <f t="shared" si="16"/>
        <v>53290</v>
      </c>
      <c r="AE403" s="78"/>
      <c r="AF403" s="300" t="s">
        <v>602</v>
      </c>
      <c r="AG403" s="297"/>
      <c r="AH403" s="297"/>
      <c r="AI403" s="297"/>
      <c r="AJ403" s="297"/>
      <c r="AK403" s="298"/>
      <c r="AL403" s="298"/>
      <c r="AM403" s="298"/>
      <c r="AN403" s="298"/>
      <c r="AO403" s="299"/>
    </row>
    <row r="404" spans="1:41" ht="15" customHeight="1">
      <c r="A404" s="254">
        <v>404</v>
      </c>
      <c r="B404" s="253">
        <v>305</v>
      </c>
      <c r="C404" s="240" t="s">
        <v>100</v>
      </c>
      <c r="D404" s="288" t="s">
        <v>96</v>
      </c>
      <c r="E404" s="289"/>
      <c r="F404" s="239" t="s">
        <v>560</v>
      </c>
      <c r="G404" s="290" t="s">
        <v>603</v>
      </c>
      <c r="H404" s="291" t="s">
        <v>155</v>
      </c>
      <c r="I404" s="239" t="s">
        <v>392</v>
      </c>
      <c r="J404" s="424">
        <f t="shared" si="15"/>
        <v>365</v>
      </c>
      <c r="K404" s="425">
        <v>102</v>
      </c>
      <c r="L404" s="425">
        <v>153</v>
      </c>
      <c r="M404" s="425"/>
      <c r="N404" s="425">
        <v>102</v>
      </c>
      <c r="O404" s="425"/>
      <c r="P404" s="425">
        <v>8</v>
      </c>
      <c r="Q404" s="294">
        <v>51</v>
      </c>
      <c r="R404" s="295" t="e">
        <f>IF(K404="nio",0,(K404*Q404)/X404)*VLOOKUP(C404,'2-Uren per locatie'!$B$15:$D$74,3,FALSE)</f>
        <v>#DIV/0!</v>
      </c>
      <c r="S404" s="295" t="e">
        <f>IF(K404="nio",0,(L404*Q404)/Y404)*VLOOKUP(C404,'2-Uren per locatie'!$B$15:$D$74,3,FALSE)</f>
        <v>#DIV/0!</v>
      </c>
      <c r="T404" s="295" t="e">
        <f>IF(K404="nio",0,(M404*Q404)/Z404)*VLOOKUP(C404,'2-Uren per locatie'!$B$15:$D$74,3,FALSE)</f>
        <v>#DIV/0!</v>
      </c>
      <c r="U404" s="295" t="e">
        <f>IF(K404="nio",0,(N404*Q404)/AA404)*VLOOKUP(C404,'2-Uren per locatie'!$B$15:$D$74,3,FALSE)</f>
        <v>#DIV/0!</v>
      </c>
      <c r="V404" s="295" t="e">
        <f>IF(K404="nio",0,(O404*Q404)/Z404)*VLOOKUP(C404,'2-Uren per locatie'!$B$15:$D$74,3,FALSE)</f>
        <v>#DIV/0!</v>
      </c>
      <c r="W404" s="295" t="e">
        <f>IF(K404="nio",0,(P404*Q404)/AA404)*VLOOKUP(C404,'2-Uren per locatie'!$B$15:$D$74,3,FALSE)</f>
        <v>#DIV/0!</v>
      </c>
      <c r="X404" s="485">
        <f>IF(K404="nio",0,IF(K404&gt;0,VLOOKUP(H404,'3-Productie normen'!A:F,VLOOKUP(K404,'3-Productie normen'!$B$29:$C$34,2,FALSE),FALSE)))</f>
        <v>0</v>
      </c>
      <c r="Y404" s="485">
        <f>VLOOKUP(H404,'3-Productie normen'!$A$10:$J$24,8,FALSE)*'3-Ruimtestaat'!X404</f>
        <v>0</v>
      </c>
      <c r="Z404" s="485">
        <f>VLOOKUP(H404,'3-Productie normen'!$A$10:$J$24,9,FALSE)*'3-Ruimtestaat'!X404</f>
        <v>0</v>
      </c>
      <c r="AA404" s="485">
        <f>VLOOKUP(H404,'3-Productie normen'!$A$10:$J$24,10,FALSE)*'3-Ruimtestaat'!X404</f>
        <v>0</v>
      </c>
      <c r="AB404" s="292" t="str">
        <f>IF(H404="",0,VLOOKUP(H404,'3-Productie normen'!$A$10:$N$23,14,FALSE))</f>
        <v>V</v>
      </c>
      <c r="AD404" s="296">
        <f t="shared" si="16"/>
        <v>18615</v>
      </c>
      <c r="AE404" s="78"/>
      <c r="AF404" s="300" t="s">
        <v>602</v>
      </c>
      <c r="AG404" s="297"/>
      <c r="AH404" s="297"/>
      <c r="AI404" s="297"/>
      <c r="AJ404" s="297"/>
      <c r="AK404" s="298"/>
      <c r="AL404" s="298"/>
      <c r="AM404" s="298"/>
      <c r="AN404" s="298"/>
      <c r="AO404" s="299"/>
    </row>
    <row r="405" spans="1:41" ht="15" customHeight="1">
      <c r="A405" s="254">
        <v>405</v>
      </c>
      <c r="B405" s="253">
        <v>305</v>
      </c>
      <c r="C405" s="240" t="s">
        <v>100</v>
      </c>
      <c r="D405" s="288" t="s">
        <v>96</v>
      </c>
      <c r="E405" s="289"/>
      <c r="F405" s="239" t="s">
        <v>560</v>
      </c>
      <c r="G405" s="290" t="s">
        <v>604</v>
      </c>
      <c r="H405" s="291" t="s">
        <v>155</v>
      </c>
      <c r="I405" s="239" t="s">
        <v>392</v>
      </c>
      <c r="J405" s="424">
        <f t="shared" si="15"/>
        <v>365</v>
      </c>
      <c r="K405" s="425">
        <v>102</v>
      </c>
      <c r="L405" s="425">
        <v>153</v>
      </c>
      <c r="M405" s="425"/>
      <c r="N405" s="425">
        <v>102</v>
      </c>
      <c r="O405" s="425"/>
      <c r="P405" s="425">
        <v>8</v>
      </c>
      <c r="Q405" s="294">
        <v>51</v>
      </c>
      <c r="R405" s="295" t="e">
        <f>IF(K405="nio",0,(K405*Q405)/X405)*VLOOKUP(C405,'2-Uren per locatie'!$B$15:$D$74,3,FALSE)</f>
        <v>#DIV/0!</v>
      </c>
      <c r="S405" s="295" t="e">
        <f>IF(K405="nio",0,(L405*Q405)/Y405)*VLOOKUP(C405,'2-Uren per locatie'!$B$15:$D$74,3,FALSE)</f>
        <v>#DIV/0!</v>
      </c>
      <c r="T405" s="295" t="e">
        <f>IF(K405="nio",0,(M405*Q405)/Z405)*VLOOKUP(C405,'2-Uren per locatie'!$B$15:$D$74,3,FALSE)</f>
        <v>#DIV/0!</v>
      </c>
      <c r="U405" s="295" t="e">
        <f>IF(K405="nio",0,(N405*Q405)/AA405)*VLOOKUP(C405,'2-Uren per locatie'!$B$15:$D$74,3,FALSE)</f>
        <v>#DIV/0!</v>
      </c>
      <c r="V405" s="295" t="e">
        <f>IF(K405="nio",0,(O405*Q405)/Z405)*VLOOKUP(C405,'2-Uren per locatie'!$B$15:$D$74,3,FALSE)</f>
        <v>#DIV/0!</v>
      </c>
      <c r="W405" s="295" t="e">
        <f>IF(K405="nio",0,(P405*Q405)/AA405)*VLOOKUP(C405,'2-Uren per locatie'!$B$15:$D$74,3,FALSE)</f>
        <v>#DIV/0!</v>
      </c>
      <c r="X405" s="485">
        <f>IF(K405="nio",0,IF(K405&gt;0,VLOOKUP(H405,'3-Productie normen'!A:F,VLOOKUP(K405,'3-Productie normen'!$B$29:$C$34,2,FALSE),FALSE)))</f>
        <v>0</v>
      </c>
      <c r="Y405" s="485">
        <f>VLOOKUP(H405,'3-Productie normen'!$A$10:$J$24,8,FALSE)*'3-Ruimtestaat'!X405</f>
        <v>0</v>
      </c>
      <c r="Z405" s="485">
        <f>VLOOKUP(H405,'3-Productie normen'!$A$10:$J$24,9,FALSE)*'3-Ruimtestaat'!X405</f>
        <v>0</v>
      </c>
      <c r="AA405" s="485">
        <f>VLOOKUP(H405,'3-Productie normen'!$A$10:$J$24,10,FALSE)*'3-Ruimtestaat'!X405</f>
        <v>0</v>
      </c>
      <c r="AB405" s="292" t="str">
        <f>IF(H405="",0,VLOOKUP(H405,'3-Productie normen'!$A$10:$N$23,14,FALSE))</f>
        <v>V</v>
      </c>
      <c r="AD405" s="296">
        <f t="shared" si="16"/>
        <v>18615</v>
      </c>
      <c r="AE405" s="78"/>
      <c r="AF405" s="300" t="s">
        <v>602</v>
      </c>
      <c r="AG405" s="297"/>
      <c r="AH405" s="297"/>
      <c r="AI405" s="297"/>
      <c r="AJ405" s="297"/>
      <c r="AK405" s="298"/>
      <c r="AL405" s="298"/>
      <c r="AM405" s="298"/>
      <c r="AN405" s="298"/>
      <c r="AO405" s="299"/>
    </row>
    <row r="406" spans="1:41" ht="15" customHeight="1">
      <c r="A406" s="254">
        <v>406</v>
      </c>
      <c r="B406" s="253">
        <v>305</v>
      </c>
      <c r="C406" s="240" t="s">
        <v>100</v>
      </c>
      <c r="D406" s="288" t="s">
        <v>96</v>
      </c>
      <c r="E406" s="289"/>
      <c r="F406" s="239" t="s">
        <v>605</v>
      </c>
      <c r="G406" s="290" t="s">
        <v>606</v>
      </c>
      <c r="H406" s="291" t="s">
        <v>153</v>
      </c>
      <c r="I406" s="239" t="s">
        <v>355</v>
      </c>
      <c r="J406" s="424">
        <f t="shared" si="15"/>
        <v>365</v>
      </c>
      <c r="K406" s="425">
        <v>255</v>
      </c>
      <c r="L406" s="425"/>
      <c r="M406" s="425">
        <v>102</v>
      </c>
      <c r="N406" s="425"/>
      <c r="O406" s="425">
        <v>8</v>
      </c>
      <c r="P406" s="425"/>
      <c r="Q406" s="294">
        <v>1</v>
      </c>
      <c r="R406" s="295" t="e">
        <f>IF(K406="nio",0,(K406*Q406)/X406)*VLOOKUP(C406,'2-Uren per locatie'!$B$15:$D$74,3,FALSE)</f>
        <v>#DIV/0!</v>
      </c>
      <c r="S406" s="295" t="e">
        <f>IF(K406="nio",0,(L406*Q406)/Y406)*VLOOKUP(C406,'2-Uren per locatie'!$B$15:$D$74,3,FALSE)</f>
        <v>#DIV/0!</v>
      </c>
      <c r="T406" s="295" t="e">
        <f>IF(K406="nio",0,(M406*Q406)/Z406)*VLOOKUP(C406,'2-Uren per locatie'!$B$15:$D$74,3,FALSE)</f>
        <v>#DIV/0!</v>
      </c>
      <c r="U406" s="295" t="e">
        <f>IF(K406="nio",0,(N406*Q406)/AA406)*VLOOKUP(C406,'2-Uren per locatie'!$B$15:$D$74,3,FALSE)</f>
        <v>#DIV/0!</v>
      </c>
      <c r="V406" s="295" t="e">
        <f>IF(K406="nio",0,(O406*Q406)/Z406)*VLOOKUP(C406,'2-Uren per locatie'!$B$15:$D$74,3,FALSE)</f>
        <v>#DIV/0!</v>
      </c>
      <c r="W406" s="295" t="e">
        <f>IF(K406="nio",0,(P406*Q406)/AA406)*VLOOKUP(C406,'2-Uren per locatie'!$B$15:$D$74,3,FALSE)</f>
        <v>#DIV/0!</v>
      </c>
      <c r="X406" s="485">
        <f>IF(K406="nio",0,IF(K406&gt;0,VLOOKUP(H406,'3-Productie normen'!A:F,VLOOKUP(K406,'3-Productie normen'!$B$29:$C$34,2,FALSE),FALSE)))</f>
        <v>0</v>
      </c>
      <c r="Y406" s="485">
        <f>VLOOKUP(H406,'3-Productie normen'!$A$10:$J$24,8,FALSE)*'3-Ruimtestaat'!X406</f>
        <v>0</v>
      </c>
      <c r="Z406" s="485">
        <f>VLOOKUP(H406,'3-Productie normen'!$A$10:$J$24,9,FALSE)*'3-Ruimtestaat'!X406</f>
        <v>0</v>
      </c>
      <c r="AA406" s="485">
        <f>VLOOKUP(H406,'3-Productie normen'!$A$10:$J$24,10,FALSE)*'3-Ruimtestaat'!X406</f>
        <v>0</v>
      </c>
      <c r="AB406" s="292" t="str">
        <f>IF(H406="",0,VLOOKUP(H406,'3-Productie normen'!$A$10:$N$23,14,FALSE))</f>
        <v>S</v>
      </c>
      <c r="AD406" s="296">
        <f t="shared" si="16"/>
        <v>365</v>
      </c>
      <c r="AE406" s="78"/>
      <c r="AF406" s="297"/>
      <c r="AG406" s="297"/>
      <c r="AH406" s="297"/>
      <c r="AI406" s="297">
        <v>22</v>
      </c>
      <c r="AJ406" s="297">
        <v>17</v>
      </c>
      <c r="AK406" s="298"/>
      <c r="AL406" s="298"/>
      <c r="AM406" s="298"/>
      <c r="AN406" s="298">
        <v>9</v>
      </c>
      <c r="AO406" s="299"/>
    </row>
    <row r="407" spans="1:41" ht="15" customHeight="1">
      <c r="A407" s="254">
        <v>407</v>
      </c>
      <c r="B407" s="253">
        <v>305</v>
      </c>
      <c r="C407" s="240" t="s">
        <v>100</v>
      </c>
      <c r="D407" s="288" t="s">
        <v>96</v>
      </c>
      <c r="E407" s="289"/>
      <c r="F407" s="239" t="s">
        <v>477</v>
      </c>
      <c r="G407" s="290" t="s">
        <v>607</v>
      </c>
      <c r="H407" s="291" t="s">
        <v>144</v>
      </c>
      <c r="I407" s="239" t="s">
        <v>203</v>
      </c>
      <c r="J407" s="424">
        <f t="shared" si="15"/>
        <v>365</v>
      </c>
      <c r="K407" s="425">
        <v>102</v>
      </c>
      <c r="L407" s="425">
        <v>153</v>
      </c>
      <c r="M407" s="425"/>
      <c r="N407" s="425">
        <v>102</v>
      </c>
      <c r="O407" s="425"/>
      <c r="P407" s="425">
        <v>8</v>
      </c>
      <c r="Q407" s="294">
        <v>6</v>
      </c>
      <c r="R407" s="295" t="e">
        <f>IF(K407="nio",0,(K407*Q407)/X407)*VLOOKUP(C407,'2-Uren per locatie'!$B$15:$D$74,3,FALSE)</f>
        <v>#DIV/0!</v>
      </c>
      <c r="S407" s="295" t="e">
        <f>IF(K407="nio",0,(L407*Q407)/Y407)*VLOOKUP(C407,'2-Uren per locatie'!$B$15:$D$74,3,FALSE)</f>
        <v>#DIV/0!</v>
      </c>
      <c r="T407" s="295" t="e">
        <f>IF(K407="nio",0,(M407*Q407)/Z407)*VLOOKUP(C407,'2-Uren per locatie'!$B$15:$D$74,3,FALSE)</f>
        <v>#DIV/0!</v>
      </c>
      <c r="U407" s="295" t="e">
        <f>IF(K407="nio",0,(N407*Q407)/AA407)*VLOOKUP(C407,'2-Uren per locatie'!$B$15:$D$74,3,FALSE)</f>
        <v>#DIV/0!</v>
      </c>
      <c r="V407" s="295" t="e">
        <f>IF(K407="nio",0,(O407*Q407)/Z407)*VLOOKUP(C407,'2-Uren per locatie'!$B$15:$D$74,3,FALSE)</f>
        <v>#DIV/0!</v>
      </c>
      <c r="W407" s="295" t="e">
        <f>IF(K407="nio",0,(P407*Q407)/AA407)*VLOOKUP(C407,'2-Uren per locatie'!$B$15:$D$74,3,FALSE)</f>
        <v>#DIV/0!</v>
      </c>
      <c r="X407" s="485">
        <f>IF(K407="nio",0,IF(K407&gt;0,VLOOKUP(H407,'3-Productie normen'!A:F,VLOOKUP(K407,'3-Productie normen'!$B$29:$C$34,2,FALSE),FALSE)))</f>
        <v>0</v>
      </c>
      <c r="Y407" s="485">
        <f>VLOOKUP(H407,'3-Productie normen'!$A$10:$J$24,8,FALSE)*'3-Ruimtestaat'!X407</f>
        <v>0</v>
      </c>
      <c r="Z407" s="485">
        <f>VLOOKUP(H407,'3-Productie normen'!$A$10:$J$24,9,FALSE)*'3-Ruimtestaat'!X407</f>
        <v>0</v>
      </c>
      <c r="AA407" s="485">
        <f>VLOOKUP(H407,'3-Productie normen'!$A$10:$J$24,10,FALSE)*'3-Ruimtestaat'!X407</f>
        <v>0</v>
      </c>
      <c r="AB407" s="292" t="str">
        <f>IF(H407="",0,VLOOKUP(H407,'3-Productie normen'!$A$10:$N$23,14,FALSE))</f>
        <v>V</v>
      </c>
      <c r="AD407" s="296">
        <f t="shared" si="16"/>
        <v>2190</v>
      </c>
      <c r="AE407" s="78"/>
      <c r="AF407" s="297"/>
      <c r="AG407" s="297">
        <v>34</v>
      </c>
      <c r="AH407" s="297"/>
      <c r="AI407" s="297"/>
      <c r="AJ407" s="297"/>
      <c r="AK407" s="298"/>
      <c r="AL407" s="298"/>
      <c r="AM407" s="298">
        <v>6</v>
      </c>
      <c r="AN407" s="298"/>
      <c r="AO407" s="299"/>
    </row>
    <row r="408" spans="1:41" ht="15" customHeight="1">
      <c r="A408" s="254">
        <v>408</v>
      </c>
      <c r="B408" s="253">
        <v>305</v>
      </c>
      <c r="C408" s="240" t="s">
        <v>100</v>
      </c>
      <c r="D408" s="288" t="s">
        <v>96</v>
      </c>
      <c r="E408" s="289"/>
      <c r="F408" s="239" t="s">
        <v>579</v>
      </c>
      <c r="G408" s="290"/>
      <c r="H408" s="291" t="s">
        <v>149</v>
      </c>
      <c r="I408" s="239" t="s">
        <v>401</v>
      </c>
      <c r="J408" s="424">
        <f t="shared" si="15"/>
        <v>365</v>
      </c>
      <c r="K408" s="425">
        <v>102</v>
      </c>
      <c r="L408" s="425">
        <v>153</v>
      </c>
      <c r="M408" s="425"/>
      <c r="N408" s="425">
        <v>102</v>
      </c>
      <c r="O408" s="425"/>
      <c r="P408" s="425">
        <v>8</v>
      </c>
      <c r="Q408" s="294">
        <v>5</v>
      </c>
      <c r="R408" s="295" t="e">
        <f>IF(K408="nio",0,(K408*Q408)/X408)*VLOOKUP(C408,'2-Uren per locatie'!$B$15:$D$74,3,FALSE)</f>
        <v>#DIV/0!</v>
      </c>
      <c r="S408" s="295" t="e">
        <f>IF(K408="nio",0,(L408*Q408)/Y408)*VLOOKUP(C408,'2-Uren per locatie'!$B$15:$D$74,3,FALSE)</f>
        <v>#DIV/0!</v>
      </c>
      <c r="T408" s="295" t="e">
        <f>IF(K408="nio",0,(M408*Q408)/Z408)*VLOOKUP(C408,'2-Uren per locatie'!$B$15:$D$74,3,FALSE)</f>
        <v>#DIV/0!</v>
      </c>
      <c r="U408" s="295" t="e">
        <f>IF(K408="nio",0,(N408*Q408)/AA408)*VLOOKUP(C408,'2-Uren per locatie'!$B$15:$D$74,3,FALSE)</f>
        <v>#DIV/0!</v>
      </c>
      <c r="V408" s="295" t="e">
        <f>IF(K408="nio",0,(O408*Q408)/Z408)*VLOOKUP(C408,'2-Uren per locatie'!$B$15:$D$74,3,FALSE)</f>
        <v>#DIV/0!</v>
      </c>
      <c r="W408" s="295" t="e">
        <f>IF(K408="nio",0,(P408*Q408)/AA408)*VLOOKUP(C408,'2-Uren per locatie'!$B$15:$D$74,3,FALSE)</f>
        <v>#DIV/0!</v>
      </c>
      <c r="X408" s="485">
        <f>IF(K408="nio",0,IF(K408&gt;0,VLOOKUP(H408,'3-Productie normen'!A:F,VLOOKUP(K408,'3-Productie normen'!$B$29:$C$34,2,FALSE),FALSE)))</f>
        <v>0</v>
      </c>
      <c r="Y408" s="485">
        <f>VLOOKUP(H408,'3-Productie normen'!$A$10:$J$24,8,FALSE)*'3-Ruimtestaat'!X408</f>
        <v>0</v>
      </c>
      <c r="Z408" s="485">
        <f>VLOOKUP(H408,'3-Productie normen'!$A$10:$J$24,9,FALSE)*'3-Ruimtestaat'!X408</f>
        <v>0</v>
      </c>
      <c r="AA408" s="485">
        <f>VLOOKUP(H408,'3-Productie normen'!$A$10:$J$24,10,FALSE)*'3-Ruimtestaat'!X408</f>
        <v>0</v>
      </c>
      <c r="AB408" s="292" t="str">
        <f>IF(H408="",0,VLOOKUP(H408,'3-Productie normen'!$A$10:$N$23,14,FALSE))</f>
        <v>V</v>
      </c>
      <c r="AD408" s="296">
        <f t="shared" si="16"/>
        <v>1825</v>
      </c>
      <c r="AE408" s="78"/>
      <c r="AF408" s="297"/>
      <c r="AG408" s="297"/>
      <c r="AH408" s="297"/>
      <c r="AI408" s="297"/>
      <c r="AJ408" s="297"/>
      <c r="AK408" s="298"/>
      <c r="AL408" s="298"/>
      <c r="AM408" s="298"/>
      <c r="AN408" s="298"/>
      <c r="AO408" s="299"/>
    </row>
    <row r="409" spans="1:41" ht="15" customHeight="1">
      <c r="A409" s="254">
        <v>409</v>
      </c>
      <c r="B409" s="253">
        <v>305</v>
      </c>
      <c r="C409" s="240" t="s">
        <v>100</v>
      </c>
      <c r="D409" s="288" t="s">
        <v>96</v>
      </c>
      <c r="E409" s="289"/>
      <c r="F409" s="239" t="s">
        <v>608</v>
      </c>
      <c r="G409" s="290"/>
      <c r="H409" s="291" t="s">
        <v>152</v>
      </c>
      <c r="I409" s="239" t="s">
        <v>265</v>
      </c>
      <c r="J409" s="424">
        <f t="shared" si="15"/>
        <v>365</v>
      </c>
      <c r="K409" s="425">
        <v>102</v>
      </c>
      <c r="L409" s="425">
        <v>153</v>
      </c>
      <c r="M409" s="425"/>
      <c r="N409" s="425">
        <v>102</v>
      </c>
      <c r="O409" s="425"/>
      <c r="P409" s="425">
        <v>8</v>
      </c>
      <c r="Q409" s="294">
        <v>33</v>
      </c>
      <c r="R409" s="295" t="e">
        <f>IF(K409="nio",0,(K409*Q409)/X409)*VLOOKUP(C409,'2-Uren per locatie'!$B$15:$D$74,3,FALSE)</f>
        <v>#DIV/0!</v>
      </c>
      <c r="S409" s="295" t="e">
        <f>IF(K409="nio",0,(L409*Q409)/Y409)*VLOOKUP(C409,'2-Uren per locatie'!$B$15:$D$74,3,FALSE)</f>
        <v>#DIV/0!</v>
      </c>
      <c r="T409" s="295" t="e">
        <f>IF(K409="nio",0,(M409*Q409)/Z409)*VLOOKUP(C409,'2-Uren per locatie'!$B$15:$D$74,3,FALSE)</f>
        <v>#DIV/0!</v>
      </c>
      <c r="U409" s="295" t="e">
        <f>IF(K409="nio",0,(N409*Q409)/AA409)*VLOOKUP(C409,'2-Uren per locatie'!$B$15:$D$74,3,FALSE)</f>
        <v>#DIV/0!</v>
      </c>
      <c r="V409" s="295" t="e">
        <f>IF(K409="nio",0,(O409*Q409)/Z409)*VLOOKUP(C409,'2-Uren per locatie'!$B$15:$D$74,3,FALSE)</f>
        <v>#DIV/0!</v>
      </c>
      <c r="W409" s="295" t="e">
        <f>IF(K409="nio",0,(P409*Q409)/AA409)*VLOOKUP(C409,'2-Uren per locatie'!$B$15:$D$74,3,FALSE)</f>
        <v>#DIV/0!</v>
      </c>
      <c r="X409" s="485">
        <f>IF(K409="nio",0,IF(K409&gt;0,VLOOKUP(H409,'3-Productie normen'!A:F,VLOOKUP(K409,'3-Productie normen'!$B$29:$C$34,2,FALSE),FALSE)))</f>
        <v>0</v>
      </c>
      <c r="Y409" s="485">
        <f>VLOOKUP(H409,'3-Productie normen'!$A$10:$J$24,8,FALSE)*'3-Ruimtestaat'!X409</f>
        <v>0</v>
      </c>
      <c r="Z409" s="485">
        <f>VLOOKUP(H409,'3-Productie normen'!$A$10:$J$24,9,FALSE)*'3-Ruimtestaat'!X409</f>
        <v>0</v>
      </c>
      <c r="AA409" s="485">
        <f>VLOOKUP(H409,'3-Productie normen'!$A$10:$J$24,10,FALSE)*'3-Ruimtestaat'!X409</f>
        <v>0</v>
      </c>
      <c r="AB409" s="292" t="str">
        <f>IF(H409="",0,VLOOKUP(H409,'3-Productie normen'!$A$10:$N$23,14,FALSE))</f>
        <v>V</v>
      </c>
      <c r="AD409" s="296">
        <f t="shared" si="16"/>
        <v>12045</v>
      </c>
      <c r="AE409" s="78"/>
      <c r="AF409" s="297"/>
      <c r="AG409" s="297"/>
      <c r="AH409" s="297"/>
      <c r="AI409" s="297">
        <v>18</v>
      </c>
      <c r="AJ409" s="297"/>
      <c r="AK409" s="298"/>
      <c r="AL409" s="298"/>
      <c r="AM409" s="298"/>
      <c r="AN409" s="298"/>
      <c r="AO409" s="299"/>
    </row>
    <row r="410" spans="1:41" ht="15" customHeight="1">
      <c r="A410" s="254">
        <v>410</v>
      </c>
      <c r="B410" s="253">
        <v>306</v>
      </c>
      <c r="C410" s="240" t="s">
        <v>101</v>
      </c>
      <c r="D410" s="288" t="s">
        <v>96</v>
      </c>
      <c r="E410" s="289"/>
      <c r="F410" s="239" t="s">
        <v>453</v>
      </c>
      <c r="G410" s="290" t="s">
        <v>600</v>
      </c>
      <c r="H410" s="291" t="s">
        <v>151</v>
      </c>
      <c r="I410" s="239" t="s">
        <v>592</v>
      </c>
      <c r="J410" s="424">
        <f t="shared" si="15"/>
        <v>365</v>
      </c>
      <c r="K410" s="425">
        <v>102</v>
      </c>
      <c r="L410" s="425">
        <v>153</v>
      </c>
      <c r="M410" s="425"/>
      <c r="N410" s="425">
        <v>102</v>
      </c>
      <c r="O410" s="425"/>
      <c r="P410" s="425">
        <v>8</v>
      </c>
      <c r="Q410" s="294">
        <v>975</v>
      </c>
      <c r="R410" s="295" t="e">
        <f>IF(K410="nio",0,(K410*Q410)/X410)*VLOOKUP(C410,'2-Uren per locatie'!$B$15:$D$74,3,FALSE)</f>
        <v>#DIV/0!</v>
      </c>
      <c r="S410" s="295" t="e">
        <f>IF(K410="nio",0,(L410*Q410)/Y410)*VLOOKUP(C410,'2-Uren per locatie'!$B$15:$D$74,3,FALSE)</f>
        <v>#DIV/0!</v>
      </c>
      <c r="T410" s="295" t="e">
        <f>IF(K410="nio",0,(M410*Q410)/Z410)*VLOOKUP(C410,'2-Uren per locatie'!$B$15:$D$74,3,FALSE)</f>
        <v>#DIV/0!</v>
      </c>
      <c r="U410" s="295" t="e">
        <f>IF(K410="nio",0,(N410*Q410)/AA410)*VLOOKUP(C410,'2-Uren per locatie'!$B$15:$D$74,3,FALSE)</f>
        <v>#DIV/0!</v>
      </c>
      <c r="V410" s="295" t="e">
        <f>IF(K410="nio",0,(O410*Q410)/Z410)*VLOOKUP(C410,'2-Uren per locatie'!$B$15:$D$74,3,FALSE)</f>
        <v>#DIV/0!</v>
      </c>
      <c r="W410" s="295" t="e">
        <f>IF(K410="nio",0,(P410*Q410)/AA410)*VLOOKUP(C410,'2-Uren per locatie'!$B$15:$D$74,3,FALSE)</f>
        <v>#DIV/0!</v>
      </c>
      <c r="X410" s="485">
        <f>IF(K410="nio",0,IF(K410&gt;0,VLOOKUP(H410,'3-Productie normen'!A:F,VLOOKUP(K410,'3-Productie normen'!$B$29:$C$34,2,FALSE),FALSE)))</f>
        <v>0</v>
      </c>
      <c r="Y410" s="485">
        <f>VLOOKUP(H410,'3-Productie normen'!$A$10:$J$24,8,FALSE)*'3-Ruimtestaat'!X410</f>
        <v>0</v>
      </c>
      <c r="Z410" s="485">
        <f>VLOOKUP(H410,'3-Productie normen'!$A$10:$J$24,9,FALSE)*'3-Ruimtestaat'!X410</f>
        <v>0</v>
      </c>
      <c r="AA410" s="485">
        <f>VLOOKUP(H410,'3-Productie normen'!$A$10:$J$24,10,FALSE)*'3-Ruimtestaat'!X410</f>
        <v>0</v>
      </c>
      <c r="AB410" s="292" t="str">
        <f>IF(H410="",0,VLOOKUP(H410,'3-Productie normen'!$A$10:$N$23,14,FALSE))</f>
        <v>V</v>
      </c>
      <c r="AD410" s="296">
        <f t="shared" si="16"/>
        <v>355875</v>
      </c>
      <c r="AE410" s="78"/>
      <c r="AF410" s="297"/>
      <c r="AG410" s="297"/>
      <c r="AH410" s="297"/>
      <c r="AI410" s="297"/>
      <c r="AJ410" s="297"/>
      <c r="AK410" s="298"/>
      <c r="AL410" s="298"/>
      <c r="AM410" s="298"/>
      <c r="AN410" s="298"/>
      <c r="AO410" s="299"/>
    </row>
    <row r="411" spans="1:41" ht="15" customHeight="1">
      <c r="A411" s="254">
        <v>411</v>
      </c>
      <c r="B411" s="253">
        <v>306</v>
      </c>
      <c r="C411" s="240" t="s">
        <v>101</v>
      </c>
      <c r="D411" s="288" t="s">
        <v>96</v>
      </c>
      <c r="E411" s="289"/>
      <c r="F411" s="239" t="s">
        <v>593</v>
      </c>
      <c r="G411" s="290" t="s">
        <v>600</v>
      </c>
      <c r="H411" s="291" t="s">
        <v>151</v>
      </c>
      <c r="I411" s="239" t="s">
        <v>594</v>
      </c>
      <c r="J411" s="424">
        <f t="shared" si="15"/>
        <v>365</v>
      </c>
      <c r="K411" s="425">
        <v>102</v>
      </c>
      <c r="L411" s="425">
        <v>153</v>
      </c>
      <c r="M411" s="425"/>
      <c r="N411" s="425">
        <v>102</v>
      </c>
      <c r="O411" s="425"/>
      <c r="P411" s="425">
        <v>8</v>
      </c>
      <c r="Q411" s="294">
        <v>347</v>
      </c>
      <c r="R411" s="295" t="e">
        <f>IF(K411="nio",0,(K411*Q411)/X411)*VLOOKUP(C411,'2-Uren per locatie'!$B$15:$D$74,3,FALSE)</f>
        <v>#DIV/0!</v>
      </c>
      <c r="S411" s="295" t="e">
        <f>IF(K411="nio",0,(L411*Q411)/Y411)*VLOOKUP(C411,'2-Uren per locatie'!$B$15:$D$74,3,FALSE)</f>
        <v>#DIV/0!</v>
      </c>
      <c r="T411" s="295" t="e">
        <f>IF(K411="nio",0,(M411*Q411)/Z411)*VLOOKUP(C411,'2-Uren per locatie'!$B$15:$D$74,3,FALSE)</f>
        <v>#DIV/0!</v>
      </c>
      <c r="U411" s="295" t="e">
        <f>IF(K411="nio",0,(N411*Q411)/AA411)*VLOOKUP(C411,'2-Uren per locatie'!$B$15:$D$74,3,FALSE)</f>
        <v>#DIV/0!</v>
      </c>
      <c r="V411" s="295" t="e">
        <f>IF(K411="nio",0,(O411*Q411)/Z411)*VLOOKUP(C411,'2-Uren per locatie'!$B$15:$D$74,3,FALSE)</f>
        <v>#DIV/0!</v>
      </c>
      <c r="W411" s="295" t="e">
        <f>IF(K411="nio",0,(P411*Q411)/AA411)*VLOOKUP(C411,'2-Uren per locatie'!$B$15:$D$74,3,FALSE)</f>
        <v>#DIV/0!</v>
      </c>
      <c r="X411" s="485">
        <f>IF(K411="nio",0,IF(K411&gt;0,VLOOKUP(H411,'3-Productie normen'!A:F,VLOOKUP(K411,'3-Productie normen'!$B$29:$C$34,2,FALSE),FALSE)))</f>
        <v>0</v>
      </c>
      <c r="Y411" s="485">
        <f>VLOOKUP(H411,'3-Productie normen'!$A$10:$J$24,8,FALSE)*'3-Ruimtestaat'!X411</f>
        <v>0</v>
      </c>
      <c r="Z411" s="485">
        <f>VLOOKUP(H411,'3-Productie normen'!$A$10:$J$24,9,FALSE)*'3-Ruimtestaat'!X411</f>
        <v>0</v>
      </c>
      <c r="AA411" s="485">
        <f>VLOOKUP(H411,'3-Productie normen'!$A$10:$J$24,10,FALSE)*'3-Ruimtestaat'!X411</f>
        <v>0</v>
      </c>
      <c r="AB411" s="292" t="str">
        <f>IF(H411="",0,VLOOKUP(H411,'3-Productie normen'!$A$10:$N$23,14,FALSE))</f>
        <v>V</v>
      </c>
      <c r="AD411" s="296">
        <f t="shared" si="16"/>
        <v>126655</v>
      </c>
      <c r="AE411" s="78"/>
      <c r="AF411" s="297"/>
      <c r="AG411" s="297"/>
      <c r="AH411" s="297"/>
      <c r="AI411" s="297"/>
      <c r="AJ411" s="297"/>
      <c r="AK411" s="298"/>
      <c r="AL411" s="298"/>
      <c r="AM411" s="298"/>
      <c r="AN411" s="298"/>
      <c r="AO411" s="299"/>
    </row>
    <row r="412" spans="1:41" ht="15" customHeight="1">
      <c r="A412" s="254">
        <v>412</v>
      </c>
      <c r="B412" s="253">
        <v>306</v>
      </c>
      <c r="C412" s="240" t="s">
        <v>101</v>
      </c>
      <c r="D412" s="288" t="s">
        <v>96</v>
      </c>
      <c r="E412" s="289"/>
      <c r="F412" s="239" t="s">
        <v>595</v>
      </c>
      <c r="G412" s="290" t="s">
        <v>600</v>
      </c>
      <c r="H412" s="291" t="s">
        <v>151</v>
      </c>
      <c r="I412" s="239" t="s">
        <v>459</v>
      </c>
      <c r="J412" s="424">
        <f t="shared" si="15"/>
        <v>365</v>
      </c>
      <c r="K412" s="425">
        <v>102</v>
      </c>
      <c r="L412" s="425">
        <v>153</v>
      </c>
      <c r="M412" s="425"/>
      <c r="N412" s="425">
        <v>102</v>
      </c>
      <c r="O412" s="425"/>
      <c r="P412" s="425">
        <v>8</v>
      </c>
      <c r="Q412" s="294">
        <v>203</v>
      </c>
      <c r="R412" s="295" t="e">
        <f>IF(K412="nio",0,(K412*Q412)/X412)*VLOOKUP(C412,'2-Uren per locatie'!$B$15:$D$74,3,FALSE)</f>
        <v>#DIV/0!</v>
      </c>
      <c r="S412" s="295" t="e">
        <f>IF(K412="nio",0,(L412*Q412)/Y412)*VLOOKUP(C412,'2-Uren per locatie'!$B$15:$D$74,3,FALSE)</f>
        <v>#DIV/0!</v>
      </c>
      <c r="T412" s="295" t="e">
        <f>IF(K412="nio",0,(M412*Q412)/Z412)*VLOOKUP(C412,'2-Uren per locatie'!$B$15:$D$74,3,FALSE)</f>
        <v>#DIV/0!</v>
      </c>
      <c r="U412" s="295" t="e">
        <f>IF(K412="nio",0,(N412*Q412)/AA412)*VLOOKUP(C412,'2-Uren per locatie'!$B$15:$D$74,3,FALSE)</f>
        <v>#DIV/0!</v>
      </c>
      <c r="V412" s="295" t="e">
        <f>IF(K412="nio",0,(O412*Q412)/Z412)*VLOOKUP(C412,'2-Uren per locatie'!$B$15:$D$74,3,FALSE)</f>
        <v>#DIV/0!</v>
      </c>
      <c r="W412" s="295" t="e">
        <f>IF(K412="nio",0,(P412*Q412)/AA412)*VLOOKUP(C412,'2-Uren per locatie'!$B$15:$D$74,3,FALSE)</f>
        <v>#DIV/0!</v>
      </c>
      <c r="X412" s="485">
        <f>IF(K412="nio",0,IF(K412&gt;0,VLOOKUP(H412,'3-Productie normen'!A:F,VLOOKUP(K412,'3-Productie normen'!$B$29:$C$34,2,FALSE),FALSE)))</f>
        <v>0</v>
      </c>
      <c r="Y412" s="485">
        <f>VLOOKUP(H412,'3-Productie normen'!$A$10:$J$24,8,FALSE)*'3-Ruimtestaat'!X412</f>
        <v>0</v>
      </c>
      <c r="Z412" s="485">
        <f>VLOOKUP(H412,'3-Productie normen'!$A$10:$J$24,9,FALSE)*'3-Ruimtestaat'!X412</f>
        <v>0</v>
      </c>
      <c r="AA412" s="485">
        <f>VLOOKUP(H412,'3-Productie normen'!$A$10:$J$24,10,FALSE)*'3-Ruimtestaat'!X412</f>
        <v>0</v>
      </c>
      <c r="AB412" s="292" t="str">
        <f>IF(H412="",0,VLOOKUP(H412,'3-Productie normen'!$A$10:$N$23,14,FALSE))</f>
        <v>V</v>
      </c>
      <c r="AD412" s="296">
        <f t="shared" si="16"/>
        <v>74095</v>
      </c>
      <c r="AE412" s="78"/>
      <c r="AF412" s="297"/>
      <c r="AG412" s="297"/>
      <c r="AH412" s="297"/>
      <c r="AI412" s="297"/>
      <c r="AJ412" s="297"/>
      <c r="AK412" s="298"/>
      <c r="AL412" s="298"/>
      <c r="AM412" s="298"/>
      <c r="AN412" s="298"/>
      <c r="AO412" s="299"/>
    </row>
    <row r="413" spans="1:41" ht="15" customHeight="1">
      <c r="A413" s="254">
        <v>413</v>
      </c>
      <c r="B413" s="253">
        <v>306</v>
      </c>
      <c r="C413" s="240" t="s">
        <v>101</v>
      </c>
      <c r="D413" s="288" t="s">
        <v>96</v>
      </c>
      <c r="E413" s="289"/>
      <c r="F413" s="239" t="s">
        <v>579</v>
      </c>
      <c r="G413" s="290"/>
      <c r="H413" s="291" t="s">
        <v>149</v>
      </c>
      <c r="I413" s="239" t="s">
        <v>401</v>
      </c>
      <c r="J413" s="424">
        <f t="shared" si="15"/>
        <v>365</v>
      </c>
      <c r="K413" s="425">
        <v>102</v>
      </c>
      <c r="L413" s="425">
        <v>153</v>
      </c>
      <c r="M413" s="425"/>
      <c r="N413" s="425">
        <v>102</v>
      </c>
      <c r="O413" s="425"/>
      <c r="P413" s="425">
        <v>8</v>
      </c>
      <c r="Q413" s="294">
        <v>5</v>
      </c>
      <c r="R413" s="295" t="e">
        <f>IF(K413="nio",0,(K413*Q413)/X413)*VLOOKUP(C413,'2-Uren per locatie'!$B$15:$D$74,3,FALSE)</f>
        <v>#DIV/0!</v>
      </c>
      <c r="S413" s="295" t="e">
        <f>IF(K413="nio",0,(L413*Q413)/Y413)*VLOOKUP(C413,'2-Uren per locatie'!$B$15:$D$74,3,FALSE)</f>
        <v>#DIV/0!</v>
      </c>
      <c r="T413" s="295" t="e">
        <f>IF(K413="nio",0,(M413*Q413)/Z413)*VLOOKUP(C413,'2-Uren per locatie'!$B$15:$D$74,3,FALSE)</f>
        <v>#DIV/0!</v>
      </c>
      <c r="U413" s="295" t="e">
        <f>IF(K413="nio",0,(N413*Q413)/AA413)*VLOOKUP(C413,'2-Uren per locatie'!$B$15:$D$74,3,FALSE)</f>
        <v>#DIV/0!</v>
      </c>
      <c r="V413" s="295" t="e">
        <f>IF(K413="nio",0,(O413*Q413)/Z413)*VLOOKUP(C413,'2-Uren per locatie'!$B$15:$D$74,3,FALSE)</f>
        <v>#DIV/0!</v>
      </c>
      <c r="W413" s="295" t="e">
        <f>IF(K413="nio",0,(P413*Q413)/AA413)*VLOOKUP(C413,'2-Uren per locatie'!$B$15:$D$74,3,FALSE)</f>
        <v>#DIV/0!</v>
      </c>
      <c r="X413" s="485">
        <f>IF(K413="nio",0,IF(K413&gt;0,VLOOKUP(H413,'3-Productie normen'!A:F,VLOOKUP(K413,'3-Productie normen'!$B$29:$C$34,2,FALSE),FALSE)))</f>
        <v>0</v>
      </c>
      <c r="Y413" s="485">
        <f>VLOOKUP(H413,'3-Productie normen'!$A$10:$J$24,8,FALSE)*'3-Ruimtestaat'!X413</f>
        <v>0</v>
      </c>
      <c r="Z413" s="485">
        <f>VLOOKUP(H413,'3-Productie normen'!$A$10:$J$24,9,FALSE)*'3-Ruimtestaat'!X413</f>
        <v>0</v>
      </c>
      <c r="AA413" s="485">
        <f>VLOOKUP(H413,'3-Productie normen'!$A$10:$J$24,10,FALSE)*'3-Ruimtestaat'!X413</f>
        <v>0</v>
      </c>
      <c r="AB413" s="292" t="str">
        <f>IF(H413="",0,VLOOKUP(H413,'3-Productie normen'!$A$10:$N$23,14,FALSE))</f>
        <v>V</v>
      </c>
      <c r="AD413" s="296">
        <f t="shared" si="16"/>
        <v>1825</v>
      </c>
      <c r="AE413" s="78"/>
      <c r="AF413" s="297"/>
      <c r="AG413" s="297"/>
      <c r="AH413" s="297"/>
      <c r="AI413" s="297"/>
      <c r="AJ413" s="297"/>
      <c r="AK413" s="298"/>
      <c r="AL413" s="298"/>
      <c r="AM413" s="298"/>
      <c r="AN413" s="298"/>
      <c r="AO413" s="299"/>
    </row>
    <row r="414" spans="1:41" ht="15" customHeight="1">
      <c r="A414" s="254">
        <v>414</v>
      </c>
      <c r="B414" s="253">
        <v>306</v>
      </c>
      <c r="C414" s="240" t="s">
        <v>101</v>
      </c>
      <c r="D414" s="288" t="s">
        <v>96</v>
      </c>
      <c r="E414" s="289"/>
      <c r="F414" s="239" t="s">
        <v>601</v>
      </c>
      <c r="G414" s="290"/>
      <c r="H414" s="291" t="s">
        <v>143</v>
      </c>
      <c r="I414" s="239" t="s">
        <v>545</v>
      </c>
      <c r="J414" s="424">
        <f t="shared" si="15"/>
        <v>365</v>
      </c>
      <c r="K414" s="425">
        <v>102</v>
      </c>
      <c r="L414" s="425">
        <v>153</v>
      </c>
      <c r="M414" s="425"/>
      <c r="N414" s="425">
        <v>102</v>
      </c>
      <c r="O414" s="425"/>
      <c r="P414" s="425">
        <v>8</v>
      </c>
      <c r="Q414" s="294">
        <v>32</v>
      </c>
      <c r="R414" s="295" t="e">
        <f>IF(K414="nio",0,(K414*Q414)/X414)*VLOOKUP(C414,'2-Uren per locatie'!$B$15:$D$74,3,FALSE)</f>
        <v>#DIV/0!</v>
      </c>
      <c r="S414" s="295" t="e">
        <f>IF(K414="nio",0,(L414*Q414)/Y414)*VLOOKUP(C414,'2-Uren per locatie'!$B$15:$D$74,3,FALSE)</f>
        <v>#DIV/0!</v>
      </c>
      <c r="T414" s="295" t="e">
        <f>IF(K414="nio",0,(M414*Q414)/Z414)*VLOOKUP(C414,'2-Uren per locatie'!$B$15:$D$74,3,FALSE)</f>
        <v>#DIV/0!</v>
      </c>
      <c r="U414" s="295" t="e">
        <f>IF(K414="nio",0,(N414*Q414)/AA414)*VLOOKUP(C414,'2-Uren per locatie'!$B$15:$D$74,3,FALSE)</f>
        <v>#DIV/0!</v>
      </c>
      <c r="V414" s="295" t="e">
        <f>IF(K414="nio",0,(O414*Q414)/Z414)*VLOOKUP(C414,'2-Uren per locatie'!$B$15:$D$74,3,FALSE)</f>
        <v>#DIV/0!</v>
      </c>
      <c r="W414" s="295" t="e">
        <f>IF(K414="nio",0,(P414*Q414)/AA414)*VLOOKUP(C414,'2-Uren per locatie'!$B$15:$D$74,3,FALSE)</f>
        <v>#DIV/0!</v>
      </c>
      <c r="X414" s="485">
        <f>IF(K414="nio",0,IF(K414&gt;0,VLOOKUP(H414,'3-Productie normen'!A:F,VLOOKUP(K414,'3-Productie normen'!$B$29:$C$34,2,FALSE),FALSE)))</f>
        <v>0</v>
      </c>
      <c r="Y414" s="485">
        <f>VLOOKUP(H414,'3-Productie normen'!$A$10:$J$24,8,FALSE)*'3-Ruimtestaat'!X414</f>
        <v>0</v>
      </c>
      <c r="Z414" s="485">
        <f>VLOOKUP(H414,'3-Productie normen'!$A$10:$J$24,9,FALSE)*'3-Ruimtestaat'!X414</f>
        <v>0</v>
      </c>
      <c r="AA414" s="485">
        <f>VLOOKUP(H414,'3-Productie normen'!$A$10:$J$24,10,FALSE)*'3-Ruimtestaat'!X414</f>
        <v>0</v>
      </c>
      <c r="AB414" s="292" t="str">
        <f>IF(H414="",0,VLOOKUP(H414,'3-Productie normen'!$A$10:$N$23,14,FALSE))</f>
        <v>V</v>
      </c>
      <c r="AD414" s="296">
        <f t="shared" si="16"/>
        <v>11680</v>
      </c>
      <c r="AE414" s="78"/>
      <c r="AF414" s="300" t="s">
        <v>602</v>
      </c>
      <c r="AG414" s="297"/>
      <c r="AH414" s="297"/>
      <c r="AI414" s="297"/>
      <c r="AJ414" s="297"/>
      <c r="AK414" s="298"/>
      <c r="AL414" s="298"/>
      <c r="AM414" s="298"/>
      <c r="AN414" s="298"/>
      <c r="AO414" s="299"/>
    </row>
    <row r="415" spans="1:41" ht="15" customHeight="1">
      <c r="A415" s="254">
        <v>415</v>
      </c>
      <c r="B415" s="253">
        <v>306</v>
      </c>
      <c r="C415" s="240" t="s">
        <v>101</v>
      </c>
      <c r="D415" s="288" t="s">
        <v>96</v>
      </c>
      <c r="E415" s="289"/>
      <c r="F415" s="239" t="s">
        <v>560</v>
      </c>
      <c r="G415" s="290" t="s">
        <v>603</v>
      </c>
      <c r="H415" s="291" t="s">
        <v>155</v>
      </c>
      <c r="I415" s="239" t="s">
        <v>392</v>
      </c>
      <c r="J415" s="424">
        <f t="shared" si="15"/>
        <v>365</v>
      </c>
      <c r="K415" s="425">
        <v>102</v>
      </c>
      <c r="L415" s="425">
        <v>153</v>
      </c>
      <c r="M415" s="425"/>
      <c r="N415" s="425">
        <v>102</v>
      </c>
      <c r="O415" s="425"/>
      <c r="P415" s="425">
        <v>8</v>
      </c>
      <c r="Q415" s="294">
        <v>50</v>
      </c>
      <c r="R415" s="295" t="e">
        <f>IF(K415="nio",0,(K415*Q415)/X415)*VLOOKUP(C415,'2-Uren per locatie'!$B$15:$D$74,3,FALSE)</f>
        <v>#DIV/0!</v>
      </c>
      <c r="S415" s="295" t="e">
        <f>IF(K415="nio",0,(L415*Q415)/Y415)*VLOOKUP(C415,'2-Uren per locatie'!$B$15:$D$74,3,FALSE)</f>
        <v>#DIV/0!</v>
      </c>
      <c r="T415" s="295" t="e">
        <f>IF(K415="nio",0,(M415*Q415)/Z415)*VLOOKUP(C415,'2-Uren per locatie'!$B$15:$D$74,3,FALSE)</f>
        <v>#DIV/0!</v>
      </c>
      <c r="U415" s="295" t="e">
        <f>IF(K415="nio",0,(N415*Q415)/AA415)*VLOOKUP(C415,'2-Uren per locatie'!$B$15:$D$74,3,FALSE)</f>
        <v>#DIV/0!</v>
      </c>
      <c r="V415" s="295" t="e">
        <f>IF(K415="nio",0,(O415*Q415)/Z415)*VLOOKUP(C415,'2-Uren per locatie'!$B$15:$D$74,3,FALSE)</f>
        <v>#DIV/0!</v>
      </c>
      <c r="W415" s="295" t="e">
        <f>IF(K415="nio",0,(P415*Q415)/AA415)*VLOOKUP(C415,'2-Uren per locatie'!$B$15:$D$74,3,FALSE)</f>
        <v>#DIV/0!</v>
      </c>
      <c r="X415" s="485">
        <f>IF(K415="nio",0,IF(K415&gt;0,VLOOKUP(H415,'3-Productie normen'!A:F,VLOOKUP(K415,'3-Productie normen'!$B$29:$C$34,2,FALSE),FALSE)))</f>
        <v>0</v>
      </c>
      <c r="Y415" s="485">
        <f>VLOOKUP(H415,'3-Productie normen'!$A$10:$J$24,8,FALSE)*'3-Ruimtestaat'!X415</f>
        <v>0</v>
      </c>
      <c r="Z415" s="485">
        <f>VLOOKUP(H415,'3-Productie normen'!$A$10:$J$24,9,FALSE)*'3-Ruimtestaat'!X415</f>
        <v>0</v>
      </c>
      <c r="AA415" s="485">
        <f>VLOOKUP(H415,'3-Productie normen'!$A$10:$J$24,10,FALSE)*'3-Ruimtestaat'!X415</f>
        <v>0</v>
      </c>
      <c r="AB415" s="292" t="str">
        <f>IF(H415="",0,VLOOKUP(H415,'3-Productie normen'!$A$10:$N$23,14,FALSE))</f>
        <v>V</v>
      </c>
      <c r="AD415" s="296">
        <f t="shared" si="16"/>
        <v>18250</v>
      </c>
      <c r="AE415" s="78"/>
      <c r="AF415" s="300" t="s">
        <v>602</v>
      </c>
      <c r="AG415" s="297"/>
      <c r="AH415" s="297"/>
      <c r="AI415" s="297"/>
      <c r="AJ415" s="297"/>
      <c r="AK415" s="298"/>
      <c r="AL415" s="298"/>
      <c r="AM415" s="298"/>
      <c r="AN415" s="298"/>
      <c r="AO415" s="299"/>
    </row>
    <row r="416" spans="1:41" ht="15" customHeight="1">
      <c r="A416" s="254">
        <v>416</v>
      </c>
      <c r="B416" s="253">
        <v>306</v>
      </c>
      <c r="C416" s="240" t="s">
        <v>101</v>
      </c>
      <c r="D416" s="288" t="s">
        <v>96</v>
      </c>
      <c r="E416" s="289"/>
      <c r="F416" s="239" t="s">
        <v>605</v>
      </c>
      <c r="G416" s="290" t="s">
        <v>606</v>
      </c>
      <c r="H416" s="291" t="s">
        <v>153</v>
      </c>
      <c r="I416" s="239" t="s">
        <v>355</v>
      </c>
      <c r="J416" s="424">
        <f t="shared" si="15"/>
        <v>365</v>
      </c>
      <c r="K416" s="425">
        <v>255</v>
      </c>
      <c r="L416" s="425"/>
      <c r="M416" s="425">
        <v>102</v>
      </c>
      <c r="N416" s="425"/>
      <c r="O416" s="425">
        <v>8</v>
      </c>
      <c r="P416" s="425"/>
      <c r="Q416" s="294">
        <v>1</v>
      </c>
      <c r="R416" s="295" t="e">
        <f>IF(K416="nio",0,(K416*Q416)/X416)*VLOOKUP(C416,'2-Uren per locatie'!$B$15:$D$74,3,FALSE)</f>
        <v>#DIV/0!</v>
      </c>
      <c r="S416" s="295" t="e">
        <f>IF(K416="nio",0,(L416*Q416)/Y416)*VLOOKUP(C416,'2-Uren per locatie'!$B$15:$D$74,3,FALSE)</f>
        <v>#DIV/0!</v>
      </c>
      <c r="T416" s="295" t="e">
        <f>IF(K416="nio",0,(M416*Q416)/Z416)*VLOOKUP(C416,'2-Uren per locatie'!$B$15:$D$74,3,FALSE)</f>
        <v>#DIV/0!</v>
      </c>
      <c r="U416" s="295" t="e">
        <f>IF(K416="nio",0,(N416*Q416)/AA416)*VLOOKUP(C416,'2-Uren per locatie'!$B$15:$D$74,3,FALSE)</f>
        <v>#DIV/0!</v>
      </c>
      <c r="V416" s="295" t="e">
        <f>IF(K416="nio",0,(O416*Q416)/Z416)*VLOOKUP(C416,'2-Uren per locatie'!$B$15:$D$74,3,FALSE)</f>
        <v>#DIV/0!</v>
      </c>
      <c r="W416" s="295" t="e">
        <f>IF(K416="nio",0,(P416*Q416)/AA416)*VLOOKUP(C416,'2-Uren per locatie'!$B$15:$D$74,3,FALSE)</f>
        <v>#DIV/0!</v>
      </c>
      <c r="X416" s="485">
        <f>IF(K416="nio",0,IF(K416&gt;0,VLOOKUP(H416,'3-Productie normen'!A:F,VLOOKUP(K416,'3-Productie normen'!$B$29:$C$34,2,FALSE),FALSE)))</f>
        <v>0</v>
      </c>
      <c r="Y416" s="485">
        <f>VLOOKUP(H416,'3-Productie normen'!$A$10:$J$24,8,FALSE)*'3-Ruimtestaat'!X416</f>
        <v>0</v>
      </c>
      <c r="Z416" s="485">
        <f>VLOOKUP(H416,'3-Productie normen'!$A$10:$J$24,9,FALSE)*'3-Ruimtestaat'!X416</f>
        <v>0</v>
      </c>
      <c r="AA416" s="485">
        <f>VLOOKUP(H416,'3-Productie normen'!$A$10:$J$24,10,FALSE)*'3-Ruimtestaat'!X416</f>
        <v>0</v>
      </c>
      <c r="AB416" s="292" t="str">
        <f>IF(H416="",0,VLOOKUP(H416,'3-Productie normen'!$A$10:$N$23,14,FALSE))</f>
        <v>S</v>
      </c>
      <c r="AD416" s="296">
        <f t="shared" si="16"/>
        <v>365</v>
      </c>
      <c r="AE416" s="78"/>
      <c r="AF416" s="297"/>
      <c r="AG416" s="297"/>
      <c r="AH416" s="297"/>
      <c r="AI416" s="297">
        <v>22</v>
      </c>
      <c r="AJ416" s="297">
        <v>17</v>
      </c>
      <c r="AK416" s="298"/>
      <c r="AL416" s="298"/>
      <c r="AM416" s="298"/>
      <c r="AN416" s="298">
        <v>9</v>
      </c>
      <c r="AO416" s="299"/>
    </row>
    <row r="417" spans="1:41" ht="15" customHeight="1">
      <c r="A417" s="254">
        <v>417</v>
      </c>
      <c r="B417" s="253">
        <v>306</v>
      </c>
      <c r="C417" s="240" t="s">
        <v>101</v>
      </c>
      <c r="D417" s="288" t="s">
        <v>96</v>
      </c>
      <c r="E417" s="289"/>
      <c r="F417" s="239" t="s">
        <v>477</v>
      </c>
      <c r="G417" s="290" t="s">
        <v>609</v>
      </c>
      <c r="H417" s="291" t="s">
        <v>144</v>
      </c>
      <c r="I417" s="239" t="s">
        <v>203</v>
      </c>
      <c r="J417" s="424">
        <f t="shared" si="15"/>
        <v>365</v>
      </c>
      <c r="K417" s="425">
        <v>102</v>
      </c>
      <c r="L417" s="425">
        <v>153</v>
      </c>
      <c r="M417" s="425"/>
      <c r="N417" s="425">
        <v>102</v>
      </c>
      <c r="O417" s="425"/>
      <c r="P417" s="425">
        <v>8</v>
      </c>
      <c r="Q417" s="294">
        <v>7</v>
      </c>
      <c r="R417" s="295" t="e">
        <f>IF(K417="nio",0,(K417*Q417)/X417)*VLOOKUP(C417,'2-Uren per locatie'!$B$15:$D$74,3,FALSE)</f>
        <v>#DIV/0!</v>
      </c>
      <c r="S417" s="295" t="e">
        <f>IF(K417="nio",0,(L417*Q417)/Y417)*VLOOKUP(C417,'2-Uren per locatie'!$B$15:$D$74,3,FALSE)</f>
        <v>#DIV/0!</v>
      </c>
      <c r="T417" s="295" t="e">
        <f>IF(K417="nio",0,(M417*Q417)/Z417)*VLOOKUP(C417,'2-Uren per locatie'!$B$15:$D$74,3,FALSE)</f>
        <v>#DIV/0!</v>
      </c>
      <c r="U417" s="295" t="e">
        <f>IF(K417="nio",0,(N417*Q417)/AA417)*VLOOKUP(C417,'2-Uren per locatie'!$B$15:$D$74,3,FALSE)</f>
        <v>#DIV/0!</v>
      </c>
      <c r="V417" s="295" t="e">
        <f>IF(K417="nio",0,(O417*Q417)/Z417)*VLOOKUP(C417,'2-Uren per locatie'!$B$15:$D$74,3,FALSE)</f>
        <v>#DIV/0!</v>
      </c>
      <c r="W417" s="295" t="e">
        <f>IF(K417="nio",0,(P417*Q417)/AA417)*VLOOKUP(C417,'2-Uren per locatie'!$B$15:$D$74,3,FALSE)</f>
        <v>#DIV/0!</v>
      </c>
      <c r="X417" s="485">
        <f>IF(K417="nio",0,IF(K417&gt;0,VLOOKUP(H417,'3-Productie normen'!A:F,VLOOKUP(K417,'3-Productie normen'!$B$29:$C$34,2,FALSE),FALSE)))</f>
        <v>0</v>
      </c>
      <c r="Y417" s="485">
        <f>VLOOKUP(H417,'3-Productie normen'!$A$10:$J$24,8,FALSE)*'3-Ruimtestaat'!X417</f>
        <v>0</v>
      </c>
      <c r="Z417" s="485">
        <f>VLOOKUP(H417,'3-Productie normen'!$A$10:$J$24,9,FALSE)*'3-Ruimtestaat'!X417</f>
        <v>0</v>
      </c>
      <c r="AA417" s="485">
        <f>VLOOKUP(H417,'3-Productie normen'!$A$10:$J$24,10,FALSE)*'3-Ruimtestaat'!X417</f>
        <v>0</v>
      </c>
      <c r="AB417" s="292" t="str">
        <f>IF(H417="",0,VLOOKUP(H417,'3-Productie normen'!$A$10:$N$23,14,FALSE))</f>
        <v>V</v>
      </c>
      <c r="AD417" s="296">
        <f t="shared" si="16"/>
        <v>2555</v>
      </c>
      <c r="AE417" s="78"/>
      <c r="AF417" s="297"/>
      <c r="AG417" s="297">
        <v>32</v>
      </c>
      <c r="AH417" s="297"/>
      <c r="AI417" s="297"/>
      <c r="AJ417" s="297"/>
      <c r="AK417" s="298"/>
      <c r="AL417" s="298"/>
      <c r="AM417" s="298">
        <v>7</v>
      </c>
      <c r="AN417" s="298"/>
      <c r="AO417" s="299"/>
    </row>
    <row r="418" spans="1:41" ht="15" customHeight="1">
      <c r="A418" s="254">
        <v>418</v>
      </c>
      <c r="B418" s="253">
        <v>306</v>
      </c>
      <c r="C418" s="240" t="s">
        <v>101</v>
      </c>
      <c r="D418" s="288" t="s">
        <v>96</v>
      </c>
      <c r="E418" s="289"/>
      <c r="F418" s="239" t="s">
        <v>575</v>
      </c>
      <c r="G418" s="290"/>
      <c r="H418" s="291" t="s">
        <v>152</v>
      </c>
      <c r="I418" s="239" t="s">
        <v>265</v>
      </c>
      <c r="J418" s="424">
        <f t="shared" si="15"/>
        <v>365</v>
      </c>
      <c r="K418" s="425">
        <v>102</v>
      </c>
      <c r="L418" s="425">
        <v>153</v>
      </c>
      <c r="M418" s="425"/>
      <c r="N418" s="425">
        <v>102</v>
      </c>
      <c r="O418" s="425"/>
      <c r="P418" s="425">
        <v>8</v>
      </c>
      <c r="Q418" s="294">
        <v>33</v>
      </c>
      <c r="R418" s="295" t="e">
        <f>IF(K418="nio",0,(K418*Q418)/X418)*VLOOKUP(C418,'2-Uren per locatie'!$B$15:$D$74,3,FALSE)</f>
        <v>#DIV/0!</v>
      </c>
      <c r="S418" s="295" t="e">
        <f>IF(K418="nio",0,(L418*Q418)/Y418)*VLOOKUP(C418,'2-Uren per locatie'!$B$15:$D$74,3,FALSE)</f>
        <v>#DIV/0!</v>
      </c>
      <c r="T418" s="295" t="e">
        <f>IF(K418="nio",0,(M418*Q418)/Z418)*VLOOKUP(C418,'2-Uren per locatie'!$B$15:$D$74,3,FALSE)</f>
        <v>#DIV/0!</v>
      </c>
      <c r="U418" s="295" t="e">
        <f>IF(K418="nio",0,(N418*Q418)/AA418)*VLOOKUP(C418,'2-Uren per locatie'!$B$15:$D$74,3,FALSE)</f>
        <v>#DIV/0!</v>
      </c>
      <c r="V418" s="295" t="e">
        <f>IF(K418="nio",0,(O418*Q418)/Z418)*VLOOKUP(C418,'2-Uren per locatie'!$B$15:$D$74,3,FALSE)</f>
        <v>#DIV/0!</v>
      </c>
      <c r="W418" s="295" t="e">
        <f>IF(K418="nio",0,(P418*Q418)/AA418)*VLOOKUP(C418,'2-Uren per locatie'!$B$15:$D$74,3,FALSE)</f>
        <v>#DIV/0!</v>
      </c>
      <c r="X418" s="485">
        <f>IF(K418="nio",0,IF(K418&gt;0,VLOOKUP(H418,'3-Productie normen'!A:F,VLOOKUP(K418,'3-Productie normen'!$B$29:$C$34,2,FALSE),FALSE)))</f>
        <v>0</v>
      </c>
      <c r="Y418" s="485">
        <f>VLOOKUP(H418,'3-Productie normen'!$A$10:$J$24,8,FALSE)*'3-Ruimtestaat'!X418</f>
        <v>0</v>
      </c>
      <c r="Z418" s="485">
        <f>VLOOKUP(H418,'3-Productie normen'!$A$10:$J$24,9,FALSE)*'3-Ruimtestaat'!X418</f>
        <v>0</v>
      </c>
      <c r="AA418" s="485">
        <f>VLOOKUP(H418,'3-Productie normen'!$A$10:$J$24,10,FALSE)*'3-Ruimtestaat'!X418</f>
        <v>0</v>
      </c>
      <c r="AB418" s="292" t="str">
        <f>IF(H418="",0,VLOOKUP(H418,'3-Productie normen'!$A$10:$N$23,14,FALSE))</f>
        <v>V</v>
      </c>
      <c r="AD418" s="296">
        <f t="shared" si="16"/>
        <v>12045</v>
      </c>
      <c r="AE418" s="78"/>
      <c r="AF418" s="297"/>
      <c r="AG418" s="297"/>
      <c r="AH418" s="297"/>
      <c r="AI418" s="297">
        <v>18</v>
      </c>
      <c r="AJ418" s="297"/>
      <c r="AK418" s="298"/>
      <c r="AL418" s="298"/>
      <c r="AM418" s="298"/>
      <c r="AN418" s="298"/>
      <c r="AO418" s="299"/>
    </row>
    <row r="419" spans="1:41" ht="15" customHeight="1">
      <c r="A419" s="254">
        <v>419</v>
      </c>
      <c r="B419" s="253">
        <v>307</v>
      </c>
      <c r="C419" s="240" t="s">
        <v>102</v>
      </c>
      <c r="D419" s="288" t="s">
        <v>96</v>
      </c>
      <c r="E419" s="289"/>
      <c r="F419" s="239" t="s">
        <v>610</v>
      </c>
      <c r="G419" s="290"/>
      <c r="H419" s="291" t="s">
        <v>143</v>
      </c>
      <c r="I419" s="239" t="s">
        <v>545</v>
      </c>
      <c r="J419" s="424">
        <f t="shared" si="15"/>
        <v>365</v>
      </c>
      <c r="K419" s="425">
        <v>127</v>
      </c>
      <c r="L419" s="425">
        <v>126</v>
      </c>
      <c r="M419" s="425">
        <v>52</v>
      </c>
      <c r="N419" s="425">
        <v>52</v>
      </c>
      <c r="O419" s="425">
        <v>4</v>
      </c>
      <c r="P419" s="425">
        <v>4</v>
      </c>
      <c r="Q419" s="294">
        <v>366</v>
      </c>
      <c r="R419" s="295" t="e">
        <f>IF(K419="nio",0,(K419*Q419)/X419)*VLOOKUP(C419,'2-Uren per locatie'!$B$15:$D$74,3,FALSE)</f>
        <v>#DIV/0!</v>
      </c>
      <c r="S419" s="295" t="e">
        <f>IF(K419="nio",0,(L419*Q419)/Y419)*VLOOKUP(C419,'2-Uren per locatie'!$B$15:$D$74,3,FALSE)</f>
        <v>#DIV/0!</v>
      </c>
      <c r="T419" s="295" t="e">
        <f>IF(K419="nio",0,(M419*Q419)/Z419)*VLOOKUP(C419,'2-Uren per locatie'!$B$15:$D$74,3,FALSE)</f>
        <v>#DIV/0!</v>
      </c>
      <c r="U419" s="295" t="e">
        <f>IF(K419="nio",0,(N419*Q419)/AA419)*VLOOKUP(C419,'2-Uren per locatie'!$B$15:$D$74,3,FALSE)</f>
        <v>#DIV/0!</v>
      </c>
      <c r="V419" s="295" t="e">
        <f>IF(K419="nio",0,(O419*Q419)/Z419)*VLOOKUP(C419,'2-Uren per locatie'!$B$15:$D$74,3,FALSE)</f>
        <v>#DIV/0!</v>
      </c>
      <c r="W419" s="295" t="e">
        <f>IF(K419="nio",0,(P419*Q419)/AA419)*VLOOKUP(C419,'2-Uren per locatie'!$B$15:$D$74,3,FALSE)</f>
        <v>#DIV/0!</v>
      </c>
      <c r="X419" s="485">
        <f>IF(K419="nio",0,IF(K419&gt;0,VLOOKUP(H419,'3-Productie normen'!A:F,VLOOKUP(K419,'3-Productie normen'!$B$29:$C$34,2,FALSE),FALSE)))</f>
        <v>0</v>
      </c>
      <c r="Y419" s="485">
        <f>VLOOKUP(H419,'3-Productie normen'!$A$10:$J$24,8,FALSE)*'3-Ruimtestaat'!X419</f>
        <v>0</v>
      </c>
      <c r="Z419" s="485">
        <f>VLOOKUP(H419,'3-Productie normen'!$A$10:$J$24,9,FALSE)*'3-Ruimtestaat'!X419</f>
        <v>0</v>
      </c>
      <c r="AA419" s="485">
        <f>VLOOKUP(H419,'3-Productie normen'!$A$10:$J$24,10,FALSE)*'3-Ruimtestaat'!X419</f>
        <v>0</v>
      </c>
      <c r="AB419" s="292" t="str">
        <f>IF(H419="",0,VLOOKUP(H419,'3-Productie normen'!$A$10:$N$23,14,FALSE))</f>
        <v>V</v>
      </c>
      <c r="AD419" s="296">
        <f t="shared" si="16"/>
        <v>133590</v>
      </c>
      <c r="AE419" s="78"/>
      <c r="AF419" s="297">
        <v>60</v>
      </c>
      <c r="AG419" s="297"/>
      <c r="AH419" s="297"/>
      <c r="AI419" s="297"/>
      <c r="AJ419" s="297"/>
      <c r="AK419" s="298"/>
      <c r="AL419" s="298"/>
      <c r="AM419" s="298"/>
      <c r="AN419" s="298"/>
      <c r="AO419" s="299"/>
    </row>
    <row r="420" spans="1:41" ht="15" customHeight="1">
      <c r="A420" s="254">
        <v>420</v>
      </c>
      <c r="B420" s="253">
        <v>307</v>
      </c>
      <c r="C420" s="240" t="s">
        <v>102</v>
      </c>
      <c r="D420" s="288" t="s">
        <v>96</v>
      </c>
      <c r="E420" s="289"/>
      <c r="F420" s="239" t="s">
        <v>453</v>
      </c>
      <c r="G420" s="290" t="s">
        <v>611</v>
      </c>
      <c r="H420" s="291" t="s">
        <v>151</v>
      </c>
      <c r="I420" s="239" t="s">
        <v>612</v>
      </c>
      <c r="J420" s="424">
        <f t="shared" si="15"/>
        <v>365</v>
      </c>
      <c r="K420" s="425">
        <v>127</v>
      </c>
      <c r="L420" s="425">
        <v>126</v>
      </c>
      <c r="M420" s="425">
        <v>52</v>
      </c>
      <c r="N420" s="425">
        <v>52</v>
      </c>
      <c r="O420" s="425">
        <v>4</v>
      </c>
      <c r="P420" s="425">
        <v>4</v>
      </c>
      <c r="Q420" s="294">
        <v>472</v>
      </c>
      <c r="R420" s="295" t="e">
        <f>IF(K420="nio",0,(K420*Q420)/X420)*VLOOKUP(C420,'2-Uren per locatie'!$B$15:$D$74,3,FALSE)</f>
        <v>#DIV/0!</v>
      </c>
      <c r="S420" s="295" t="e">
        <f>IF(K420="nio",0,(L420*Q420)/Y420)*VLOOKUP(C420,'2-Uren per locatie'!$B$15:$D$74,3,FALSE)</f>
        <v>#DIV/0!</v>
      </c>
      <c r="T420" s="295" t="e">
        <f>IF(K420="nio",0,(M420*Q420)/Z420)*VLOOKUP(C420,'2-Uren per locatie'!$B$15:$D$74,3,FALSE)</f>
        <v>#DIV/0!</v>
      </c>
      <c r="U420" s="295" t="e">
        <f>IF(K420="nio",0,(N420*Q420)/AA420)*VLOOKUP(C420,'2-Uren per locatie'!$B$15:$D$74,3,FALSE)</f>
        <v>#DIV/0!</v>
      </c>
      <c r="V420" s="295" t="e">
        <f>IF(K420="nio",0,(O420*Q420)/Z420)*VLOOKUP(C420,'2-Uren per locatie'!$B$15:$D$74,3,FALSE)</f>
        <v>#DIV/0!</v>
      </c>
      <c r="W420" s="295" t="e">
        <f>IF(K420="nio",0,(P420*Q420)/AA420)*VLOOKUP(C420,'2-Uren per locatie'!$B$15:$D$74,3,FALSE)</f>
        <v>#DIV/0!</v>
      </c>
      <c r="X420" s="485">
        <f>IF(K420="nio",0,IF(K420&gt;0,VLOOKUP(H420,'3-Productie normen'!A:F,VLOOKUP(K420,'3-Productie normen'!$B$29:$C$34,2,FALSE),FALSE)))</f>
        <v>0</v>
      </c>
      <c r="Y420" s="485">
        <f>VLOOKUP(H420,'3-Productie normen'!$A$10:$J$24,8,FALSE)*'3-Ruimtestaat'!X420</f>
        <v>0</v>
      </c>
      <c r="Z420" s="485">
        <f>VLOOKUP(H420,'3-Productie normen'!$A$10:$J$24,9,FALSE)*'3-Ruimtestaat'!X420</f>
        <v>0</v>
      </c>
      <c r="AA420" s="485">
        <f>VLOOKUP(H420,'3-Productie normen'!$A$10:$J$24,10,FALSE)*'3-Ruimtestaat'!X420</f>
        <v>0</v>
      </c>
      <c r="AB420" s="292" t="str">
        <f>IF(H420="",0,VLOOKUP(H420,'3-Productie normen'!$A$10:$N$23,14,FALSE))</f>
        <v>V</v>
      </c>
      <c r="AD420" s="296">
        <f t="shared" si="16"/>
        <v>172280</v>
      </c>
      <c r="AE420" s="78"/>
      <c r="AF420" s="297"/>
      <c r="AG420" s="297"/>
      <c r="AH420" s="297"/>
      <c r="AI420" s="297"/>
      <c r="AJ420" s="297"/>
      <c r="AK420" s="298"/>
      <c r="AL420" s="298"/>
      <c r="AM420" s="298">
        <v>50</v>
      </c>
      <c r="AN420" s="298"/>
      <c r="AO420" s="299"/>
    </row>
    <row r="421" spans="1:41" ht="15" customHeight="1">
      <c r="A421" s="254">
        <v>421</v>
      </c>
      <c r="B421" s="253">
        <v>307</v>
      </c>
      <c r="C421" s="240" t="s">
        <v>102</v>
      </c>
      <c r="D421" s="288" t="s">
        <v>96</v>
      </c>
      <c r="E421" s="289"/>
      <c r="F421" s="239" t="s">
        <v>453</v>
      </c>
      <c r="G421" s="290" t="s">
        <v>526</v>
      </c>
      <c r="H421" s="291" t="s">
        <v>151</v>
      </c>
      <c r="I421" s="239" t="s">
        <v>592</v>
      </c>
      <c r="J421" s="424">
        <f t="shared" si="15"/>
        <v>365</v>
      </c>
      <c r="K421" s="425">
        <v>127</v>
      </c>
      <c r="L421" s="425">
        <v>126</v>
      </c>
      <c r="M421" s="425">
        <v>52</v>
      </c>
      <c r="N421" s="425">
        <v>52</v>
      </c>
      <c r="O421" s="425">
        <v>4</v>
      </c>
      <c r="P421" s="425">
        <v>4</v>
      </c>
      <c r="Q421" s="294">
        <v>966</v>
      </c>
      <c r="R421" s="295" t="e">
        <f>IF(K421="nio",0,(K421*Q421)/X421)*VLOOKUP(C421,'2-Uren per locatie'!$B$15:$D$74,3,FALSE)</f>
        <v>#DIV/0!</v>
      </c>
      <c r="S421" s="295" t="e">
        <f>IF(K421="nio",0,(L421*Q421)/Y421)*VLOOKUP(C421,'2-Uren per locatie'!$B$15:$D$74,3,FALSE)</f>
        <v>#DIV/0!</v>
      </c>
      <c r="T421" s="295" t="e">
        <f>IF(K421="nio",0,(M421*Q421)/Z421)*VLOOKUP(C421,'2-Uren per locatie'!$B$15:$D$74,3,FALSE)</f>
        <v>#DIV/0!</v>
      </c>
      <c r="U421" s="295" t="e">
        <f>IF(K421="nio",0,(N421*Q421)/AA421)*VLOOKUP(C421,'2-Uren per locatie'!$B$15:$D$74,3,FALSE)</f>
        <v>#DIV/0!</v>
      </c>
      <c r="V421" s="295" t="e">
        <f>IF(K421="nio",0,(O421*Q421)/Z421)*VLOOKUP(C421,'2-Uren per locatie'!$B$15:$D$74,3,FALSE)</f>
        <v>#DIV/0!</v>
      </c>
      <c r="W421" s="295" t="e">
        <f>IF(K421="nio",0,(P421*Q421)/AA421)*VLOOKUP(C421,'2-Uren per locatie'!$B$15:$D$74,3,FALSE)</f>
        <v>#DIV/0!</v>
      </c>
      <c r="X421" s="485">
        <f>IF(K421="nio",0,IF(K421&gt;0,VLOOKUP(H421,'3-Productie normen'!A:F,VLOOKUP(K421,'3-Productie normen'!$B$29:$C$34,2,FALSE),FALSE)))</f>
        <v>0</v>
      </c>
      <c r="Y421" s="485">
        <f>VLOOKUP(H421,'3-Productie normen'!$A$10:$J$24,8,FALSE)*'3-Ruimtestaat'!X421</f>
        <v>0</v>
      </c>
      <c r="Z421" s="485">
        <f>VLOOKUP(H421,'3-Productie normen'!$A$10:$J$24,9,FALSE)*'3-Ruimtestaat'!X421</f>
        <v>0</v>
      </c>
      <c r="AA421" s="485">
        <f>VLOOKUP(H421,'3-Productie normen'!$A$10:$J$24,10,FALSE)*'3-Ruimtestaat'!X421</f>
        <v>0</v>
      </c>
      <c r="AB421" s="292" t="str">
        <f>IF(H421="",0,VLOOKUP(H421,'3-Productie normen'!$A$10:$N$23,14,FALSE))</f>
        <v>V</v>
      </c>
      <c r="AD421" s="296">
        <f t="shared" si="16"/>
        <v>352590</v>
      </c>
      <c r="AE421" s="78"/>
      <c r="AF421" s="297"/>
      <c r="AG421" s="297"/>
      <c r="AH421" s="297"/>
      <c r="AI421" s="297"/>
      <c r="AJ421" s="297"/>
      <c r="AK421" s="298"/>
      <c r="AL421" s="298"/>
      <c r="AM421" s="298">
        <v>966</v>
      </c>
      <c r="AN421" s="298"/>
      <c r="AO421" s="299"/>
    </row>
    <row r="422" spans="1:41" ht="15" customHeight="1">
      <c r="A422" s="254">
        <v>422</v>
      </c>
      <c r="B422" s="253">
        <v>307</v>
      </c>
      <c r="C422" s="240" t="s">
        <v>102</v>
      </c>
      <c r="D422" s="288" t="s">
        <v>96</v>
      </c>
      <c r="E422" s="289"/>
      <c r="F422" s="239" t="s">
        <v>453</v>
      </c>
      <c r="G422" s="290" t="s">
        <v>526</v>
      </c>
      <c r="H422" s="291" t="s">
        <v>151</v>
      </c>
      <c r="I422" s="239" t="s">
        <v>545</v>
      </c>
      <c r="J422" s="424">
        <f t="shared" si="15"/>
        <v>365</v>
      </c>
      <c r="K422" s="425">
        <v>127</v>
      </c>
      <c r="L422" s="425">
        <v>126</v>
      </c>
      <c r="M422" s="425">
        <v>52</v>
      </c>
      <c r="N422" s="425">
        <v>52</v>
      </c>
      <c r="O422" s="425">
        <v>4</v>
      </c>
      <c r="P422" s="425">
        <v>4</v>
      </c>
      <c r="Q422" s="294">
        <v>188</v>
      </c>
      <c r="R422" s="295" t="e">
        <f>IF(K422="nio",0,(K422*Q422)/X422)*VLOOKUP(C422,'2-Uren per locatie'!$B$15:$D$74,3,FALSE)</f>
        <v>#DIV/0!</v>
      </c>
      <c r="S422" s="295" t="e">
        <f>IF(K422="nio",0,(L422*Q422)/Y422)*VLOOKUP(C422,'2-Uren per locatie'!$B$15:$D$74,3,FALSE)</f>
        <v>#DIV/0!</v>
      </c>
      <c r="T422" s="295" t="e">
        <f>IF(K422="nio",0,(M422*Q422)/Z422)*VLOOKUP(C422,'2-Uren per locatie'!$B$15:$D$74,3,FALSE)</f>
        <v>#DIV/0!</v>
      </c>
      <c r="U422" s="295" t="e">
        <f>IF(K422="nio",0,(N422*Q422)/AA422)*VLOOKUP(C422,'2-Uren per locatie'!$B$15:$D$74,3,FALSE)</f>
        <v>#DIV/0!</v>
      </c>
      <c r="V422" s="295" t="e">
        <f>IF(K422="nio",0,(O422*Q422)/Z422)*VLOOKUP(C422,'2-Uren per locatie'!$B$15:$D$74,3,FALSE)</f>
        <v>#DIV/0!</v>
      </c>
      <c r="W422" s="295" t="e">
        <f>IF(K422="nio",0,(P422*Q422)/AA422)*VLOOKUP(C422,'2-Uren per locatie'!$B$15:$D$74,3,FALSE)</f>
        <v>#DIV/0!</v>
      </c>
      <c r="X422" s="485">
        <f>IF(K422="nio",0,IF(K422&gt;0,VLOOKUP(H422,'3-Productie normen'!A:F,VLOOKUP(K422,'3-Productie normen'!$B$29:$C$34,2,FALSE),FALSE)))</f>
        <v>0</v>
      </c>
      <c r="Y422" s="485">
        <f>VLOOKUP(H422,'3-Productie normen'!$A$10:$J$24,8,FALSE)*'3-Ruimtestaat'!X422</f>
        <v>0</v>
      </c>
      <c r="Z422" s="485">
        <f>VLOOKUP(H422,'3-Productie normen'!$A$10:$J$24,9,FALSE)*'3-Ruimtestaat'!X422</f>
        <v>0</v>
      </c>
      <c r="AA422" s="485">
        <f>VLOOKUP(H422,'3-Productie normen'!$A$10:$J$24,10,FALSE)*'3-Ruimtestaat'!X422</f>
        <v>0</v>
      </c>
      <c r="AB422" s="292" t="str">
        <f>IF(H422="",0,VLOOKUP(H422,'3-Productie normen'!$A$10:$N$23,14,FALSE))</f>
        <v>V</v>
      </c>
      <c r="AD422" s="296">
        <f t="shared" si="16"/>
        <v>68620</v>
      </c>
      <c r="AE422" s="78"/>
      <c r="AF422" s="297"/>
      <c r="AG422" s="297"/>
      <c r="AH422" s="297"/>
      <c r="AI422" s="297"/>
      <c r="AJ422" s="297"/>
      <c r="AK422" s="298"/>
      <c r="AL422" s="298"/>
      <c r="AM422" s="298">
        <v>188</v>
      </c>
      <c r="AN422" s="298"/>
      <c r="AO422" s="299"/>
    </row>
    <row r="423" spans="1:41" ht="15" customHeight="1">
      <c r="A423" s="254">
        <v>423</v>
      </c>
      <c r="B423" s="253">
        <v>307</v>
      </c>
      <c r="C423" s="240" t="s">
        <v>102</v>
      </c>
      <c r="D423" s="288" t="s">
        <v>96</v>
      </c>
      <c r="E423" s="289"/>
      <c r="F423" s="239" t="s">
        <v>454</v>
      </c>
      <c r="G423" s="290" t="s">
        <v>505</v>
      </c>
      <c r="H423" s="291" t="s">
        <v>143</v>
      </c>
      <c r="I423" s="239" t="s">
        <v>545</v>
      </c>
      <c r="J423" s="424">
        <f t="shared" si="15"/>
        <v>365</v>
      </c>
      <c r="K423" s="425">
        <v>127</v>
      </c>
      <c r="L423" s="425">
        <v>126</v>
      </c>
      <c r="M423" s="425">
        <v>52</v>
      </c>
      <c r="N423" s="425">
        <v>52</v>
      </c>
      <c r="O423" s="425">
        <v>4</v>
      </c>
      <c r="P423" s="425">
        <v>4</v>
      </c>
      <c r="Q423" s="294">
        <v>135</v>
      </c>
      <c r="R423" s="295" t="e">
        <f>IF(K423="nio",0,(K423*Q423)/X423)*VLOOKUP(C423,'2-Uren per locatie'!$B$15:$D$74,3,FALSE)</f>
        <v>#DIV/0!</v>
      </c>
      <c r="S423" s="295" t="e">
        <f>IF(K423="nio",0,(L423*Q423)/Y423)*VLOOKUP(C423,'2-Uren per locatie'!$B$15:$D$74,3,FALSE)</f>
        <v>#DIV/0!</v>
      </c>
      <c r="T423" s="295" t="e">
        <f>IF(K423="nio",0,(M423*Q423)/Z423)*VLOOKUP(C423,'2-Uren per locatie'!$B$15:$D$74,3,FALSE)</f>
        <v>#DIV/0!</v>
      </c>
      <c r="U423" s="295" t="e">
        <f>IF(K423="nio",0,(N423*Q423)/AA423)*VLOOKUP(C423,'2-Uren per locatie'!$B$15:$D$74,3,FALSE)</f>
        <v>#DIV/0!</v>
      </c>
      <c r="V423" s="295" t="e">
        <f>IF(K423="nio",0,(O423*Q423)/Z423)*VLOOKUP(C423,'2-Uren per locatie'!$B$15:$D$74,3,FALSE)</f>
        <v>#DIV/0!</v>
      </c>
      <c r="W423" s="295" t="e">
        <f>IF(K423="nio",0,(P423*Q423)/AA423)*VLOOKUP(C423,'2-Uren per locatie'!$B$15:$D$74,3,FALSE)</f>
        <v>#DIV/0!</v>
      </c>
      <c r="X423" s="485">
        <f>IF(K423="nio",0,IF(K423&gt;0,VLOOKUP(H423,'3-Productie normen'!A:F,VLOOKUP(K423,'3-Productie normen'!$B$29:$C$34,2,FALSE),FALSE)))</f>
        <v>0</v>
      </c>
      <c r="Y423" s="485">
        <f>VLOOKUP(H423,'3-Productie normen'!$A$10:$J$24,8,FALSE)*'3-Ruimtestaat'!X423</f>
        <v>0</v>
      </c>
      <c r="Z423" s="485">
        <f>VLOOKUP(H423,'3-Productie normen'!$A$10:$J$24,9,FALSE)*'3-Ruimtestaat'!X423</f>
        <v>0</v>
      </c>
      <c r="AA423" s="485">
        <f>VLOOKUP(H423,'3-Productie normen'!$A$10:$J$24,10,FALSE)*'3-Ruimtestaat'!X423</f>
        <v>0</v>
      </c>
      <c r="AB423" s="292" t="str">
        <f>IF(H423="",0,VLOOKUP(H423,'3-Productie normen'!$A$10:$N$23,14,FALSE))</f>
        <v>V</v>
      </c>
      <c r="AD423" s="296">
        <f t="shared" si="16"/>
        <v>49275</v>
      </c>
      <c r="AE423" s="78"/>
      <c r="AF423" s="297">
        <v>130</v>
      </c>
      <c r="AG423" s="297"/>
      <c r="AH423" s="297"/>
      <c r="AI423" s="297"/>
      <c r="AJ423" s="297"/>
      <c r="AK423" s="298"/>
      <c r="AL423" s="298"/>
      <c r="AM423" s="298"/>
      <c r="AN423" s="298">
        <v>43</v>
      </c>
      <c r="AO423" s="299"/>
    </row>
    <row r="424" spans="1:41" ht="15" customHeight="1">
      <c r="A424" s="254">
        <v>424</v>
      </c>
      <c r="B424" s="253">
        <v>307</v>
      </c>
      <c r="C424" s="240" t="s">
        <v>102</v>
      </c>
      <c r="D424" s="288" t="s">
        <v>96</v>
      </c>
      <c r="E424" s="289"/>
      <c r="F424" s="239" t="s">
        <v>613</v>
      </c>
      <c r="G424" s="290" t="s">
        <v>511</v>
      </c>
      <c r="H424" s="291" t="s">
        <v>153</v>
      </c>
      <c r="I424" s="239" t="s">
        <v>203</v>
      </c>
      <c r="J424" s="424">
        <f t="shared" si="15"/>
        <v>365</v>
      </c>
      <c r="K424" s="425">
        <v>255</v>
      </c>
      <c r="L424" s="425"/>
      <c r="M424" s="425">
        <v>102</v>
      </c>
      <c r="N424" s="425"/>
      <c r="O424" s="425">
        <v>8</v>
      </c>
      <c r="P424" s="425"/>
      <c r="Q424" s="294">
        <v>2</v>
      </c>
      <c r="R424" s="295" t="e">
        <f>IF(K424="nio",0,(K424*Q424)/X424)*VLOOKUP(C424,'2-Uren per locatie'!$B$15:$D$74,3,FALSE)</f>
        <v>#DIV/0!</v>
      </c>
      <c r="S424" s="295" t="e">
        <f>IF(K424="nio",0,(L424*Q424)/Y424)*VLOOKUP(C424,'2-Uren per locatie'!$B$15:$D$74,3,FALSE)</f>
        <v>#DIV/0!</v>
      </c>
      <c r="T424" s="295" t="e">
        <f>IF(K424="nio",0,(M424*Q424)/Z424)*VLOOKUP(C424,'2-Uren per locatie'!$B$15:$D$74,3,FALSE)</f>
        <v>#DIV/0!</v>
      </c>
      <c r="U424" s="295" t="e">
        <f>IF(K424="nio",0,(N424*Q424)/AA424)*VLOOKUP(C424,'2-Uren per locatie'!$B$15:$D$74,3,FALSE)</f>
        <v>#DIV/0!</v>
      </c>
      <c r="V424" s="295" t="e">
        <f>IF(K424="nio",0,(O424*Q424)/Z424)*VLOOKUP(C424,'2-Uren per locatie'!$B$15:$D$74,3,FALSE)</f>
        <v>#DIV/0!</v>
      </c>
      <c r="W424" s="295" t="e">
        <f>IF(K424="nio",0,(P424*Q424)/AA424)*VLOOKUP(C424,'2-Uren per locatie'!$B$15:$D$74,3,FALSE)</f>
        <v>#DIV/0!</v>
      </c>
      <c r="X424" s="485">
        <f>IF(K424="nio",0,IF(K424&gt;0,VLOOKUP(H424,'3-Productie normen'!A:F,VLOOKUP(K424,'3-Productie normen'!$B$29:$C$34,2,FALSE),FALSE)))</f>
        <v>0</v>
      </c>
      <c r="Y424" s="485">
        <f>VLOOKUP(H424,'3-Productie normen'!$A$10:$J$24,8,FALSE)*'3-Ruimtestaat'!X424</f>
        <v>0</v>
      </c>
      <c r="Z424" s="485">
        <f>VLOOKUP(H424,'3-Productie normen'!$A$10:$J$24,9,FALSE)*'3-Ruimtestaat'!X424</f>
        <v>0</v>
      </c>
      <c r="AA424" s="485">
        <f>VLOOKUP(H424,'3-Productie normen'!$A$10:$J$24,10,FALSE)*'3-Ruimtestaat'!X424</f>
        <v>0</v>
      </c>
      <c r="AB424" s="292" t="str">
        <f>IF(H424="",0,VLOOKUP(H424,'3-Productie normen'!$A$10:$N$23,14,FALSE))</f>
        <v>S</v>
      </c>
      <c r="AD424" s="296">
        <f t="shared" si="16"/>
        <v>730</v>
      </c>
      <c r="AE424" s="78"/>
      <c r="AF424" s="297">
        <v>14</v>
      </c>
      <c r="AG424" s="297"/>
      <c r="AH424" s="297"/>
      <c r="AI424" s="297"/>
      <c r="AJ424" s="297"/>
      <c r="AK424" s="298"/>
      <c r="AL424" s="298"/>
      <c r="AM424" s="298"/>
      <c r="AN424" s="298">
        <v>2</v>
      </c>
      <c r="AO424" s="299"/>
    </row>
    <row r="425" spans="1:41" ht="15" customHeight="1">
      <c r="A425" s="254">
        <v>425</v>
      </c>
      <c r="B425" s="253">
        <v>307</v>
      </c>
      <c r="C425" s="240" t="s">
        <v>102</v>
      </c>
      <c r="D425" s="288" t="s">
        <v>96</v>
      </c>
      <c r="E425" s="289"/>
      <c r="F425" s="239" t="s">
        <v>613</v>
      </c>
      <c r="G425" s="290" t="s">
        <v>509</v>
      </c>
      <c r="H425" s="291" t="s">
        <v>153</v>
      </c>
      <c r="I425" s="239" t="s">
        <v>203</v>
      </c>
      <c r="J425" s="424">
        <f t="shared" si="15"/>
        <v>365</v>
      </c>
      <c r="K425" s="425">
        <v>255</v>
      </c>
      <c r="L425" s="425"/>
      <c r="M425" s="425">
        <v>102</v>
      </c>
      <c r="N425" s="425"/>
      <c r="O425" s="425">
        <v>8</v>
      </c>
      <c r="P425" s="425"/>
      <c r="Q425" s="294">
        <v>2.4</v>
      </c>
      <c r="R425" s="295" t="e">
        <f>IF(K425="nio",0,(K425*Q425)/X425)*VLOOKUP(C425,'2-Uren per locatie'!$B$15:$D$74,3,FALSE)</f>
        <v>#DIV/0!</v>
      </c>
      <c r="S425" s="295" t="e">
        <f>IF(K425="nio",0,(L425*Q425)/Y425)*VLOOKUP(C425,'2-Uren per locatie'!$B$15:$D$74,3,FALSE)</f>
        <v>#DIV/0!</v>
      </c>
      <c r="T425" s="295" t="e">
        <f>IF(K425="nio",0,(M425*Q425)/Z425)*VLOOKUP(C425,'2-Uren per locatie'!$B$15:$D$74,3,FALSE)</f>
        <v>#DIV/0!</v>
      </c>
      <c r="U425" s="295" t="e">
        <f>IF(K425="nio",0,(N425*Q425)/AA425)*VLOOKUP(C425,'2-Uren per locatie'!$B$15:$D$74,3,FALSE)</f>
        <v>#DIV/0!</v>
      </c>
      <c r="V425" s="295" t="e">
        <f>IF(K425="nio",0,(O425*Q425)/Z425)*VLOOKUP(C425,'2-Uren per locatie'!$B$15:$D$74,3,FALSE)</f>
        <v>#DIV/0!</v>
      </c>
      <c r="W425" s="295" t="e">
        <f>IF(K425="nio",0,(P425*Q425)/AA425)*VLOOKUP(C425,'2-Uren per locatie'!$B$15:$D$74,3,FALSE)</f>
        <v>#DIV/0!</v>
      </c>
      <c r="X425" s="485">
        <f>IF(K425="nio",0,IF(K425&gt;0,VLOOKUP(H425,'3-Productie normen'!A:F,VLOOKUP(K425,'3-Productie normen'!$B$29:$C$34,2,FALSE),FALSE)))</f>
        <v>0</v>
      </c>
      <c r="Y425" s="485">
        <f>VLOOKUP(H425,'3-Productie normen'!$A$10:$J$24,8,FALSE)*'3-Ruimtestaat'!X425</f>
        <v>0</v>
      </c>
      <c r="Z425" s="485">
        <f>VLOOKUP(H425,'3-Productie normen'!$A$10:$J$24,9,FALSE)*'3-Ruimtestaat'!X425</f>
        <v>0</v>
      </c>
      <c r="AA425" s="485">
        <f>VLOOKUP(H425,'3-Productie normen'!$A$10:$J$24,10,FALSE)*'3-Ruimtestaat'!X425</f>
        <v>0</v>
      </c>
      <c r="AB425" s="292" t="str">
        <f>IF(H425="",0,VLOOKUP(H425,'3-Productie normen'!$A$10:$N$23,14,FALSE))</f>
        <v>S</v>
      </c>
      <c r="AD425" s="296">
        <f t="shared" si="16"/>
        <v>876</v>
      </c>
      <c r="AE425" s="78"/>
      <c r="AF425" s="297">
        <v>14</v>
      </c>
      <c r="AG425" s="297"/>
      <c r="AH425" s="297"/>
      <c r="AI425" s="297"/>
      <c r="AJ425" s="297"/>
      <c r="AK425" s="298"/>
      <c r="AL425" s="298"/>
      <c r="AM425" s="298"/>
      <c r="AN425" s="298">
        <v>2</v>
      </c>
      <c r="AO425" s="299"/>
    </row>
    <row r="426" spans="1:41" ht="15" customHeight="1">
      <c r="A426" s="254">
        <v>426</v>
      </c>
      <c r="B426" s="253">
        <v>307</v>
      </c>
      <c r="C426" s="240" t="s">
        <v>102</v>
      </c>
      <c r="D426" s="288" t="s">
        <v>96</v>
      </c>
      <c r="E426" s="289"/>
      <c r="F426" s="239" t="s">
        <v>614</v>
      </c>
      <c r="G426" s="290" t="s">
        <v>615</v>
      </c>
      <c r="H426" s="291" t="s">
        <v>144</v>
      </c>
      <c r="I426" s="239" t="s">
        <v>203</v>
      </c>
      <c r="J426" s="424">
        <f t="shared" si="15"/>
        <v>365</v>
      </c>
      <c r="K426" s="425">
        <v>127</v>
      </c>
      <c r="L426" s="425">
        <v>126</v>
      </c>
      <c r="M426" s="425">
        <v>52</v>
      </c>
      <c r="N426" s="425">
        <v>52</v>
      </c>
      <c r="O426" s="425">
        <v>4</v>
      </c>
      <c r="P426" s="425">
        <v>4</v>
      </c>
      <c r="Q426" s="294">
        <v>9</v>
      </c>
      <c r="R426" s="295" t="e">
        <f>IF(K426="nio",0,(K426*Q426)/X426)*VLOOKUP(C426,'2-Uren per locatie'!$B$15:$D$74,3,FALSE)</f>
        <v>#DIV/0!</v>
      </c>
      <c r="S426" s="295" t="e">
        <f>IF(K426="nio",0,(L426*Q426)/Y426)*VLOOKUP(C426,'2-Uren per locatie'!$B$15:$D$74,3,FALSE)</f>
        <v>#DIV/0!</v>
      </c>
      <c r="T426" s="295" t="e">
        <f>IF(K426="nio",0,(M426*Q426)/Z426)*VLOOKUP(C426,'2-Uren per locatie'!$B$15:$D$74,3,FALSE)</f>
        <v>#DIV/0!</v>
      </c>
      <c r="U426" s="295" t="e">
        <f>IF(K426="nio",0,(N426*Q426)/AA426)*VLOOKUP(C426,'2-Uren per locatie'!$B$15:$D$74,3,FALSE)</f>
        <v>#DIV/0!</v>
      </c>
      <c r="V426" s="295" t="e">
        <f>IF(K426="nio",0,(O426*Q426)/Z426)*VLOOKUP(C426,'2-Uren per locatie'!$B$15:$D$74,3,FALSE)</f>
        <v>#DIV/0!</v>
      </c>
      <c r="W426" s="295" t="e">
        <f>IF(K426="nio",0,(P426*Q426)/AA426)*VLOOKUP(C426,'2-Uren per locatie'!$B$15:$D$74,3,FALSE)</f>
        <v>#DIV/0!</v>
      </c>
      <c r="X426" s="485">
        <f>IF(K426="nio",0,IF(K426&gt;0,VLOOKUP(H426,'3-Productie normen'!A:F,VLOOKUP(K426,'3-Productie normen'!$B$29:$C$34,2,FALSE),FALSE)))</f>
        <v>0</v>
      </c>
      <c r="Y426" s="485">
        <f>VLOOKUP(H426,'3-Productie normen'!$A$10:$J$24,8,FALSE)*'3-Ruimtestaat'!X426</f>
        <v>0</v>
      </c>
      <c r="Z426" s="485">
        <f>VLOOKUP(H426,'3-Productie normen'!$A$10:$J$24,9,FALSE)*'3-Ruimtestaat'!X426</f>
        <v>0</v>
      </c>
      <c r="AA426" s="485">
        <f>VLOOKUP(H426,'3-Productie normen'!$A$10:$J$24,10,FALSE)*'3-Ruimtestaat'!X426</f>
        <v>0</v>
      </c>
      <c r="AB426" s="292" t="str">
        <f>IF(H426="",0,VLOOKUP(H426,'3-Productie normen'!$A$10:$N$23,14,FALSE))</f>
        <v>V</v>
      </c>
      <c r="AD426" s="296">
        <f t="shared" si="16"/>
        <v>3285</v>
      </c>
      <c r="AE426" s="78"/>
      <c r="AF426" s="297">
        <v>16</v>
      </c>
      <c r="AG426" s="297">
        <v>16</v>
      </c>
      <c r="AH426" s="297"/>
      <c r="AI426" s="297"/>
      <c r="AJ426" s="297"/>
      <c r="AK426" s="298"/>
      <c r="AL426" s="298"/>
      <c r="AM426" s="298"/>
      <c r="AN426" s="298">
        <v>9</v>
      </c>
      <c r="AO426" s="299"/>
    </row>
    <row r="427" spans="1:41" ht="15" customHeight="1">
      <c r="A427" s="254">
        <v>427</v>
      </c>
      <c r="B427" s="253">
        <v>307</v>
      </c>
      <c r="C427" s="240" t="s">
        <v>102</v>
      </c>
      <c r="D427" s="288" t="s">
        <v>96</v>
      </c>
      <c r="E427" s="289"/>
      <c r="F427" s="239" t="s">
        <v>616</v>
      </c>
      <c r="G427" s="290" t="s">
        <v>617</v>
      </c>
      <c r="H427" s="291" t="s">
        <v>152</v>
      </c>
      <c r="I427" s="239" t="s">
        <v>265</v>
      </c>
      <c r="J427" s="424">
        <f t="shared" si="15"/>
        <v>365</v>
      </c>
      <c r="K427" s="425">
        <v>127</v>
      </c>
      <c r="L427" s="425">
        <v>126</v>
      </c>
      <c r="M427" s="425">
        <v>52</v>
      </c>
      <c r="N427" s="425">
        <v>52</v>
      </c>
      <c r="O427" s="425">
        <v>4</v>
      </c>
      <c r="P427" s="425">
        <v>4</v>
      </c>
      <c r="Q427" s="294">
        <v>99</v>
      </c>
      <c r="R427" s="295" t="e">
        <f>IF(K427="nio",0,(K427*Q427)/X427)*VLOOKUP(C427,'2-Uren per locatie'!$B$15:$D$74,3,FALSE)</f>
        <v>#DIV/0!</v>
      </c>
      <c r="S427" s="295" t="e">
        <f>IF(K427="nio",0,(L427*Q427)/Y427)*VLOOKUP(C427,'2-Uren per locatie'!$B$15:$D$74,3,FALSE)</f>
        <v>#DIV/0!</v>
      </c>
      <c r="T427" s="295" t="e">
        <f>IF(K427="nio",0,(M427*Q427)/Z427)*VLOOKUP(C427,'2-Uren per locatie'!$B$15:$D$74,3,FALSE)</f>
        <v>#DIV/0!</v>
      </c>
      <c r="U427" s="295" t="e">
        <f>IF(K427="nio",0,(N427*Q427)/AA427)*VLOOKUP(C427,'2-Uren per locatie'!$B$15:$D$74,3,FALSE)</f>
        <v>#DIV/0!</v>
      </c>
      <c r="V427" s="295" t="e">
        <f>IF(K427="nio",0,(O427*Q427)/Z427)*VLOOKUP(C427,'2-Uren per locatie'!$B$15:$D$74,3,FALSE)</f>
        <v>#DIV/0!</v>
      </c>
      <c r="W427" s="295" t="e">
        <f>IF(K427="nio",0,(P427*Q427)/AA427)*VLOOKUP(C427,'2-Uren per locatie'!$B$15:$D$74,3,FALSE)</f>
        <v>#DIV/0!</v>
      </c>
      <c r="X427" s="485">
        <f>IF(K427="nio",0,IF(K427&gt;0,VLOOKUP(H427,'3-Productie normen'!A:F,VLOOKUP(K427,'3-Productie normen'!$B$29:$C$34,2,FALSE),FALSE)))</f>
        <v>0</v>
      </c>
      <c r="Y427" s="485">
        <f>VLOOKUP(H427,'3-Productie normen'!$A$10:$J$24,8,FALSE)*'3-Ruimtestaat'!X427</f>
        <v>0</v>
      </c>
      <c r="Z427" s="485">
        <f>VLOOKUP(H427,'3-Productie normen'!$A$10:$J$24,9,FALSE)*'3-Ruimtestaat'!X427</f>
        <v>0</v>
      </c>
      <c r="AA427" s="485">
        <f>VLOOKUP(H427,'3-Productie normen'!$A$10:$J$24,10,FALSE)*'3-Ruimtestaat'!X427</f>
        <v>0</v>
      </c>
      <c r="AB427" s="292" t="str">
        <f>IF(H427="",0,VLOOKUP(H427,'3-Productie normen'!$A$10:$N$23,14,FALSE))</f>
        <v>V</v>
      </c>
      <c r="AD427" s="296">
        <f t="shared" si="16"/>
        <v>36135</v>
      </c>
      <c r="AE427" s="78"/>
      <c r="AF427" s="297"/>
      <c r="AG427" s="297"/>
      <c r="AH427" s="297"/>
      <c r="AI427" s="297">
        <v>78</v>
      </c>
      <c r="AJ427" s="297"/>
      <c r="AK427" s="298"/>
      <c r="AL427" s="298"/>
      <c r="AM427" s="298"/>
      <c r="AN427" s="298"/>
      <c r="AO427" s="299"/>
    </row>
    <row r="428" spans="1:41" ht="15" customHeight="1">
      <c r="A428" s="254">
        <v>428</v>
      </c>
      <c r="B428" s="253">
        <v>307</v>
      </c>
      <c r="C428" s="240" t="s">
        <v>102</v>
      </c>
      <c r="D428" s="288" t="s">
        <v>96</v>
      </c>
      <c r="E428" s="289"/>
      <c r="F428" s="239" t="s">
        <v>560</v>
      </c>
      <c r="G428" s="290" t="s">
        <v>618</v>
      </c>
      <c r="H428" s="291" t="s">
        <v>155</v>
      </c>
      <c r="I428" s="239" t="s">
        <v>392</v>
      </c>
      <c r="J428" s="424">
        <f t="shared" si="15"/>
        <v>365</v>
      </c>
      <c r="K428" s="425">
        <v>127</v>
      </c>
      <c r="L428" s="425">
        <v>126</v>
      </c>
      <c r="M428" s="425">
        <v>52</v>
      </c>
      <c r="N428" s="425">
        <v>52</v>
      </c>
      <c r="O428" s="425">
        <v>4</v>
      </c>
      <c r="P428" s="425">
        <v>4</v>
      </c>
      <c r="Q428" s="294">
        <v>147</v>
      </c>
      <c r="R428" s="295" t="e">
        <f>IF(K428="nio",0,(K428*Q428)/X428)*VLOOKUP(C428,'2-Uren per locatie'!$B$15:$D$74,3,FALSE)</f>
        <v>#DIV/0!</v>
      </c>
      <c r="S428" s="295" t="e">
        <f>IF(K428="nio",0,(L428*Q428)/Y428)*VLOOKUP(C428,'2-Uren per locatie'!$B$15:$D$74,3,FALSE)</f>
        <v>#DIV/0!</v>
      </c>
      <c r="T428" s="295" t="e">
        <f>IF(K428="nio",0,(M428*Q428)/Z428)*VLOOKUP(C428,'2-Uren per locatie'!$B$15:$D$74,3,FALSE)</f>
        <v>#DIV/0!</v>
      </c>
      <c r="U428" s="295" t="e">
        <f>IF(K428="nio",0,(N428*Q428)/AA428)*VLOOKUP(C428,'2-Uren per locatie'!$B$15:$D$74,3,FALSE)</f>
        <v>#DIV/0!</v>
      </c>
      <c r="V428" s="295" t="e">
        <f>IF(K428="nio",0,(O428*Q428)/Z428)*VLOOKUP(C428,'2-Uren per locatie'!$B$15:$D$74,3,FALSE)</f>
        <v>#DIV/0!</v>
      </c>
      <c r="W428" s="295" t="e">
        <f>IF(K428="nio",0,(P428*Q428)/AA428)*VLOOKUP(C428,'2-Uren per locatie'!$B$15:$D$74,3,FALSE)</f>
        <v>#DIV/0!</v>
      </c>
      <c r="X428" s="485">
        <f>IF(K428="nio",0,IF(K428&gt;0,VLOOKUP(H428,'3-Productie normen'!A:F,VLOOKUP(K428,'3-Productie normen'!$B$29:$C$34,2,FALSE),FALSE)))</f>
        <v>0</v>
      </c>
      <c r="Y428" s="485">
        <f>VLOOKUP(H428,'3-Productie normen'!$A$10:$J$24,8,FALSE)*'3-Ruimtestaat'!X428</f>
        <v>0</v>
      </c>
      <c r="Z428" s="485">
        <f>VLOOKUP(H428,'3-Productie normen'!$A$10:$J$24,9,FALSE)*'3-Ruimtestaat'!X428</f>
        <v>0</v>
      </c>
      <c r="AA428" s="485">
        <f>VLOOKUP(H428,'3-Productie normen'!$A$10:$J$24,10,FALSE)*'3-Ruimtestaat'!X428</f>
        <v>0</v>
      </c>
      <c r="AB428" s="292" t="str">
        <f>IF(H428="",0,VLOOKUP(H428,'3-Productie normen'!$A$10:$N$23,14,FALSE))</f>
        <v>V</v>
      </c>
      <c r="AD428" s="296">
        <f t="shared" si="16"/>
        <v>53655</v>
      </c>
      <c r="AE428" s="78"/>
      <c r="AF428" s="297">
        <v>180</v>
      </c>
      <c r="AG428" s="297"/>
      <c r="AH428" s="297"/>
      <c r="AI428" s="297"/>
      <c r="AJ428" s="297"/>
      <c r="AK428" s="298"/>
      <c r="AL428" s="298"/>
      <c r="AM428" s="298"/>
      <c r="AN428" s="298"/>
      <c r="AO428" s="299"/>
    </row>
    <row r="429" spans="1:41" ht="15" customHeight="1">
      <c r="A429" s="254">
        <v>429</v>
      </c>
      <c r="B429" s="253">
        <v>307</v>
      </c>
      <c r="C429" s="240" t="s">
        <v>102</v>
      </c>
      <c r="D429" s="288" t="s">
        <v>96</v>
      </c>
      <c r="E429" s="289"/>
      <c r="F429" s="239" t="s">
        <v>454</v>
      </c>
      <c r="G429" s="290" t="s">
        <v>505</v>
      </c>
      <c r="H429" s="291" t="s">
        <v>145</v>
      </c>
      <c r="I429" s="239" t="s">
        <v>545</v>
      </c>
      <c r="J429" s="424">
        <f t="shared" si="15"/>
        <v>365</v>
      </c>
      <c r="K429" s="425">
        <v>127</v>
      </c>
      <c r="L429" s="425">
        <v>126</v>
      </c>
      <c r="M429" s="425">
        <v>52</v>
      </c>
      <c r="N429" s="425">
        <v>52</v>
      </c>
      <c r="O429" s="425">
        <v>4</v>
      </c>
      <c r="P429" s="425">
        <v>4</v>
      </c>
      <c r="Q429" s="294">
        <v>391</v>
      </c>
      <c r="R429" s="295" t="e">
        <f>IF(K429="nio",0,(K429*Q429)/X429)*VLOOKUP(C429,'2-Uren per locatie'!$B$15:$D$74,3,FALSE)</f>
        <v>#DIV/0!</v>
      </c>
      <c r="S429" s="295" t="e">
        <f>IF(K429="nio",0,(L429*Q429)/Y429)*VLOOKUP(C429,'2-Uren per locatie'!$B$15:$D$74,3,FALSE)</f>
        <v>#DIV/0!</v>
      </c>
      <c r="T429" s="295" t="e">
        <f>IF(K429="nio",0,(M429*Q429)/Z429)*VLOOKUP(C429,'2-Uren per locatie'!$B$15:$D$74,3,FALSE)</f>
        <v>#DIV/0!</v>
      </c>
      <c r="U429" s="295" t="e">
        <f>IF(K429="nio",0,(N429*Q429)/AA429)*VLOOKUP(C429,'2-Uren per locatie'!$B$15:$D$74,3,FALSE)</f>
        <v>#DIV/0!</v>
      </c>
      <c r="V429" s="295" t="e">
        <f>IF(K429="nio",0,(O429*Q429)/Z429)*VLOOKUP(C429,'2-Uren per locatie'!$B$15:$D$74,3,FALSE)</f>
        <v>#DIV/0!</v>
      </c>
      <c r="W429" s="295" t="e">
        <f>IF(K429="nio",0,(P429*Q429)/AA429)*VLOOKUP(C429,'2-Uren per locatie'!$B$15:$D$74,3,FALSE)</f>
        <v>#DIV/0!</v>
      </c>
      <c r="X429" s="485">
        <f>IF(K429="nio",0,IF(K429&gt;0,VLOOKUP(H429,'3-Productie normen'!A:F,VLOOKUP(K429,'3-Productie normen'!$B$29:$C$34,2,FALSE),FALSE)))</f>
        <v>0</v>
      </c>
      <c r="Y429" s="485">
        <f>VLOOKUP(H429,'3-Productie normen'!$A$10:$J$24,8,FALSE)*'3-Ruimtestaat'!X429</f>
        <v>0</v>
      </c>
      <c r="Z429" s="485">
        <f>VLOOKUP(H429,'3-Productie normen'!$A$10:$J$24,9,FALSE)*'3-Ruimtestaat'!X429</f>
        <v>0</v>
      </c>
      <c r="AA429" s="485">
        <f>VLOOKUP(H429,'3-Productie normen'!$A$10:$J$24,10,FALSE)*'3-Ruimtestaat'!X429</f>
        <v>0</v>
      </c>
      <c r="AB429" s="292" t="str">
        <f>IF(H429="",0,VLOOKUP(H429,'3-Productie normen'!$A$10:$N$23,14,FALSE))</f>
        <v>V</v>
      </c>
      <c r="AD429" s="296">
        <f t="shared" si="16"/>
        <v>142715</v>
      </c>
      <c r="AE429" s="78"/>
      <c r="AF429" s="297"/>
      <c r="AG429" s="297"/>
      <c r="AH429" s="297"/>
      <c r="AI429" s="297"/>
      <c r="AJ429" s="297"/>
      <c r="AK429" s="298"/>
      <c r="AL429" s="298"/>
      <c r="AM429" s="298"/>
      <c r="AN429" s="298"/>
      <c r="AO429" s="299"/>
    </row>
    <row r="430" spans="1:41" ht="15" customHeight="1">
      <c r="A430" s="254">
        <v>430</v>
      </c>
      <c r="B430" s="253">
        <v>307</v>
      </c>
      <c r="C430" s="240" t="s">
        <v>102</v>
      </c>
      <c r="D430" s="288" t="s">
        <v>96</v>
      </c>
      <c r="E430" s="289"/>
      <c r="F430" s="239" t="s">
        <v>530</v>
      </c>
      <c r="G430" s="290"/>
      <c r="H430" s="291" t="s">
        <v>149</v>
      </c>
      <c r="I430" s="239" t="s">
        <v>401</v>
      </c>
      <c r="J430" s="424">
        <f t="shared" si="15"/>
        <v>365</v>
      </c>
      <c r="K430" s="425">
        <v>127</v>
      </c>
      <c r="L430" s="425">
        <v>126</v>
      </c>
      <c r="M430" s="425">
        <v>52</v>
      </c>
      <c r="N430" s="425">
        <v>52</v>
      </c>
      <c r="O430" s="425">
        <v>4</v>
      </c>
      <c r="P430" s="425">
        <v>4</v>
      </c>
      <c r="Q430" s="294">
        <v>5</v>
      </c>
      <c r="R430" s="295" t="e">
        <f>IF(K430="nio",0,(K430*Q430)/X430)*VLOOKUP(C430,'2-Uren per locatie'!$B$15:$D$74,3,FALSE)</f>
        <v>#DIV/0!</v>
      </c>
      <c r="S430" s="295" t="e">
        <f>IF(K430="nio",0,(L430*Q430)/Y430)*VLOOKUP(C430,'2-Uren per locatie'!$B$15:$D$74,3,FALSE)</f>
        <v>#DIV/0!</v>
      </c>
      <c r="T430" s="295" t="e">
        <f>IF(K430="nio",0,(M430*Q430)/Z430)*VLOOKUP(C430,'2-Uren per locatie'!$B$15:$D$74,3,FALSE)</f>
        <v>#DIV/0!</v>
      </c>
      <c r="U430" s="295" t="e">
        <f>IF(K430="nio",0,(N430*Q430)/AA430)*VLOOKUP(C430,'2-Uren per locatie'!$B$15:$D$74,3,FALSE)</f>
        <v>#DIV/0!</v>
      </c>
      <c r="V430" s="295" t="e">
        <f>IF(K430="nio",0,(O430*Q430)/Z430)*VLOOKUP(C430,'2-Uren per locatie'!$B$15:$D$74,3,FALSE)</f>
        <v>#DIV/0!</v>
      </c>
      <c r="W430" s="295" t="e">
        <f>IF(K430="nio",0,(P430*Q430)/AA430)*VLOOKUP(C430,'2-Uren per locatie'!$B$15:$D$74,3,FALSE)</f>
        <v>#DIV/0!</v>
      </c>
      <c r="X430" s="485">
        <f>IF(K430="nio",0,IF(K430&gt;0,VLOOKUP(H430,'3-Productie normen'!A:F,VLOOKUP(K430,'3-Productie normen'!$B$29:$C$34,2,FALSE),FALSE)))</f>
        <v>0</v>
      </c>
      <c r="Y430" s="485">
        <f>VLOOKUP(H430,'3-Productie normen'!$A$10:$J$24,8,FALSE)*'3-Ruimtestaat'!X430</f>
        <v>0</v>
      </c>
      <c r="Z430" s="485">
        <f>VLOOKUP(H430,'3-Productie normen'!$A$10:$J$24,9,FALSE)*'3-Ruimtestaat'!X430</f>
        <v>0</v>
      </c>
      <c r="AA430" s="485">
        <f>VLOOKUP(H430,'3-Productie normen'!$A$10:$J$24,10,FALSE)*'3-Ruimtestaat'!X430</f>
        <v>0</v>
      </c>
      <c r="AB430" s="292" t="str">
        <f>IF(H430="",0,VLOOKUP(H430,'3-Productie normen'!$A$10:$N$23,14,FALSE))</f>
        <v>V</v>
      </c>
      <c r="AD430" s="296">
        <f t="shared" si="16"/>
        <v>1825</v>
      </c>
      <c r="AE430" s="78"/>
      <c r="AF430" s="297"/>
      <c r="AG430" s="297"/>
      <c r="AH430" s="297"/>
      <c r="AI430" s="297"/>
      <c r="AJ430" s="297"/>
      <c r="AK430" s="298"/>
      <c r="AL430" s="298"/>
      <c r="AM430" s="298"/>
      <c r="AN430" s="298"/>
      <c r="AO430" s="299"/>
    </row>
    <row r="431" spans="1:41" ht="15" customHeight="1">
      <c r="A431" s="254">
        <v>431</v>
      </c>
      <c r="B431" s="253">
        <v>307</v>
      </c>
      <c r="C431" s="240" t="s">
        <v>102</v>
      </c>
      <c r="D431" s="288" t="s">
        <v>96</v>
      </c>
      <c r="E431" s="289"/>
      <c r="F431" s="239" t="s">
        <v>530</v>
      </c>
      <c r="G431" s="290"/>
      <c r="H431" s="291" t="s">
        <v>149</v>
      </c>
      <c r="I431" s="239" t="s">
        <v>401</v>
      </c>
      <c r="J431" s="424">
        <f t="shared" si="15"/>
        <v>365</v>
      </c>
      <c r="K431" s="425">
        <v>127</v>
      </c>
      <c r="L431" s="425">
        <v>126</v>
      </c>
      <c r="M431" s="425">
        <v>52</v>
      </c>
      <c r="N431" s="425">
        <v>52</v>
      </c>
      <c r="O431" s="425">
        <v>4</v>
      </c>
      <c r="P431" s="425">
        <v>4</v>
      </c>
      <c r="Q431" s="294">
        <v>5</v>
      </c>
      <c r="R431" s="295" t="e">
        <f>IF(K431="nio",0,(K431*Q431)/X431)*VLOOKUP(C431,'2-Uren per locatie'!$B$15:$D$74,3,FALSE)</f>
        <v>#DIV/0!</v>
      </c>
      <c r="S431" s="295" t="e">
        <f>IF(K431="nio",0,(L431*Q431)/Y431)*VLOOKUP(C431,'2-Uren per locatie'!$B$15:$D$74,3,FALSE)</f>
        <v>#DIV/0!</v>
      </c>
      <c r="T431" s="295" t="e">
        <f>IF(K431="nio",0,(M431*Q431)/Z431)*VLOOKUP(C431,'2-Uren per locatie'!$B$15:$D$74,3,FALSE)</f>
        <v>#DIV/0!</v>
      </c>
      <c r="U431" s="295" t="e">
        <f>IF(K431="nio",0,(N431*Q431)/AA431)*VLOOKUP(C431,'2-Uren per locatie'!$B$15:$D$74,3,FALSE)</f>
        <v>#DIV/0!</v>
      </c>
      <c r="V431" s="295" t="e">
        <f>IF(K431="nio",0,(O431*Q431)/Z431)*VLOOKUP(C431,'2-Uren per locatie'!$B$15:$D$74,3,FALSE)</f>
        <v>#DIV/0!</v>
      </c>
      <c r="W431" s="295" t="e">
        <f>IF(K431="nio",0,(P431*Q431)/AA431)*VLOOKUP(C431,'2-Uren per locatie'!$B$15:$D$74,3,FALSE)</f>
        <v>#DIV/0!</v>
      </c>
      <c r="X431" s="485">
        <f>IF(K431="nio",0,IF(K431&gt;0,VLOOKUP(H431,'3-Productie normen'!A:F,VLOOKUP(K431,'3-Productie normen'!$B$29:$C$34,2,FALSE),FALSE)))</f>
        <v>0</v>
      </c>
      <c r="Y431" s="485">
        <f>VLOOKUP(H431,'3-Productie normen'!$A$10:$J$24,8,FALSE)*'3-Ruimtestaat'!X431</f>
        <v>0</v>
      </c>
      <c r="Z431" s="485">
        <f>VLOOKUP(H431,'3-Productie normen'!$A$10:$J$24,9,FALSE)*'3-Ruimtestaat'!X431</f>
        <v>0</v>
      </c>
      <c r="AA431" s="485">
        <f>VLOOKUP(H431,'3-Productie normen'!$A$10:$J$24,10,FALSE)*'3-Ruimtestaat'!X431</f>
        <v>0</v>
      </c>
      <c r="AB431" s="292" t="str">
        <f>IF(H431="",0,VLOOKUP(H431,'3-Productie normen'!$A$10:$N$23,14,FALSE))</f>
        <v>V</v>
      </c>
      <c r="AD431" s="296">
        <f t="shared" si="16"/>
        <v>1825</v>
      </c>
      <c r="AE431" s="78"/>
      <c r="AF431" s="297"/>
      <c r="AG431" s="297"/>
      <c r="AH431" s="297"/>
      <c r="AI431" s="297"/>
      <c r="AJ431" s="297"/>
      <c r="AK431" s="298"/>
      <c r="AL431" s="298"/>
      <c r="AM431" s="298"/>
      <c r="AN431" s="298"/>
      <c r="AO431" s="299"/>
    </row>
    <row r="432" spans="1:41" ht="15" customHeight="1">
      <c r="A432" s="254">
        <v>432</v>
      </c>
      <c r="B432" s="253">
        <v>308</v>
      </c>
      <c r="C432" s="240" t="s">
        <v>103</v>
      </c>
      <c r="D432" s="288" t="s">
        <v>96</v>
      </c>
      <c r="E432" s="289"/>
      <c r="F432" s="239" t="s">
        <v>565</v>
      </c>
      <c r="G432" s="290" t="s">
        <v>526</v>
      </c>
      <c r="H432" s="291" t="s">
        <v>155</v>
      </c>
      <c r="I432" s="239" t="s">
        <v>392</v>
      </c>
      <c r="J432" s="424">
        <f t="shared" si="15"/>
        <v>365</v>
      </c>
      <c r="K432" s="425">
        <v>102</v>
      </c>
      <c r="L432" s="425">
        <v>153</v>
      </c>
      <c r="M432" s="425"/>
      <c r="N432" s="425">
        <v>102</v>
      </c>
      <c r="O432" s="425"/>
      <c r="P432" s="425">
        <v>8</v>
      </c>
      <c r="Q432" s="294">
        <v>42</v>
      </c>
      <c r="R432" s="295" t="e">
        <f>IF(K432="nio",0,(K432*Q432)/X432)*VLOOKUP(C432,'2-Uren per locatie'!$B$15:$D$74,3,FALSE)</f>
        <v>#DIV/0!</v>
      </c>
      <c r="S432" s="295" t="e">
        <f>IF(K432="nio",0,(L432*Q432)/Y432)*VLOOKUP(C432,'2-Uren per locatie'!$B$15:$D$74,3,FALSE)</f>
        <v>#DIV/0!</v>
      </c>
      <c r="T432" s="295" t="e">
        <f>IF(K432="nio",0,(M432*Q432)/Z432)*VLOOKUP(C432,'2-Uren per locatie'!$B$15:$D$74,3,FALSE)</f>
        <v>#DIV/0!</v>
      </c>
      <c r="U432" s="295" t="e">
        <f>IF(K432="nio",0,(N432*Q432)/AA432)*VLOOKUP(C432,'2-Uren per locatie'!$B$15:$D$74,3,FALSE)</f>
        <v>#DIV/0!</v>
      </c>
      <c r="V432" s="295" t="e">
        <f>IF(K432="nio",0,(O432*Q432)/Z432)*VLOOKUP(C432,'2-Uren per locatie'!$B$15:$D$74,3,FALSE)</f>
        <v>#DIV/0!</v>
      </c>
      <c r="W432" s="295" t="e">
        <f>IF(K432="nio",0,(P432*Q432)/AA432)*VLOOKUP(C432,'2-Uren per locatie'!$B$15:$D$74,3,FALSE)</f>
        <v>#DIV/0!</v>
      </c>
      <c r="X432" s="485">
        <f>IF(K432="nio",0,IF(K432&gt;0,VLOOKUP(H432,'3-Productie normen'!A:F,VLOOKUP(K432,'3-Productie normen'!$B$29:$C$34,2,FALSE),FALSE)))</f>
        <v>0</v>
      </c>
      <c r="Y432" s="485">
        <f>VLOOKUP(H432,'3-Productie normen'!$A$10:$J$24,8,FALSE)*'3-Ruimtestaat'!X432</f>
        <v>0</v>
      </c>
      <c r="Z432" s="485">
        <f>VLOOKUP(H432,'3-Productie normen'!$A$10:$J$24,9,FALSE)*'3-Ruimtestaat'!X432</f>
        <v>0</v>
      </c>
      <c r="AA432" s="485">
        <f>VLOOKUP(H432,'3-Productie normen'!$A$10:$J$24,10,FALSE)*'3-Ruimtestaat'!X432</f>
        <v>0</v>
      </c>
      <c r="AB432" s="292" t="str">
        <f>IF(H432="",0,VLOOKUP(H432,'3-Productie normen'!$A$10:$N$23,14,FALSE))</f>
        <v>V</v>
      </c>
      <c r="AD432" s="296">
        <f t="shared" si="16"/>
        <v>15330</v>
      </c>
      <c r="AE432" s="78"/>
      <c r="AF432" s="300" t="s">
        <v>602</v>
      </c>
      <c r="AG432" s="297"/>
      <c r="AH432" s="297"/>
      <c r="AI432" s="297"/>
      <c r="AJ432" s="297"/>
      <c r="AK432" s="298"/>
      <c r="AL432" s="298"/>
      <c r="AM432" s="298"/>
      <c r="AN432" s="298"/>
      <c r="AO432" s="299"/>
    </row>
    <row r="433" spans="1:41" ht="15" customHeight="1">
      <c r="A433" s="254">
        <v>433</v>
      </c>
      <c r="B433" s="253">
        <v>308</v>
      </c>
      <c r="C433" s="240" t="s">
        <v>103</v>
      </c>
      <c r="D433" s="288" t="s">
        <v>96</v>
      </c>
      <c r="E433" s="289"/>
      <c r="F433" s="239" t="s">
        <v>566</v>
      </c>
      <c r="G433" s="290" t="s">
        <v>567</v>
      </c>
      <c r="H433" s="291" t="s">
        <v>151</v>
      </c>
      <c r="I433" s="239" t="s">
        <v>592</v>
      </c>
      <c r="J433" s="424">
        <f t="shared" si="15"/>
        <v>365</v>
      </c>
      <c r="K433" s="425">
        <v>102</v>
      </c>
      <c r="L433" s="425">
        <v>153</v>
      </c>
      <c r="M433" s="425"/>
      <c r="N433" s="425">
        <v>102</v>
      </c>
      <c r="O433" s="425"/>
      <c r="P433" s="425">
        <v>8</v>
      </c>
      <c r="Q433" s="294">
        <v>623</v>
      </c>
      <c r="R433" s="295" t="e">
        <f>IF(K433="nio",0,(K433*Q433)/X433)*VLOOKUP(C433,'2-Uren per locatie'!$B$15:$D$74,3,FALSE)</f>
        <v>#DIV/0!</v>
      </c>
      <c r="S433" s="295" t="e">
        <f>IF(K433="nio",0,(L433*Q433)/Y433)*VLOOKUP(C433,'2-Uren per locatie'!$B$15:$D$74,3,FALSE)</f>
        <v>#DIV/0!</v>
      </c>
      <c r="T433" s="295" t="e">
        <f>IF(K433="nio",0,(M433*Q433)/Z433)*VLOOKUP(C433,'2-Uren per locatie'!$B$15:$D$74,3,FALSE)</f>
        <v>#DIV/0!</v>
      </c>
      <c r="U433" s="295" t="e">
        <f>IF(K433="nio",0,(N433*Q433)/AA433)*VLOOKUP(C433,'2-Uren per locatie'!$B$15:$D$74,3,FALSE)</f>
        <v>#DIV/0!</v>
      </c>
      <c r="V433" s="295" t="e">
        <f>IF(K433="nio",0,(O433*Q433)/Z433)*VLOOKUP(C433,'2-Uren per locatie'!$B$15:$D$74,3,FALSE)</f>
        <v>#DIV/0!</v>
      </c>
      <c r="W433" s="295" t="e">
        <f>IF(K433="nio",0,(P433*Q433)/AA433)*VLOOKUP(C433,'2-Uren per locatie'!$B$15:$D$74,3,FALSE)</f>
        <v>#DIV/0!</v>
      </c>
      <c r="X433" s="485">
        <f>IF(K433="nio",0,IF(K433&gt;0,VLOOKUP(H433,'3-Productie normen'!A:F,VLOOKUP(K433,'3-Productie normen'!$B$29:$C$34,2,FALSE),FALSE)))</f>
        <v>0</v>
      </c>
      <c r="Y433" s="485">
        <f>VLOOKUP(H433,'3-Productie normen'!$A$10:$J$24,8,FALSE)*'3-Ruimtestaat'!X433</f>
        <v>0</v>
      </c>
      <c r="Z433" s="485">
        <f>VLOOKUP(H433,'3-Productie normen'!$A$10:$J$24,9,FALSE)*'3-Ruimtestaat'!X433</f>
        <v>0</v>
      </c>
      <c r="AA433" s="485">
        <f>VLOOKUP(H433,'3-Productie normen'!$A$10:$J$24,10,FALSE)*'3-Ruimtestaat'!X433</f>
        <v>0</v>
      </c>
      <c r="AB433" s="292" t="str">
        <f>IF(H433="",0,VLOOKUP(H433,'3-Productie normen'!$A$10:$N$23,14,FALSE))</f>
        <v>V</v>
      </c>
      <c r="AD433" s="296">
        <f t="shared" si="16"/>
        <v>227395</v>
      </c>
      <c r="AE433" s="78"/>
      <c r="AF433" s="297"/>
      <c r="AG433" s="297"/>
      <c r="AH433" s="297"/>
      <c r="AI433" s="297"/>
      <c r="AJ433" s="297"/>
      <c r="AK433" s="298"/>
      <c r="AL433" s="298"/>
      <c r="AM433" s="298"/>
      <c r="AN433" s="298"/>
      <c r="AO433" s="299"/>
    </row>
    <row r="434" spans="1:41" ht="15" customHeight="1">
      <c r="A434" s="254">
        <v>434</v>
      </c>
      <c r="B434" s="253">
        <v>308</v>
      </c>
      <c r="C434" s="240" t="s">
        <v>103</v>
      </c>
      <c r="D434" s="288" t="s">
        <v>96</v>
      </c>
      <c r="E434" s="289"/>
      <c r="F434" s="239" t="s">
        <v>593</v>
      </c>
      <c r="G434" s="290" t="s">
        <v>567</v>
      </c>
      <c r="H434" s="291" t="s">
        <v>151</v>
      </c>
      <c r="I434" s="239" t="s">
        <v>594</v>
      </c>
      <c r="J434" s="424">
        <f t="shared" si="15"/>
        <v>365</v>
      </c>
      <c r="K434" s="425">
        <v>102</v>
      </c>
      <c r="L434" s="425">
        <v>153</v>
      </c>
      <c r="M434" s="425"/>
      <c r="N434" s="425">
        <v>102</v>
      </c>
      <c r="O434" s="425"/>
      <c r="P434" s="425">
        <v>8</v>
      </c>
      <c r="Q434" s="294">
        <v>421</v>
      </c>
      <c r="R434" s="295" t="e">
        <f>IF(K434="nio",0,(K434*Q434)/X434)*VLOOKUP(C434,'2-Uren per locatie'!$B$15:$D$74,3,FALSE)</f>
        <v>#DIV/0!</v>
      </c>
      <c r="S434" s="295" t="e">
        <f>IF(K434="nio",0,(L434*Q434)/Y434)*VLOOKUP(C434,'2-Uren per locatie'!$B$15:$D$74,3,FALSE)</f>
        <v>#DIV/0!</v>
      </c>
      <c r="T434" s="295" t="e">
        <f>IF(K434="nio",0,(M434*Q434)/Z434)*VLOOKUP(C434,'2-Uren per locatie'!$B$15:$D$74,3,FALSE)</f>
        <v>#DIV/0!</v>
      </c>
      <c r="U434" s="295" t="e">
        <f>IF(K434="nio",0,(N434*Q434)/AA434)*VLOOKUP(C434,'2-Uren per locatie'!$B$15:$D$74,3,FALSE)</f>
        <v>#DIV/0!</v>
      </c>
      <c r="V434" s="295" t="e">
        <f>IF(K434="nio",0,(O434*Q434)/Z434)*VLOOKUP(C434,'2-Uren per locatie'!$B$15:$D$74,3,FALSE)</f>
        <v>#DIV/0!</v>
      </c>
      <c r="W434" s="295" t="e">
        <f>IF(K434="nio",0,(P434*Q434)/AA434)*VLOOKUP(C434,'2-Uren per locatie'!$B$15:$D$74,3,FALSE)</f>
        <v>#DIV/0!</v>
      </c>
      <c r="X434" s="485">
        <f>IF(K434="nio",0,IF(K434&gt;0,VLOOKUP(H434,'3-Productie normen'!A:F,VLOOKUP(K434,'3-Productie normen'!$B$29:$C$34,2,FALSE),FALSE)))</f>
        <v>0</v>
      </c>
      <c r="Y434" s="485">
        <f>VLOOKUP(H434,'3-Productie normen'!$A$10:$J$24,8,FALSE)*'3-Ruimtestaat'!X434</f>
        <v>0</v>
      </c>
      <c r="Z434" s="485">
        <f>VLOOKUP(H434,'3-Productie normen'!$A$10:$J$24,9,FALSE)*'3-Ruimtestaat'!X434</f>
        <v>0</v>
      </c>
      <c r="AA434" s="485">
        <f>VLOOKUP(H434,'3-Productie normen'!$A$10:$J$24,10,FALSE)*'3-Ruimtestaat'!X434</f>
        <v>0</v>
      </c>
      <c r="AB434" s="292" t="str">
        <f>IF(H434="",0,VLOOKUP(H434,'3-Productie normen'!$A$10:$N$23,14,FALSE))</f>
        <v>V</v>
      </c>
      <c r="AD434" s="296">
        <f t="shared" si="16"/>
        <v>153665</v>
      </c>
      <c r="AE434" s="78"/>
      <c r="AF434" s="297"/>
      <c r="AG434" s="297"/>
      <c r="AH434" s="297"/>
      <c r="AI434" s="297"/>
      <c r="AJ434" s="297"/>
      <c r="AK434" s="298"/>
      <c r="AL434" s="298"/>
      <c r="AM434" s="298"/>
      <c r="AN434" s="298"/>
      <c r="AO434" s="299"/>
    </row>
    <row r="435" spans="1:41" ht="15" customHeight="1">
      <c r="A435" s="254">
        <v>435</v>
      </c>
      <c r="B435" s="253">
        <v>308</v>
      </c>
      <c r="C435" s="240" t="s">
        <v>103</v>
      </c>
      <c r="D435" s="288" t="s">
        <v>96</v>
      </c>
      <c r="E435" s="289"/>
      <c r="F435" s="239" t="s">
        <v>595</v>
      </c>
      <c r="G435" s="290" t="s">
        <v>567</v>
      </c>
      <c r="H435" s="291" t="s">
        <v>151</v>
      </c>
      <c r="I435" s="239" t="s">
        <v>459</v>
      </c>
      <c r="J435" s="424">
        <f t="shared" si="15"/>
        <v>365</v>
      </c>
      <c r="K435" s="425">
        <v>102</v>
      </c>
      <c r="L435" s="425">
        <v>153</v>
      </c>
      <c r="M435" s="425"/>
      <c r="N435" s="425">
        <v>102</v>
      </c>
      <c r="O435" s="425"/>
      <c r="P435" s="425">
        <v>8</v>
      </c>
      <c r="Q435" s="294">
        <v>199</v>
      </c>
      <c r="R435" s="295" t="e">
        <f>IF(K435="nio",0,(K435*Q435)/X435)*VLOOKUP(C435,'2-Uren per locatie'!$B$15:$D$74,3,FALSE)</f>
        <v>#DIV/0!</v>
      </c>
      <c r="S435" s="295" t="e">
        <f>IF(K435="nio",0,(L435*Q435)/Y435)*VLOOKUP(C435,'2-Uren per locatie'!$B$15:$D$74,3,FALSE)</f>
        <v>#DIV/0!</v>
      </c>
      <c r="T435" s="295" t="e">
        <f>IF(K435="nio",0,(M435*Q435)/Z435)*VLOOKUP(C435,'2-Uren per locatie'!$B$15:$D$74,3,FALSE)</f>
        <v>#DIV/0!</v>
      </c>
      <c r="U435" s="295" t="e">
        <f>IF(K435="nio",0,(N435*Q435)/AA435)*VLOOKUP(C435,'2-Uren per locatie'!$B$15:$D$74,3,FALSE)</f>
        <v>#DIV/0!</v>
      </c>
      <c r="V435" s="295" t="e">
        <f>IF(K435="nio",0,(O435*Q435)/Z435)*VLOOKUP(C435,'2-Uren per locatie'!$B$15:$D$74,3,FALSE)</f>
        <v>#DIV/0!</v>
      </c>
      <c r="W435" s="295" t="e">
        <f>IF(K435="nio",0,(P435*Q435)/AA435)*VLOOKUP(C435,'2-Uren per locatie'!$B$15:$D$74,3,FALSE)</f>
        <v>#DIV/0!</v>
      </c>
      <c r="X435" s="485">
        <f>IF(K435="nio",0,IF(K435&gt;0,VLOOKUP(H435,'3-Productie normen'!A:F,VLOOKUP(K435,'3-Productie normen'!$B$29:$C$34,2,FALSE),FALSE)))</f>
        <v>0</v>
      </c>
      <c r="Y435" s="485">
        <f>VLOOKUP(H435,'3-Productie normen'!$A$10:$J$24,8,FALSE)*'3-Ruimtestaat'!X435</f>
        <v>0</v>
      </c>
      <c r="Z435" s="485">
        <f>VLOOKUP(H435,'3-Productie normen'!$A$10:$J$24,9,FALSE)*'3-Ruimtestaat'!X435</f>
        <v>0</v>
      </c>
      <c r="AA435" s="485">
        <f>VLOOKUP(H435,'3-Productie normen'!$A$10:$J$24,10,FALSE)*'3-Ruimtestaat'!X435</f>
        <v>0</v>
      </c>
      <c r="AB435" s="292" t="str">
        <f>IF(H435="",0,VLOOKUP(H435,'3-Productie normen'!$A$10:$N$23,14,FALSE))</f>
        <v>V</v>
      </c>
      <c r="AD435" s="296">
        <f t="shared" si="16"/>
        <v>72635</v>
      </c>
      <c r="AE435" s="78"/>
      <c r="AF435" s="297"/>
      <c r="AG435" s="297"/>
      <c r="AH435" s="297"/>
      <c r="AI435" s="297"/>
      <c r="AJ435" s="297"/>
      <c r="AK435" s="298"/>
      <c r="AL435" s="298"/>
      <c r="AM435" s="298"/>
      <c r="AN435" s="298"/>
      <c r="AO435" s="299"/>
    </row>
    <row r="436" spans="1:41" ht="15" customHeight="1">
      <c r="A436" s="254">
        <v>436</v>
      </c>
      <c r="B436" s="253">
        <v>308</v>
      </c>
      <c r="C436" s="240" t="s">
        <v>103</v>
      </c>
      <c r="D436" s="288" t="s">
        <v>96</v>
      </c>
      <c r="E436" s="289"/>
      <c r="F436" s="239" t="s">
        <v>619</v>
      </c>
      <c r="G436" s="290" t="s">
        <v>620</v>
      </c>
      <c r="H436" s="291" t="s">
        <v>153</v>
      </c>
      <c r="I436" s="239" t="s">
        <v>420</v>
      </c>
      <c r="J436" s="424">
        <f t="shared" si="15"/>
        <v>365</v>
      </c>
      <c r="K436" s="425">
        <v>255</v>
      </c>
      <c r="L436" s="425"/>
      <c r="M436" s="425">
        <v>102</v>
      </c>
      <c r="N436" s="425"/>
      <c r="O436" s="425">
        <v>8</v>
      </c>
      <c r="P436" s="425"/>
      <c r="Q436" s="294">
        <v>1</v>
      </c>
      <c r="R436" s="295" t="e">
        <f>IF(K436="nio",0,(K436*Q436)/X436)*VLOOKUP(C436,'2-Uren per locatie'!$B$15:$D$74,3,FALSE)</f>
        <v>#DIV/0!</v>
      </c>
      <c r="S436" s="295" t="e">
        <f>IF(K436="nio",0,(L436*Q436)/Y436)*VLOOKUP(C436,'2-Uren per locatie'!$B$15:$D$74,3,FALSE)</f>
        <v>#DIV/0!</v>
      </c>
      <c r="T436" s="295" t="e">
        <f>IF(K436="nio",0,(M436*Q436)/Z436)*VLOOKUP(C436,'2-Uren per locatie'!$B$15:$D$74,3,FALSE)</f>
        <v>#DIV/0!</v>
      </c>
      <c r="U436" s="295" t="e">
        <f>IF(K436="nio",0,(N436*Q436)/AA436)*VLOOKUP(C436,'2-Uren per locatie'!$B$15:$D$74,3,FALSE)</f>
        <v>#DIV/0!</v>
      </c>
      <c r="V436" s="295" t="e">
        <f>IF(K436="nio",0,(O436*Q436)/Z436)*VLOOKUP(C436,'2-Uren per locatie'!$B$15:$D$74,3,FALSE)</f>
        <v>#DIV/0!</v>
      </c>
      <c r="W436" s="295" t="e">
        <f>IF(K436="nio",0,(P436*Q436)/AA436)*VLOOKUP(C436,'2-Uren per locatie'!$B$15:$D$74,3,FALSE)</f>
        <v>#DIV/0!</v>
      </c>
      <c r="X436" s="485">
        <f>IF(K436="nio",0,IF(K436&gt;0,VLOOKUP(H436,'3-Productie normen'!A:F,VLOOKUP(K436,'3-Productie normen'!$B$29:$C$34,2,FALSE),FALSE)))</f>
        <v>0</v>
      </c>
      <c r="Y436" s="485">
        <f>VLOOKUP(H436,'3-Productie normen'!$A$10:$J$24,8,FALSE)*'3-Ruimtestaat'!X436</f>
        <v>0</v>
      </c>
      <c r="Z436" s="485">
        <f>VLOOKUP(H436,'3-Productie normen'!$A$10:$J$24,9,FALSE)*'3-Ruimtestaat'!X436</f>
        <v>0</v>
      </c>
      <c r="AA436" s="485">
        <f>VLOOKUP(H436,'3-Productie normen'!$A$10:$J$24,10,FALSE)*'3-Ruimtestaat'!X436</f>
        <v>0</v>
      </c>
      <c r="AB436" s="292" t="str">
        <f>IF(H436="",0,VLOOKUP(H436,'3-Productie normen'!$A$10:$N$23,14,FALSE))</f>
        <v>S</v>
      </c>
      <c r="AD436" s="296">
        <f t="shared" si="16"/>
        <v>365</v>
      </c>
      <c r="AE436" s="78"/>
      <c r="AF436" s="297"/>
      <c r="AG436" s="297"/>
      <c r="AH436" s="297"/>
      <c r="AI436" s="297">
        <v>22</v>
      </c>
      <c r="AJ436" s="297">
        <v>17</v>
      </c>
      <c r="AK436" s="298"/>
      <c r="AL436" s="298"/>
      <c r="AM436" s="298"/>
      <c r="AN436" s="298">
        <v>9</v>
      </c>
      <c r="AO436" s="299"/>
    </row>
    <row r="437" spans="1:41" ht="15" customHeight="1">
      <c r="A437" s="254">
        <v>437</v>
      </c>
      <c r="B437" s="253">
        <v>308</v>
      </c>
      <c r="C437" s="240" t="s">
        <v>103</v>
      </c>
      <c r="D437" s="288" t="s">
        <v>96</v>
      </c>
      <c r="E437" s="289"/>
      <c r="F437" s="239" t="s">
        <v>575</v>
      </c>
      <c r="G437" s="290" t="s">
        <v>576</v>
      </c>
      <c r="H437" s="291" t="s">
        <v>152</v>
      </c>
      <c r="I437" s="239" t="s">
        <v>265</v>
      </c>
      <c r="J437" s="424">
        <f t="shared" si="15"/>
        <v>365</v>
      </c>
      <c r="K437" s="425">
        <v>102</v>
      </c>
      <c r="L437" s="425">
        <v>153</v>
      </c>
      <c r="M437" s="425"/>
      <c r="N437" s="425">
        <v>102</v>
      </c>
      <c r="O437" s="425"/>
      <c r="P437" s="425">
        <v>8</v>
      </c>
      <c r="Q437" s="294">
        <v>33</v>
      </c>
      <c r="R437" s="295" t="e">
        <f>IF(K437="nio",0,(K437*Q437)/X437)*VLOOKUP(C437,'2-Uren per locatie'!$B$15:$D$74,3,FALSE)</f>
        <v>#DIV/0!</v>
      </c>
      <c r="S437" s="295" t="e">
        <f>IF(K437="nio",0,(L437*Q437)/Y437)*VLOOKUP(C437,'2-Uren per locatie'!$B$15:$D$74,3,FALSE)</f>
        <v>#DIV/0!</v>
      </c>
      <c r="T437" s="295" t="e">
        <f>IF(K437="nio",0,(M437*Q437)/Z437)*VLOOKUP(C437,'2-Uren per locatie'!$B$15:$D$74,3,FALSE)</f>
        <v>#DIV/0!</v>
      </c>
      <c r="U437" s="295" t="e">
        <f>IF(K437="nio",0,(N437*Q437)/AA437)*VLOOKUP(C437,'2-Uren per locatie'!$B$15:$D$74,3,FALSE)</f>
        <v>#DIV/0!</v>
      </c>
      <c r="V437" s="295" t="e">
        <f>IF(K437="nio",0,(O437*Q437)/Z437)*VLOOKUP(C437,'2-Uren per locatie'!$B$15:$D$74,3,FALSE)</f>
        <v>#DIV/0!</v>
      </c>
      <c r="W437" s="295" t="e">
        <f>IF(K437="nio",0,(P437*Q437)/AA437)*VLOOKUP(C437,'2-Uren per locatie'!$B$15:$D$74,3,FALSE)</f>
        <v>#DIV/0!</v>
      </c>
      <c r="X437" s="485">
        <f>IF(K437="nio",0,IF(K437&gt;0,VLOOKUP(H437,'3-Productie normen'!A:F,VLOOKUP(K437,'3-Productie normen'!$B$29:$C$34,2,FALSE),FALSE)))</f>
        <v>0</v>
      </c>
      <c r="Y437" s="485">
        <f>VLOOKUP(H437,'3-Productie normen'!$A$10:$J$24,8,FALSE)*'3-Ruimtestaat'!X437</f>
        <v>0</v>
      </c>
      <c r="Z437" s="485">
        <f>VLOOKUP(H437,'3-Productie normen'!$A$10:$J$24,9,FALSE)*'3-Ruimtestaat'!X437</f>
        <v>0</v>
      </c>
      <c r="AA437" s="485">
        <f>VLOOKUP(H437,'3-Productie normen'!$A$10:$J$24,10,FALSE)*'3-Ruimtestaat'!X437</f>
        <v>0</v>
      </c>
      <c r="AB437" s="292" t="str">
        <f>IF(H437="",0,VLOOKUP(H437,'3-Productie normen'!$A$10:$N$23,14,FALSE))</f>
        <v>V</v>
      </c>
      <c r="AD437" s="296">
        <f t="shared" si="16"/>
        <v>12045</v>
      </c>
      <c r="AE437" s="78"/>
      <c r="AF437" s="297"/>
      <c r="AG437" s="297"/>
      <c r="AH437" s="297"/>
      <c r="AI437" s="297">
        <v>18</v>
      </c>
      <c r="AJ437" s="297"/>
      <c r="AK437" s="298"/>
      <c r="AL437" s="298"/>
      <c r="AM437" s="298"/>
      <c r="AN437" s="298"/>
      <c r="AO437" s="299"/>
    </row>
    <row r="438" spans="1:41" ht="15" customHeight="1">
      <c r="A438" s="254">
        <v>438</v>
      </c>
      <c r="B438" s="253">
        <v>308</v>
      </c>
      <c r="C438" s="240" t="s">
        <v>103</v>
      </c>
      <c r="D438" s="288" t="s">
        <v>96</v>
      </c>
      <c r="E438" s="289"/>
      <c r="F438" s="239" t="s">
        <v>577</v>
      </c>
      <c r="G438" s="290" t="s">
        <v>573</v>
      </c>
      <c r="H438" s="291" t="s">
        <v>143</v>
      </c>
      <c r="I438" s="239" t="s">
        <v>545</v>
      </c>
      <c r="J438" s="424">
        <f t="shared" si="15"/>
        <v>365</v>
      </c>
      <c r="K438" s="425">
        <v>127</v>
      </c>
      <c r="L438" s="425">
        <v>126</v>
      </c>
      <c r="M438" s="425">
        <v>52</v>
      </c>
      <c r="N438" s="425">
        <v>52</v>
      </c>
      <c r="O438" s="425">
        <v>4</v>
      </c>
      <c r="P438" s="425">
        <v>4</v>
      </c>
      <c r="Q438" s="294">
        <v>6.41</v>
      </c>
      <c r="R438" s="295" t="e">
        <f>IF(K438="nio",0,(K438*Q438)/X438)*VLOOKUP(C438,'2-Uren per locatie'!$B$15:$D$74,3,FALSE)</f>
        <v>#DIV/0!</v>
      </c>
      <c r="S438" s="295" t="e">
        <f>IF(K438="nio",0,(L438*Q438)/Y438)*VLOOKUP(C438,'2-Uren per locatie'!$B$15:$D$74,3,FALSE)</f>
        <v>#DIV/0!</v>
      </c>
      <c r="T438" s="295" t="e">
        <f>IF(K438="nio",0,(M438*Q438)/Z438)*VLOOKUP(C438,'2-Uren per locatie'!$B$15:$D$74,3,FALSE)</f>
        <v>#DIV/0!</v>
      </c>
      <c r="U438" s="295" t="e">
        <f>IF(K438="nio",0,(N438*Q438)/AA438)*VLOOKUP(C438,'2-Uren per locatie'!$B$15:$D$74,3,FALSE)</f>
        <v>#DIV/0!</v>
      </c>
      <c r="V438" s="295" t="e">
        <f>IF(K438="nio",0,(O438*Q438)/Z438)*VLOOKUP(C438,'2-Uren per locatie'!$B$15:$D$74,3,FALSE)</f>
        <v>#DIV/0!</v>
      </c>
      <c r="W438" s="295" t="e">
        <f>IF(K438="nio",0,(P438*Q438)/AA438)*VLOOKUP(C438,'2-Uren per locatie'!$B$15:$D$74,3,FALSE)</f>
        <v>#DIV/0!</v>
      </c>
      <c r="X438" s="485">
        <f>IF(K438="nio",0,IF(K438&gt;0,VLOOKUP(H438,'3-Productie normen'!A:F,VLOOKUP(K438,'3-Productie normen'!$B$29:$C$34,2,FALSE),FALSE)))</f>
        <v>0</v>
      </c>
      <c r="Y438" s="485">
        <f>VLOOKUP(H438,'3-Productie normen'!$A$10:$J$24,8,FALSE)*'3-Ruimtestaat'!X438</f>
        <v>0</v>
      </c>
      <c r="Z438" s="485">
        <f>VLOOKUP(H438,'3-Productie normen'!$A$10:$J$24,9,FALSE)*'3-Ruimtestaat'!X438</f>
        <v>0</v>
      </c>
      <c r="AA438" s="485">
        <f>VLOOKUP(H438,'3-Productie normen'!$A$10:$J$24,10,FALSE)*'3-Ruimtestaat'!X438</f>
        <v>0</v>
      </c>
      <c r="AB438" s="292" t="str">
        <f>IF(H438="",0,VLOOKUP(H438,'3-Productie normen'!$A$10:$N$23,14,FALSE))</f>
        <v>V</v>
      </c>
      <c r="AD438" s="296">
        <f t="shared" si="16"/>
        <v>2339.65</v>
      </c>
      <c r="AE438" s="78"/>
      <c r="AF438" s="297"/>
      <c r="AG438" s="297">
        <v>34</v>
      </c>
      <c r="AH438" s="297"/>
      <c r="AI438" s="297"/>
      <c r="AJ438" s="297"/>
      <c r="AK438" s="298"/>
      <c r="AL438" s="298"/>
      <c r="AM438" s="298">
        <v>6</v>
      </c>
      <c r="AN438" s="298"/>
      <c r="AO438" s="299"/>
    </row>
    <row r="439" spans="1:41" ht="15" customHeight="1">
      <c r="A439" s="254">
        <v>439</v>
      </c>
      <c r="B439" s="253">
        <v>308</v>
      </c>
      <c r="C439" s="240" t="s">
        <v>103</v>
      </c>
      <c r="D439" s="288" t="s">
        <v>96</v>
      </c>
      <c r="E439" s="289"/>
      <c r="F439" s="239" t="s">
        <v>597</v>
      </c>
      <c r="G439" s="290"/>
      <c r="H439" s="291" t="s">
        <v>143</v>
      </c>
      <c r="I439" s="239" t="s">
        <v>545</v>
      </c>
      <c r="J439" s="424">
        <f t="shared" si="15"/>
        <v>365</v>
      </c>
      <c r="K439" s="425">
        <v>127</v>
      </c>
      <c r="L439" s="425">
        <v>126</v>
      </c>
      <c r="M439" s="425">
        <v>52</v>
      </c>
      <c r="N439" s="425">
        <v>52</v>
      </c>
      <c r="O439" s="425">
        <v>4</v>
      </c>
      <c r="P439" s="425">
        <v>4</v>
      </c>
      <c r="Q439" s="294">
        <v>32</v>
      </c>
      <c r="R439" s="295" t="e">
        <f>IF(K439="nio",0,(K439*Q439)/X439)*VLOOKUP(C439,'2-Uren per locatie'!$B$15:$D$74,3,FALSE)</f>
        <v>#DIV/0!</v>
      </c>
      <c r="S439" s="295" t="e">
        <f>IF(K439="nio",0,(L439*Q439)/Y439)*VLOOKUP(C439,'2-Uren per locatie'!$B$15:$D$74,3,FALSE)</f>
        <v>#DIV/0!</v>
      </c>
      <c r="T439" s="295" t="e">
        <f>IF(K439="nio",0,(M439*Q439)/Z439)*VLOOKUP(C439,'2-Uren per locatie'!$B$15:$D$74,3,FALSE)</f>
        <v>#DIV/0!</v>
      </c>
      <c r="U439" s="295" t="e">
        <f>IF(K439="nio",0,(N439*Q439)/AA439)*VLOOKUP(C439,'2-Uren per locatie'!$B$15:$D$74,3,FALSE)</f>
        <v>#DIV/0!</v>
      </c>
      <c r="V439" s="295" t="e">
        <f>IF(K439="nio",0,(O439*Q439)/Z439)*VLOOKUP(C439,'2-Uren per locatie'!$B$15:$D$74,3,FALSE)</f>
        <v>#DIV/0!</v>
      </c>
      <c r="W439" s="295" t="e">
        <f>IF(K439="nio",0,(P439*Q439)/AA439)*VLOOKUP(C439,'2-Uren per locatie'!$B$15:$D$74,3,FALSE)</f>
        <v>#DIV/0!</v>
      </c>
      <c r="X439" s="485">
        <f>IF(K439="nio",0,IF(K439&gt;0,VLOOKUP(H439,'3-Productie normen'!A:F,VLOOKUP(K439,'3-Productie normen'!$B$29:$C$34,2,FALSE),FALSE)))</f>
        <v>0</v>
      </c>
      <c r="Y439" s="485">
        <f>VLOOKUP(H439,'3-Productie normen'!$A$10:$J$24,8,FALSE)*'3-Ruimtestaat'!X439</f>
        <v>0</v>
      </c>
      <c r="Z439" s="485">
        <f>VLOOKUP(H439,'3-Productie normen'!$A$10:$J$24,9,FALSE)*'3-Ruimtestaat'!X439</f>
        <v>0</v>
      </c>
      <c r="AA439" s="485">
        <f>VLOOKUP(H439,'3-Productie normen'!$A$10:$J$24,10,FALSE)*'3-Ruimtestaat'!X439</f>
        <v>0</v>
      </c>
      <c r="AB439" s="292" t="str">
        <f>IF(H439="",0,VLOOKUP(H439,'3-Productie normen'!$A$10:$N$23,14,FALSE))</f>
        <v>V</v>
      </c>
      <c r="AD439" s="296">
        <f t="shared" si="16"/>
        <v>11680</v>
      </c>
      <c r="AE439" s="78"/>
      <c r="AF439" s="297"/>
      <c r="AG439" s="297"/>
      <c r="AH439" s="297"/>
      <c r="AI439" s="297"/>
      <c r="AJ439" s="297"/>
      <c r="AK439" s="298"/>
      <c r="AL439" s="298"/>
      <c r="AM439" s="298"/>
      <c r="AN439" s="298"/>
      <c r="AO439" s="299"/>
    </row>
    <row r="440" spans="1:41" ht="15" customHeight="1">
      <c r="A440" s="254">
        <v>440</v>
      </c>
      <c r="B440" s="253">
        <v>308</v>
      </c>
      <c r="C440" s="240" t="s">
        <v>103</v>
      </c>
      <c r="D440" s="288" t="s">
        <v>96</v>
      </c>
      <c r="E440" s="289"/>
      <c r="F440" s="239" t="s">
        <v>579</v>
      </c>
      <c r="G440" s="290" t="s">
        <v>533</v>
      </c>
      <c r="H440" s="291" t="s">
        <v>149</v>
      </c>
      <c r="I440" s="239" t="s">
        <v>401</v>
      </c>
      <c r="J440" s="424">
        <f t="shared" si="15"/>
        <v>365</v>
      </c>
      <c r="K440" s="425">
        <v>102</v>
      </c>
      <c r="L440" s="425">
        <v>153</v>
      </c>
      <c r="M440" s="425"/>
      <c r="N440" s="425">
        <v>102</v>
      </c>
      <c r="O440" s="425"/>
      <c r="P440" s="425">
        <v>8</v>
      </c>
      <c r="Q440" s="294">
        <v>5</v>
      </c>
      <c r="R440" s="295" t="e">
        <f>IF(K440="nio",0,(K440*Q440)/X440)*VLOOKUP(C440,'2-Uren per locatie'!$B$15:$D$74,3,FALSE)</f>
        <v>#DIV/0!</v>
      </c>
      <c r="S440" s="295" t="e">
        <f>IF(K440="nio",0,(L440*Q440)/Y440)*VLOOKUP(C440,'2-Uren per locatie'!$B$15:$D$74,3,FALSE)</f>
        <v>#DIV/0!</v>
      </c>
      <c r="T440" s="295" t="e">
        <f>IF(K440="nio",0,(M440*Q440)/Z440)*VLOOKUP(C440,'2-Uren per locatie'!$B$15:$D$74,3,FALSE)</f>
        <v>#DIV/0!</v>
      </c>
      <c r="U440" s="295" t="e">
        <f>IF(K440="nio",0,(N440*Q440)/AA440)*VLOOKUP(C440,'2-Uren per locatie'!$B$15:$D$74,3,FALSE)</f>
        <v>#DIV/0!</v>
      </c>
      <c r="V440" s="295" t="e">
        <f>IF(K440="nio",0,(O440*Q440)/Z440)*VLOOKUP(C440,'2-Uren per locatie'!$B$15:$D$74,3,FALSE)</f>
        <v>#DIV/0!</v>
      </c>
      <c r="W440" s="295" t="e">
        <f>IF(K440="nio",0,(P440*Q440)/AA440)*VLOOKUP(C440,'2-Uren per locatie'!$B$15:$D$74,3,FALSE)</f>
        <v>#DIV/0!</v>
      </c>
      <c r="X440" s="485">
        <f>IF(K440="nio",0,IF(K440&gt;0,VLOOKUP(H440,'3-Productie normen'!A:F,VLOOKUP(K440,'3-Productie normen'!$B$29:$C$34,2,FALSE),FALSE)))</f>
        <v>0</v>
      </c>
      <c r="Y440" s="485">
        <f>VLOOKUP(H440,'3-Productie normen'!$A$10:$J$24,8,FALSE)*'3-Ruimtestaat'!X440</f>
        <v>0</v>
      </c>
      <c r="Z440" s="485">
        <f>VLOOKUP(H440,'3-Productie normen'!$A$10:$J$24,9,FALSE)*'3-Ruimtestaat'!X440</f>
        <v>0</v>
      </c>
      <c r="AA440" s="485">
        <f>VLOOKUP(H440,'3-Productie normen'!$A$10:$J$24,10,FALSE)*'3-Ruimtestaat'!X440</f>
        <v>0</v>
      </c>
      <c r="AB440" s="292" t="str">
        <f>IF(H440="",0,VLOOKUP(H440,'3-Productie normen'!$A$10:$N$23,14,FALSE))</f>
        <v>V</v>
      </c>
      <c r="AD440" s="296">
        <f t="shared" si="16"/>
        <v>1825</v>
      </c>
      <c r="AE440" s="78"/>
      <c r="AF440" s="297"/>
      <c r="AG440" s="297"/>
      <c r="AH440" s="297"/>
      <c r="AI440" s="297"/>
      <c r="AJ440" s="297"/>
      <c r="AK440" s="298"/>
      <c r="AL440" s="298"/>
      <c r="AM440" s="298"/>
      <c r="AN440" s="298"/>
      <c r="AO440" s="299"/>
    </row>
    <row r="441" spans="1:41" ht="15" customHeight="1">
      <c r="A441" s="254">
        <v>441</v>
      </c>
      <c r="B441" s="253">
        <v>309</v>
      </c>
      <c r="C441" s="240" t="s">
        <v>104</v>
      </c>
      <c r="D441" s="288" t="s">
        <v>96</v>
      </c>
      <c r="E441" s="289"/>
      <c r="F441" s="239" t="s">
        <v>565</v>
      </c>
      <c r="G441" s="290" t="s">
        <v>526</v>
      </c>
      <c r="H441" s="291" t="s">
        <v>155</v>
      </c>
      <c r="I441" s="239" t="s">
        <v>392</v>
      </c>
      <c r="J441" s="424">
        <f t="shared" si="15"/>
        <v>365</v>
      </c>
      <c r="K441" s="425">
        <v>127</v>
      </c>
      <c r="L441" s="425">
        <v>126</v>
      </c>
      <c r="M441" s="425">
        <v>52</v>
      </c>
      <c r="N441" s="425">
        <v>52</v>
      </c>
      <c r="O441" s="425">
        <v>4</v>
      </c>
      <c r="P441" s="425">
        <v>4</v>
      </c>
      <c r="Q441" s="294">
        <v>41</v>
      </c>
      <c r="R441" s="295" t="e">
        <f>IF(K441="nio",0,(K441*Q441)/X441)*VLOOKUP(C441,'2-Uren per locatie'!$B$15:$D$74,3,FALSE)</f>
        <v>#DIV/0!</v>
      </c>
      <c r="S441" s="295" t="e">
        <f>IF(K441="nio",0,(L441*Q441)/Y441)*VLOOKUP(C441,'2-Uren per locatie'!$B$15:$D$74,3,FALSE)</f>
        <v>#DIV/0!</v>
      </c>
      <c r="T441" s="295" t="e">
        <f>IF(K441="nio",0,(M441*Q441)/Z441)*VLOOKUP(C441,'2-Uren per locatie'!$B$15:$D$74,3,FALSE)</f>
        <v>#DIV/0!</v>
      </c>
      <c r="U441" s="295" t="e">
        <f>IF(K441="nio",0,(N441*Q441)/AA441)*VLOOKUP(C441,'2-Uren per locatie'!$B$15:$D$74,3,FALSE)</f>
        <v>#DIV/0!</v>
      </c>
      <c r="V441" s="295" t="e">
        <f>IF(K441="nio",0,(O441*Q441)/Z441)*VLOOKUP(C441,'2-Uren per locatie'!$B$15:$D$74,3,FALSE)</f>
        <v>#DIV/0!</v>
      </c>
      <c r="W441" s="295" t="e">
        <f>IF(K441="nio",0,(P441*Q441)/AA441)*VLOOKUP(C441,'2-Uren per locatie'!$B$15:$D$74,3,FALSE)</f>
        <v>#DIV/0!</v>
      </c>
      <c r="X441" s="485">
        <f>IF(K441="nio",0,IF(K441&gt;0,VLOOKUP(H441,'3-Productie normen'!A:F,VLOOKUP(K441,'3-Productie normen'!$B$29:$C$34,2,FALSE),FALSE)))</f>
        <v>0</v>
      </c>
      <c r="Y441" s="485">
        <f>VLOOKUP(H441,'3-Productie normen'!$A$10:$J$24,8,FALSE)*'3-Ruimtestaat'!X441</f>
        <v>0</v>
      </c>
      <c r="Z441" s="485">
        <f>VLOOKUP(H441,'3-Productie normen'!$A$10:$J$24,9,FALSE)*'3-Ruimtestaat'!X441</f>
        <v>0</v>
      </c>
      <c r="AA441" s="485">
        <f>VLOOKUP(H441,'3-Productie normen'!$A$10:$J$24,10,FALSE)*'3-Ruimtestaat'!X441</f>
        <v>0</v>
      </c>
      <c r="AB441" s="292" t="str">
        <f>IF(H441="",0,VLOOKUP(H441,'3-Productie normen'!$A$10:$N$23,14,FALSE))</f>
        <v>V</v>
      </c>
      <c r="AD441" s="296">
        <f t="shared" si="16"/>
        <v>14965</v>
      </c>
      <c r="AE441" s="78"/>
      <c r="AF441" s="300" t="s">
        <v>602</v>
      </c>
      <c r="AG441" s="297"/>
      <c r="AH441" s="297"/>
      <c r="AI441" s="297"/>
      <c r="AJ441" s="297"/>
      <c r="AK441" s="298"/>
      <c r="AL441" s="298"/>
      <c r="AM441" s="298"/>
      <c r="AN441" s="298"/>
      <c r="AO441" s="299"/>
    </row>
    <row r="442" spans="1:41" ht="15" customHeight="1">
      <c r="A442" s="254">
        <v>442</v>
      </c>
      <c r="B442" s="253">
        <v>309</v>
      </c>
      <c r="C442" s="240" t="s">
        <v>104</v>
      </c>
      <c r="D442" s="288" t="s">
        <v>96</v>
      </c>
      <c r="E442" s="289"/>
      <c r="F442" s="239" t="s">
        <v>566</v>
      </c>
      <c r="G442" s="290" t="s">
        <v>567</v>
      </c>
      <c r="H442" s="291" t="s">
        <v>151</v>
      </c>
      <c r="I442" s="239" t="s">
        <v>592</v>
      </c>
      <c r="J442" s="424">
        <f t="shared" si="15"/>
        <v>365</v>
      </c>
      <c r="K442" s="425">
        <v>127</v>
      </c>
      <c r="L442" s="425">
        <v>126</v>
      </c>
      <c r="M442" s="425">
        <v>52</v>
      </c>
      <c r="N442" s="425">
        <v>52</v>
      </c>
      <c r="O442" s="425">
        <v>4</v>
      </c>
      <c r="P442" s="425">
        <v>4</v>
      </c>
      <c r="Q442" s="294">
        <v>496</v>
      </c>
      <c r="R442" s="295" t="e">
        <f>IF(K442="nio",0,(K442*Q442)/X442)*VLOOKUP(C442,'2-Uren per locatie'!$B$15:$D$74,3,FALSE)</f>
        <v>#DIV/0!</v>
      </c>
      <c r="S442" s="295" t="e">
        <f>IF(K442="nio",0,(L442*Q442)/Y442)*VLOOKUP(C442,'2-Uren per locatie'!$B$15:$D$74,3,FALSE)</f>
        <v>#DIV/0!</v>
      </c>
      <c r="T442" s="295" t="e">
        <f>IF(K442="nio",0,(M442*Q442)/Z442)*VLOOKUP(C442,'2-Uren per locatie'!$B$15:$D$74,3,FALSE)</f>
        <v>#DIV/0!</v>
      </c>
      <c r="U442" s="295" t="e">
        <f>IF(K442="nio",0,(N442*Q442)/AA442)*VLOOKUP(C442,'2-Uren per locatie'!$B$15:$D$74,3,FALSE)</f>
        <v>#DIV/0!</v>
      </c>
      <c r="V442" s="295" t="e">
        <f>IF(K442="nio",0,(O442*Q442)/Z442)*VLOOKUP(C442,'2-Uren per locatie'!$B$15:$D$74,3,FALSE)</f>
        <v>#DIV/0!</v>
      </c>
      <c r="W442" s="295" t="e">
        <f>IF(K442="nio",0,(P442*Q442)/AA442)*VLOOKUP(C442,'2-Uren per locatie'!$B$15:$D$74,3,FALSE)</f>
        <v>#DIV/0!</v>
      </c>
      <c r="X442" s="485">
        <f>IF(K442="nio",0,IF(K442&gt;0,VLOOKUP(H442,'3-Productie normen'!A:F,VLOOKUP(K442,'3-Productie normen'!$B$29:$C$34,2,FALSE),FALSE)))</f>
        <v>0</v>
      </c>
      <c r="Y442" s="485">
        <f>VLOOKUP(H442,'3-Productie normen'!$A$10:$J$24,8,FALSE)*'3-Ruimtestaat'!X442</f>
        <v>0</v>
      </c>
      <c r="Z442" s="485">
        <f>VLOOKUP(H442,'3-Productie normen'!$A$10:$J$24,9,FALSE)*'3-Ruimtestaat'!X442</f>
        <v>0</v>
      </c>
      <c r="AA442" s="485">
        <f>VLOOKUP(H442,'3-Productie normen'!$A$10:$J$24,10,FALSE)*'3-Ruimtestaat'!X442</f>
        <v>0</v>
      </c>
      <c r="AB442" s="292" t="str">
        <f>IF(H442="",0,VLOOKUP(H442,'3-Productie normen'!$A$10:$N$23,14,FALSE))</f>
        <v>V</v>
      </c>
      <c r="AD442" s="296">
        <f t="shared" si="16"/>
        <v>181040</v>
      </c>
      <c r="AE442" s="78"/>
      <c r="AF442" s="297"/>
      <c r="AG442" s="297"/>
      <c r="AH442" s="297"/>
      <c r="AI442" s="297"/>
      <c r="AJ442" s="297"/>
      <c r="AK442" s="298"/>
      <c r="AL442" s="298"/>
      <c r="AM442" s="298"/>
      <c r="AN442" s="298"/>
      <c r="AO442" s="299"/>
    </row>
    <row r="443" spans="1:41" ht="15" customHeight="1">
      <c r="A443" s="254">
        <v>443</v>
      </c>
      <c r="B443" s="253">
        <v>309</v>
      </c>
      <c r="C443" s="240" t="s">
        <v>104</v>
      </c>
      <c r="D443" s="288" t="s">
        <v>96</v>
      </c>
      <c r="E443" s="289"/>
      <c r="F443" s="239" t="s">
        <v>593</v>
      </c>
      <c r="G443" s="290" t="s">
        <v>567</v>
      </c>
      <c r="H443" s="291" t="s">
        <v>151</v>
      </c>
      <c r="I443" s="239" t="s">
        <v>594</v>
      </c>
      <c r="J443" s="424">
        <f t="shared" si="15"/>
        <v>365</v>
      </c>
      <c r="K443" s="425">
        <v>127</v>
      </c>
      <c r="L443" s="425">
        <v>126</v>
      </c>
      <c r="M443" s="425">
        <v>52</v>
      </c>
      <c r="N443" s="425">
        <v>52</v>
      </c>
      <c r="O443" s="425">
        <v>4</v>
      </c>
      <c r="P443" s="425">
        <v>4</v>
      </c>
      <c r="Q443" s="294">
        <v>531</v>
      </c>
      <c r="R443" s="295" t="e">
        <f>IF(K443="nio",0,(K443*Q443)/X443)*VLOOKUP(C443,'2-Uren per locatie'!$B$15:$D$74,3,FALSE)</f>
        <v>#DIV/0!</v>
      </c>
      <c r="S443" s="295" t="e">
        <f>IF(K443="nio",0,(L443*Q443)/Y443)*VLOOKUP(C443,'2-Uren per locatie'!$B$15:$D$74,3,FALSE)</f>
        <v>#DIV/0!</v>
      </c>
      <c r="T443" s="295" t="e">
        <f>IF(K443="nio",0,(M443*Q443)/Z443)*VLOOKUP(C443,'2-Uren per locatie'!$B$15:$D$74,3,FALSE)</f>
        <v>#DIV/0!</v>
      </c>
      <c r="U443" s="295" t="e">
        <f>IF(K443="nio",0,(N443*Q443)/AA443)*VLOOKUP(C443,'2-Uren per locatie'!$B$15:$D$74,3,FALSE)</f>
        <v>#DIV/0!</v>
      </c>
      <c r="V443" s="295" t="e">
        <f>IF(K443="nio",0,(O443*Q443)/Z443)*VLOOKUP(C443,'2-Uren per locatie'!$B$15:$D$74,3,FALSE)</f>
        <v>#DIV/0!</v>
      </c>
      <c r="W443" s="295" t="e">
        <f>IF(K443="nio",0,(P443*Q443)/AA443)*VLOOKUP(C443,'2-Uren per locatie'!$B$15:$D$74,3,FALSE)</f>
        <v>#DIV/0!</v>
      </c>
      <c r="X443" s="485">
        <f>IF(K443="nio",0,IF(K443&gt;0,VLOOKUP(H443,'3-Productie normen'!A:F,VLOOKUP(K443,'3-Productie normen'!$B$29:$C$34,2,FALSE),FALSE)))</f>
        <v>0</v>
      </c>
      <c r="Y443" s="485">
        <f>VLOOKUP(H443,'3-Productie normen'!$A$10:$J$24,8,FALSE)*'3-Ruimtestaat'!X443</f>
        <v>0</v>
      </c>
      <c r="Z443" s="485">
        <f>VLOOKUP(H443,'3-Productie normen'!$A$10:$J$24,9,FALSE)*'3-Ruimtestaat'!X443</f>
        <v>0</v>
      </c>
      <c r="AA443" s="485">
        <f>VLOOKUP(H443,'3-Productie normen'!$A$10:$J$24,10,FALSE)*'3-Ruimtestaat'!X443</f>
        <v>0</v>
      </c>
      <c r="AB443" s="292" t="str">
        <f>IF(H443="",0,VLOOKUP(H443,'3-Productie normen'!$A$10:$N$23,14,FALSE))</f>
        <v>V</v>
      </c>
      <c r="AD443" s="296">
        <f t="shared" si="16"/>
        <v>193815</v>
      </c>
      <c r="AE443" s="78"/>
      <c r="AF443" s="297"/>
      <c r="AG443" s="297"/>
      <c r="AH443" s="297"/>
      <c r="AI443" s="297"/>
      <c r="AJ443" s="297"/>
      <c r="AK443" s="298"/>
      <c r="AL443" s="298"/>
      <c r="AM443" s="298"/>
      <c r="AN443" s="298"/>
      <c r="AO443" s="299"/>
    </row>
    <row r="444" spans="1:41" ht="15" customHeight="1">
      <c r="A444" s="254">
        <v>444</v>
      </c>
      <c r="B444" s="253">
        <v>309</v>
      </c>
      <c r="C444" s="240" t="s">
        <v>104</v>
      </c>
      <c r="D444" s="288" t="s">
        <v>96</v>
      </c>
      <c r="E444" s="289"/>
      <c r="F444" s="239" t="s">
        <v>621</v>
      </c>
      <c r="G444" s="290" t="s">
        <v>567</v>
      </c>
      <c r="H444" s="291" t="s">
        <v>151</v>
      </c>
      <c r="I444" s="239" t="s">
        <v>459</v>
      </c>
      <c r="J444" s="424">
        <f t="shared" si="15"/>
        <v>365</v>
      </c>
      <c r="K444" s="425">
        <v>127</v>
      </c>
      <c r="L444" s="425">
        <v>126</v>
      </c>
      <c r="M444" s="425">
        <v>52</v>
      </c>
      <c r="N444" s="425">
        <v>52</v>
      </c>
      <c r="O444" s="425">
        <v>4</v>
      </c>
      <c r="P444" s="425">
        <v>4</v>
      </c>
      <c r="Q444" s="294">
        <v>199</v>
      </c>
      <c r="R444" s="295" t="e">
        <f>IF(K444="nio",0,(K444*Q444)/X444)*VLOOKUP(C444,'2-Uren per locatie'!$B$15:$D$74,3,FALSE)</f>
        <v>#DIV/0!</v>
      </c>
      <c r="S444" s="295" t="e">
        <f>IF(K444="nio",0,(L444*Q444)/Y444)*VLOOKUP(C444,'2-Uren per locatie'!$B$15:$D$74,3,FALSE)</f>
        <v>#DIV/0!</v>
      </c>
      <c r="T444" s="295" t="e">
        <f>IF(K444="nio",0,(M444*Q444)/Z444)*VLOOKUP(C444,'2-Uren per locatie'!$B$15:$D$74,3,FALSE)</f>
        <v>#DIV/0!</v>
      </c>
      <c r="U444" s="295" t="e">
        <f>IF(K444="nio",0,(N444*Q444)/AA444)*VLOOKUP(C444,'2-Uren per locatie'!$B$15:$D$74,3,FALSE)</f>
        <v>#DIV/0!</v>
      </c>
      <c r="V444" s="295" t="e">
        <f>IF(K444="nio",0,(O444*Q444)/Z444)*VLOOKUP(C444,'2-Uren per locatie'!$B$15:$D$74,3,FALSE)</f>
        <v>#DIV/0!</v>
      </c>
      <c r="W444" s="295" t="e">
        <f>IF(K444="nio",0,(P444*Q444)/AA444)*VLOOKUP(C444,'2-Uren per locatie'!$B$15:$D$74,3,FALSE)</f>
        <v>#DIV/0!</v>
      </c>
      <c r="X444" s="485">
        <f>IF(K444="nio",0,IF(K444&gt;0,VLOOKUP(H444,'3-Productie normen'!A:F,VLOOKUP(K444,'3-Productie normen'!$B$29:$C$34,2,FALSE),FALSE)))</f>
        <v>0</v>
      </c>
      <c r="Y444" s="485">
        <f>VLOOKUP(H444,'3-Productie normen'!$A$10:$J$24,8,FALSE)*'3-Ruimtestaat'!X444</f>
        <v>0</v>
      </c>
      <c r="Z444" s="485">
        <f>VLOOKUP(H444,'3-Productie normen'!$A$10:$J$24,9,FALSE)*'3-Ruimtestaat'!X444</f>
        <v>0</v>
      </c>
      <c r="AA444" s="485">
        <f>VLOOKUP(H444,'3-Productie normen'!$A$10:$J$24,10,FALSE)*'3-Ruimtestaat'!X444</f>
        <v>0</v>
      </c>
      <c r="AB444" s="292" t="str">
        <f>IF(H444="",0,VLOOKUP(H444,'3-Productie normen'!$A$10:$N$23,14,FALSE))</f>
        <v>V</v>
      </c>
      <c r="AD444" s="296">
        <f t="shared" si="16"/>
        <v>72635</v>
      </c>
      <c r="AE444" s="78"/>
      <c r="AF444" s="297"/>
      <c r="AG444" s="297"/>
      <c r="AH444" s="297"/>
      <c r="AI444" s="297"/>
      <c r="AJ444" s="297"/>
      <c r="AK444" s="298"/>
      <c r="AL444" s="298"/>
      <c r="AM444" s="298"/>
      <c r="AN444" s="298"/>
      <c r="AO444" s="299"/>
    </row>
    <row r="445" spans="1:41" ht="15" customHeight="1">
      <c r="A445" s="254">
        <v>445</v>
      </c>
      <c r="B445" s="253">
        <v>309</v>
      </c>
      <c r="C445" s="240" t="s">
        <v>104</v>
      </c>
      <c r="D445" s="288" t="s">
        <v>96</v>
      </c>
      <c r="E445" s="289"/>
      <c r="F445" s="239" t="s">
        <v>619</v>
      </c>
      <c r="G445" s="290" t="s">
        <v>620</v>
      </c>
      <c r="H445" s="291" t="s">
        <v>153</v>
      </c>
      <c r="I445" s="239" t="s">
        <v>420</v>
      </c>
      <c r="J445" s="424">
        <f t="shared" si="15"/>
        <v>365</v>
      </c>
      <c r="K445" s="425">
        <v>255</v>
      </c>
      <c r="L445" s="425"/>
      <c r="M445" s="425">
        <v>102</v>
      </c>
      <c r="N445" s="425"/>
      <c r="O445" s="425">
        <v>8</v>
      </c>
      <c r="P445" s="425"/>
      <c r="Q445" s="294">
        <v>1</v>
      </c>
      <c r="R445" s="295" t="e">
        <f>IF(K445="nio",0,(K445*Q445)/X445)*VLOOKUP(C445,'2-Uren per locatie'!$B$15:$D$74,3,FALSE)</f>
        <v>#DIV/0!</v>
      </c>
      <c r="S445" s="295" t="e">
        <f>IF(K445="nio",0,(L445*Q445)/Y445)*VLOOKUP(C445,'2-Uren per locatie'!$B$15:$D$74,3,FALSE)</f>
        <v>#DIV/0!</v>
      </c>
      <c r="T445" s="295" t="e">
        <f>IF(K445="nio",0,(M445*Q445)/Z445)*VLOOKUP(C445,'2-Uren per locatie'!$B$15:$D$74,3,FALSE)</f>
        <v>#DIV/0!</v>
      </c>
      <c r="U445" s="295" t="e">
        <f>IF(K445="nio",0,(N445*Q445)/AA445)*VLOOKUP(C445,'2-Uren per locatie'!$B$15:$D$74,3,FALSE)</f>
        <v>#DIV/0!</v>
      </c>
      <c r="V445" s="295" t="e">
        <f>IF(K445="nio",0,(O445*Q445)/Z445)*VLOOKUP(C445,'2-Uren per locatie'!$B$15:$D$74,3,FALSE)</f>
        <v>#DIV/0!</v>
      </c>
      <c r="W445" s="295" t="e">
        <f>IF(K445="nio",0,(P445*Q445)/AA445)*VLOOKUP(C445,'2-Uren per locatie'!$B$15:$D$74,3,FALSE)</f>
        <v>#DIV/0!</v>
      </c>
      <c r="X445" s="485">
        <f>IF(K445="nio",0,IF(K445&gt;0,VLOOKUP(H445,'3-Productie normen'!A:F,VLOOKUP(K445,'3-Productie normen'!$B$29:$C$34,2,FALSE),FALSE)))</f>
        <v>0</v>
      </c>
      <c r="Y445" s="485">
        <f>VLOOKUP(H445,'3-Productie normen'!$A$10:$J$24,8,FALSE)*'3-Ruimtestaat'!X445</f>
        <v>0</v>
      </c>
      <c r="Z445" s="485">
        <f>VLOOKUP(H445,'3-Productie normen'!$A$10:$J$24,9,FALSE)*'3-Ruimtestaat'!X445</f>
        <v>0</v>
      </c>
      <c r="AA445" s="485">
        <f>VLOOKUP(H445,'3-Productie normen'!$A$10:$J$24,10,FALSE)*'3-Ruimtestaat'!X445</f>
        <v>0</v>
      </c>
      <c r="AB445" s="292" t="str">
        <f>IF(H445="",0,VLOOKUP(H445,'3-Productie normen'!$A$10:$N$23,14,FALSE))</f>
        <v>S</v>
      </c>
      <c r="AD445" s="296">
        <f t="shared" si="16"/>
        <v>365</v>
      </c>
      <c r="AE445" s="78"/>
      <c r="AF445" s="297"/>
      <c r="AG445" s="297"/>
      <c r="AH445" s="297"/>
      <c r="AI445" s="297">
        <v>22</v>
      </c>
      <c r="AJ445" s="297">
        <v>17</v>
      </c>
      <c r="AK445" s="298"/>
      <c r="AL445" s="298"/>
      <c r="AM445" s="298"/>
      <c r="AN445" s="298">
        <v>9</v>
      </c>
      <c r="AO445" s="299"/>
    </row>
    <row r="446" spans="1:41" ht="15" customHeight="1">
      <c r="A446" s="254">
        <v>446</v>
      </c>
      <c r="B446" s="253">
        <v>309</v>
      </c>
      <c r="C446" s="240" t="s">
        <v>104</v>
      </c>
      <c r="D446" s="288" t="s">
        <v>96</v>
      </c>
      <c r="E446" s="289"/>
      <c r="F446" s="239" t="s">
        <v>575</v>
      </c>
      <c r="G446" s="290" t="s">
        <v>576</v>
      </c>
      <c r="H446" s="291" t="s">
        <v>152</v>
      </c>
      <c r="I446" s="239" t="s">
        <v>265</v>
      </c>
      <c r="J446" s="424">
        <f t="shared" si="15"/>
        <v>365</v>
      </c>
      <c r="K446" s="425">
        <v>127</v>
      </c>
      <c r="L446" s="425">
        <v>126</v>
      </c>
      <c r="M446" s="425">
        <v>52</v>
      </c>
      <c r="N446" s="425">
        <v>52</v>
      </c>
      <c r="O446" s="425">
        <v>4</v>
      </c>
      <c r="P446" s="425">
        <v>4</v>
      </c>
      <c r="Q446" s="294">
        <v>33</v>
      </c>
      <c r="R446" s="295" t="e">
        <f>IF(K446="nio",0,(K446*Q446)/X446)*VLOOKUP(C446,'2-Uren per locatie'!$B$15:$D$74,3,FALSE)</f>
        <v>#DIV/0!</v>
      </c>
      <c r="S446" s="295" t="e">
        <f>IF(K446="nio",0,(L446*Q446)/Y446)*VLOOKUP(C446,'2-Uren per locatie'!$B$15:$D$74,3,FALSE)</f>
        <v>#DIV/0!</v>
      </c>
      <c r="T446" s="295" t="e">
        <f>IF(K446="nio",0,(M446*Q446)/Z446)*VLOOKUP(C446,'2-Uren per locatie'!$B$15:$D$74,3,FALSE)</f>
        <v>#DIV/0!</v>
      </c>
      <c r="U446" s="295" t="e">
        <f>IF(K446="nio",0,(N446*Q446)/AA446)*VLOOKUP(C446,'2-Uren per locatie'!$B$15:$D$74,3,FALSE)</f>
        <v>#DIV/0!</v>
      </c>
      <c r="V446" s="295" t="e">
        <f>IF(K446="nio",0,(O446*Q446)/Z446)*VLOOKUP(C446,'2-Uren per locatie'!$B$15:$D$74,3,FALSE)</f>
        <v>#DIV/0!</v>
      </c>
      <c r="W446" s="295" t="e">
        <f>IF(K446="nio",0,(P446*Q446)/AA446)*VLOOKUP(C446,'2-Uren per locatie'!$B$15:$D$74,3,FALSE)</f>
        <v>#DIV/0!</v>
      </c>
      <c r="X446" s="485">
        <f>IF(K446="nio",0,IF(K446&gt;0,VLOOKUP(H446,'3-Productie normen'!A:F,VLOOKUP(K446,'3-Productie normen'!$B$29:$C$34,2,FALSE),FALSE)))</f>
        <v>0</v>
      </c>
      <c r="Y446" s="485">
        <f>VLOOKUP(H446,'3-Productie normen'!$A$10:$J$24,8,FALSE)*'3-Ruimtestaat'!X446</f>
        <v>0</v>
      </c>
      <c r="Z446" s="485">
        <f>VLOOKUP(H446,'3-Productie normen'!$A$10:$J$24,9,FALSE)*'3-Ruimtestaat'!X446</f>
        <v>0</v>
      </c>
      <c r="AA446" s="485">
        <f>VLOOKUP(H446,'3-Productie normen'!$A$10:$J$24,10,FALSE)*'3-Ruimtestaat'!X446</f>
        <v>0</v>
      </c>
      <c r="AB446" s="292" t="str">
        <f>IF(H446="",0,VLOOKUP(H446,'3-Productie normen'!$A$10:$N$23,14,FALSE))</f>
        <v>V</v>
      </c>
      <c r="AD446" s="296">
        <f t="shared" si="16"/>
        <v>12045</v>
      </c>
      <c r="AE446" s="78"/>
      <c r="AF446" s="297"/>
      <c r="AG446" s="297"/>
      <c r="AH446" s="297"/>
      <c r="AI446" s="297">
        <v>18</v>
      </c>
      <c r="AJ446" s="297"/>
      <c r="AK446" s="298"/>
      <c r="AL446" s="298"/>
      <c r="AM446" s="298"/>
      <c r="AN446" s="298"/>
      <c r="AO446" s="299"/>
    </row>
    <row r="447" spans="1:41" ht="15" customHeight="1">
      <c r="A447" s="254">
        <v>447</v>
      </c>
      <c r="B447" s="253">
        <v>309</v>
      </c>
      <c r="C447" s="240" t="s">
        <v>104</v>
      </c>
      <c r="D447" s="288" t="s">
        <v>96</v>
      </c>
      <c r="E447" s="289"/>
      <c r="F447" s="239" t="s">
        <v>622</v>
      </c>
      <c r="G447" s="290" t="s">
        <v>573</v>
      </c>
      <c r="H447" s="291" t="s">
        <v>143</v>
      </c>
      <c r="I447" s="239" t="s">
        <v>545</v>
      </c>
      <c r="J447" s="424">
        <f t="shared" si="15"/>
        <v>365</v>
      </c>
      <c r="K447" s="425">
        <v>127</v>
      </c>
      <c r="L447" s="425">
        <v>126</v>
      </c>
      <c r="M447" s="425">
        <v>52</v>
      </c>
      <c r="N447" s="425">
        <v>52</v>
      </c>
      <c r="O447" s="425">
        <v>4</v>
      </c>
      <c r="P447" s="425">
        <v>4</v>
      </c>
      <c r="Q447" s="294">
        <v>6.41</v>
      </c>
      <c r="R447" s="295" t="e">
        <f>IF(K447="nio",0,(K447*Q447)/X447)*VLOOKUP(C447,'2-Uren per locatie'!$B$15:$D$74,3,FALSE)</f>
        <v>#DIV/0!</v>
      </c>
      <c r="S447" s="295" t="e">
        <f>IF(K447="nio",0,(L447*Q447)/Y447)*VLOOKUP(C447,'2-Uren per locatie'!$B$15:$D$74,3,FALSE)</f>
        <v>#DIV/0!</v>
      </c>
      <c r="T447" s="295" t="e">
        <f>IF(K447="nio",0,(M447*Q447)/Z447)*VLOOKUP(C447,'2-Uren per locatie'!$B$15:$D$74,3,FALSE)</f>
        <v>#DIV/0!</v>
      </c>
      <c r="U447" s="295" t="e">
        <f>IF(K447="nio",0,(N447*Q447)/AA447)*VLOOKUP(C447,'2-Uren per locatie'!$B$15:$D$74,3,FALSE)</f>
        <v>#DIV/0!</v>
      </c>
      <c r="V447" s="295" t="e">
        <f>IF(K447="nio",0,(O447*Q447)/Z447)*VLOOKUP(C447,'2-Uren per locatie'!$B$15:$D$74,3,FALSE)</f>
        <v>#DIV/0!</v>
      </c>
      <c r="W447" s="295" t="e">
        <f>IF(K447="nio",0,(P447*Q447)/AA447)*VLOOKUP(C447,'2-Uren per locatie'!$B$15:$D$74,3,FALSE)</f>
        <v>#DIV/0!</v>
      </c>
      <c r="X447" s="485">
        <f>IF(K447="nio",0,IF(K447&gt;0,VLOOKUP(H447,'3-Productie normen'!A:F,VLOOKUP(K447,'3-Productie normen'!$B$29:$C$34,2,FALSE),FALSE)))</f>
        <v>0</v>
      </c>
      <c r="Y447" s="485">
        <f>VLOOKUP(H447,'3-Productie normen'!$A$10:$J$24,8,FALSE)*'3-Ruimtestaat'!X447</f>
        <v>0</v>
      </c>
      <c r="Z447" s="485">
        <f>VLOOKUP(H447,'3-Productie normen'!$A$10:$J$24,9,FALSE)*'3-Ruimtestaat'!X447</f>
        <v>0</v>
      </c>
      <c r="AA447" s="485">
        <f>VLOOKUP(H447,'3-Productie normen'!$A$10:$J$24,10,FALSE)*'3-Ruimtestaat'!X447</f>
        <v>0</v>
      </c>
      <c r="AB447" s="292" t="str">
        <f>IF(H447="",0,VLOOKUP(H447,'3-Productie normen'!$A$10:$N$23,14,FALSE))</f>
        <v>V</v>
      </c>
      <c r="AD447" s="296">
        <f t="shared" si="16"/>
        <v>2339.65</v>
      </c>
      <c r="AE447" s="78"/>
      <c r="AF447" s="297"/>
      <c r="AG447" s="297">
        <v>44</v>
      </c>
      <c r="AH447" s="297"/>
      <c r="AI447" s="297"/>
      <c r="AJ447" s="297"/>
      <c r="AK447" s="298"/>
      <c r="AL447" s="298"/>
      <c r="AM447" s="298">
        <v>6</v>
      </c>
      <c r="AN447" s="298"/>
      <c r="AO447" s="299"/>
    </row>
    <row r="448" spans="1:41" ht="15" customHeight="1">
      <c r="A448" s="254">
        <v>448</v>
      </c>
      <c r="B448" s="253">
        <v>309</v>
      </c>
      <c r="C448" s="240" t="s">
        <v>104</v>
      </c>
      <c r="D448" s="288" t="s">
        <v>96</v>
      </c>
      <c r="E448" s="289"/>
      <c r="F448" s="239" t="s">
        <v>597</v>
      </c>
      <c r="G448" s="290"/>
      <c r="H448" s="291" t="s">
        <v>143</v>
      </c>
      <c r="I448" s="239" t="s">
        <v>545</v>
      </c>
      <c r="J448" s="424">
        <f t="shared" si="15"/>
        <v>365</v>
      </c>
      <c r="K448" s="425">
        <v>127</v>
      </c>
      <c r="L448" s="425">
        <v>126</v>
      </c>
      <c r="M448" s="425">
        <v>52</v>
      </c>
      <c r="N448" s="425">
        <v>52</v>
      </c>
      <c r="O448" s="425">
        <v>4</v>
      </c>
      <c r="P448" s="425">
        <v>4</v>
      </c>
      <c r="Q448" s="294">
        <v>32</v>
      </c>
      <c r="R448" s="295" t="e">
        <f>IF(K448="nio",0,(K448*Q448)/X448)*VLOOKUP(C448,'2-Uren per locatie'!$B$15:$D$74,3,FALSE)</f>
        <v>#DIV/0!</v>
      </c>
      <c r="S448" s="295" t="e">
        <f>IF(K448="nio",0,(L448*Q448)/Y448)*VLOOKUP(C448,'2-Uren per locatie'!$B$15:$D$74,3,FALSE)</f>
        <v>#DIV/0!</v>
      </c>
      <c r="T448" s="295" t="e">
        <f>IF(K448="nio",0,(M448*Q448)/Z448)*VLOOKUP(C448,'2-Uren per locatie'!$B$15:$D$74,3,FALSE)</f>
        <v>#DIV/0!</v>
      </c>
      <c r="U448" s="295" t="e">
        <f>IF(K448="nio",0,(N448*Q448)/AA448)*VLOOKUP(C448,'2-Uren per locatie'!$B$15:$D$74,3,FALSE)</f>
        <v>#DIV/0!</v>
      </c>
      <c r="V448" s="295" t="e">
        <f>IF(K448="nio",0,(O448*Q448)/Z448)*VLOOKUP(C448,'2-Uren per locatie'!$B$15:$D$74,3,FALSE)</f>
        <v>#DIV/0!</v>
      </c>
      <c r="W448" s="295" t="e">
        <f>IF(K448="nio",0,(P448*Q448)/AA448)*VLOOKUP(C448,'2-Uren per locatie'!$B$15:$D$74,3,FALSE)</f>
        <v>#DIV/0!</v>
      </c>
      <c r="X448" s="485">
        <f>IF(K448="nio",0,IF(K448&gt;0,VLOOKUP(H448,'3-Productie normen'!A:F,VLOOKUP(K448,'3-Productie normen'!$B$29:$C$34,2,FALSE),FALSE)))</f>
        <v>0</v>
      </c>
      <c r="Y448" s="485">
        <f>VLOOKUP(H448,'3-Productie normen'!$A$10:$J$24,8,FALSE)*'3-Ruimtestaat'!X448</f>
        <v>0</v>
      </c>
      <c r="Z448" s="485">
        <f>VLOOKUP(H448,'3-Productie normen'!$A$10:$J$24,9,FALSE)*'3-Ruimtestaat'!X448</f>
        <v>0</v>
      </c>
      <c r="AA448" s="485">
        <f>VLOOKUP(H448,'3-Productie normen'!$A$10:$J$24,10,FALSE)*'3-Ruimtestaat'!X448</f>
        <v>0</v>
      </c>
      <c r="AB448" s="292" t="str">
        <f>IF(H448="",0,VLOOKUP(H448,'3-Productie normen'!$A$10:$N$23,14,FALSE))</f>
        <v>V</v>
      </c>
      <c r="AD448" s="296">
        <f t="shared" si="16"/>
        <v>11680</v>
      </c>
      <c r="AE448" s="78"/>
      <c r="AF448" s="297"/>
      <c r="AG448" s="297"/>
      <c r="AH448" s="297"/>
      <c r="AI448" s="297"/>
      <c r="AJ448" s="297"/>
      <c r="AK448" s="298"/>
      <c r="AL448" s="298"/>
      <c r="AM448" s="298"/>
      <c r="AN448" s="298"/>
      <c r="AO448" s="299" t="s">
        <v>599</v>
      </c>
    </row>
    <row r="449" spans="1:41" ht="15" customHeight="1">
      <c r="A449" s="254">
        <v>449</v>
      </c>
      <c r="B449" s="253">
        <v>309</v>
      </c>
      <c r="C449" s="240" t="s">
        <v>104</v>
      </c>
      <c r="D449" s="288" t="s">
        <v>96</v>
      </c>
      <c r="E449" s="289"/>
      <c r="F449" s="239" t="s">
        <v>579</v>
      </c>
      <c r="G449" s="290" t="s">
        <v>623</v>
      </c>
      <c r="H449" s="291" t="s">
        <v>149</v>
      </c>
      <c r="I449" s="239" t="s">
        <v>401</v>
      </c>
      <c r="J449" s="424">
        <f t="shared" si="15"/>
        <v>365</v>
      </c>
      <c r="K449" s="425">
        <v>127</v>
      </c>
      <c r="L449" s="425">
        <v>126</v>
      </c>
      <c r="M449" s="425">
        <v>52</v>
      </c>
      <c r="N449" s="425">
        <v>52</v>
      </c>
      <c r="O449" s="425">
        <v>4</v>
      </c>
      <c r="P449" s="425">
        <v>4</v>
      </c>
      <c r="Q449" s="294">
        <v>5</v>
      </c>
      <c r="R449" s="295" t="e">
        <f>IF(K449="nio",0,(K449*Q449)/X449)*VLOOKUP(C449,'2-Uren per locatie'!$B$15:$D$74,3,FALSE)</f>
        <v>#DIV/0!</v>
      </c>
      <c r="S449" s="295" t="e">
        <f>IF(K449="nio",0,(L449*Q449)/Y449)*VLOOKUP(C449,'2-Uren per locatie'!$B$15:$D$74,3,FALSE)</f>
        <v>#DIV/0!</v>
      </c>
      <c r="T449" s="295" t="e">
        <f>IF(K449="nio",0,(M449*Q449)/Z449)*VLOOKUP(C449,'2-Uren per locatie'!$B$15:$D$74,3,FALSE)</f>
        <v>#DIV/0!</v>
      </c>
      <c r="U449" s="295" t="e">
        <f>IF(K449="nio",0,(N449*Q449)/AA449)*VLOOKUP(C449,'2-Uren per locatie'!$B$15:$D$74,3,FALSE)</f>
        <v>#DIV/0!</v>
      </c>
      <c r="V449" s="295" t="e">
        <f>IF(K449="nio",0,(O449*Q449)/Z449)*VLOOKUP(C449,'2-Uren per locatie'!$B$15:$D$74,3,FALSE)</f>
        <v>#DIV/0!</v>
      </c>
      <c r="W449" s="295" t="e">
        <f>IF(K449="nio",0,(P449*Q449)/AA449)*VLOOKUP(C449,'2-Uren per locatie'!$B$15:$D$74,3,FALSE)</f>
        <v>#DIV/0!</v>
      </c>
      <c r="X449" s="485">
        <f>IF(K449="nio",0,IF(K449&gt;0,VLOOKUP(H449,'3-Productie normen'!A:F,VLOOKUP(K449,'3-Productie normen'!$B$29:$C$34,2,FALSE),FALSE)))</f>
        <v>0</v>
      </c>
      <c r="Y449" s="485">
        <f>VLOOKUP(H449,'3-Productie normen'!$A$10:$J$24,8,FALSE)*'3-Ruimtestaat'!X449</f>
        <v>0</v>
      </c>
      <c r="Z449" s="485">
        <f>VLOOKUP(H449,'3-Productie normen'!$A$10:$J$24,9,FALSE)*'3-Ruimtestaat'!X449</f>
        <v>0</v>
      </c>
      <c r="AA449" s="485">
        <f>VLOOKUP(H449,'3-Productie normen'!$A$10:$J$24,10,FALSE)*'3-Ruimtestaat'!X449</f>
        <v>0</v>
      </c>
      <c r="AB449" s="292" t="str">
        <f>IF(H449="",0,VLOOKUP(H449,'3-Productie normen'!$A$10:$N$23,14,FALSE))</f>
        <v>V</v>
      </c>
      <c r="AD449" s="296">
        <f t="shared" si="16"/>
        <v>1825</v>
      </c>
      <c r="AE449" s="78"/>
      <c r="AF449" s="297"/>
      <c r="AG449" s="297"/>
      <c r="AH449" s="297"/>
      <c r="AI449" s="297"/>
      <c r="AJ449" s="297"/>
      <c r="AK449" s="298"/>
      <c r="AL449" s="298"/>
      <c r="AM449" s="298"/>
      <c r="AN449" s="298"/>
      <c r="AO449" s="299"/>
    </row>
    <row r="450" spans="1:41" ht="15" customHeight="1">
      <c r="A450" s="254">
        <v>450</v>
      </c>
      <c r="B450" s="253">
        <v>310</v>
      </c>
      <c r="C450" s="240" t="s">
        <v>105</v>
      </c>
      <c r="D450" s="288" t="s">
        <v>96</v>
      </c>
      <c r="E450" s="289"/>
      <c r="F450" s="239" t="s">
        <v>565</v>
      </c>
      <c r="G450" s="290" t="s">
        <v>526</v>
      </c>
      <c r="H450" s="291" t="s">
        <v>155</v>
      </c>
      <c r="I450" s="239" t="s">
        <v>392</v>
      </c>
      <c r="J450" s="424">
        <f t="shared" si="15"/>
        <v>365</v>
      </c>
      <c r="K450" s="425">
        <v>127</v>
      </c>
      <c r="L450" s="425">
        <v>126</v>
      </c>
      <c r="M450" s="425">
        <v>52</v>
      </c>
      <c r="N450" s="425">
        <v>52</v>
      </c>
      <c r="O450" s="425">
        <v>4</v>
      </c>
      <c r="P450" s="425">
        <v>4</v>
      </c>
      <c r="Q450" s="294">
        <v>50</v>
      </c>
      <c r="R450" s="295" t="e">
        <f>IF(K450="nio",0,(K450*Q450)/X450)*VLOOKUP(C450,'2-Uren per locatie'!$B$15:$D$74,3,FALSE)</f>
        <v>#DIV/0!</v>
      </c>
      <c r="S450" s="295" t="e">
        <f>IF(K450="nio",0,(L450*Q450)/Y450)*VLOOKUP(C450,'2-Uren per locatie'!$B$15:$D$74,3,FALSE)</f>
        <v>#DIV/0!</v>
      </c>
      <c r="T450" s="295" t="e">
        <f>IF(K450="nio",0,(M450*Q450)/Z450)*VLOOKUP(C450,'2-Uren per locatie'!$B$15:$D$74,3,FALSE)</f>
        <v>#DIV/0!</v>
      </c>
      <c r="U450" s="295" t="e">
        <f>IF(K450="nio",0,(N450*Q450)/AA450)*VLOOKUP(C450,'2-Uren per locatie'!$B$15:$D$74,3,FALSE)</f>
        <v>#DIV/0!</v>
      </c>
      <c r="V450" s="295" t="e">
        <f>IF(K450="nio",0,(O450*Q450)/Z450)*VLOOKUP(C450,'2-Uren per locatie'!$B$15:$D$74,3,FALSE)</f>
        <v>#DIV/0!</v>
      </c>
      <c r="W450" s="295" t="e">
        <f>IF(K450="nio",0,(P450*Q450)/AA450)*VLOOKUP(C450,'2-Uren per locatie'!$B$15:$D$74,3,FALSE)</f>
        <v>#DIV/0!</v>
      </c>
      <c r="X450" s="485">
        <f>IF(K450="nio",0,IF(K450&gt;0,VLOOKUP(H450,'3-Productie normen'!A:F,VLOOKUP(K450,'3-Productie normen'!$B$29:$C$34,2,FALSE),FALSE)))</f>
        <v>0</v>
      </c>
      <c r="Y450" s="485">
        <f>VLOOKUP(H450,'3-Productie normen'!$A$10:$J$24,8,FALSE)*'3-Ruimtestaat'!X450</f>
        <v>0</v>
      </c>
      <c r="Z450" s="485">
        <f>VLOOKUP(H450,'3-Productie normen'!$A$10:$J$24,9,FALSE)*'3-Ruimtestaat'!X450</f>
        <v>0</v>
      </c>
      <c r="AA450" s="485">
        <f>VLOOKUP(H450,'3-Productie normen'!$A$10:$J$24,10,FALSE)*'3-Ruimtestaat'!X450</f>
        <v>0</v>
      </c>
      <c r="AB450" s="292" t="str">
        <f>IF(H450="",0,VLOOKUP(H450,'3-Productie normen'!$A$10:$N$23,14,FALSE))</f>
        <v>V</v>
      </c>
      <c r="AD450" s="296">
        <f t="shared" si="16"/>
        <v>18250</v>
      </c>
      <c r="AE450" s="78"/>
      <c r="AF450" s="300" t="s">
        <v>602</v>
      </c>
      <c r="AG450" s="297"/>
      <c r="AH450" s="297"/>
      <c r="AI450" s="297"/>
      <c r="AJ450" s="297"/>
      <c r="AK450" s="298"/>
      <c r="AL450" s="298"/>
      <c r="AM450" s="298"/>
      <c r="AN450" s="298"/>
      <c r="AO450" s="299"/>
    </row>
    <row r="451" spans="1:41" ht="15" customHeight="1">
      <c r="A451" s="254">
        <v>451</v>
      </c>
      <c r="B451" s="253">
        <v>310</v>
      </c>
      <c r="C451" s="240" t="s">
        <v>105</v>
      </c>
      <c r="D451" s="288" t="s">
        <v>96</v>
      </c>
      <c r="E451" s="289"/>
      <c r="F451" s="239" t="s">
        <v>566</v>
      </c>
      <c r="G451" s="290" t="s">
        <v>567</v>
      </c>
      <c r="H451" s="291" t="s">
        <v>151</v>
      </c>
      <c r="I451" s="239" t="s">
        <v>592</v>
      </c>
      <c r="J451" s="424">
        <f t="shared" si="15"/>
        <v>365</v>
      </c>
      <c r="K451" s="425">
        <v>127</v>
      </c>
      <c r="L451" s="425">
        <v>126</v>
      </c>
      <c r="M451" s="425">
        <v>52</v>
      </c>
      <c r="N451" s="425">
        <v>52</v>
      </c>
      <c r="O451" s="425">
        <v>4</v>
      </c>
      <c r="P451" s="425">
        <v>4</v>
      </c>
      <c r="Q451" s="294">
        <v>790</v>
      </c>
      <c r="R451" s="295" t="e">
        <f>IF(K451="nio",0,(K451*Q451)/X451)*VLOOKUP(C451,'2-Uren per locatie'!$B$15:$D$74,3,FALSE)</f>
        <v>#DIV/0!</v>
      </c>
      <c r="S451" s="295" t="e">
        <f>IF(K451="nio",0,(L451*Q451)/Y451)*VLOOKUP(C451,'2-Uren per locatie'!$B$15:$D$74,3,FALSE)</f>
        <v>#DIV/0!</v>
      </c>
      <c r="T451" s="295" t="e">
        <f>IF(K451="nio",0,(M451*Q451)/Z451)*VLOOKUP(C451,'2-Uren per locatie'!$B$15:$D$74,3,FALSE)</f>
        <v>#DIV/0!</v>
      </c>
      <c r="U451" s="295" t="e">
        <f>IF(K451="nio",0,(N451*Q451)/AA451)*VLOOKUP(C451,'2-Uren per locatie'!$B$15:$D$74,3,FALSE)</f>
        <v>#DIV/0!</v>
      </c>
      <c r="V451" s="295" t="e">
        <f>IF(K451="nio",0,(O451*Q451)/Z451)*VLOOKUP(C451,'2-Uren per locatie'!$B$15:$D$74,3,FALSE)</f>
        <v>#DIV/0!</v>
      </c>
      <c r="W451" s="295" t="e">
        <f>IF(K451="nio",0,(P451*Q451)/AA451)*VLOOKUP(C451,'2-Uren per locatie'!$B$15:$D$74,3,FALSE)</f>
        <v>#DIV/0!</v>
      </c>
      <c r="X451" s="485">
        <f>IF(K451="nio",0,IF(K451&gt;0,VLOOKUP(H451,'3-Productie normen'!A:F,VLOOKUP(K451,'3-Productie normen'!$B$29:$C$34,2,FALSE),FALSE)))</f>
        <v>0</v>
      </c>
      <c r="Y451" s="485">
        <f>VLOOKUP(H451,'3-Productie normen'!$A$10:$J$24,8,FALSE)*'3-Ruimtestaat'!X451</f>
        <v>0</v>
      </c>
      <c r="Z451" s="485">
        <f>VLOOKUP(H451,'3-Productie normen'!$A$10:$J$24,9,FALSE)*'3-Ruimtestaat'!X451</f>
        <v>0</v>
      </c>
      <c r="AA451" s="485">
        <f>VLOOKUP(H451,'3-Productie normen'!$A$10:$J$24,10,FALSE)*'3-Ruimtestaat'!X451</f>
        <v>0</v>
      </c>
      <c r="AB451" s="292" t="str">
        <f>IF(H451="",0,VLOOKUP(H451,'3-Productie normen'!$A$10:$N$23,14,FALSE))</f>
        <v>V</v>
      </c>
      <c r="AD451" s="296">
        <f t="shared" si="16"/>
        <v>288350</v>
      </c>
      <c r="AE451" s="78"/>
      <c r="AF451" s="297"/>
      <c r="AG451" s="297"/>
      <c r="AH451" s="297"/>
      <c r="AI451" s="297"/>
      <c r="AJ451" s="297"/>
      <c r="AK451" s="298"/>
      <c r="AL451" s="298"/>
      <c r="AM451" s="298"/>
      <c r="AN451" s="298"/>
      <c r="AO451" s="299"/>
    </row>
    <row r="452" spans="1:41" ht="15" customHeight="1">
      <c r="A452" s="254">
        <v>452</v>
      </c>
      <c r="B452" s="253">
        <v>310</v>
      </c>
      <c r="C452" s="240" t="s">
        <v>105</v>
      </c>
      <c r="D452" s="288" t="s">
        <v>96</v>
      </c>
      <c r="E452" s="289"/>
      <c r="F452" s="239" t="s">
        <v>624</v>
      </c>
      <c r="G452" s="290" t="s">
        <v>567</v>
      </c>
      <c r="H452" s="291" t="s">
        <v>151</v>
      </c>
      <c r="I452" s="239" t="s">
        <v>594</v>
      </c>
      <c r="J452" s="424">
        <f t="shared" si="15"/>
        <v>365</v>
      </c>
      <c r="K452" s="425">
        <v>127</v>
      </c>
      <c r="L452" s="425">
        <v>126</v>
      </c>
      <c r="M452" s="425">
        <v>52</v>
      </c>
      <c r="N452" s="425">
        <v>52</v>
      </c>
      <c r="O452" s="425">
        <v>4</v>
      </c>
      <c r="P452" s="425">
        <v>4</v>
      </c>
      <c r="Q452" s="294">
        <v>345</v>
      </c>
      <c r="R452" s="295" t="e">
        <f>IF(K452="nio",0,(K452*Q452)/X452)*VLOOKUP(C452,'2-Uren per locatie'!$B$15:$D$74,3,FALSE)</f>
        <v>#DIV/0!</v>
      </c>
      <c r="S452" s="295" t="e">
        <f>IF(K452="nio",0,(L452*Q452)/Y452)*VLOOKUP(C452,'2-Uren per locatie'!$B$15:$D$74,3,FALSE)</f>
        <v>#DIV/0!</v>
      </c>
      <c r="T452" s="295" t="e">
        <f>IF(K452="nio",0,(M452*Q452)/Z452)*VLOOKUP(C452,'2-Uren per locatie'!$B$15:$D$74,3,FALSE)</f>
        <v>#DIV/0!</v>
      </c>
      <c r="U452" s="295" t="e">
        <f>IF(K452="nio",0,(N452*Q452)/AA452)*VLOOKUP(C452,'2-Uren per locatie'!$B$15:$D$74,3,FALSE)</f>
        <v>#DIV/0!</v>
      </c>
      <c r="V452" s="295" t="e">
        <f>IF(K452="nio",0,(O452*Q452)/Z452)*VLOOKUP(C452,'2-Uren per locatie'!$B$15:$D$74,3,FALSE)</f>
        <v>#DIV/0!</v>
      </c>
      <c r="W452" s="295" t="e">
        <f>IF(K452="nio",0,(P452*Q452)/AA452)*VLOOKUP(C452,'2-Uren per locatie'!$B$15:$D$74,3,FALSE)</f>
        <v>#DIV/0!</v>
      </c>
      <c r="X452" s="485">
        <f>IF(K452="nio",0,IF(K452&gt;0,VLOOKUP(H452,'3-Productie normen'!A:F,VLOOKUP(K452,'3-Productie normen'!$B$29:$C$34,2,FALSE),FALSE)))</f>
        <v>0</v>
      </c>
      <c r="Y452" s="485">
        <f>VLOOKUP(H452,'3-Productie normen'!$A$10:$J$24,8,FALSE)*'3-Ruimtestaat'!X452</f>
        <v>0</v>
      </c>
      <c r="Z452" s="485">
        <f>VLOOKUP(H452,'3-Productie normen'!$A$10:$J$24,9,FALSE)*'3-Ruimtestaat'!X452</f>
        <v>0</v>
      </c>
      <c r="AA452" s="485">
        <f>VLOOKUP(H452,'3-Productie normen'!$A$10:$J$24,10,FALSE)*'3-Ruimtestaat'!X452</f>
        <v>0</v>
      </c>
      <c r="AB452" s="292" t="str">
        <f>IF(H452="",0,VLOOKUP(H452,'3-Productie normen'!$A$10:$N$23,14,FALSE))</f>
        <v>V</v>
      </c>
      <c r="AD452" s="296">
        <f t="shared" si="16"/>
        <v>125925</v>
      </c>
      <c r="AE452" s="78"/>
      <c r="AF452" s="297"/>
      <c r="AG452" s="297"/>
      <c r="AH452" s="297"/>
      <c r="AI452" s="297"/>
      <c r="AJ452" s="297"/>
      <c r="AK452" s="298"/>
      <c r="AL452" s="298"/>
      <c r="AM452" s="298"/>
      <c r="AN452" s="298"/>
      <c r="AO452" s="299"/>
    </row>
    <row r="453" spans="1:41" ht="15" customHeight="1">
      <c r="A453" s="254">
        <v>453</v>
      </c>
      <c r="B453" s="253">
        <v>310</v>
      </c>
      <c r="C453" s="240" t="s">
        <v>105</v>
      </c>
      <c r="D453" s="288" t="s">
        <v>96</v>
      </c>
      <c r="E453" s="289"/>
      <c r="F453" s="239" t="s">
        <v>595</v>
      </c>
      <c r="G453" s="290" t="s">
        <v>567</v>
      </c>
      <c r="H453" s="291" t="s">
        <v>151</v>
      </c>
      <c r="I453" s="239" t="s">
        <v>459</v>
      </c>
      <c r="J453" s="424">
        <f t="shared" si="15"/>
        <v>365</v>
      </c>
      <c r="K453" s="425">
        <v>127</v>
      </c>
      <c r="L453" s="425">
        <v>126</v>
      </c>
      <c r="M453" s="425">
        <v>52</v>
      </c>
      <c r="N453" s="425">
        <v>52</v>
      </c>
      <c r="O453" s="425">
        <v>4</v>
      </c>
      <c r="P453" s="425">
        <v>4</v>
      </c>
      <c r="Q453" s="294">
        <v>201</v>
      </c>
      <c r="R453" s="295" t="e">
        <f>IF(K453="nio",0,(K453*Q453)/X453)*VLOOKUP(C453,'2-Uren per locatie'!$B$15:$D$74,3,FALSE)</f>
        <v>#DIV/0!</v>
      </c>
      <c r="S453" s="295" t="e">
        <f>IF(K453="nio",0,(L453*Q453)/Y453)*VLOOKUP(C453,'2-Uren per locatie'!$B$15:$D$74,3,FALSE)</f>
        <v>#DIV/0!</v>
      </c>
      <c r="T453" s="295" t="e">
        <f>IF(K453="nio",0,(M453*Q453)/Z453)*VLOOKUP(C453,'2-Uren per locatie'!$B$15:$D$74,3,FALSE)</f>
        <v>#DIV/0!</v>
      </c>
      <c r="U453" s="295" t="e">
        <f>IF(K453="nio",0,(N453*Q453)/AA453)*VLOOKUP(C453,'2-Uren per locatie'!$B$15:$D$74,3,FALSE)</f>
        <v>#DIV/0!</v>
      </c>
      <c r="V453" s="295" t="e">
        <f>IF(K453="nio",0,(O453*Q453)/Z453)*VLOOKUP(C453,'2-Uren per locatie'!$B$15:$D$74,3,FALSE)</f>
        <v>#DIV/0!</v>
      </c>
      <c r="W453" s="295" t="e">
        <f>IF(K453="nio",0,(P453*Q453)/AA453)*VLOOKUP(C453,'2-Uren per locatie'!$B$15:$D$74,3,FALSE)</f>
        <v>#DIV/0!</v>
      </c>
      <c r="X453" s="485">
        <f>IF(K453="nio",0,IF(K453&gt;0,VLOOKUP(H453,'3-Productie normen'!A:F,VLOOKUP(K453,'3-Productie normen'!$B$29:$C$34,2,FALSE),FALSE)))</f>
        <v>0</v>
      </c>
      <c r="Y453" s="485">
        <f>VLOOKUP(H453,'3-Productie normen'!$A$10:$J$24,8,FALSE)*'3-Ruimtestaat'!X453</f>
        <v>0</v>
      </c>
      <c r="Z453" s="485">
        <f>VLOOKUP(H453,'3-Productie normen'!$A$10:$J$24,9,FALSE)*'3-Ruimtestaat'!X453</f>
        <v>0</v>
      </c>
      <c r="AA453" s="485">
        <f>VLOOKUP(H453,'3-Productie normen'!$A$10:$J$24,10,FALSE)*'3-Ruimtestaat'!X453</f>
        <v>0</v>
      </c>
      <c r="AB453" s="292" t="str">
        <f>IF(H453="",0,VLOOKUP(H453,'3-Productie normen'!$A$10:$N$23,14,FALSE))</f>
        <v>V</v>
      </c>
      <c r="AD453" s="296">
        <f t="shared" si="16"/>
        <v>73365</v>
      </c>
      <c r="AE453" s="78"/>
      <c r="AF453" s="297"/>
      <c r="AG453" s="297"/>
      <c r="AH453" s="297"/>
      <c r="AI453" s="297"/>
      <c r="AJ453" s="297"/>
      <c r="AK453" s="298"/>
      <c r="AL453" s="298"/>
      <c r="AM453" s="298"/>
      <c r="AN453" s="298"/>
      <c r="AO453" s="299"/>
    </row>
    <row r="454" spans="1:41" ht="15" customHeight="1">
      <c r="A454" s="254">
        <v>454</v>
      </c>
      <c r="B454" s="253">
        <v>310</v>
      </c>
      <c r="C454" s="240" t="s">
        <v>105</v>
      </c>
      <c r="D454" s="288" t="s">
        <v>96</v>
      </c>
      <c r="E454" s="289"/>
      <c r="F454" s="239" t="s">
        <v>575</v>
      </c>
      <c r="G454" s="290" t="s">
        <v>576</v>
      </c>
      <c r="H454" s="291" t="s">
        <v>152</v>
      </c>
      <c r="I454" s="239" t="s">
        <v>265</v>
      </c>
      <c r="J454" s="424">
        <f t="shared" ref="J454:J516" si="17">SUM(K454:P454)</f>
        <v>365</v>
      </c>
      <c r="K454" s="425">
        <v>127</v>
      </c>
      <c r="L454" s="425">
        <v>126</v>
      </c>
      <c r="M454" s="425">
        <v>52</v>
      </c>
      <c r="N454" s="425">
        <v>52</v>
      </c>
      <c r="O454" s="425">
        <v>4</v>
      </c>
      <c r="P454" s="425">
        <v>4</v>
      </c>
      <c r="Q454" s="294">
        <v>33</v>
      </c>
      <c r="R454" s="295" t="e">
        <f>IF(K454="nio",0,(K454*Q454)/X454)*VLOOKUP(C454,'2-Uren per locatie'!$B$15:$D$74,3,FALSE)</f>
        <v>#DIV/0!</v>
      </c>
      <c r="S454" s="295" t="e">
        <f>IF(K454="nio",0,(L454*Q454)/Y454)*VLOOKUP(C454,'2-Uren per locatie'!$B$15:$D$74,3,FALSE)</f>
        <v>#DIV/0!</v>
      </c>
      <c r="T454" s="295" t="e">
        <f>IF(K454="nio",0,(M454*Q454)/Z454)*VLOOKUP(C454,'2-Uren per locatie'!$B$15:$D$74,3,FALSE)</f>
        <v>#DIV/0!</v>
      </c>
      <c r="U454" s="295" t="e">
        <f>IF(K454="nio",0,(N454*Q454)/AA454)*VLOOKUP(C454,'2-Uren per locatie'!$B$15:$D$74,3,FALSE)</f>
        <v>#DIV/0!</v>
      </c>
      <c r="V454" s="295" t="e">
        <f>IF(K454="nio",0,(O454*Q454)/Z454)*VLOOKUP(C454,'2-Uren per locatie'!$B$15:$D$74,3,FALSE)</f>
        <v>#DIV/0!</v>
      </c>
      <c r="W454" s="295" t="e">
        <f>IF(K454="nio",0,(P454*Q454)/AA454)*VLOOKUP(C454,'2-Uren per locatie'!$B$15:$D$74,3,FALSE)</f>
        <v>#DIV/0!</v>
      </c>
      <c r="X454" s="485">
        <f>IF(K454="nio",0,IF(K454&gt;0,VLOOKUP(H454,'3-Productie normen'!A:F,VLOOKUP(K454,'3-Productie normen'!$B$29:$C$34,2,FALSE),FALSE)))</f>
        <v>0</v>
      </c>
      <c r="Y454" s="485">
        <f>VLOOKUP(H454,'3-Productie normen'!$A$10:$J$24,8,FALSE)*'3-Ruimtestaat'!X454</f>
        <v>0</v>
      </c>
      <c r="Z454" s="485">
        <f>VLOOKUP(H454,'3-Productie normen'!$A$10:$J$24,9,FALSE)*'3-Ruimtestaat'!X454</f>
        <v>0</v>
      </c>
      <c r="AA454" s="485">
        <f>VLOOKUP(H454,'3-Productie normen'!$A$10:$J$24,10,FALSE)*'3-Ruimtestaat'!X454</f>
        <v>0</v>
      </c>
      <c r="AB454" s="292" t="str">
        <f>IF(H454="",0,VLOOKUP(H454,'3-Productie normen'!$A$10:$N$23,14,FALSE))</f>
        <v>V</v>
      </c>
      <c r="AD454" s="296">
        <f t="shared" si="16"/>
        <v>12045</v>
      </c>
      <c r="AE454" s="78"/>
      <c r="AF454" s="297"/>
      <c r="AG454" s="297"/>
      <c r="AH454" s="297"/>
      <c r="AI454" s="297">
        <v>18</v>
      </c>
      <c r="AJ454" s="297"/>
      <c r="AK454" s="298"/>
      <c r="AL454" s="298"/>
      <c r="AM454" s="298"/>
      <c r="AN454" s="298"/>
      <c r="AO454" s="299"/>
    </row>
    <row r="455" spans="1:41" ht="15" customHeight="1">
      <c r="A455" s="254">
        <v>455</v>
      </c>
      <c r="B455" s="253">
        <v>310</v>
      </c>
      <c r="C455" s="240" t="s">
        <v>105</v>
      </c>
      <c r="D455" s="288" t="s">
        <v>96</v>
      </c>
      <c r="E455" s="289"/>
      <c r="F455" s="239" t="s">
        <v>477</v>
      </c>
      <c r="G455" s="290" t="s">
        <v>573</v>
      </c>
      <c r="H455" s="291" t="s">
        <v>144</v>
      </c>
      <c r="I455" s="239" t="s">
        <v>203</v>
      </c>
      <c r="J455" s="424">
        <f t="shared" si="17"/>
        <v>365</v>
      </c>
      <c r="K455" s="425">
        <v>127</v>
      </c>
      <c r="L455" s="425">
        <v>126</v>
      </c>
      <c r="M455" s="425">
        <v>52</v>
      </c>
      <c r="N455" s="425">
        <v>52</v>
      </c>
      <c r="O455" s="425">
        <v>4</v>
      </c>
      <c r="P455" s="425">
        <v>4</v>
      </c>
      <c r="Q455" s="294">
        <v>6.41</v>
      </c>
      <c r="R455" s="295" t="e">
        <f>IF(K455="nio",0,(K455*Q455)/X455)*VLOOKUP(C455,'2-Uren per locatie'!$B$15:$D$74,3,FALSE)</f>
        <v>#DIV/0!</v>
      </c>
      <c r="S455" s="295" t="e">
        <f>IF(K455="nio",0,(L455*Q455)/Y455)*VLOOKUP(C455,'2-Uren per locatie'!$B$15:$D$74,3,FALSE)</f>
        <v>#DIV/0!</v>
      </c>
      <c r="T455" s="295" t="e">
        <f>IF(K455="nio",0,(M455*Q455)/Z455)*VLOOKUP(C455,'2-Uren per locatie'!$B$15:$D$74,3,FALSE)</f>
        <v>#DIV/0!</v>
      </c>
      <c r="U455" s="295" t="e">
        <f>IF(K455="nio",0,(N455*Q455)/AA455)*VLOOKUP(C455,'2-Uren per locatie'!$B$15:$D$74,3,FALSE)</f>
        <v>#DIV/0!</v>
      </c>
      <c r="V455" s="295" t="e">
        <f>IF(K455="nio",0,(O455*Q455)/Z455)*VLOOKUP(C455,'2-Uren per locatie'!$B$15:$D$74,3,FALSE)</f>
        <v>#DIV/0!</v>
      </c>
      <c r="W455" s="295" t="e">
        <f>IF(K455="nio",0,(P455*Q455)/AA455)*VLOOKUP(C455,'2-Uren per locatie'!$B$15:$D$74,3,FALSE)</f>
        <v>#DIV/0!</v>
      </c>
      <c r="X455" s="485">
        <f>IF(K455="nio",0,IF(K455&gt;0,VLOOKUP(H455,'3-Productie normen'!A:F,VLOOKUP(K455,'3-Productie normen'!$B$29:$C$34,2,FALSE),FALSE)))</f>
        <v>0</v>
      </c>
      <c r="Y455" s="485">
        <f>VLOOKUP(H455,'3-Productie normen'!$A$10:$J$24,8,FALSE)*'3-Ruimtestaat'!X455</f>
        <v>0</v>
      </c>
      <c r="Z455" s="485">
        <f>VLOOKUP(H455,'3-Productie normen'!$A$10:$J$24,9,FALSE)*'3-Ruimtestaat'!X455</f>
        <v>0</v>
      </c>
      <c r="AA455" s="485">
        <f>VLOOKUP(H455,'3-Productie normen'!$A$10:$J$24,10,FALSE)*'3-Ruimtestaat'!X455</f>
        <v>0</v>
      </c>
      <c r="AB455" s="292" t="str">
        <f>IF(H455="",0,VLOOKUP(H455,'3-Productie normen'!$A$10:$N$23,14,FALSE))</f>
        <v>V</v>
      </c>
      <c r="AD455" s="296">
        <f t="shared" si="16"/>
        <v>2339.65</v>
      </c>
      <c r="AE455" s="78"/>
      <c r="AF455" s="297"/>
      <c r="AG455" s="297">
        <v>34</v>
      </c>
      <c r="AH455" s="297"/>
      <c r="AI455" s="297"/>
      <c r="AJ455" s="297"/>
      <c r="AK455" s="298"/>
      <c r="AL455" s="298"/>
      <c r="AM455" s="298">
        <v>6</v>
      </c>
      <c r="AN455" s="298"/>
      <c r="AO455" s="299"/>
    </row>
    <row r="456" spans="1:41" ht="15" customHeight="1">
      <c r="A456" s="254">
        <v>456</v>
      </c>
      <c r="B456" s="253">
        <v>310</v>
      </c>
      <c r="C456" s="240" t="s">
        <v>105</v>
      </c>
      <c r="D456" s="288" t="s">
        <v>96</v>
      </c>
      <c r="E456" s="289"/>
      <c r="F456" s="239" t="s">
        <v>597</v>
      </c>
      <c r="G456" s="290"/>
      <c r="H456" s="291" t="s">
        <v>143</v>
      </c>
      <c r="I456" s="239" t="s">
        <v>545</v>
      </c>
      <c r="J456" s="424">
        <f t="shared" si="17"/>
        <v>365</v>
      </c>
      <c r="K456" s="425">
        <v>127</v>
      </c>
      <c r="L456" s="425">
        <v>126</v>
      </c>
      <c r="M456" s="425">
        <v>52</v>
      </c>
      <c r="N456" s="425">
        <v>52</v>
      </c>
      <c r="O456" s="425">
        <v>4</v>
      </c>
      <c r="P456" s="425">
        <v>4</v>
      </c>
      <c r="Q456" s="294">
        <v>32</v>
      </c>
      <c r="R456" s="295" t="e">
        <f>IF(K456="nio",0,(K456*Q456)/X456)*VLOOKUP(C456,'2-Uren per locatie'!$B$15:$D$74,3,FALSE)</f>
        <v>#DIV/0!</v>
      </c>
      <c r="S456" s="295" t="e">
        <f>IF(K456="nio",0,(L456*Q456)/Y456)*VLOOKUP(C456,'2-Uren per locatie'!$B$15:$D$74,3,FALSE)</f>
        <v>#DIV/0!</v>
      </c>
      <c r="T456" s="295" t="e">
        <f>IF(K456="nio",0,(M456*Q456)/Z456)*VLOOKUP(C456,'2-Uren per locatie'!$B$15:$D$74,3,FALSE)</f>
        <v>#DIV/0!</v>
      </c>
      <c r="U456" s="295" t="e">
        <f>IF(K456="nio",0,(N456*Q456)/AA456)*VLOOKUP(C456,'2-Uren per locatie'!$B$15:$D$74,3,FALSE)</f>
        <v>#DIV/0!</v>
      </c>
      <c r="V456" s="295" t="e">
        <f>IF(K456="nio",0,(O456*Q456)/Z456)*VLOOKUP(C456,'2-Uren per locatie'!$B$15:$D$74,3,FALSE)</f>
        <v>#DIV/0!</v>
      </c>
      <c r="W456" s="295" t="e">
        <f>IF(K456="nio",0,(P456*Q456)/AA456)*VLOOKUP(C456,'2-Uren per locatie'!$B$15:$D$74,3,FALSE)</f>
        <v>#DIV/0!</v>
      </c>
      <c r="X456" s="485">
        <f>IF(K456="nio",0,IF(K456&gt;0,VLOOKUP(H456,'3-Productie normen'!A:F,VLOOKUP(K456,'3-Productie normen'!$B$29:$C$34,2,FALSE),FALSE)))</f>
        <v>0</v>
      </c>
      <c r="Y456" s="485">
        <f>VLOOKUP(H456,'3-Productie normen'!$A$10:$J$24,8,FALSE)*'3-Ruimtestaat'!X456</f>
        <v>0</v>
      </c>
      <c r="Z456" s="485">
        <f>VLOOKUP(H456,'3-Productie normen'!$A$10:$J$24,9,FALSE)*'3-Ruimtestaat'!X456</f>
        <v>0</v>
      </c>
      <c r="AA456" s="485">
        <f>VLOOKUP(H456,'3-Productie normen'!$A$10:$J$24,10,FALSE)*'3-Ruimtestaat'!X456</f>
        <v>0</v>
      </c>
      <c r="AB456" s="292" t="str">
        <f>IF(H456="",0,VLOOKUP(H456,'3-Productie normen'!$A$10:$N$23,14,FALSE))</f>
        <v>V</v>
      </c>
      <c r="AD456" s="296">
        <f t="shared" si="16"/>
        <v>11680</v>
      </c>
      <c r="AE456" s="78"/>
      <c r="AF456" s="297"/>
      <c r="AG456" s="297"/>
      <c r="AH456" s="297"/>
      <c r="AI456" s="297"/>
      <c r="AJ456" s="297"/>
      <c r="AK456" s="298"/>
      <c r="AL456" s="298"/>
      <c r="AM456" s="298"/>
      <c r="AN456" s="298"/>
      <c r="AO456" s="299"/>
    </row>
    <row r="457" spans="1:41" ht="15" customHeight="1">
      <c r="A457" s="254">
        <v>457</v>
      </c>
      <c r="B457" s="253">
        <v>310</v>
      </c>
      <c r="C457" s="240" t="s">
        <v>105</v>
      </c>
      <c r="D457" s="288" t="s">
        <v>96</v>
      </c>
      <c r="E457" s="289"/>
      <c r="F457" s="239" t="s">
        <v>579</v>
      </c>
      <c r="G457" s="290"/>
      <c r="H457" s="291" t="s">
        <v>149</v>
      </c>
      <c r="I457" s="239" t="s">
        <v>401</v>
      </c>
      <c r="J457" s="424">
        <f t="shared" si="17"/>
        <v>365</v>
      </c>
      <c r="K457" s="425">
        <v>127</v>
      </c>
      <c r="L457" s="425">
        <v>126</v>
      </c>
      <c r="M457" s="425">
        <v>52</v>
      </c>
      <c r="N457" s="425">
        <v>52</v>
      </c>
      <c r="O457" s="425">
        <v>4</v>
      </c>
      <c r="P457" s="425">
        <v>4</v>
      </c>
      <c r="Q457" s="294">
        <v>5</v>
      </c>
      <c r="R457" s="295" t="e">
        <f>IF(K457="nio",0,(K457*Q457)/X457)*VLOOKUP(C457,'2-Uren per locatie'!$B$15:$D$74,3,FALSE)</f>
        <v>#DIV/0!</v>
      </c>
      <c r="S457" s="295" t="e">
        <f>IF(K457="nio",0,(L457*Q457)/Y457)*VLOOKUP(C457,'2-Uren per locatie'!$B$15:$D$74,3,FALSE)</f>
        <v>#DIV/0!</v>
      </c>
      <c r="T457" s="295" t="e">
        <f>IF(K457="nio",0,(M457*Q457)/Z457)*VLOOKUP(C457,'2-Uren per locatie'!$B$15:$D$74,3,FALSE)</f>
        <v>#DIV/0!</v>
      </c>
      <c r="U457" s="295" t="e">
        <f>IF(K457="nio",0,(N457*Q457)/AA457)*VLOOKUP(C457,'2-Uren per locatie'!$B$15:$D$74,3,FALSE)</f>
        <v>#DIV/0!</v>
      </c>
      <c r="V457" s="295" t="e">
        <f>IF(K457="nio",0,(O457*Q457)/Z457)*VLOOKUP(C457,'2-Uren per locatie'!$B$15:$D$74,3,FALSE)</f>
        <v>#DIV/0!</v>
      </c>
      <c r="W457" s="295" t="e">
        <f>IF(K457="nio",0,(P457*Q457)/AA457)*VLOOKUP(C457,'2-Uren per locatie'!$B$15:$D$74,3,FALSE)</f>
        <v>#DIV/0!</v>
      </c>
      <c r="X457" s="485">
        <f>IF(K457="nio",0,IF(K457&gt;0,VLOOKUP(H457,'3-Productie normen'!A:F,VLOOKUP(K457,'3-Productie normen'!$B$29:$C$34,2,FALSE),FALSE)))</f>
        <v>0</v>
      </c>
      <c r="Y457" s="485">
        <f>VLOOKUP(H457,'3-Productie normen'!$A$10:$J$24,8,FALSE)*'3-Ruimtestaat'!X457</f>
        <v>0</v>
      </c>
      <c r="Z457" s="485">
        <f>VLOOKUP(H457,'3-Productie normen'!$A$10:$J$24,9,FALSE)*'3-Ruimtestaat'!X457</f>
        <v>0</v>
      </c>
      <c r="AA457" s="485">
        <f>VLOOKUP(H457,'3-Productie normen'!$A$10:$J$24,10,FALSE)*'3-Ruimtestaat'!X457</f>
        <v>0</v>
      </c>
      <c r="AB457" s="292" t="str">
        <f>IF(H457="",0,VLOOKUP(H457,'3-Productie normen'!$A$10:$N$23,14,FALSE))</f>
        <v>V</v>
      </c>
      <c r="AD457" s="296">
        <f t="shared" si="16"/>
        <v>1825</v>
      </c>
      <c r="AE457" s="78"/>
      <c r="AF457" s="297"/>
      <c r="AG457" s="297"/>
      <c r="AH457" s="297"/>
      <c r="AI457" s="297"/>
      <c r="AJ457" s="297"/>
      <c r="AK457" s="298"/>
      <c r="AL457" s="298"/>
      <c r="AM457" s="298"/>
      <c r="AN457" s="298"/>
      <c r="AO457" s="299"/>
    </row>
    <row r="458" spans="1:41" ht="15" customHeight="1">
      <c r="A458" s="254">
        <v>458</v>
      </c>
      <c r="B458" s="253">
        <v>311</v>
      </c>
      <c r="C458" s="240" t="s">
        <v>106</v>
      </c>
      <c r="D458" s="288" t="s">
        <v>96</v>
      </c>
      <c r="E458" s="289"/>
      <c r="F458" s="239" t="s">
        <v>565</v>
      </c>
      <c r="G458" s="290" t="s">
        <v>625</v>
      </c>
      <c r="H458" s="291" t="s">
        <v>155</v>
      </c>
      <c r="I458" s="239" t="s">
        <v>626</v>
      </c>
      <c r="J458" s="424">
        <f t="shared" si="17"/>
        <v>365</v>
      </c>
      <c r="K458" s="425">
        <v>127</v>
      </c>
      <c r="L458" s="425">
        <v>126</v>
      </c>
      <c r="M458" s="425">
        <v>52</v>
      </c>
      <c r="N458" s="425">
        <v>52</v>
      </c>
      <c r="O458" s="425">
        <v>4</v>
      </c>
      <c r="P458" s="425">
        <v>4</v>
      </c>
      <c r="Q458" s="294">
        <v>88</v>
      </c>
      <c r="R458" s="295" t="e">
        <f>IF(K458="nio",0,(K458*Q458)/X458)*VLOOKUP(C458,'2-Uren per locatie'!$B$15:$D$74,3,FALSE)</f>
        <v>#DIV/0!</v>
      </c>
      <c r="S458" s="295" t="e">
        <f>IF(K458="nio",0,(L458*Q458)/Y458)*VLOOKUP(C458,'2-Uren per locatie'!$B$15:$D$74,3,FALSE)</f>
        <v>#DIV/0!</v>
      </c>
      <c r="T458" s="295" t="e">
        <f>IF(K458="nio",0,(M458*Q458)/Z458)*VLOOKUP(C458,'2-Uren per locatie'!$B$15:$D$74,3,FALSE)</f>
        <v>#DIV/0!</v>
      </c>
      <c r="U458" s="295" t="e">
        <f>IF(K458="nio",0,(N458*Q458)/AA458)*VLOOKUP(C458,'2-Uren per locatie'!$B$15:$D$74,3,FALSE)</f>
        <v>#DIV/0!</v>
      </c>
      <c r="V458" s="295" t="e">
        <f>IF(K458="nio",0,(O458*Q458)/Z458)*VLOOKUP(C458,'2-Uren per locatie'!$B$15:$D$74,3,FALSE)</f>
        <v>#DIV/0!</v>
      </c>
      <c r="W458" s="295" t="e">
        <f>IF(K458="nio",0,(P458*Q458)/AA458)*VLOOKUP(C458,'2-Uren per locatie'!$B$15:$D$74,3,FALSE)</f>
        <v>#DIV/0!</v>
      </c>
      <c r="X458" s="485">
        <f>IF(K458="nio",0,IF(K458&gt;0,VLOOKUP(H458,'3-Productie normen'!A:F,VLOOKUP(K458,'3-Productie normen'!$B$29:$C$34,2,FALSE),FALSE)))</f>
        <v>0</v>
      </c>
      <c r="Y458" s="485">
        <f>VLOOKUP(H458,'3-Productie normen'!$A$10:$J$24,8,FALSE)*'3-Ruimtestaat'!X458</f>
        <v>0</v>
      </c>
      <c r="Z458" s="485">
        <f>VLOOKUP(H458,'3-Productie normen'!$A$10:$J$24,9,FALSE)*'3-Ruimtestaat'!X458</f>
        <v>0</v>
      </c>
      <c r="AA458" s="485">
        <f>VLOOKUP(H458,'3-Productie normen'!$A$10:$J$24,10,FALSE)*'3-Ruimtestaat'!X458</f>
        <v>0</v>
      </c>
      <c r="AB458" s="292" t="str">
        <f>IF(H458="",0,VLOOKUP(H458,'3-Productie normen'!$A$10:$N$23,14,FALSE))</f>
        <v>V</v>
      </c>
      <c r="AD458" s="296">
        <f t="shared" si="16"/>
        <v>32120</v>
      </c>
      <c r="AE458" s="78"/>
      <c r="AF458" s="297"/>
      <c r="AG458" s="297"/>
      <c r="AH458" s="297"/>
      <c r="AI458" s="297"/>
      <c r="AJ458" s="297"/>
      <c r="AK458" s="298"/>
      <c r="AL458" s="298"/>
      <c r="AM458" s="298"/>
      <c r="AN458" s="298"/>
      <c r="AO458" s="299"/>
    </row>
    <row r="459" spans="1:41" ht="15" customHeight="1">
      <c r="A459" s="254">
        <v>459</v>
      </c>
      <c r="B459" s="253">
        <v>311</v>
      </c>
      <c r="C459" s="240" t="s">
        <v>106</v>
      </c>
      <c r="D459" s="288" t="s">
        <v>96</v>
      </c>
      <c r="E459" s="289"/>
      <c r="F459" s="239" t="s">
        <v>627</v>
      </c>
      <c r="G459" s="290" t="s">
        <v>519</v>
      </c>
      <c r="H459" s="291" t="s">
        <v>151</v>
      </c>
      <c r="I459" s="239" t="s">
        <v>459</v>
      </c>
      <c r="J459" s="424">
        <f t="shared" si="17"/>
        <v>365</v>
      </c>
      <c r="K459" s="425">
        <v>127</v>
      </c>
      <c r="L459" s="425">
        <v>126</v>
      </c>
      <c r="M459" s="425">
        <v>52</v>
      </c>
      <c r="N459" s="425">
        <v>52</v>
      </c>
      <c r="O459" s="425">
        <v>4</v>
      </c>
      <c r="P459" s="425">
        <v>4</v>
      </c>
      <c r="Q459" s="294">
        <v>1257</v>
      </c>
      <c r="R459" s="295" t="e">
        <f>IF(K459="nio",0,(K459*Q459)/X459)*VLOOKUP(C459,'2-Uren per locatie'!$B$15:$D$74,3,FALSE)</f>
        <v>#DIV/0!</v>
      </c>
      <c r="S459" s="295" t="e">
        <f>IF(K459="nio",0,(L459*Q459)/Y459)*VLOOKUP(C459,'2-Uren per locatie'!$B$15:$D$74,3,FALSE)</f>
        <v>#DIV/0!</v>
      </c>
      <c r="T459" s="295" t="e">
        <f>IF(K459="nio",0,(M459*Q459)/Z459)*VLOOKUP(C459,'2-Uren per locatie'!$B$15:$D$74,3,FALSE)</f>
        <v>#DIV/0!</v>
      </c>
      <c r="U459" s="295" t="e">
        <f>IF(K459="nio",0,(N459*Q459)/AA459)*VLOOKUP(C459,'2-Uren per locatie'!$B$15:$D$74,3,FALSE)</f>
        <v>#DIV/0!</v>
      </c>
      <c r="V459" s="295" t="e">
        <f>IF(K459="nio",0,(O459*Q459)/Z459)*VLOOKUP(C459,'2-Uren per locatie'!$B$15:$D$74,3,FALSE)</f>
        <v>#DIV/0!</v>
      </c>
      <c r="W459" s="295" t="e">
        <f>IF(K459="nio",0,(P459*Q459)/AA459)*VLOOKUP(C459,'2-Uren per locatie'!$B$15:$D$74,3,FALSE)</f>
        <v>#DIV/0!</v>
      </c>
      <c r="X459" s="485">
        <f>IF(K459="nio",0,IF(K459&gt;0,VLOOKUP(H459,'3-Productie normen'!A:F,VLOOKUP(K459,'3-Productie normen'!$B$29:$C$34,2,FALSE),FALSE)))</f>
        <v>0</v>
      </c>
      <c r="Y459" s="485">
        <f>VLOOKUP(H459,'3-Productie normen'!$A$10:$J$24,8,FALSE)*'3-Ruimtestaat'!X459</f>
        <v>0</v>
      </c>
      <c r="Z459" s="485">
        <f>VLOOKUP(H459,'3-Productie normen'!$A$10:$J$24,9,FALSE)*'3-Ruimtestaat'!X459</f>
        <v>0</v>
      </c>
      <c r="AA459" s="485">
        <f>VLOOKUP(H459,'3-Productie normen'!$A$10:$J$24,10,FALSE)*'3-Ruimtestaat'!X459</f>
        <v>0</v>
      </c>
      <c r="AB459" s="292" t="str">
        <f>IF(H459="",0,VLOOKUP(H459,'3-Productie normen'!$A$10:$N$23,14,FALSE))</f>
        <v>V</v>
      </c>
      <c r="AD459" s="296">
        <f t="shared" si="16"/>
        <v>458805</v>
      </c>
      <c r="AE459" s="78"/>
      <c r="AF459" s="297"/>
      <c r="AG459" s="297"/>
      <c r="AH459" s="297"/>
      <c r="AI459" s="297"/>
      <c r="AJ459" s="297"/>
      <c r="AK459" s="298"/>
      <c r="AL459" s="298"/>
      <c r="AM459" s="298"/>
      <c r="AN459" s="298"/>
      <c r="AO459" s="299"/>
    </row>
    <row r="460" spans="1:41" ht="15" customHeight="1">
      <c r="A460" s="254">
        <v>460</v>
      </c>
      <c r="B460" s="253">
        <v>311</v>
      </c>
      <c r="C460" s="240" t="s">
        <v>106</v>
      </c>
      <c r="D460" s="288" t="s">
        <v>96</v>
      </c>
      <c r="E460" s="289"/>
      <c r="F460" s="239" t="s">
        <v>628</v>
      </c>
      <c r="G460" s="290" t="s">
        <v>519</v>
      </c>
      <c r="H460" s="291" t="s">
        <v>151</v>
      </c>
      <c r="I460" s="239" t="s">
        <v>459</v>
      </c>
      <c r="J460" s="424">
        <f t="shared" si="17"/>
        <v>365</v>
      </c>
      <c r="K460" s="425">
        <v>127</v>
      </c>
      <c r="L460" s="425">
        <v>126</v>
      </c>
      <c r="M460" s="425">
        <v>52</v>
      </c>
      <c r="N460" s="425">
        <v>52</v>
      </c>
      <c r="O460" s="425">
        <v>4</v>
      </c>
      <c r="P460" s="425">
        <v>4</v>
      </c>
      <c r="Q460" s="294">
        <v>305</v>
      </c>
      <c r="R460" s="295" t="e">
        <f>IF(K460="nio",0,(K460*Q460)/X460)*VLOOKUP(C460,'2-Uren per locatie'!$B$15:$D$74,3,FALSE)</f>
        <v>#DIV/0!</v>
      </c>
      <c r="S460" s="295" t="e">
        <f>IF(K460="nio",0,(L460*Q460)/Y460)*VLOOKUP(C460,'2-Uren per locatie'!$B$15:$D$74,3,FALSE)</f>
        <v>#DIV/0!</v>
      </c>
      <c r="T460" s="295" t="e">
        <f>IF(K460="nio",0,(M460*Q460)/Z460)*VLOOKUP(C460,'2-Uren per locatie'!$B$15:$D$74,3,FALSE)</f>
        <v>#DIV/0!</v>
      </c>
      <c r="U460" s="295" t="e">
        <f>IF(K460="nio",0,(N460*Q460)/AA460)*VLOOKUP(C460,'2-Uren per locatie'!$B$15:$D$74,3,FALSE)</f>
        <v>#DIV/0!</v>
      </c>
      <c r="V460" s="295" t="e">
        <f>IF(K460="nio",0,(O460*Q460)/Z460)*VLOOKUP(C460,'2-Uren per locatie'!$B$15:$D$74,3,FALSE)</f>
        <v>#DIV/0!</v>
      </c>
      <c r="W460" s="295" t="e">
        <f>IF(K460="nio",0,(P460*Q460)/AA460)*VLOOKUP(C460,'2-Uren per locatie'!$B$15:$D$74,3,FALSE)</f>
        <v>#DIV/0!</v>
      </c>
      <c r="X460" s="485">
        <f>IF(K460="nio",0,IF(K460&gt;0,VLOOKUP(H460,'3-Productie normen'!A:F,VLOOKUP(K460,'3-Productie normen'!$B$29:$C$34,2,FALSE),FALSE)))</f>
        <v>0</v>
      </c>
      <c r="Y460" s="485">
        <f>VLOOKUP(H460,'3-Productie normen'!$A$10:$J$24,8,FALSE)*'3-Ruimtestaat'!X460</f>
        <v>0</v>
      </c>
      <c r="Z460" s="485">
        <f>VLOOKUP(H460,'3-Productie normen'!$A$10:$J$24,9,FALSE)*'3-Ruimtestaat'!X460</f>
        <v>0</v>
      </c>
      <c r="AA460" s="485">
        <f>VLOOKUP(H460,'3-Productie normen'!$A$10:$J$24,10,FALSE)*'3-Ruimtestaat'!X460</f>
        <v>0</v>
      </c>
      <c r="AB460" s="292" t="str">
        <f>IF(H460="",0,VLOOKUP(H460,'3-Productie normen'!$A$10:$N$23,14,FALSE))</f>
        <v>V</v>
      </c>
      <c r="AD460" s="296">
        <f t="shared" ref="AD460:AD523" si="18">Q460*J460</f>
        <v>111325</v>
      </c>
      <c r="AE460" s="78"/>
      <c r="AF460" s="297"/>
      <c r="AG460" s="297"/>
      <c r="AH460" s="297"/>
      <c r="AI460" s="297"/>
      <c r="AJ460" s="297"/>
      <c r="AK460" s="298"/>
      <c r="AL460" s="298"/>
      <c r="AM460" s="298"/>
      <c r="AN460" s="298"/>
      <c r="AO460" s="299"/>
    </row>
    <row r="461" spans="1:41" ht="15" customHeight="1">
      <c r="A461" s="254">
        <v>461</v>
      </c>
      <c r="B461" s="253">
        <v>311</v>
      </c>
      <c r="C461" s="240" t="s">
        <v>106</v>
      </c>
      <c r="D461" s="288" t="s">
        <v>96</v>
      </c>
      <c r="E461" s="289"/>
      <c r="F461" s="239" t="s">
        <v>575</v>
      </c>
      <c r="G461" s="290" t="s">
        <v>629</v>
      </c>
      <c r="H461" s="291" t="s">
        <v>152</v>
      </c>
      <c r="I461" s="239" t="s">
        <v>265</v>
      </c>
      <c r="J461" s="424">
        <f t="shared" si="17"/>
        <v>365</v>
      </c>
      <c r="K461" s="425">
        <v>127</v>
      </c>
      <c r="L461" s="425">
        <v>126</v>
      </c>
      <c r="M461" s="425">
        <v>52</v>
      </c>
      <c r="N461" s="425">
        <v>52</v>
      </c>
      <c r="O461" s="425">
        <v>4</v>
      </c>
      <c r="P461" s="425">
        <v>4</v>
      </c>
      <c r="Q461" s="294">
        <v>48</v>
      </c>
      <c r="R461" s="295" t="e">
        <f>IF(K461="nio",0,(K461*Q461)/X461)*VLOOKUP(C461,'2-Uren per locatie'!$B$15:$D$74,3,FALSE)</f>
        <v>#DIV/0!</v>
      </c>
      <c r="S461" s="295" t="e">
        <f>IF(K461="nio",0,(L461*Q461)/Y461)*VLOOKUP(C461,'2-Uren per locatie'!$B$15:$D$74,3,FALSE)</f>
        <v>#DIV/0!</v>
      </c>
      <c r="T461" s="295" t="e">
        <f>IF(K461="nio",0,(M461*Q461)/Z461)*VLOOKUP(C461,'2-Uren per locatie'!$B$15:$D$74,3,FALSE)</f>
        <v>#DIV/0!</v>
      </c>
      <c r="U461" s="295" t="e">
        <f>IF(K461="nio",0,(N461*Q461)/AA461)*VLOOKUP(C461,'2-Uren per locatie'!$B$15:$D$74,3,FALSE)</f>
        <v>#DIV/0!</v>
      </c>
      <c r="V461" s="295" t="e">
        <f>IF(K461="nio",0,(O461*Q461)/Z461)*VLOOKUP(C461,'2-Uren per locatie'!$B$15:$D$74,3,FALSE)</f>
        <v>#DIV/0!</v>
      </c>
      <c r="W461" s="295" t="e">
        <f>IF(K461="nio",0,(P461*Q461)/AA461)*VLOOKUP(C461,'2-Uren per locatie'!$B$15:$D$74,3,FALSE)</f>
        <v>#DIV/0!</v>
      </c>
      <c r="X461" s="485">
        <f>IF(K461="nio",0,IF(K461&gt;0,VLOOKUP(H461,'3-Productie normen'!A:F,VLOOKUP(K461,'3-Productie normen'!$B$29:$C$34,2,FALSE),FALSE)))</f>
        <v>0</v>
      </c>
      <c r="Y461" s="485">
        <f>VLOOKUP(H461,'3-Productie normen'!$A$10:$J$24,8,FALSE)*'3-Ruimtestaat'!X461</f>
        <v>0</v>
      </c>
      <c r="Z461" s="485">
        <f>VLOOKUP(H461,'3-Productie normen'!$A$10:$J$24,9,FALSE)*'3-Ruimtestaat'!X461</f>
        <v>0</v>
      </c>
      <c r="AA461" s="485">
        <f>VLOOKUP(H461,'3-Productie normen'!$A$10:$J$24,10,FALSE)*'3-Ruimtestaat'!X461</f>
        <v>0</v>
      </c>
      <c r="AB461" s="292" t="str">
        <f>IF(H461="",0,VLOOKUP(H461,'3-Productie normen'!$A$10:$N$23,14,FALSE))</f>
        <v>V</v>
      </c>
      <c r="AD461" s="296">
        <f t="shared" si="18"/>
        <v>17520</v>
      </c>
      <c r="AE461" s="78"/>
      <c r="AF461" s="297"/>
      <c r="AG461" s="297"/>
      <c r="AH461" s="297"/>
      <c r="AI461" s="297"/>
      <c r="AJ461" s="297"/>
      <c r="AK461" s="298"/>
      <c r="AL461" s="298"/>
      <c r="AM461" s="298"/>
      <c r="AN461" s="298"/>
      <c r="AO461" s="299"/>
    </row>
    <row r="462" spans="1:41" ht="15" customHeight="1">
      <c r="A462" s="254">
        <v>462</v>
      </c>
      <c r="B462" s="253">
        <v>311</v>
      </c>
      <c r="C462" s="240" t="s">
        <v>106</v>
      </c>
      <c r="D462" s="288" t="s">
        <v>96</v>
      </c>
      <c r="E462" s="289"/>
      <c r="F462" s="239" t="s">
        <v>577</v>
      </c>
      <c r="G462" s="290"/>
      <c r="H462" s="291" t="s">
        <v>145</v>
      </c>
      <c r="I462" s="239" t="s">
        <v>203</v>
      </c>
      <c r="J462" s="424">
        <f t="shared" si="17"/>
        <v>365</v>
      </c>
      <c r="K462" s="425">
        <v>127</v>
      </c>
      <c r="L462" s="425">
        <v>126</v>
      </c>
      <c r="M462" s="425">
        <v>52</v>
      </c>
      <c r="N462" s="425">
        <v>52</v>
      </c>
      <c r="O462" s="425">
        <v>4</v>
      </c>
      <c r="P462" s="425">
        <v>4</v>
      </c>
      <c r="Q462" s="294">
        <v>427</v>
      </c>
      <c r="R462" s="295" t="e">
        <f>IF(K462="nio",0,(K462*Q462)/X462)*VLOOKUP(C462,'2-Uren per locatie'!$B$15:$D$74,3,FALSE)</f>
        <v>#DIV/0!</v>
      </c>
      <c r="S462" s="295" t="e">
        <f>IF(K462="nio",0,(L462*Q462)/Y462)*VLOOKUP(C462,'2-Uren per locatie'!$B$15:$D$74,3,FALSE)</f>
        <v>#DIV/0!</v>
      </c>
      <c r="T462" s="295" t="e">
        <f>IF(K462="nio",0,(M462*Q462)/Z462)*VLOOKUP(C462,'2-Uren per locatie'!$B$15:$D$74,3,FALSE)</f>
        <v>#DIV/0!</v>
      </c>
      <c r="U462" s="295" t="e">
        <f>IF(K462="nio",0,(N462*Q462)/AA462)*VLOOKUP(C462,'2-Uren per locatie'!$B$15:$D$74,3,FALSE)</f>
        <v>#DIV/0!</v>
      </c>
      <c r="V462" s="295" t="e">
        <f>IF(K462="nio",0,(O462*Q462)/Z462)*VLOOKUP(C462,'2-Uren per locatie'!$B$15:$D$74,3,FALSE)</f>
        <v>#DIV/0!</v>
      </c>
      <c r="W462" s="295" t="e">
        <f>IF(K462="nio",0,(P462*Q462)/AA462)*VLOOKUP(C462,'2-Uren per locatie'!$B$15:$D$74,3,FALSE)</f>
        <v>#DIV/0!</v>
      </c>
      <c r="X462" s="485">
        <f>IF(K462="nio",0,IF(K462&gt;0,VLOOKUP(H462,'3-Productie normen'!A:F,VLOOKUP(K462,'3-Productie normen'!$B$29:$C$34,2,FALSE),FALSE)))</f>
        <v>0</v>
      </c>
      <c r="Y462" s="485">
        <f>VLOOKUP(H462,'3-Productie normen'!$A$10:$J$24,8,FALSE)*'3-Ruimtestaat'!X462</f>
        <v>0</v>
      </c>
      <c r="Z462" s="485">
        <f>VLOOKUP(H462,'3-Productie normen'!$A$10:$J$24,9,FALSE)*'3-Ruimtestaat'!X462</f>
        <v>0</v>
      </c>
      <c r="AA462" s="485">
        <f>VLOOKUP(H462,'3-Productie normen'!$A$10:$J$24,10,FALSE)*'3-Ruimtestaat'!X462</f>
        <v>0</v>
      </c>
      <c r="AB462" s="292" t="str">
        <f>IF(H462="",0,VLOOKUP(H462,'3-Productie normen'!$A$10:$N$23,14,FALSE))</f>
        <v>V</v>
      </c>
      <c r="AD462" s="296">
        <f t="shared" si="18"/>
        <v>155855</v>
      </c>
      <c r="AE462" s="78"/>
      <c r="AF462" s="297"/>
      <c r="AG462" s="297"/>
      <c r="AH462" s="297"/>
      <c r="AI462" s="297"/>
      <c r="AJ462" s="297"/>
      <c r="AK462" s="298"/>
      <c r="AL462" s="298"/>
      <c r="AM462" s="298"/>
      <c r="AN462" s="298"/>
      <c r="AO462" s="299"/>
    </row>
    <row r="463" spans="1:41" ht="15" customHeight="1">
      <c r="A463" s="254">
        <v>463</v>
      </c>
      <c r="B463" s="253">
        <v>311</v>
      </c>
      <c r="C463" s="240" t="s">
        <v>106</v>
      </c>
      <c r="D463" s="288" t="s">
        <v>96</v>
      </c>
      <c r="E463" s="289"/>
      <c r="F463" s="239" t="s">
        <v>577</v>
      </c>
      <c r="G463" s="290" t="s">
        <v>630</v>
      </c>
      <c r="H463" s="291" t="s">
        <v>144</v>
      </c>
      <c r="I463" s="239" t="s">
        <v>420</v>
      </c>
      <c r="J463" s="424">
        <f t="shared" si="17"/>
        <v>365</v>
      </c>
      <c r="K463" s="425">
        <v>127</v>
      </c>
      <c r="L463" s="425">
        <v>126</v>
      </c>
      <c r="M463" s="425">
        <v>52</v>
      </c>
      <c r="N463" s="425">
        <v>52</v>
      </c>
      <c r="O463" s="425">
        <v>4</v>
      </c>
      <c r="P463" s="425">
        <v>4</v>
      </c>
      <c r="Q463" s="294">
        <v>7</v>
      </c>
      <c r="R463" s="295" t="e">
        <f>IF(K463="nio",0,(K463*Q463)/X463)*VLOOKUP(C463,'2-Uren per locatie'!$B$15:$D$74,3,FALSE)</f>
        <v>#DIV/0!</v>
      </c>
      <c r="S463" s="295" t="e">
        <f>IF(K463="nio",0,(L463*Q463)/Y463)*VLOOKUP(C463,'2-Uren per locatie'!$B$15:$D$74,3,FALSE)</f>
        <v>#DIV/0!</v>
      </c>
      <c r="T463" s="295" t="e">
        <f>IF(K463="nio",0,(M463*Q463)/Z463)*VLOOKUP(C463,'2-Uren per locatie'!$B$15:$D$74,3,FALSE)</f>
        <v>#DIV/0!</v>
      </c>
      <c r="U463" s="295" t="e">
        <f>IF(K463="nio",0,(N463*Q463)/AA463)*VLOOKUP(C463,'2-Uren per locatie'!$B$15:$D$74,3,FALSE)</f>
        <v>#DIV/0!</v>
      </c>
      <c r="V463" s="295" t="e">
        <f>IF(K463="nio",0,(O463*Q463)/Z463)*VLOOKUP(C463,'2-Uren per locatie'!$B$15:$D$74,3,FALSE)</f>
        <v>#DIV/0!</v>
      </c>
      <c r="W463" s="295" t="e">
        <f>IF(K463="nio",0,(P463*Q463)/AA463)*VLOOKUP(C463,'2-Uren per locatie'!$B$15:$D$74,3,FALSE)</f>
        <v>#DIV/0!</v>
      </c>
      <c r="X463" s="485">
        <f>IF(K463="nio",0,IF(K463&gt;0,VLOOKUP(H463,'3-Productie normen'!A:F,VLOOKUP(K463,'3-Productie normen'!$B$29:$C$34,2,FALSE),FALSE)))</f>
        <v>0</v>
      </c>
      <c r="Y463" s="485">
        <f>VLOOKUP(H463,'3-Productie normen'!$A$10:$J$24,8,FALSE)*'3-Ruimtestaat'!X463</f>
        <v>0</v>
      </c>
      <c r="Z463" s="485">
        <f>VLOOKUP(H463,'3-Productie normen'!$A$10:$J$24,9,FALSE)*'3-Ruimtestaat'!X463</f>
        <v>0</v>
      </c>
      <c r="AA463" s="485">
        <f>VLOOKUP(H463,'3-Productie normen'!$A$10:$J$24,10,FALSE)*'3-Ruimtestaat'!X463</f>
        <v>0</v>
      </c>
      <c r="AB463" s="292" t="str">
        <f>IF(H463="",0,VLOOKUP(H463,'3-Productie normen'!$A$10:$N$23,14,FALSE))</f>
        <v>V</v>
      </c>
      <c r="AD463" s="296">
        <f t="shared" si="18"/>
        <v>2555</v>
      </c>
      <c r="AE463" s="78"/>
      <c r="AF463" s="297"/>
      <c r="AG463" s="297">
        <v>15</v>
      </c>
      <c r="AH463" s="297"/>
      <c r="AI463" s="297"/>
      <c r="AJ463" s="297"/>
      <c r="AK463" s="298"/>
      <c r="AL463" s="298"/>
      <c r="AM463" s="298"/>
      <c r="AN463" s="298"/>
      <c r="AO463" s="299"/>
    </row>
    <row r="464" spans="1:41" ht="15" customHeight="1">
      <c r="A464" s="254">
        <v>464</v>
      </c>
      <c r="B464" s="253">
        <v>311</v>
      </c>
      <c r="C464" s="240" t="s">
        <v>106</v>
      </c>
      <c r="D464" s="288" t="s">
        <v>96</v>
      </c>
      <c r="E464" s="289"/>
      <c r="F464" s="239" t="s">
        <v>565</v>
      </c>
      <c r="G464" s="290" t="s">
        <v>537</v>
      </c>
      <c r="H464" s="291" t="s">
        <v>155</v>
      </c>
      <c r="I464" s="239" t="s">
        <v>420</v>
      </c>
      <c r="J464" s="424">
        <f t="shared" si="17"/>
        <v>365</v>
      </c>
      <c r="K464" s="425">
        <v>127</v>
      </c>
      <c r="L464" s="425">
        <v>126</v>
      </c>
      <c r="M464" s="425">
        <v>52</v>
      </c>
      <c r="N464" s="425">
        <v>52</v>
      </c>
      <c r="O464" s="425">
        <v>4</v>
      </c>
      <c r="P464" s="425">
        <v>4</v>
      </c>
      <c r="Q464" s="294">
        <v>5</v>
      </c>
      <c r="R464" s="295" t="e">
        <f>IF(K464="nio",0,(K464*Q464)/X464)*VLOOKUP(C464,'2-Uren per locatie'!$B$15:$D$74,3,FALSE)</f>
        <v>#DIV/0!</v>
      </c>
      <c r="S464" s="295" t="e">
        <f>IF(K464="nio",0,(L464*Q464)/Y464)*VLOOKUP(C464,'2-Uren per locatie'!$B$15:$D$74,3,FALSE)</f>
        <v>#DIV/0!</v>
      </c>
      <c r="T464" s="295" t="e">
        <f>IF(K464="nio",0,(M464*Q464)/Z464)*VLOOKUP(C464,'2-Uren per locatie'!$B$15:$D$74,3,FALSE)</f>
        <v>#DIV/0!</v>
      </c>
      <c r="U464" s="295" t="e">
        <f>IF(K464="nio",0,(N464*Q464)/AA464)*VLOOKUP(C464,'2-Uren per locatie'!$B$15:$D$74,3,FALSE)</f>
        <v>#DIV/0!</v>
      </c>
      <c r="V464" s="295" t="e">
        <f>IF(K464="nio",0,(O464*Q464)/Z464)*VLOOKUP(C464,'2-Uren per locatie'!$B$15:$D$74,3,FALSE)</f>
        <v>#DIV/0!</v>
      </c>
      <c r="W464" s="295" t="e">
        <f>IF(K464="nio",0,(P464*Q464)/AA464)*VLOOKUP(C464,'2-Uren per locatie'!$B$15:$D$74,3,FALSE)</f>
        <v>#DIV/0!</v>
      </c>
      <c r="X464" s="485">
        <f>IF(K464="nio",0,IF(K464&gt;0,VLOOKUP(H464,'3-Productie normen'!A:F,VLOOKUP(K464,'3-Productie normen'!$B$29:$C$34,2,FALSE),FALSE)))</f>
        <v>0</v>
      </c>
      <c r="Y464" s="485">
        <f>VLOOKUP(H464,'3-Productie normen'!$A$10:$J$24,8,FALSE)*'3-Ruimtestaat'!X464</f>
        <v>0</v>
      </c>
      <c r="Z464" s="485">
        <f>VLOOKUP(H464,'3-Productie normen'!$A$10:$J$24,9,FALSE)*'3-Ruimtestaat'!X464</f>
        <v>0</v>
      </c>
      <c r="AA464" s="485">
        <f>VLOOKUP(H464,'3-Productie normen'!$A$10:$J$24,10,FALSE)*'3-Ruimtestaat'!X464</f>
        <v>0</v>
      </c>
      <c r="AB464" s="292" t="str">
        <f>IF(H464="",0,VLOOKUP(H464,'3-Productie normen'!$A$10:$N$23,14,FALSE))</f>
        <v>V</v>
      </c>
      <c r="AD464" s="296">
        <f t="shared" si="18"/>
        <v>1825</v>
      </c>
      <c r="AE464" s="78"/>
      <c r="AF464" s="297"/>
      <c r="AG464" s="297"/>
      <c r="AH464" s="297"/>
      <c r="AI464" s="297"/>
      <c r="AJ464" s="297"/>
      <c r="AK464" s="298"/>
      <c r="AL464" s="298"/>
      <c r="AM464" s="298"/>
      <c r="AN464" s="298"/>
      <c r="AO464" s="299"/>
    </row>
    <row r="465" spans="1:41" ht="15" customHeight="1">
      <c r="A465" s="254">
        <v>465</v>
      </c>
      <c r="B465" s="253">
        <v>311</v>
      </c>
      <c r="C465" s="240" t="s">
        <v>106</v>
      </c>
      <c r="D465" s="288" t="s">
        <v>96</v>
      </c>
      <c r="E465" s="289"/>
      <c r="F465" s="239" t="s">
        <v>613</v>
      </c>
      <c r="G465" s="290" t="s">
        <v>631</v>
      </c>
      <c r="H465" s="291" t="s">
        <v>153</v>
      </c>
      <c r="I465" s="239" t="s">
        <v>203</v>
      </c>
      <c r="J465" s="424">
        <f t="shared" si="17"/>
        <v>365</v>
      </c>
      <c r="K465" s="425">
        <v>255</v>
      </c>
      <c r="L465" s="425"/>
      <c r="M465" s="425">
        <v>102</v>
      </c>
      <c r="N465" s="425"/>
      <c r="O465" s="425">
        <v>8</v>
      </c>
      <c r="P465" s="425"/>
      <c r="Q465" s="294">
        <v>2</v>
      </c>
      <c r="R465" s="295" t="e">
        <f>IF(K465="nio",0,(K465*Q465)/X465)*VLOOKUP(C465,'2-Uren per locatie'!$B$15:$D$74,3,FALSE)</f>
        <v>#DIV/0!</v>
      </c>
      <c r="S465" s="295" t="e">
        <f>IF(K465="nio",0,(L465*Q465)/Y465)*VLOOKUP(C465,'2-Uren per locatie'!$B$15:$D$74,3,FALSE)</f>
        <v>#DIV/0!</v>
      </c>
      <c r="T465" s="295" t="e">
        <f>IF(K465="nio",0,(M465*Q465)/Z465)*VLOOKUP(C465,'2-Uren per locatie'!$B$15:$D$74,3,FALSE)</f>
        <v>#DIV/0!</v>
      </c>
      <c r="U465" s="295" t="e">
        <f>IF(K465="nio",0,(N465*Q465)/AA465)*VLOOKUP(C465,'2-Uren per locatie'!$B$15:$D$74,3,FALSE)</f>
        <v>#DIV/0!</v>
      </c>
      <c r="V465" s="295" t="e">
        <f>IF(K465="nio",0,(O465*Q465)/Z465)*VLOOKUP(C465,'2-Uren per locatie'!$B$15:$D$74,3,FALSE)</f>
        <v>#DIV/0!</v>
      </c>
      <c r="W465" s="295" t="e">
        <f>IF(K465="nio",0,(P465*Q465)/AA465)*VLOOKUP(C465,'2-Uren per locatie'!$B$15:$D$74,3,FALSE)</f>
        <v>#DIV/0!</v>
      </c>
      <c r="X465" s="485">
        <f>IF(K465="nio",0,IF(K465&gt;0,VLOOKUP(H465,'3-Productie normen'!A:F,VLOOKUP(K465,'3-Productie normen'!$B$29:$C$34,2,FALSE),FALSE)))</f>
        <v>0</v>
      </c>
      <c r="Y465" s="485">
        <f>VLOOKUP(H465,'3-Productie normen'!$A$10:$J$24,8,FALSE)*'3-Ruimtestaat'!X465</f>
        <v>0</v>
      </c>
      <c r="Z465" s="485">
        <f>VLOOKUP(H465,'3-Productie normen'!$A$10:$J$24,9,FALSE)*'3-Ruimtestaat'!X465</f>
        <v>0</v>
      </c>
      <c r="AA465" s="485">
        <f>VLOOKUP(H465,'3-Productie normen'!$A$10:$J$24,10,FALSE)*'3-Ruimtestaat'!X465</f>
        <v>0</v>
      </c>
      <c r="AB465" s="292" t="str">
        <f>IF(H465="",0,VLOOKUP(H465,'3-Productie normen'!$A$10:$N$23,14,FALSE))</f>
        <v>S</v>
      </c>
      <c r="AD465" s="296">
        <f t="shared" si="18"/>
        <v>730</v>
      </c>
      <c r="AE465" s="78"/>
      <c r="AF465" s="297">
        <v>12</v>
      </c>
      <c r="AG465" s="297"/>
      <c r="AH465" s="297"/>
      <c r="AI465" s="297"/>
      <c r="AJ465" s="297"/>
      <c r="AK465" s="298"/>
      <c r="AL465" s="298"/>
      <c r="AM465" s="298">
        <v>2</v>
      </c>
      <c r="AN465" s="298"/>
      <c r="AO465" s="299"/>
    </row>
    <row r="466" spans="1:41" ht="15" customHeight="1">
      <c r="A466" s="254">
        <v>466</v>
      </c>
      <c r="B466" s="253">
        <v>311</v>
      </c>
      <c r="C466" s="240" t="s">
        <v>106</v>
      </c>
      <c r="D466" s="288" t="s">
        <v>96</v>
      </c>
      <c r="E466" s="289"/>
      <c r="F466" s="429" t="s">
        <v>450</v>
      </c>
      <c r="G466" s="431"/>
      <c r="H466" s="426" t="s">
        <v>150</v>
      </c>
      <c r="I466" s="429" t="s">
        <v>420</v>
      </c>
      <c r="J466" s="424">
        <f t="shared" si="17"/>
        <v>365</v>
      </c>
      <c r="K466" s="425">
        <v>255</v>
      </c>
      <c r="L466" s="425"/>
      <c r="M466" s="425">
        <v>102</v>
      </c>
      <c r="N466" s="425"/>
      <c r="O466" s="425">
        <v>8</v>
      </c>
      <c r="P466" s="425"/>
      <c r="Q466" s="294">
        <v>5</v>
      </c>
      <c r="R466" s="295" t="e">
        <f>IF(K466="nio",0,(K466*Q466)/X466)*VLOOKUP(C466,'2-Uren per locatie'!$B$15:$D$74,3,FALSE)</f>
        <v>#DIV/0!</v>
      </c>
      <c r="S466" s="295" t="e">
        <f>IF(K466="nio",0,(L466*Q466)/Y466)*VLOOKUP(C466,'2-Uren per locatie'!$B$15:$D$74,3,FALSE)</f>
        <v>#DIV/0!</v>
      </c>
      <c r="T466" s="295" t="e">
        <f>IF(K466="nio",0,(M466*Q466)/Z466)*VLOOKUP(C466,'2-Uren per locatie'!$B$15:$D$74,3,FALSE)</f>
        <v>#DIV/0!</v>
      </c>
      <c r="U466" s="295" t="e">
        <f>IF(K466="nio",0,(N466*Q466)/AA466)*VLOOKUP(C466,'2-Uren per locatie'!$B$15:$D$74,3,FALSE)</f>
        <v>#DIV/0!</v>
      </c>
      <c r="V466" s="295" t="e">
        <f>IF(K466="nio",0,(O466*Q466)/Z466)*VLOOKUP(C466,'2-Uren per locatie'!$B$15:$D$74,3,FALSE)</f>
        <v>#DIV/0!</v>
      </c>
      <c r="W466" s="295" t="e">
        <f>IF(K466="nio",0,(P466*Q466)/AA466)*VLOOKUP(C466,'2-Uren per locatie'!$B$15:$D$74,3,FALSE)</f>
        <v>#DIV/0!</v>
      </c>
      <c r="X466" s="485">
        <f>IF(K466="nio",0,IF(K466&gt;0,VLOOKUP(H466,'3-Productie normen'!A:F,VLOOKUP(K466,'3-Productie normen'!$B$29:$C$34,2,FALSE),FALSE)))</f>
        <v>0</v>
      </c>
      <c r="Y466" s="485">
        <f>VLOOKUP(H466,'3-Productie normen'!$A$10:$J$24,8,FALSE)*'3-Ruimtestaat'!X466</f>
        <v>0</v>
      </c>
      <c r="Z466" s="485">
        <f>VLOOKUP(H466,'3-Productie normen'!$A$10:$J$24,9,FALSE)*'3-Ruimtestaat'!X466</f>
        <v>0</v>
      </c>
      <c r="AA466" s="485">
        <f>VLOOKUP(H466,'3-Productie normen'!$A$10:$J$24,10,FALSE)*'3-Ruimtestaat'!X466</f>
        <v>0</v>
      </c>
      <c r="AB466" s="292" t="str">
        <f>IF(H466="",0,VLOOKUP(H466,'3-Productie normen'!$A$10:$N$23,14,FALSE))</f>
        <v>V</v>
      </c>
      <c r="AD466" s="296">
        <f t="shared" si="18"/>
        <v>1825</v>
      </c>
      <c r="AE466" s="78"/>
      <c r="AF466" s="297">
        <v>12</v>
      </c>
      <c r="AG466" s="297"/>
      <c r="AH466" s="297"/>
      <c r="AI466" s="297"/>
      <c r="AJ466" s="297"/>
      <c r="AK466" s="298"/>
      <c r="AL466" s="298"/>
      <c r="AM466" s="298">
        <v>2</v>
      </c>
      <c r="AN466" s="298"/>
      <c r="AO466" s="299"/>
    </row>
    <row r="467" spans="1:41" ht="15" customHeight="1">
      <c r="A467" s="254">
        <v>467</v>
      </c>
      <c r="B467" s="253">
        <v>311</v>
      </c>
      <c r="C467" s="240" t="s">
        <v>106</v>
      </c>
      <c r="D467" s="288" t="s">
        <v>96</v>
      </c>
      <c r="E467" s="289"/>
      <c r="F467" s="239" t="s">
        <v>530</v>
      </c>
      <c r="G467" s="290" t="s">
        <v>533</v>
      </c>
      <c r="H467" s="291" t="s">
        <v>149</v>
      </c>
      <c r="I467" s="239" t="s">
        <v>401</v>
      </c>
      <c r="J467" s="424">
        <f t="shared" si="17"/>
        <v>365</v>
      </c>
      <c r="K467" s="425">
        <v>127</v>
      </c>
      <c r="L467" s="425">
        <v>126</v>
      </c>
      <c r="M467" s="425">
        <v>52</v>
      </c>
      <c r="N467" s="425">
        <v>52</v>
      </c>
      <c r="O467" s="425">
        <v>4</v>
      </c>
      <c r="P467" s="425">
        <v>4</v>
      </c>
      <c r="Q467" s="294">
        <v>5</v>
      </c>
      <c r="R467" s="295" t="e">
        <f>IF(K467="nio",0,(K467*Q467)/X467)*VLOOKUP(C467,'2-Uren per locatie'!$B$15:$D$74,3,FALSE)</f>
        <v>#DIV/0!</v>
      </c>
      <c r="S467" s="295" t="e">
        <f>IF(K467="nio",0,(L467*Q467)/Y467)*VLOOKUP(C467,'2-Uren per locatie'!$B$15:$D$74,3,FALSE)</f>
        <v>#DIV/0!</v>
      </c>
      <c r="T467" s="295" t="e">
        <f>IF(K467="nio",0,(M467*Q467)/Z467)*VLOOKUP(C467,'2-Uren per locatie'!$B$15:$D$74,3,FALSE)</f>
        <v>#DIV/0!</v>
      </c>
      <c r="U467" s="295" t="e">
        <f>IF(K467="nio",0,(N467*Q467)/AA467)*VLOOKUP(C467,'2-Uren per locatie'!$B$15:$D$74,3,FALSE)</f>
        <v>#DIV/0!</v>
      </c>
      <c r="V467" s="295" t="e">
        <f>IF(K467="nio",0,(O467*Q467)/Z467)*VLOOKUP(C467,'2-Uren per locatie'!$B$15:$D$74,3,FALSE)</f>
        <v>#DIV/0!</v>
      </c>
      <c r="W467" s="295" t="e">
        <f>IF(K467="nio",0,(P467*Q467)/AA467)*VLOOKUP(C467,'2-Uren per locatie'!$B$15:$D$74,3,FALSE)</f>
        <v>#DIV/0!</v>
      </c>
      <c r="X467" s="485">
        <f>IF(K467="nio",0,IF(K467&gt;0,VLOOKUP(H467,'3-Productie normen'!A:F,VLOOKUP(K467,'3-Productie normen'!$B$29:$C$34,2,FALSE),FALSE)))</f>
        <v>0</v>
      </c>
      <c r="Y467" s="485">
        <f>VLOOKUP(H467,'3-Productie normen'!$A$10:$J$24,8,FALSE)*'3-Ruimtestaat'!X467</f>
        <v>0</v>
      </c>
      <c r="Z467" s="485">
        <f>VLOOKUP(H467,'3-Productie normen'!$A$10:$J$24,9,FALSE)*'3-Ruimtestaat'!X467</f>
        <v>0</v>
      </c>
      <c r="AA467" s="485">
        <f>VLOOKUP(H467,'3-Productie normen'!$A$10:$J$24,10,FALSE)*'3-Ruimtestaat'!X467</f>
        <v>0</v>
      </c>
      <c r="AB467" s="292" t="str">
        <f>IF(H467="",0,VLOOKUP(H467,'3-Productie normen'!$A$10:$N$23,14,FALSE))</f>
        <v>V</v>
      </c>
      <c r="AD467" s="296">
        <f t="shared" si="18"/>
        <v>1825</v>
      </c>
      <c r="AE467" s="78"/>
      <c r="AF467" s="297"/>
      <c r="AG467" s="297"/>
      <c r="AH467" s="297"/>
      <c r="AI467" s="297"/>
      <c r="AJ467" s="297"/>
      <c r="AK467" s="298"/>
      <c r="AL467" s="298"/>
      <c r="AM467" s="298"/>
      <c r="AN467" s="298"/>
      <c r="AO467" s="299"/>
    </row>
    <row r="468" spans="1:41" ht="15" customHeight="1">
      <c r="A468" s="254">
        <v>468</v>
      </c>
      <c r="B468" s="253">
        <v>312</v>
      </c>
      <c r="C468" s="240" t="s">
        <v>107</v>
      </c>
      <c r="D468" s="288" t="s">
        <v>96</v>
      </c>
      <c r="E468" s="289"/>
      <c r="F468" s="239" t="s">
        <v>565</v>
      </c>
      <c r="G468" s="290" t="s">
        <v>526</v>
      </c>
      <c r="H468" s="291" t="s">
        <v>155</v>
      </c>
      <c r="I468" s="239" t="s">
        <v>392</v>
      </c>
      <c r="J468" s="424">
        <f t="shared" si="17"/>
        <v>365</v>
      </c>
      <c r="K468" s="425">
        <v>102</v>
      </c>
      <c r="L468" s="425">
        <v>153</v>
      </c>
      <c r="M468" s="425"/>
      <c r="N468" s="425">
        <v>102</v>
      </c>
      <c r="O468" s="425"/>
      <c r="P468" s="425">
        <v>8</v>
      </c>
      <c r="Q468" s="294">
        <v>86</v>
      </c>
      <c r="R468" s="295" t="e">
        <f>IF(K468="nio",0,(K468*Q468)/X468)*VLOOKUP(C468,'2-Uren per locatie'!$B$15:$D$74,3,FALSE)</f>
        <v>#DIV/0!</v>
      </c>
      <c r="S468" s="295" t="e">
        <f>IF(K468="nio",0,(L468*Q468)/Y468)*VLOOKUP(C468,'2-Uren per locatie'!$B$15:$D$74,3,FALSE)</f>
        <v>#DIV/0!</v>
      </c>
      <c r="T468" s="295" t="e">
        <f>IF(K468="nio",0,(M468*Q468)/Z468)*VLOOKUP(C468,'2-Uren per locatie'!$B$15:$D$74,3,FALSE)</f>
        <v>#DIV/0!</v>
      </c>
      <c r="U468" s="295" t="e">
        <f>IF(K468="nio",0,(N468*Q468)/AA468)*VLOOKUP(C468,'2-Uren per locatie'!$B$15:$D$74,3,FALSE)</f>
        <v>#DIV/0!</v>
      </c>
      <c r="V468" s="295" t="e">
        <f>IF(K468="nio",0,(O468*Q468)/Z468)*VLOOKUP(C468,'2-Uren per locatie'!$B$15:$D$74,3,FALSE)</f>
        <v>#DIV/0!</v>
      </c>
      <c r="W468" s="295" t="e">
        <f>IF(K468="nio",0,(P468*Q468)/AA468)*VLOOKUP(C468,'2-Uren per locatie'!$B$15:$D$74,3,FALSE)</f>
        <v>#DIV/0!</v>
      </c>
      <c r="X468" s="485">
        <f>IF(K468="nio",0,IF(K468&gt;0,VLOOKUP(H468,'3-Productie normen'!A:F,VLOOKUP(K468,'3-Productie normen'!$B$29:$C$34,2,FALSE),FALSE)))</f>
        <v>0</v>
      </c>
      <c r="Y468" s="485">
        <f>VLOOKUP(H468,'3-Productie normen'!$A$10:$J$24,8,FALSE)*'3-Ruimtestaat'!X468</f>
        <v>0</v>
      </c>
      <c r="Z468" s="485">
        <f>VLOOKUP(H468,'3-Productie normen'!$A$10:$J$24,9,FALSE)*'3-Ruimtestaat'!X468</f>
        <v>0</v>
      </c>
      <c r="AA468" s="485">
        <f>VLOOKUP(H468,'3-Productie normen'!$A$10:$J$24,10,FALSE)*'3-Ruimtestaat'!X468</f>
        <v>0</v>
      </c>
      <c r="AB468" s="292" t="str">
        <f>IF(H468="",0,VLOOKUP(H468,'3-Productie normen'!$A$10:$N$23,14,FALSE))</f>
        <v>V</v>
      </c>
      <c r="AD468" s="296">
        <f t="shared" si="18"/>
        <v>31390</v>
      </c>
      <c r="AE468" s="78"/>
      <c r="AF468" s="297"/>
      <c r="AG468" s="297"/>
      <c r="AH468" s="297"/>
      <c r="AI468" s="297"/>
      <c r="AJ468" s="297"/>
      <c r="AK468" s="298"/>
      <c r="AL468" s="298"/>
      <c r="AM468" s="298"/>
      <c r="AN468" s="298"/>
      <c r="AO468" s="299"/>
    </row>
    <row r="469" spans="1:41" ht="15" customHeight="1">
      <c r="A469" s="254">
        <v>469</v>
      </c>
      <c r="B469" s="253">
        <v>312</v>
      </c>
      <c r="C469" s="240" t="s">
        <v>107</v>
      </c>
      <c r="D469" s="288" t="s">
        <v>96</v>
      </c>
      <c r="E469" s="289"/>
      <c r="F469" s="239" t="s">
        <v>566</v>
      </c>
      <c r="G469" s="290" t="s">
        <v>567</v>
      </c>
      <c r="H469" s="291" t="s">
        <v>151</v>
      </c>
      <c r="I469" s="239" t="s">
        <v>592</v>
      </c>
      <c r="J469" s="424">
        <f t="shared" si="17"/>
        <v>365</v>
      </c>
      <c r="K469" s="425">
        <v>102</v>
      </c>
      <c r="L469" s="425">
        <v>153</v>
      </c>
      <c r="M469" s="425"/>
      <c r="N469" s="425">
        <v>102</v>
      </c>
      <c r="O469" s="425"/>
      <c r="P469" s="425">
        <v>8</v>
      </c>
      <c r="Q469" s="294">
        <v>1090</v>
      </c>
      <c r="R469" s="295" t="e">
        <f>IF(K469="nio",0,(K469*Q469)/X469)*VLOOKUP(C469,'2-Uren per locatie'!$B$15:$D$74,3,FALSE)</f>
        <v>#DIV/0!</v>
      </c>
      <c r="S469" s="295" t="e">
        <f>IF(K469="nio",0,(L469*Q469)/Y469)*VLOOKUP(C469,'2-Uren per locatie'!$B$15:$D$74,3,FALSE)</f>
        <v>#DIV/0!</v>
      </c>
      <c r="T469" s="295" t="e">
        <f>IF(K469="nio",0,(M469*Q469)/Z469)*VLOOKUP(C469,'2-Uren per locatie'!$B$15:$D$74,3,FALSE)</f>
        <v>#DIV/0!</v>
      </c>
      <c r="U469" s="295" t="e">
        <f>IF(K469="nio",0,(N469*Q469)/AA469)*VLOOKUP(C469,'2-Uren per locatie'!$B$15:$D$74,3,FALSE)</f>
        <v>#DIV/0!</v>
      </c>
      <c r="V469" s="295" t="e">
        <f>IF(K469="nio",0,(O469*Q469)/Z469)*VLOOKUP(C469,'2-Uren per locatie'!$B$15:$D$74,3,FALSE)</f>
        <v>#DIV/0!</v>
      </c>
      <c r="W469" s="295" t="e">
        <f>IF(K469="nio",0,(P469*Q469)/AA469)*VLOOKUP(C469,'2-Uren per locatie'!$B$15:$D$74,3,FALSE)</f>
        <v>#DIV/0!</v>
      </c>
      <c r="X469" s="485">
        <f>IF(K469="nio",0,IF(K469&gt;0,VLOOKUP(H469,'3-Productie normen'!A:F,VLOOKUP(K469,'3-Productie normen'!$B$29:$C$34,2,FALSE),FALSE)))</f>
        <v>0</v>
      </c>
      <c r="Y469" s="485">
        <f>VLOOKUP(H469,'3-Productie normen'!$A$10:$J$24,8,FALSE)*'3-Ruimtestaat'!X469</f>
        <v>0</v>
      </c>
      <c r="Z469" s="485">
        <f>VLOOKUP(H469,'3-Productie normen'!$A$10:$J$24,9,FALSE)*'3-Ruimtestaat'!X469</f>
        <v>0</v>
      </c>
      <c r="AA469" s="485">
        <f>VLOOKUP(H469,'3-Productie normen'!$A$10:$J$24,10,FALSE)*'3-Ruimtestaat'!X469</f>
        <v>0</v>
      </c>
      <c r="AB469" s="292" t="str">
        <f>IF(H469="",0,VLOOKUP(H469,'3-Productie normen'!$A$10:$N$23,14,FALSE))</f>
        <v>V</v>
      </c>
      <c r="AD469" s="296">
        <f t="shared" si="18"/>
        <v>397850</v>
      </c>
      <c r="AE469" s="78"/>
      <c r="AF469" s="297"/>
      <c r="AG469" s="297"/>
      <c r="AH469" s="297"/>
      <c r="AI469" s="297"/>
      <c r="AJ469" s="297"/>
      <c r="AK469" s="298"/>
      <c r="AL469" s="298"/>
      <c r="AM469" s="298"/>
      <c r="AN469" s="298"/>
      <c r="AO469" s="299"/>
    </row>
    <row r="470" spans="1:41" ht="15" customHeight="1">
      <c r="A470" s="254">
        <v>470</v>
      </c>
      <c r="B470" s="253">
        <v>312</v>
      </c>
      <c r="C470" s="240" t="s">
        <v>107</v>
      </c>
      <c r="D470" s="288" t="s">
        <v>96</v>
      </c>
      <c r="E470" s="289"/>
      <c r="F470" s="239" t="s">
        <v>593</v>
      </c>
      <c r="G470" s="290" t="s">
        <v>567</v>
      </c>
      <c r="H470" s="291" t="s">
        <v>151</v>
      </c>
      <c r="I470" s="239" t="s">
        <v>594</v>
      </c>
      <c r="J470" s="424">
        <f t="shared" si="17"/>
        <v>365</v>
      </c>
      <c r="K470" s="425">
        <v>102</v>
      </c>
      <c r="L470" s="425">
        <v>153</v>
      </c>
      <c r="M470" s="425"/>
      <c r="N470" s="425">
        <v>102</v>
      </c>
      <c r="O470" s="425"/>
      <c r="P470" s="425">
        <v>8</v>
      </c>
      <c r="Q470" s="294">
        <v>50</v>
      </c>
      <c r="R470" s="295" t="e">
        <f>IF(K470="nio",0,(K470*Q470)/X470)*VLOOKUP(C470,'2-Uren per locatie'!$B$15:$D$74,3,FALSE)</f>
        <v>#DIV/0!</v>
      </c>
      <c r="S470" s="295" t="e">
        <f>IF(K470="nio",0,(L470*Q470)/Y470)*VLOOKUP(C470,'2-Uren per locatie'!$B$15:$D$74,3,FALSE)</f>
        <v>#DIV/0!</v>
      </c>
      <c r="T470" s="295" t="e">
        <f>IF(K470="nio",0,(M470*Q470)/Z470)*VLOOKUP(C470,'2-Uren per locatie'!$B$15:$D$74,3,FALSE)</f>
        <v>#DIV/0!</v>
      </c>
      <c r="U470" s="295" t="e">
        <f>IF(K470="nio",0,(N470*Q470)/AA470)*VLOOKUP(C470,'2-Uren per locatie'!$B$15:$D$74,3,FALSE)</f>
        <v>#DIV/0!</v>
      </c>
      <c r="V470" s="295" t="e">
        <f>IF(K470="nio",0,(O470*Q470)/Z470)*VLOOKUP(C470,'2-Uren per locatie'!$B$15:$D$74,3,FALSE)</f>
        <v>#DIV/0!</v>
      </c>
      <c r="W470" s="295" t="e">
        <f>IF(K470="nio",0,(P470*Q470)/AA470)*VLOOKUP(C470,'2-Uren per locatie'!$B$15:$D$74,3,FALSE)</f>
        <v>#DIV/0!</v>
      </c>
      <c r="X470" s="485">
        <f>IF(K470="nio",0,IF(K470&gt;0,VLOOKUP(H470,'3-Productie normen'!A:F,VLOOKUP(K470,'3-Productie normen'!$B$29:$C$34,2,FALSE),FALSE)))</f>
        <v>0</v>
      </c>
      <c r="Y470" s="485">
        <f>VLOOKUP(H470,'3-Productie normen'!$A$10:$J$24,8,FALSE)*'3-Ruimtestaat'!X470</f>
        <v>0</v>
      </c>
      <c r="Z470" s="485">
        <f>VLOOKUP(H470,'3-Productie normen'!$A$10:$J$24,9,FALSE)*'3-Ruimtestaat'!X470</f>
        <v>0</v>
      </c>
      <c r="AA470" s="485">
        <f>VLOOKUP(H470,'3-Productie normen'!$A$10:$J$24,10,FALSE)*'3-Ruimtestaat'!X470</f>
        <v>0</v>
      </c>
      <c r="AB470" s="292" t="str">
        <f>IF(H470="",0,VLOOKUP(H470,'3-Productie normen'!$A$10:$N$23,14,FALSE))</f>
        <v>V</v>
      </c>
      <c r="AD470" s="296">
        <f t="shared" si="18"/>
        <v>18250</v>
      </c>
      <c r="AE470" s="78"/>
      <c r="AF470" s="297"/>
      <c r="AG470" s="297"/>
      <c r="AH470" s="297"/>
      <c r="AI470" s="297"/>
      <c r="AJ470" s="297"/>
      <c r="AK470" s="298"/>
      <c r="AL470" s="298"/>
      <c r="AM470" s="298"/>
      <c r="AN470" s="298"/>
      <c r="AO470" s="299"/>
    </row>
    <row r="471" spans="1:41" ht="15" customHeight="1">
      <c r="A471" s="254">
        <v>471</v>
      </c>
      <c r="B471" s="253">
        <v>312</v>
      </c>
      <c r="C471" s="240" t="s">
        <v>107</v>
      </c>
      <c r="D471" s="288" t="s">
        <v>96</v>
      </c>
      <c r="E471" s="289"/>
      <c r="F471" s="239" t="s">
        <v>595</v>
      </c>
      <c r="G471" s="290" t="s">
        <v>567</v>
      </c>
      <c r="H471" s="291" t="s">
        <v>151</v>
      </c>
      <c r="I471" s="239" t="s">
        <v>459</v>
      </c>
      <c r="J471" s="424">
        <f t="shared" si="17"/>
        <v>365</v>
      </c>
      <c r="K471" s="425">
        <v>102</v>
      </c>
      <c r="L471" s="425">
        <v>153</v>
      </c>
      <c r="M471" s="425"/>
      <c r="N471" s="425">
        <v>102</v>
      </c>
      <c r="O471" s="425"/>
      <c r="P471" s="425">
        <v>8</v>
      </c>
      <c r="Q471" s="294">
        <v>54</v>
      </c>
      <c r="R471" s="295" t="e">
        <f>IF(K471="nio",0,(K471*Q471)/X471)*VLOOKUP(C471,'2-Uren per locatie'!$B$15:$D$74,3,FALSE)</f>
        <v>#DIV/0!</v>
      </c>
      <c r="S471" s="295" t="e">
        <f>IF(K471="nio",0,(L471*Q471)/Y471)*VLOOKUP(C471,'2-Uren per locatie'!$B$15:$D$74,3,FALSE)</f>
        <v>#DIV/0!</v>
      </c>
      <c r="T471" s="295" t="e">
        <f>IF(K471="nio",0,(M471*Q471)/Z471)*VLOOKUP(C471,'2-Uren per locatie'!$B$15:$D$74,3,FALSE)</f>
        <v>#DIV/0!</v>
      </c>
      <c r="U471" s="295" t="e">
        <f>IF(K471="nio",0,(N471*Q471)/AA471)*VLOOKUP(C471,'2-Uren per locatie'!$B$15:$D$74,3,FALSE)</f>
        <v>#DIV/0!</v>
      </c>
      <c r="V471" s="295" t="e">
        <f>IF(K471="nio",0,(O471*Q471)/Z471)*VLOOKUP(C471,'2-Uren per locatie'!$B$15:$D$74,3,FALSE)</f>
        <v>#DIV/0!</v>
      </c>
      <c r="W471" s="295" t="e">
        <f>IF(K471="nio",0,(P471*Q471)/AA471)*VLOOKUP(C471,'2-Uren per locatie'!$B$15:$D$74,3,FALSE)</f>
        <v>#DIV/0!</v>
      </c>
      <c r="X471" s="485">
        <f>IF(K471="nio",0,IF(K471&gt;0,VLOOKUP(H471,'3-Productie normen'!A:F,VLOOKUP(K471,'3-Productie normen'!$B$29:$C$34,2,FALSE),FALSE)))</f>
        <v>0</v>
      </c>
      <c r="Y471" s="485">
        <f>VLOOKUP(H471,'3-Productie normen'!$A$10:$J$24,8,FALSE)*'3-Ruimtestaat'!X471</f>
        <v>0</v>
      </c>
      <c r="Z471" s="485">
        <f>VLOOKUP(H471,'3-Productie normen'!$A$10:$J$24,9,FALSE)*'3-Ruimtestaat'!X471</f>
        <v>0</v>
      </c>
      <c r="AA471" s="485">
        <f>VLOOKUP(H471,'3-Productie normen'!$A$10:$J$24,10,FALSE)*'3-Ruimtestaat'!X471</f>
        <v>0</v>
      </c>
      <c r="AB471" s="292" t="str">
        <f>IF(H471="",0,VLOOKUP(H471,'3-Productie normen'!$A$10:$N$23,14,FALSE))</f>
        <v>V</v>
      </c>
      <c r="AD471" s="296">
        <f t="shared" si="18"/>
        <v>19710</v>
      </c>
      <c r="AE471" s="78"/>
      <c r="AF471" s="297"/>
      <c r="AG471" s="297"/>
      <c r="AH471" s="297"/>
      <c r="AI471" s="297"/>
      <c r="AJ471" s="297"/>
      <c r="AK471" s="298"/>
      <c r="AL471" s="298"/>
      <c r="AM471" s="298"/>
      <c r="AN471" s="298"/>
      <c r="AO471" s="299"/>
    </row>
    <row r="472" spans="1:41" ht="15" customHeight="1">
      <c r="A472" s="254">
        <v>472</v>
      </c>
      <c r="B472" s="253">
        <v>312</v>
      </c>
      <c r="C472" s="240" t="s">
        <v>107</v>
      </c>
      <c r="D472" s="288" t="s">
        <v>96</v>
      </c>
      <c r="E472" s="289"/>
      <c r="F472" s="239" t="s">
        <v>632</v>
      </c>
      <c r="G472" s="290">
        <v>10101</v>
      </c>
      <c r="H472" s="291" t="s">
        <v>151</v>
      </c>
      <c r="I472" s="239" t="s">
        <v>545</v>
      </c>
      <c r="J472" s="424">
        <f t="shared" si="17"/>
        <v>365</v>
      </c>
      <c r="K472" s="425">
        <v>102</v>
      </c>
      <c r="L472" s="425">
        <v>153</v>
      </c>
      <c r="M472" s="425"/>
      <c r="N472" s="425">
        <v>102</v>
      </c>
      <c r="O472" s="425"/>
      <c r="P472" s="425">
        <v>8</v>
      </c>
      <c r="Q472" s="294">
        <v>140</v>
      </c>
      <c r="R472" s="295" t="e">
        <f>IF(K472="nio",0,(K472*Q472)/X472)*VLOOKUP(C472,'2-Uren per locatie'!$B$15:$D$74,3,FALSE)</f>
        <v>#DIV/0!</v>
      </c>
      <c r="S472" s="295" t="e">
        <f>IF(K472="nio",0,(L472*Q472)/Y472)*VLOOKUP(C472,'2-Uren per locatie'!$B$15:$D$74,3,FALSE)</f>
        <v>#DIV/0!</v>
      </c>
      <c r="T472" s="295" t="e">
        <f>IF(K472="nio",0,(M472*Q472)/Z472)*VLOOKUP(C472,'2-Uren per locatie'!$B$15:$D$74,3,FALSE)</f>
        <v>#DIV/0!</v>
      </c>
      <c r="U472" s="295" t="e">
        <f>IF(K472="nio",0,(N472*Q472)/AA472)*VLOOKUP(C472,'2-Uren per locatie'!$B$15:$D$74,3,FALSE)</f>
        <v>#DIV/0!</v>
      </c>
      <c r="V472" s="295" t="e">
        <f>IF(K472="nio",0,(O472*Q472)/Z472)*VLOOKUP(C472,'2-Uren per locatie'!$B$15:$D$74,3,FALSE)</f>
        <v>#DIV/0!</v>
      </c>
      <c r="W472" s="295" t="e">
        <f>IF(K472="nio",0,(P472*Q472)/AA472)*VLOOKUP(C472,'2-Uren per locatie'!$B$15:$D$74,3,FALSE)</f>
        <v>#DIV/0!</v>
      </c>
      <c r="X472" s="485">
        <f>IF(K472="nio",0,IF(K472&gt;0,VLOOKUP(H472,'3-Productie normen'!A:F,VLOOKUP(K472,'3-Productie normen'!$B$29:$C$34,2,FALSE),FALSE)))</f>
        <v>0</v>
      </c>
      <c r="Y472" s="485">
        <f>VLOOKUP(H472,'3-Productie normen'!$A$10:$J$24,8,FALSE)*'3-Ruimtestaat'!X472</f>
        <v>0</v>
      </c>
      <c r="Z472" s="485">
        <f>VLOOKUP(H472,'3-Productie normen'!$A$10:$J$24,9,FALSE)*'3-Ruimtestaat'!X472</f>
        <v>0</v>
      </c>
      <c r="AA472" s="485">
        <f>VLOOKUP(H472,'3-Productie normen'!$A$10:$J$24,10,FALSE)*'3-Ruimtestaat'!X472</f>
        <v>0</v>
      </c>
      <c r="AB472" s="292" t="str">
        <f>IF(H472="",0,VLOOKUP(H472,'3-Productie normen'!$A$10:$N$23,14,FALSE))</f>
        <v>V</v>
      </c>
      <c r="AD472" s="296">
        <f t="shared" si="18"/>
        <v>51100</v>
      </c>
      <c r="AE472" s="78"/>
      <c r="AF472" s="297"/>
      <c r="AG472" s="297"/>
      <c r="AH472" s="297"/>
      <c r="AI472" s="297"/>
      <c r="AJ472" s="297"/>
      <c r="AK472" s="298"/>
      <c r="AL472" s="298"/>
      <c r="AM472" s="298"/>
      <c r="AN472" s="298"/>
      <c r="AO472" s="299"/>
    </row>
    <row r="473" spans="1:41" ht="15" customHeight="1">
      <c r="A473" s="254">
        <v>473</v>
      </c>
      <c r="B473" s="253">
        <v>312</v>
      </c>
      <c r="C473" s="240" t="s">
        <v>107</v>
      </c>
      <c r="D473" s="288" t="s">
        <v>96</v>
      </c>
      <c r="E473" s="289"/>
      <c r="F473" s="239" t="s">
        <v>454</v>
      </c>
      <c r="G473" s="290" t="s">
        <v>573</v>
      </c>
      <c r="H473" s="291" t="s">
        <v>143</v>
      </c>
      <c r="I473" s="239" t="s">
        <v>545</v>
      </c>
      <c r="J473" s="424">
        <f t="shared" si="17"/>
        <v>365</v>
      </c>
      <c r="K473" s="425">
        <v>127</v>
      </c>
      <c r="L473" s="425">
        <v>126</v>
      </c>
      <c r="M473" s="425">
        <v>52</v>
      </c>
      <c r="N473" s="425">
        <v>52</v>
      </c>
      <c r="O473" s="425">
        <v>4</v>
      </c>
      <c r="P473" s="425">
        <v>4</v>
      </c>
      <c r="Q473" s="294">
        <v>6.41</v>
      </c>
      <c r="R473" s="295" t="e">
        <f>IF(K473="nio",0,(K473*Q473)/X473)*VLOOKUP(C473,'2-Uren per locatie'!$B$15:$D$74,3,FALSE)</f>
        <v>#DIV/0!</v>
      </c>
      <c r="S473" s="295" t="e">
        <f>IF(K473="nio",0,(L473*Q473)/Y473)*VLOOKUP(C473,'2-Uren per locatie'!$B$15:$D$74,3,FALSE)</f>
        <v>#DIV/0!</v>
      </c>
      <c r="T473" s="295" t="e">
        <f>IF(K473="nio",0,(M473*Q473)/Z473)*VLOOKUP(C473,'2-Uren per locatie'!$B$15:$D$74,3,FALSE)</f>
        <v>#DIV/0!</v>
      </c>
      <c r="U473" s="295" t="e">
        <f>IF(K473="nio",0,(N473*Q473)/AA473)*VLOOKUP(C473,'2-Uren per locatie'!$B$15:$D$74,3,FALSE)</f>
        <v>#DIV/0!</v>
      </c>
      <c r="V473" s="295" t="e">
        <f>IF(K473="nio",0,(O473*Q473)/Z473)*VLOOKUP(C473,'2-Uren per locatie'!$B$15:$D$74,3,FALSE)</f>
        <v>#DIV/0!</v>
      </c>
      <c r="W473" s="295" t="e">
        <f>IF(K473="nio",0,(P473*Q473)/AA473)*VLOOKUP(C473,'2-Uren per locatie'!$B$15:$D$74,3,FALSE)</f>
        <v>#DIV/0!</v>
      </c>
      <c r="X473" s="485">
        <f>IF(K473="nio",0,IF(K473&gt;0,VLOOKUP(H473,'3-Productie normen'!A:F,VLOOKUP(K473,'3-Productie normen'!$B$29:$C$34,2,FALSE),FALSE)))</f>
        <v>0</v>
      </c>
      <c r="Y473" s="485">
        <f>VLOOKUP(H473,'3-Productie normen'!$A$10:$J$24,8,FALSE)*'3-Ruimtestaat'!X473</f>
        <v>0</v>
      </c>
      <c r="Z473" s="485">
        <f>VLOOKUP(H473,'3-Productie normen'!$A$10:$J$24,9,FALSE)*'3-Ruimtestaat'!X473</f>
        <v>0</v>
      </c>
      <c r="AA473" s="485">
        <f>VLOOKUP(H473,'3-Productie normen'!$A$10:$J$24,10,FALSE)*'3-Ruimtestaat'!X473</f>
        <v>0</v>
      </c>
      <c r="AB473" s="292" t="str">
        <f>IF(H473="",0,VLOOKUP(H473,'3-Productie normen'!$A$10:$N$23,14,FALSE))</f>
        <v>V</v>
      </c>
      <c r="AD473" s="296">
        <f t="shared" si="18"/>
        <v>2339.65</v>
      </c>
      <c r="AE473" s="78"/>
      <c r="AF473" s="297"/>
      <c r="AG473" s="297">
        <v>46</v>
      </c>
      <c r="AH473" s="297"/>
      <c r="AI473" s="297"/>
      <c r="AJ473" s="297"/>
      <c r="AK473" s="298"/>
      <c r="AL473" s="298"/>
      <c r="AM473" s="298">
        <v>6</v>
      </c>
      <c r="AN473" s="298"/>
      <c r="AO473" s="299"/>
    </row>
    <row r="474" spans="1:41" ht="15" customHeight="1">
      <c r="A474" s="254">
        <v>474</v>
      </c>
      <c r="B474" s="253">
        <v>312</v>
      </c>
      <c r="C474" s="240" t="s">
        <v>107</v>
      </c>
      <c r="D474" s="288" t="s">
        <v>96</v>
      </c>
      <c r="E474" s="289"/>
      <c r="F474" s="239" t="s">
        <v>597</v>
      </c>
      <c r="G474" s="290"/>
      <c r="H474" s="291" t="s">
        <v>143</v>
      </c>
      <c r="I474" s="239" t="s">
        <v>545</v>
      </c>
      <c r="J474" s="424">
        <f t="shared" si="17"/>
        <v>365</v>
      </c>
      <c r="K474" s="425">
        <v>127</v>
      </c>
      <c r="L474" s="425">
        <v>126</v>
      </c>
      <c r="M474" s="425">
        <v>52</v>
      </c>
      <c r="N474" s="425">
        <v>52</v>
      </c>
      <c r="O474" s="425">
        <v>4</v>
      </c>
      <c r="P474" s="425">
        <v>4</v>
      </c>
      <c r="Q474" s="294">
        <v>32</v>
      </c>
      <c r="R474" s="295" t="e">
        <f>IF(K474="nio",0,(K474*Q474)/X474)*VLOOKUP(C474,'2-Uren per locatie'!$B$15:$D$74,3,FALSE)</f>
        <v>#DIV/0!</v>
      </c>
      <c r="S474" s="295" t="e">
        <f>IF(K474="nio",0,(L474*Q474)/Y474)*VLOOKUP(C474,'2-Uren per locatie'!$B$15:$D$74,3,FALSE)</f>
        <v>#DIV/0!</v>
      </c>
      <c r="T474" s="295" t="e">
        <f>IF(K474="nio",0,(M474*Q474)/Z474)*VLOOKUP(C474,'2-Uren per locatie'!$B$15:$D$74,3,FALSE)</f>
        <v>#DIV/0!</v>
      </c>
      <c r="U474" s="295" t="e">
        <f>IF(K474="nio",0,(N474*Q474)/AA474)*VLOOKUP(C474,'2-Uren per locatie'!$B$15:$D$74,3,FALSE)</f>
        <v>#DIV/0!</v>
      </c>
      <c r="V474" s="295" t="e">
        <f>IF(K474="nio",0,(O474*Q474)/Z474)*VLOOKUP(C474,'2-Uren per locatie'!$B$15:$D$74,3,FALSE)</f>
        <v>#DIV/0!</v>
      </c>
      <c r="W474" s="295" t="e">
        <f>IF(K474="nio",0,(P474*Q474)/AA474)*VLOOKUP(C474,'2-Uren per locatie'!$B$15:$D$74,3,FALSE)</f>
        <v>#DIV/0!</v>
      </c>
      <c r="X474" s="485">
        <f>IF(K474="nio",0,IF(K474&gt;0,VLOOKUP(H474,'3-Productie normen'!A:F,VLOOKUP(K474,'3-Productie normen'!$B$29:$C$34,2,FALSE),FALSE)))</f>
        <v>0</v>
      </c>
      <c r="Y474" s="485">
        <f>VLOOKUP(H474,'3-Productie normen'!$A$10:$J$24,8,FALSE)*'3-Ruimtestaat'!X474</f>
        <v>0</v>
      </c>
      <c r="Z474" s="485">
        <f>VLOOKUP(H474,'3-Productie normen'!$A$10:$J$24,9,FALSE)*'3-Ruimtestaat'!X474</f>
        <v>0</v>
      </c>
      <c r="AA474" s="485">
        <f>VLOOKUP(H474,'3-Productie normen'!$A$10:$J$24,10,FALSE)*'3-Ruimtestaat'!X474</f>
        <v>0</v>
      </c>
      <c r="AB474" s="292" t="str">
        <f>IF(H474="",0,VLOOKUP(H474,'3-Productie normen'!$A$10:$N$23,14,FALSE))</f>
        <v>V</v>
      </c>
      <c r="AD474" s="296">
        <f t="shared" si="18"/>
        <v>11680</v>
      </c>
      <c r="AE474" s="78"/>
      <c r="AF474" s="297"/>
      <c r="AG474" s="297"/>
      <c r="AH474" s="297"/>
      <c r="AI474" s="297"/>
      <c r="AJ474" s="297"/>
      <c r="AK474" s="298"/>
      <c r="AL474" s="298"/>
      <c r="AM474" s="298"/>
      <c r="AN474" s="298"/>
      <c r="AO474" s="299"/>
    </row>
    <row r="475" spans="1:41" ht="15" customHeight="1">
      <c r="A475" s="254">
        <v>475</v>
      </c>
      <c r="B475" s="253">
        <v>312</v>
      </c>
      <c r="C475" s="240" t="s">
        <v>107</v>
      </c>
      <c r="D475" s="288" t="s">
        <v>96</v>
      </c>
      <c r="E475" s="289"/>
      <c r="F475" s="239" t="s">
        <v>579</v>
      </c>
      <c r="G475" s="290"/>
      <c r="H475" s="291" t="s">
        <v>149</v>
      </c>
      <c r="I475" s="239" t="s">
        <v>401</v>
      </c>
      <c r="J475" s="424">
        <f t="shared" si="17"/>
        <v>365</v>
      </c>
      <c r="K475" s="425">
        <v>102</v>
      </c>
      <c r="L475" s="425">
        <v>153</v>
      </c>
      <c r="M475" s="425"/>
      <c r="N475" s="425">
        <v>102</v>
      </c>
      <c r="O475" s="425"/>
      <c r="P475" s="425">
        <v>8</v>
      </c>
      <c r="Q475" s="294">
        <v>5</v>
      </c>
      <c r="R475" s="295" t="e">
        <f>IF(K475="nio",0,(K475*Q475)/X475)*VLOOKUP(C475,'2-Uren per locatie'!$B$15:$D$74,3,FALSE)</f>
        <v>#DIV/0!</v>
      </c>
      <c r="S475" s="295" t="e">
        <f>IF(K475="nio",0,(L475*Q475)/Y475)*VLOOKUP(C475,'2-Uren per locatie'!$B$15:$D$74,3,FALSE)</f>
        <v>#DIV/0!</v>
      </c>
      <c r="T475" s="295" t="e">
        <f>IF(K475="nio",0,(M475*Q475)/Z475)*VLOOKUP(C475,'2-Uren per locatie'!$B$15:$D$74,3,FALSE)</f>
        <v>#DIV/0!</v>
      </c>
      <c r="U475" s="295" t="e">
        <f>IF(K475="nio",0,(N475*Q475)/AA475)*VLOOKUP(C475,'2-Uren per locatie'!$B$15:$D$74,3,FALSE)</f>
        <v>#DIV/0!</v>
      </c>
      <c r="V475" s="295" t="e">
        <f>IF(K475="nio",0,(O475*Q475)/Z475)*VLOOKUP(C475,'2-Uren per locatie'!$B$15:$D$74,3,FALSE)</f>
        <v>#DIV/0!</v>
      </c>
      <c r="W475" s="295" t="e">
        <f>IF(K475="nio",0,(P475*Q475)/AA475)*VLOOKUP(C475,'2-Uren per locatie'!$B$15:$D$74,3,FALSE)</f>
        <v>#DIV/0!</v>
      </c>
      <c r="X475" s="485">
        <f>IF(K475="nio",0,IF(K475&gt;0,VLOOKUP(H475,'3-Productie normen'!A:F,VLOOKUP(K475,'3-Productie normen'!$B$29:$C$34,2,FALSE),FALSE)))</f>
        <v>0</v>
      </c>
      <c r="Y475" s="485">
        <f>VLOOKUP(H475,'3-Productie normen'!$A$10:$J$24,8,FALSE)*'3-Ruimtestaat'!X475</f>
        <v>0</v>
      </c>
      <c r="Z475" s="485">
        <f>VLOOKUP(H475,'3-Productie normen'!$A$10:$J$24,9,FALSE)*'3-Ruimtestaat'!X475</f>
        <v>0</v>
      </c>
      <c r="AA475" s="485">
        <f>VLOOKUP(H475,'3-Productie normen'!$A$10:$J$24,10,FALSE)*'3-Ruimtestaat'!X475</f>
        <v>0</v>
      </c>
      <c r="AB475" s="292" t="str">
        <f>IF(H475="",0,VLOOKUP(H475,'3-Productie normen'!$A$10:$N$23,14,FALSE))</f>
        <v>V</v>
      </c>
      <c r="AD475" s="296">
        <f t="shared" si="18"/>
        <v>1825</v>
      </c>
      <c r="AE475" s="78"/>
      <c r="AF475" s="297"/>
      <c r="AG475" s="297" t="s">
        <v>633</v>
      </c>
      <c r="AH475" s="297"/>
      <c r="AI475" s="297"/>
      <c r="AJ475" s="297"/>
      <c r="AK475" s="298"/>
      <c r="AL475" s="298"/>
      <c r="AM475" s="298"/>
      <c r="AN475" s="298"/>
      <c r="AO475" s="299"/>
    </row>
    <row r="476" spans="1:41" ht="15" customHeight="1">
      <c r="A476" s="254">
        <v>476</v>
      </c>
      <c r="B476" s="253">
        <v>601</v>
      </c>
      <c r="C476" s="240" t="s">
        <v>108</v>
      </c>
      <c r="D476" s="288" t="s">
        <v>634</v>
      </c>
      <c r="E476" s="289" t="s">
        <v>242</v>
      </c>
      <c r="F476" s="239" t="s">
        <v>635</v>
      </c>
      <c r="G476" s="290" t="s">
        <v>636</v>
      </c>
      <c r="H476" s="291" t="s">
        <v>155</v>
      </c>
      <c r="I476" s="239" t="s">
        <v>637</v>
      </c>
      <c r="J476" s="424">
        <f t="shared" si="17"/>
        <v>365</v>
      </c>
      <c r="K476" s="425">
        <v>255</v>
      </c>
      <c r="L476" s="425"/>
      <c r="M476" s="425">
        <v>102</v>
      </c>
      <c r="N476" s="425"/>
      <c r="O476" s="425">
        <v>8</v>
      </c>
      <c r="P476" s="425"/>
      <c r="Q476" s="294">
        <v>210</v>
      </c>
      <c r="R476" s="295" t="e">
        <f>IF(K476="nio",0,(K476*Q476)/X476)*VLOOKUP(C476,'2-Uren per locatie'!$B$15:$D$74,3,FALSE)</f>
        <v>#DIV/0!</v>
      </c>
      <c r="S476" s="295" t="e">
        <f>IF(K476="nio",0,(L476*Q476)/Y476)*VLOOKUP(C476,'2-Uren per locatie'!$B$15:$D$74,3,FALSE)</f>
        <v>#DIV/0!</v>
      </c>
      <c r="T476" s="295" t="e">
        <f>IF(K476="nio",0,(M476*Q476)/Z476)*VLOOKUP(C476,'2-Uren per locatie'!$B$15:$D$74,3,FALSE)</f>
        <v>#DIV/0!</v>
      </c>
      <c r="U476" s="295" t="e">
        <f>IF(K476="nio",0,(N476*Q476)/AA476)*VLOOKUP(C476,'2-Uren per locatie'!$B$15:$D$74,3,FALSE)</f>
        <v>#DIV/0!</v>
      </c>
      <c r="V476" s="295" t="e">
        <f>IF(K476="nio",0,(O476*Q476)/Z476)*VLOOKUP(C476,'2-Uren per locatie'!$B$15:$D$74,3,FALSE)</f>
        <v>#DIV/0!</v>
      </c>
      <c r="W476" s="295" t="e">
        <f>IF(K476="nio",0,(P476*Q476)/AA476)*VLOOKUP(C476,'2-Uren per locatie'!$B$15:$D$74,3,FALSE)</f>
        <v>#DIV/0!</v>
      </c>
      <c r="X476" s="485">
        <f>IF(K476="nio",0,IF(K476&gt;0,VLOOKUP(H476,'3-Productie normen'!A:F,VLOOKUP(K476,'3-Productie normen'!$B$29:$C$34,2,FALSE),FALSE)))</f>
        <v>0</v>
      </c>
      <c r="Y476" s="485">
        <f>VLOOKUP(H476,'3-Productie normen'!$A$10:$J$24,8,FALSE)*'3-Ruimtestaat'!X476</f>
        <v>0</v>
      </c>
      <c r="Z476" s="485">
        <f>VLOOKUP(H476,'3-Productie normen'!$A$10:$J$24,9,FALSE)*'3-Ruimtestaat'!X476</f>
        <v>0</v>
      </c>
      <c r="AA476" s="485">
        <f>VLOOKUP(H476,'3-Productie normen'!$A$10:$J$24,10,FALSE)*'3-Ruimtestaat'!X476</f>
        <v>0</v>
      </c>
      <c r="AB476" s="292" t="str">
        <f>IF(H476="",0,VLOOKUP(H476,'3-Productie normen'!$A$10:$N$23,14,FALSE))</f>
        <v>V</v>
      </c>
      <c r="AD476" s="296">
        <f t="shared" si="18"/>
        <v>76650</v>
      </c>
      <c r="AE476" s="78"/>
      <c r="AF476" s="253"/>
      <c r="AG476" s="253"/>
      <c r="AH476" s="253"/>
      <c r="AI476" s="253"/>
      <c r="AJ476" s="253"/>
      <c r="AK476" s="253"/>
      <c r="AL476" s="253"/>
      <c r="AM476" s="253"/>
      <c r="AN476" s="253"/>
      <c r="AO476" s="253"/>
    </row>
    <row r="477" spans="1:41" ht="15" customHeight="1">
      <c r="A477" s="254">
        <v>477</v>
      </c>
      <c r="B477" s="253">
        <v>601</v>
      </c>
      <c r="C477" s="240" t="s">
        <v>108</v>
      </c>
      <c r="D477" s="288" t="s">
        <v>634</v>
      </c>
      <c r="E477" s="289" t="s">
        <v>242</v>
      </c>
      <c r="F477" s="239" t="s">
        <v>638</v>
      </c>
      <c r="G477" s="290" t="s">
        <v>639</v>
      </c>
      <c r="H477" s="291" t="s">
        <v>152</v>
      </c>
      <c r="I477" s="239" t="s">
        <v>402</v>
      </c>
      <c r="J477" s="424">
        <f t="shared" si="17"/>
        <v>365</v>
      </c>
      <c r="K477" s="425">
        <v>255</v>
      </c>
      <c r="L477" s="425"/>
      <c r="M477" s="425">
        <v>102</v>
      </c>
      <c r="N477" s="425"/>
      <c r="O477" s="425">
        <v>8</v>
      </c>
      <c r="P477" s="425"/>
      <c r="Q477" s="294">
        <v>42</v>
      </c>
      <c r="R477" s="295" t="e">
        <f>IF(K477="nio",0,(K477*Q477)/X477)*VLOOKUP(C477,'2-Uren per locatie'!$B$15:$D$74,3,FALSE)</f>
        <v>#DIV/0!</v>
      </c>
      <c r="S477" s="295" t="e">
        <f>IF(K477="nio",0,(L477*Q477)/Y477)*VLOOKUP(C477,'2-Uren per locatie'!$B$15:$D$74,3,FALSE)</f>
        <v>#DIV/0!</v>
      </c>
      <c r="T477" s="295" t="e">
        <f>IF(K477="nio",0,(M477*Q477)/Z477)*VLOOKUP(C477,'2-Uren per locatie'!$B$15:$D$74,3,FALSE)</f>
        <v>#DIV/0!</v>
      </c>
      <c r="U477" s="295" t="e">
        <f>IF(K477="nio",0,(N477*Q477)/AA477)*VLOOKUP(C477,'2-Uren per locatie'!$B$15:$D$74,3,FALSE)</f>
        <v>#DIV/0!</v>
      </c>
      <c r="V477" s="295" t="e">
        <f>IF(K477="nio",0,(O477*Q477)/Z477)*VLOOKUP(C477,'2-Uren per locatie'!$B$15:$D$74,3,FALSE)</f>
        <v>#DIV/0!</v>
      </c>
      <c r="W477" s="295" t="e">
        <f>IF(K477="nio",0,(P477*Q477)/AA477)*VLOOKUP(C477,'2-Uren per locatie'!$B$15:$D$74,3,FALSE)</f>
        <v>#DIV/0!</v>
      </c>
      <c r="X477" s="485">
        <f>IF(K477="nio",0,IF(K477&gt;0,VLOOKUP(H477,'3-Productie normen'!A:F,VLOOKUP(K477,'3-Productie normen'!$B$29:$C$34,2,FALSE),FALSE)))</f>
        <v>0</v>
      </c>
      <c r="Y477" s="485">
        <f>VLOOKUP(H477,'3-Productie normen'!$A$10:$J$24,8,FALSE)*'3-Ruimtestaat'!X477</f>
        <v>0</v>
      </c>
      <c r="Z477" s="485">
        <f>VLOOKUP(H477,'3-Productie normen'!$A$10:$J$24,9,FALSE)*'3-Ruimtestaat'!X477</f>
        <v>0</v>
      </c>
      <c r="AA477" s="485">
        <f>VLOOKUP(H477,'3-Productie normen'!$A$10:$J$24,10,FALSE)*'3-Ruimtestaat'!X477</f>
        <v>0</v>
      </c>
      <c r="AB477" s="292" t="str">
        <f>IF(H477="",0,VLOOKUP(H477,'3-Productie normen'!$A$10:$N$23,14,FALSE))</f>
        <v>V</v>
      </c>
      <c r="AD477" s="296">
        <f t="shared" si="18"/>
        <v>15330</v>
      </c>
      <c r="AE477" s="78"/>
      <c r="AF477" s="253"/>
      <c r="AG477" s="253"/>
      <c r="AH477" s="253"/>
      <c r="AI477" s="253"/>
      <c r="AJ477" s="253"/>
      <c r="AK477" s="253"/>
      <c r="AL477" s="253"/>
      <c r="AM477" s="253"/>
      <c r="AN477" s="253"/>
      <c r="AO477" s="253"/>
    </row>
    <row r="478" spans="1:41" ht="15" customHeight="1">
      <c r="A478" s="254">
        <v>478</v>
      </c>
      <c r="B478" s="253">
        <v>601</v>
      </c>
      <c r="C478" s="240" t="s">
        <v>108</v>
      </c>
      <c r="D478" s="288" t="s">
        <v>634</v>
      </c>
      <c r="E478" s="289" t="s">
        <v>242</v>
      </c>
      <c r="F478" s="239" t="s">
        <v>640</v>
      </c>
      <c r="G478" s="290" t="s">
        <v>641</v>
      </c>
      <c r="H478" s="291" t="s">
        <v>155</v>
      </c>
      <c r="I478" s="239" t="s">
        <v>637</v>
      </c>
      <c r="J478" s="424">
        <f t="shared" si="17"/>
        <v>365</v>
      </c>
      <c r="K478" s="425">
        <v>255</v>
      </c>
      <c r="L478" s="425"/>
      <c r="M478" s="425">
        <v>102</v>
      </c>
      <c r="N478" s="425"/>
      <c r="O478" s="425">
        <v>8</v>
      </c>
      <c r="P478" s="425"/>
      <c r="Q478" s="294">
        <v>151</v>
      </c>
      <c r="R478" s="295" t="e">
        <f>IF(K478="nio",0,(K478*Q478)/X478)*VLOOKUP(C478,'2-Uren per locatie'!$B$15:$D$74,3,FALSE)</f>
        <v>#DIV/0!</v>
      </c>
      <c r="S478" s="295" t="e">
        <f>IF(K478="nio",0,(L478*Q478)/Y478)*VLOOKUP(C478,'2-Uren per locatie'!$B$15:$D$74,3,FALSE)</f>
        <v>#DIV/0!</v>
      </c>
      <c r="T478" s="295" t="e">
        <f>IF(K478="nio",0,(M478*Q478)/Z478)*VLOOKUP(C478,'2-Uren per locatie'!$B$15:$D$74,3,FALSE)</f>
        <v>#DIV/0!</v>
      </c>
      <c r="U478" s="295" t="e">
        <f>IF(K478="nio",0,(N478*Q478)/AA478)*VLOOKUP(C478,'2-Uren per locatie'!$B$15:$D$74,3,FALSE)</f>
        <v>#DIV/0!</v>
      </c>
      <c r="V478" s="295" t="e">
        <f>IF(K478="nio",0,(O478*Q478)/Z478)*VLOOKUP(C478,'2-Uren per locatie'!$B$15:$D$74,3,FALSE)</f>
        <v>#DIV/0!</v>
      </c>
      <c r="W478" s="295" t="e">
        <f>IF(K478="nio",0,(P478*Q478)/AA478)*VLOOKUP(C478,'2-Uren per locatie'!$B$15:$D$74,3,FALSE)</f>
        <v>#DIV/0!</v>
      </c>
      <c r="X478" s="485">
        <f>IF(K478="nio",0,IF(K478&gt;0,VLOOKUP(H478,'3-Productie normen'!A:F,VLOOKUP(K478,'3-Productie normen'!$B$29:$C$34,2,FALSE),FALSE)))</f>
        <v>0</v>
      </c>
      <c r="Y478" s="485">
        <f>VLOOKUP(H478,'3-Productie normen'!$A$10:$J$24,8,FALSE)*'3-Ruimtestaat'!X478</f>
        <v>0</v>
      </c>
      <c r="Z478" s="485">
        <f>VLOOKUP(H478,'3-Productie normen'!$A$10:$J$24,9,FALSE)*'3-Ruimtestaat'!X478</f>
        <v>0</v>
      </c>
      <c r="AA478" s="485">
        <f>VLOOKUP(H478,'3-Productie normen'!$A$10:$J$24,10,FALSE)*'3-Ruimtestaat'!X478</f>
        <v>0</v>
      </c>
      <c r="AB478" s="292" t="str">
        <f>IF(H478="",0,VLOOKUP(H478,'3-Productie normen'!$A$10:$N$23,14,FALSE))</f>
        <v>V</v>
      </c>
      <c r="AD478" s="296">
        <f t="shared" si="18"/>
        <v>55115</v>
      </c>
      <c r="AE478" s="78"/>
      <c r="AF478" s="253"/>
      <c r="AG478" s="253"/>
      <c r="AH478" s="253"/>
      <c r="AI478" s="253"/>
      <c r="AJ478" s="253"/>
      <c r="AK478" s="253"/>
      <c r="AL478" s="253"/>
      <c r="AM478" s="253"/>
      <c r="AN478" s="253"/>
      <c r="AO478" s="253"/>
    </row>
    <row r="479" spans="1:41" ht="15" customHeight="1">
      <c r="A479" s="254">
        <v>479</v>
      </c>
      <c r="B479" s="253">
        <v>601</v>
      </c>
      <c r="C479" s="240" t="s">
        <v>108</v>
      </c>
      <c r="D479" s="288" t="s">
        <v>634</v>
      </c>
      <c r="E479" s="289" t="s">
        <v>242</v>
      </c>
      <c r="F479" s="239" t="s">
        <v>642</v>
      </c>
      <c r="G479" s="290" t="s">
        <v>643</v>
      </c>
      <c r="H479" s="291" t="s">
        <v>152</v>
      </c>
      <c r="I479" s="239" t="s">
        <v>402</v>
      </c>
      <c r="J479" s="424">
        <f t="shared" si="17"/>
        <v>365</v>
      </c>
      <c r="K479" s="425">
        <v>255</v>
      </c>
      <c r="L479" s="425"/>
      <c r="M479" s="425">
        <v>102</v>
      </c>
      <c r="N479" s="425"/>
      <c r="O479" s="425">
        <v>8</v>
      </c>
      <c r="P479" s="425"/>
      <c r="Q479" s="294">
        <v>42</v>
      </c>
      <c r="R479" s="295" t="e">
        <f>IF(K479="nio",0,(K479*Q479)/X479)*VLOOKUP(C479,'2-Uren per locatie'!$B$15:$D$74,3,FALSE)</f>
        <v>#DIV/0!</v>
      </c>
      <c r="S479" s="295" t="e">
        <f>IF(K479="nio",0,(L479*Q479)/Y479)*VLOOKUP(C479,'2-Uren per locatie'!$B$15:$D$74,3,FALSE)</f>
        <v>#DIV/0!</v>
      </c>
      <c r="T479" s="295" t="e">
        <f>IF(K479="nio",0,(M479*Q479)/Z479)*VLOOKUP(C479,'2-Uren per locatie'!$B$15:$D$74,3,FALSE)</f>
        <v>#DIV/0!</v>
      </c>
      <c r="U479" s="295" t="e">
        <f>IF(K479="nio",0,(N479*Q479)/AA479)*VLOOKUP(C479,'2-Uren per locatie'!$B$15:$D$74,3,FALSE)</f>
        <v>#DIV/0!</v>
      </c>
      <c r="V479" s="295" t="e">
        <f>IF(K479="nio",0,(O479*Q479)/Z479)*VLOOKUP(C479,'2-Uren per locatie'!$B$15:$D$74,3,FALSE)</f>
        <v>#DIV/0!</v>
      </c>
      <c r="W479" s="295" t="e">
        <f>IF(K479="nio",0,(P479*Q479)/AA479)*VLOOKUP(C479,'2-Uren per locatie'!$B$15:$D$74,3,FALSE)</f>
        <v>#DIV/0!</v>
      </c>
      <c r="X479" s="485">
        <f>IF(K479="nio",0,IF(K479&gt;0,VLOOKUP(H479,'3-Productie normen'!A:F,VLOOKUP(K479,'3-Productie normen'!$B$29:$C$34,2,FALSE),FALSE)))</f>
        <v>0</v>
      </c>
      <c r="Y479" s="485">
        <f>VLOOKUP(H479,'3-Productie normen'!$A$10:$J$24,8,FALSE)*'3-Ruimtestaat'!X479</f>
        <v>0</v>
      </c>
      <c r="Z479" s="485">
        <f>VLOOKUP(H479,'3-Productie normen'!$A$10:$J$24,9,FALSE)*'3-Ruimtestaat'!X479</f>
        <v>0</v>
      </c>
      <c r="AA479" s="485">
        <f>VLOOKUP(H479,'3-Productie normen'!$A$10:$J$24,10,FALSE)*'3-Ruimtestaat'!X479</f>
        <v>0</v>
      </c>
      <c r="AB479" s="292" t="str">
        <f>IF(H479="",0,VLOOKUP(H479,'3-Productie normen'!$A$10:$N$23,14,FALSE))</f>
        <v>V</v>
      </c>
      <c r="AD479" s="296">
        <f t="shared" si="18"/>
        <v>15330</v>
      </c>
      <c r="AE479" s="78"/>
      <c r="AF479" s="253"/>
      <c r="AG479" s="253"/>
      <c r="AH479" s="253"/>
      <c r="AI479" s="253"/>
      <c r="AJ479" s="253"/>
      <c r="AK479" s="253"/>
      <c r="AL479" s="253"/>
      <c r="AM479" s="253"/>
      <c r="AN479" s="253"/>
      <c r="AO479" s="253"/>
    </row>
    <row r="480" spans="1:41" ht="15" customHeight="1">
      <c r="A480" s="254">
        <v>480</v>
      </c>
      <c r="B480" s="253">
        <v>601</v>
      </c>
      <c r="C480" s="240" t="s">
        <v>108</v>
      </c>
      <c r="D480" s="288" t="s">
        <v>634</v>
      </c>
      <c r="E480" s="289" t="s">
        <v>242</v>
      </c>
      <c r="F480" s="239" t="s">
        <v>644</v>
      </c>
      <c r="G480" s="290" t="s">
        <v>645</v>
      </c>
      <c r="H480" s="291" t="s">
        <v>149</v>
      </c>
      <c r="I480" s="239" t="s">
        <v>402</v>
      </c>
      <c r="J480" s="424">
        <f t="shared" si="17"/>
        <v>365</v>
      </c>
      <c r="K480" s="425">
        <v>255</v>
      </c>
      <c r="L480" s="425"/>
      <c r="M480" s="425">
        <v>102</v>
      </c>
      <c r="N480" s="425"/>
      <c r="O480" s="425">
        <v>8</v>
      </c>
      <c r="P480" s="425"/>
      <c r="Q480" s="294">
        <v>2</v>
      </c>
      <c r="R480" s="295" t="e">
        <f>IF(K480="nio",0,(K480*Q480)/X480)*VLOOKUP(C480,'2-Uren per locatie'!$B$15:$D$74,3,FALSE)</f>
        <v>#DIV/0!</v>
      </c>
      <c r="S480" s="295" t="e">
        <f>IF(K480="nio",0,(L480*Q480)/Y480)*VLOOKUP(C480,'2-Uren per locatie'!$B$15:$D$74,3,FALSE)</f>
        <v>#DIV/0!</v>
      </c>
      <c r="T480" s="295" t="e">
        <f>IF(K480="nio",0,(M480*Q480)/Z480)*VLOOKUP(C480,'2-Uren per locatie'!$B$15:$D$74,3,FALSE)</f>
        <v>#DIV/0!</v>
      </c>
      <c r="U480" s="295" t="e">
        <f>IF(K480="nio",0,(N480*Q480)/AA480)*VLOOKUP(C480,'2-Uren per locatie'!$B$15:$D$74,3,FALSE)</f>
        <v>#DIV/0!</v>
      </c>
      <c r="V480" s="295" t="e">
        <f>IF(K480="nio",0,(O480*Q480)/Z480)*VLOOKUP(C480,'2-Uren per locatie'!$B$15:$D$74,3,FALSE)</f>
        <v>#DIV/0!</v>
      </c>
      <c r="W480" s="295" t="e">
        <f>IF(K480="nio",0,(P480*Q480)/AA480)*VLOOKUP(C480,'2-Uren per locatie'!$B$15:$D$74,3,FALSE)</f>
        <v>#DIV/0!</v>
      </c>
      <c r="X480" s="485">
        <f>IF(K480="nio",0,IF(K480&gt;0,VLOOKUP(H480,'3-Productie normen'!A:F,VLOOKUP(K480,'3-Productie normen'!$B$29:$C$34,2,FALSE),FALSE)))</f>
        <v>0</v>
      </c>
      <c r="Y480" s="485">
        <f>VLOOKUP(H480,'3-Productie normen'!$A$10:$J$24,8,FALSE)*'3-Ruimtestaat'!X480</f>
        <v>0</v>
      </c>
      <c r="Z480" s="485">
        <f>VLOOKUP(H480,'3-Productie normen'!$A$10:$J$24,9,FALSE)*'3-Ruimtestaat'!X480</f>
        <v>0</v>
      </c>
      <c r="AA480" s="485">
        <f>VLOOKUP(H480,'3-Productie normen'!$A$10:$J$24,10,FALSE)*'3-Ruimtestaat'!X480</f>
        <v>0</v>
      </c>
      <c r="AB480" s="292" t="str">
        <f>IF(H480="",0,VLOOKUP(H480,'3-Productie normen'!$A$10:$N$23,14,FALSE))</f>
        <v>V</v>
      </c>
      <c r="AD480" s="296">
        <f t="shared" si="18"/>
        <v>730</v>
      </c>
      <c r="AE480" s="78"/>
      <c r="AF480" s="253"/>
      <c r="AG480" s="253"/>
      <c r="AH480" s="253"/>
      <c r="AI480" s="253"/>
      <c r="AJ480" s="253"/>
      <c r="AK480" s="253"/>
      <c r="AL480" s="253"/>
      <c r="AM480" s="253"/>
      <c r="AN480" s="253"/>
      <c r="AO480" s="253"/>
    </row>
    <row r="481" spans="1:41" ht="15" customHeight="1">
      <c r="A481" s="254">
        <v>481</v>
      </c>
      <c r="B481" s="253">
        <v>601</v>
      </c>
      <c r="C481" s="240" t="s">
        <v>108</v>
      </c>
      <c r="D481" s="288" t="s">
        <v>634</v>
      </c>
      <c r="E481" s="289" t="s">
        <v>242</v>
      </c>
      <c r="F481" s="239" t="s">
        <v>646</v>
      </c>
      <c r="G481" s="290" t="s">
        <v>647</v>
      </c>
      <c r="H481" s="291" t="s">
        <v>149</v>
      </c>
      <c r="I481" s="239" t="s">
        <v>402</v>
      </c>
      <c r="J481" s="424">
        <f t="shared" si="17"/>
        <v>365</v>
      </c>
      <c r="K481" s="425">
        <v>255</v>
      </c>
      <c r="L481" s="425"/>
      <c r="M481" s="425">
        <v>102</v>
      </c>
      <c r="N481" s="425"/>
      <c r="O481" s="425">
        <v>8</v>
      </c>
      <c r="P481" s="425"/>
      <c r="Q481" s="294">
        <v>2</v>
      </c>
      <c r="R481" s="295" t="e">
        <f>IF(K481="nio",0,(K481*Q481)/X481)*VLOOKUP(C481,'2-Uren per locatie'!$B$15:$D$74,3,FALSE)</f>
        <v>#DIV/0!</v>
      </c>
      <c r="S481" s="295" t="e">
        <f>IF(K481="nio",0,(L481*Q481)/Y481)*VLOOKUP(C481,'2-Uren per locatie'!$B$15:$D$74,3,FALSE)</f>
        <v>#DIV/0!</v>
      </c>
      <c r="T481" s="295" t="e">
        <f>IF(K481="nio",0,(M481*Q481)/Z481)*VLOOKUP(C481,'2-Uren per locatie'!$B$15:$D$74,3,FALSE)</f>
        <v>#DIV/0!</v>
      </c>
      <c r="U481" s="295" t="e">
        <f>IF(K481="nio",0,(N481*Q481)/AA481)*VLOOKUP(C481,'2-Uren per locatie'!$B$15:$D$74,3,FALSE)</f>
        <v>#DIV/0!</v>
      </c>
      <c r="V481" s="295" t="e">
        <f>IF(K481="nio",0,(O481*Q481)/Z481)*VLOOKUP(C481,'2-Uren per locatie'!$B$15:$D$74,3,FALSE)</f>
        <v>#DIV/0!</v>
      </c>
      <c r="W481" s="295" t="e">
        <f>IF(K481="nio",0,(P481*Q481)/AA481)*VLOOKUP(C481,'2-Uren per locatie'!$B$15:$D$74,3,FALSE)</f>
        <v>#DIV/0!</v>
      </c>
      <c r="X481" s="485">
        <f>IF(K481="nio",0,IF(K481&gt;0,VLOOKUP(H481,'3-Productie normen'!A:F,VLOOKUP(K481,'3-Productie normen'!$B$29:$C$34,2,FALSE),FALSE)))</f>
        <v>0</v>
      </c>
      <c r="Y481" s="485">
        <f>VLOOKUP(H481,'3-Productie normen'!$A$10:$J$24,8,FALSE)*'3-Ruimtestaat'!X481</f>
        <v>0</v>
      </c>
      <c r="Z481" s="485">
        <f>VLOOKUP(H481,'3-Productie normen'!$A$10:$J$24,9,FALSE)*'3-Ruimtestaat'!X481</f>
        <v>0</v>
      </c>
      <c r="AA481" s="485">
        <f>VLOOKUP(H481,'3-Productie normen'!$A$10:$J$24,10,FALSE)*'3-Ruimtestaat'!X481</f>
        <v>0</v>
      </c>
      <c r="AB481" s="292" t="str">
        <f>IF(H481="",0,VLOOKUP(H481,'3-Productie normen'!$A$10:$N$23,14,FALSE))</f>
        <v>V</v>
      </c>
      <c r="AD481" s="296">
        <f t="shared" si="18"/>
        <v>730</v>
      </c>
      <c r="AE481" s="78"/>
      <c r="AF481" s="253"/>
      <c r="AG481" s="253"/>
      <c r="AH481" s="253"/>
      <c r="AI481" s="253"/>
      <c r="AJ481" s="253"/>
      <c r="AK481" s="253"/>
      <c r="AL481" s="253"/>
      <c r="AM481" s="253"/>
      <c r="AN481" s="253"/>
      <c r="AO481" s="253"/>
    </row>
    <row r="482" spans="1:41" ht="15" customHeight="1">
      <c r="A482" s="254">
        <v>482</v>
      </c>
      <c r="B482" s="253">
        <v>601</v>
      </c>
      <c r="C482" s="240" t="s">
        <v>108</v>
      </c>
      <c r="D482" s="288" t="s">
        <v>634</v>
      </c>
      <c r="E482" s="289" t="s">
        <v>648</v>
      </c>
      <c r="F482" s="239" t="s">
        <v>649</v>
      </c>
      <c r="G482" s="290" t="s">
        <v>650</v>
      </c>
      <c r="H482" s="291" t="s">
        <v>145</v>
      </c>
      <c r="I482" s="239" t="s">
        <v>637</v>
      </c>
      <c r="J482" s="424">
        <f t="shared" si="17"/>
        <v>365</v>
      </c>
      <c r="K482" s="425">
        <v>255</v>
      </c>
      <c r="L482" s="425"/>
      <c r="M482" s="425">
        <v>102</v>
      </c>
      <c r="N482" s="425"/>
      <c r="O482" s="425">
        <v>8</v>
      </c>
      <c r="P482" s="425"/>
      <c r="Q482" s="294">
        <v>600</v>
      </c>
      <c r="R482" s="295" t="e">
        <f>IF(K482="nio",0,(K482*Q482)/X482)*VLOOKUP(C482,'2-Uren per locatie'!$B$15:$D$74,3,FALSE)</f>
        <v>#DIV/0!</v>
      </c>
      <c r="S482" s="295" t="e">
        <f>IF(K482="nio",0,(L482*Q482)/Y482)*VLOOKUP(C482,'2-Uren per locatie'!$B$15:$D$74,3,FALSE)</f>
        <v>#DIV/0!</v>
      </c>
      <c r="T482" s="295" t="e">
        <f>IF(K482="nio",0,(M482*Q482)/Z482)*VLOOKUP(C482,'2-Uren per locatie'!$B$15:$D$74,3,FALSE)</f>
        <v>#DIV/0!</v>
      </c>
      <c r="U482" s="295" t="e">
        <f>IF(K482="nio",0,(N482*Q482)/AA482)*VLOOKUP(C482,'2-Uren per locatie'!$B$15:$D$74,3,FALSE)</f>
        <v>#DIV/0!</v>
      </c>
      <c r="V482" s="295" t="e">
        <f>IF(K482="nio",0,(O482*Q482)/Z482)*VLOOKUP(C482,'2-Uren per locatie'!$B$15:$D$74,3,FALSE)</f>
        <v>#DIV/0!</v>
      </c>
      <c r="W482" s="295" t="e">
        <f>IF(K482="nio",0,(P482*Q482)/AA482)*VLOOKUP(C482,'2-Uren per locatie'!$B$15:$D$74,3,FALSE)</f>
        <v>#DIV/0!</v>
      </c>
      <c r="X482" s="485">
        <f>IF(K482="nio",0,IF(K482&gt;0,VLOOKUP(H482,'3-Productie normen'!A:F,VLOOKUP(K482,'3-Productie normen'!$B$29:$C$34,2,FALSE),FALSE)))</f>
        <v>0</v>
      </c>
      <c r="Y482" s="485">
        <f>VLOOKUP(H482,'3-Productie normen'!$A$10:$J$24,8,FALSE)*'3-Ruimtestaat'!X482</f>
        <v>0</v>
      </c>
      <c r="Z482" s="485">
        <f>VLOOKUP(H482,'3-Productie normen'!$A$10:$J$24,9,FALSE)*'3-Ruimtestaat'!X482</f>
        <v>0</v>
      </c>
      <c r="AA482" s="485">
        <f>VLOOKUP(H482,'3-Productie normen'!$A$10:$J$24,10,FALSE)*'3-Ruimtestaat'!X482</f>
        <v>0</v>
      </c>
      <c r="AB482" s="292" t="str">
        <f>IF(H482="",0,VLOOKUP(H482,'3-Productie normen'!$A$10:$N$23,14,FALSE))</f>
        <v>V</v>
      </c>
      <c r="AD482" s="296">
        <f t="shared" si="18"/>
        <v>219000</v>
      </c>
      <c r="AE482" s="78"/>
      <c r="AF482" s="253"/>
      <c r="AG482" s="253"/>
      <c r="AH482" s="253"/>
      <c r="AI482" s="253"/>
      <c r="AJ482" s="253"/>
      <c r="AK482" s="253"/>
      <c r="AL482" s="253"/>
      <c r="AM482" s="253"/>
      <c r="AN482" s="253"/>
      <c r="AO482" s="253"/>
    </row>
    <row r="483" spans="1:41" ht="15" customHeight="1">
      <c r="A483" s="254">
        <v>483</v>
      </c>
      <c r="B483" s="253">
        <v>601</v>
      </c>
      <c r="C483" s="240" t="s">
        <v>108</v>
      </c>
      <c r="D483" s="288" t="s">
        <v>634</v>
      </c>
      <c r="E483" s="289" t="s">
        <v>648</v>
      </c>
      <c r="F483" s="239" t="s">
        <v>651</v>
      </c>
      <c r="G483" s="290" t="s">
        <v>652</v>
      </c>
      <c r="H483" s="291" t="s">
        <v>150</v>
      </c>
      <c r="I483" s="239" t="s">
        <v>325</v>
      </c>
      <c r="J483" s="424">
        <f t="shared" si="17"/>
        <v>365</v>
      </c>
      <c r="K483" s="425">
        <v>255</v>
      </c>
      <c r="L483" s="425"/>
      <c r="M483" s="425">
        <v>102</v>
      </c>
      <c r="N483" s="425"/>
      <c r="O483" s="425">
        <v>8</v>
      </c>
      <c r="P483" s="425"/>
      <c r="Q483" s="294">
        <v>12</v>
      </c>
      <c r="R483" s="295" t="e">
        <f>IF(K483="nio",0,(K483*Q483)/X483)*VLOOKUP(C483,'2-Uren per locatie'!$B$15:$D$74,3,FALSE)</f>
        <v>#DIV/0!</v>
      </c>
      <c r="S483" s="295" t="e">
        <f>IF(K483="nio",0,(L483*Q483)/Y483)*VLOOKUP(C483,'2-Uren per locatie'!$B$15:$D$74,3,FALSE)</f>
        <v>#DIV/0!</v>
      </c>
      <c r="T483" s="295" t="e">
        <f>IF(K483="nio",0,(M483*Q483)/Z483)*VLOOKUP(C483,'2-Uren per locatie'!$B$15:$D$74,3,FALSE)</f>
        <v>#DIV/0!</v>
      </c>
      <c r="U483" s="295" t="e">
        <f>IF(K483="nio",0,(N483*Q483)/AA483)*VLOOKUP(C483,'2-Uren per locatie'!$B$15:$D$74,3,FALSE)</f>
        <v>#DIV/0!</v>
      </c>
      <c r="V483" s="295" t="e">
        <f>IF(K483="nio",0,(O483*Q483)/Z483)*VLOOKUP(C483,'2-Uren per locatie'!$B$15:$D$74,3,FALSE)</f>
        <v>#DIV/0!</v>
      </c>
      <c r="W483" s="295" t="e">
        <f>IF(K483="nio",0,(P483*Q483)/AA483)*VLOOKUP(C483,'2-Uren per locatie'!$B$15:$D$74,3,FALSE)</f>
        <v>#DIV/0!</v>
      </c>
      <c r="X483" s="485">
        <f>IF(K483="nio",0,IF(K483&gt;0,VLOOKUP(H483,'3-Productie normen'!A:F,VLOOKUP(K483,'3-Productie normen'!$B$29:$C$34,2,FALSE),FALSE)))</f>
        <v>0</v>
      </c>
      <c r="Y483" s="485">
        <f>VLOOKUP(H483,'3-Productie normen'!$A$10:$J$24,8,FALSE)*'3-Ruimtestaat'!X483</f>
        <v>0</v>
      </c>
      <c r="Z483" s="485">
        <f>VLOOKUP(H483,'3-Productie normen'!$A$10:$J$24,9,FALSE)*'3-Ruimtestaat'!X483</f>
        <v>0</v>
      </c>
      <c r="AA483" s="485">
        <f>VLOOKUP(H483,'3-Productie normen'!$A$10:$J$24,10,FALSE)*'3-Ruimtestaat'!X483</f>
        <v>0</v>
      </c>
      <c r="AB483" s="292" t="str">
        <f>IF(H483="",0,VLOOKUP(H483,'3-Productie normen'!$A$10:$N$23,14,FALSE))</f>
        <v>V</v>
      </c>
      <c r="AD483" s="296">
        <f t="shared" si="18"/>
        <v>4380</v>
      </c>
      <c r="AE483" s="78"/>
      <c r="AF483" s="253"/>
      <c r="AG483" s="253"/>
      <c r="AH483" s="253"/>
      <c r="AI483" s="253"/>
      <c r="AJ483" s="253"/>
      <c r="AK483" s="253"/>
      <c r="AL483" s="253"/>
      <c r="AM483" s="253"/>
      <c r="AN483" s="253"/>
      <c r="AO483" s="253"/>
    </row>
    <row r="484" spans="1:41" ht="15" customHeight="1">
      <c r="A484" s="254">
        <v>484</v>
      </c>
      <c r="B484" s="253">
        <v>601</v>
      </c>
      <c r="C484" s="240" t="s">
        <v>108</v>
      </c>
      <c r="D484" s="288" t="s">
        <v>634</v>
      </c>
      <c r="E484" s="289" t="s">
        <v>648</v>
      </c>
      <c r="F484" s="239" t="s">
        <v>529</v>
      </c>
      <c r="G484" s="290" t="s">
        <v>653</v>
      </c>
      <c r="H484" s="291" t="s">
        <v>153</v>
      </c>
      <c r="I484" s="239" t="s">
        <v>637</v>
      </c>
      <c r="J484" s="424">
        <f t="shared" si="17"/>
        <v>365</v>
      </c>
      <c r="K484" s="425">
        <v>255</v>
      </c>
      <c r="L484" s="425"/>
      <c r="M484" s="425">
        <v>102</v>
      </c>
      <c r="N484" s="425"/>
      <c r="O484" s="425">
        <v>8</v>
      </c>
      <c r="P484" s="425"/>
      <c r="Q484" s="294">
        <v>2</v>
      </c>
      <c r="R484" s="295" t="e">
        <f>IF(K484="nio",0,(K484*Q484)/X484)*VLOOKUP(C484,'2-Uren per locatie'!$B$15:$D$74,3,FALSE)</f>
        <v>#DIV/0!</v>
      </c>
      <c r="S484" s="295" t="e">
        <f>IF(K484="nio",0,(L484*Q484)/Y484)*VLOOKUP(C484,'2-Uren per locatie'!$B$15:$D$74,3,FALSE)</f>
        <v>#DIV/0!</v>
      </c>
      <c r="T484" s="295" t="e">
        <f>IF(K484="nio",0,(M484*Q484)/Z484)*VLOOKUP(C484,'2-Uren per locatie'!$B$15:$D$74,3,FALSE)</f>
        <v>#DIV/0!</v>
      </c>
      <c r="U484" s="295" t="e">
        <f>IF(K484="nio",0,(N484*Q484)/AA484)*VLOOKUP(C484,'2-Uren per locatie'!$B$15:$D$74,3,FALSE)</f>
        <v>#DIV/0!</v>
      </c>
      <c r="V484" s="295" t="e">
        <f>IF(K484="nio",0,(O484*Q484)/Z484)*VLOOKUP(C484,'2-Uren per locatie'!$B$15:$D$74,3,FALSE)</f>
        <v>#DIV/0!</v>
      </c>
      <c r="W484" s="295" t="e">
        <f>IF(K484="nio",0,(P484*Q484)/AA484)*VLOOKUP(C484,'2-Uren per locatie'!$B$15:$D$74,3,FALSE)</f>
        <v>#DIV/0!</v>
      </c>
      <c r="X484" s="485">
        <f>IF(K484="nio",0,IF(K484&gt;0,VLOOKUP(H484,'3-Productie normen'!A:F,VLOOKUP(K484,'3-Productie normen'!$B$29:$C$34,2,FALSE),FALSE)))</f>
        <v>0</v>
      </c>
      <c r="Y484" s="485">
        <f>VLOOKUP(H484,'3-Productie normen'!$A$10:$J$24,8,FALSE)*'3-Ruimtestaat'!X484</f>
        <v>0</v>
      </c>
      <c r="Z484" s="485">
        <f>VLOOKUP(H484,'3-Productie normen'!$A$10:$J$24,9,FALSE)*'3-Ruimtestaat'!X484</f>
        <v>0</v>
      </c>
      <c r="AA484" s="485">
        <f>VLOOKUP(H484,'3-Productie normen'!$A$10:$J$24,10,FALSE)*'3-Ruimtestaat'!X484</f>
        <v>0</v>
      </c>
      <c r="AB484" s="292" t="str">
        <f>IF(H484="",0,VLOOKUP(H484,'3-Productie normen'!$A$10:$N$23,14,FALSE))</f>
        <v>S</v>
      </c>
      <c r="AD484" s="296">
        <f t="shared" si="18"/>
        <v>730</v>
      </c>
      <c r="AE484" s="78"/>
      <c r="AF484" s="253"/>
      <c r="AG484" s="253"/>
      <c r="AH484" s="253"/>
      <c r="AI484" s="253"/>
      <c r="AJ484" s="253"/>
      <c r="AK484" s="253"/>
      <c r="AL484" s="253"/>
      <c r="AM484" s="253"/>
      <c r="AN484" s="253"/>
      <c r="AO484" s="253"/>
    </row>
    <row r="485" spans="1:41" ht="15" customHeight="1">
      <c r="A485" s="254">
        <v>485</v>
      </c>
      <c r="B485" s="253">
        <v>601</v>
      </c>
      <c r="C485" s="240" t="s">
        <v>108</v>
      </c>
      <c r="D485" s="288" t="s">
        <v>634</v>
      </c>
      <c r="E485" s="289" t="s">
        <v>648</v>
      </c>
      <c r="F485" s="239" t="s">
        <v>654</v>
      </c>
      <c r="G485" s="290" t="s">
        <v>655</v>
      </c>
      <c r="H485" s="291" t="s">
        <v>156</v>
      </c>
      <c r="I485" s="239" t="s">
        <v>637</v>
      </c>
      <c r="J485" s="424">
        <f t="shared" si="17"/>
        <v>0</v>
      </c>
      <c r="K485" s="425" t="s">
        <v>656</v>
      </c>
      <c r="L485" s="425"/>
      <c r="M485" s="425"/>
      <c r="N485" s="425"/>
      <c r="O485" s="425"/>
      <c r="P485" s="425"/>
      <c r="Q485" s="294">
        <v>18</v>
      </c>
      <c r="R485" s="295">
        <f>IF(K485="nio",0,(K485*Q485)/X485)*VLOOKUP(C485,'2-Uren per locatie'!$B$15:$D$74,3,FALSE)</f>
        <v>0</v>
      </c>
      <c r="S485" s="295">
        <f>IF(K485="nio",0,(L485*Q485)/Y485)*VLOOKUP(C485,'2-Uren per locatie'!$B$15:$D$74,3,FALSE)</f>
        <v>0</v>
      </c>
      <c r="T485" s="295">
        <f>IF(K485="nio",0,(M485*Q485)/Z485)*VLOOKUP(C485,'2-Uren per locatie'!$B$15:$D$74,3,FALSE)</f>
        <v>0</v>
      </c>
      <c r="U485" s="295">
        <f>IF(K485="nio",0,(N485*Q485)/AA485)*VLOOKUP(C485,'2-Uren per locatie'!$B$15:$D$74,3,FALSE)</f>
        <v>0</v>
      </c>
      <c r="V485" s="295">
        <f>IF(K485="nio",0,(O485*Q485)/Z485)*VLOOKUP(C485,'2-Uren per locatie'!$B$15:$D$74,3,FALSE)</f>
        <v>0</v>
      </c>
      <c r="W485" s="295">
        <f>IF(K485="nio",0,(P485*Q485)/AA485)*VLOOKUP(C485,'2-Uren per locatie'!$B$15:$D$74,3,FALSE)</f>
        <v>0</v>
      </c>
      <c r="X485" s="485">
        <f>IF(K485="nio",0,IF(K485&gt;0,VLOOKUP(H485,'3-Productie normen'!A:F,VLOOKUP(K485,'3-Productie normen'!$B$29:$C$34,2,FALSE),FALSE)))</f>
        <v>0</v>
      </c>
      <c r="Y485" s="485">
        <f>VLOOKUP(H485,'3-Productie normen'!$A$10:$J$24,8,FALSE)*'3-Ruimtestaat'!X485</f>
        <v>0</v>
      </c>
      <c r="Z485" s="485">
        <f>VLOOKUP(H485,'3-Productie normen'!$A$10:$J$24,9,FALSE)*'3-Ruimtestaat'!X485</f>
        <v>0</v>
      </c>
      <c r="AA485" s="485">
        <f>VLOOKUP(H485,'3-Productie normen'!$A$10:$J$24,10,FALSE)*'3-Ruimtestaat'!X485</f>
        <v>0</v>
      </c>
      <c r="AB485" s="292">
        <f>IF(H485="",0,VLOOKUP(H485,'3-Productie normen'!$A$10:$N$23,14,FALSE))</f>
        <v>0</v>
      </c>
      <c r="AD485" s="296">
        <f t="shared" si="18"/>
        <v>0</v>
      </c>
      <c r="AE485" s="78"/>
      <c r="AF485" s="253"/>
      <c r="AG485" s="253"/>
      <c r="AH485" s="253"/>
      <c r="AI485" s="253"/>
      <c r="AJ485" s="253"/>
      <c r="AK485" s="253"/>
      <c r="AL485" s="253"/>
      <c r="AM485" s="253"/>
      <c r="AN485" s="253"/>
      <c r="AO485" s="253"/>
    </row>
    <row r="486" spans="1:41" ht="15" customHeight="1">
      <c r="A486" s="254">
        <v>486</v>
      </c>
      <c r="B486" s="253">
        <v>601</v>
      </c>
      <c r="C486" s="240" t="s">
        <v>108</v>
      </c>
      <c r="D486" s="288" t="s">
        <v>634</v>
      </c>
      <c r="E486" s="289" t="s">
        <v>648</v>
      </c>
      <c r="F486" s="239" t="s">
        <v>657</v>
      </c>
      <c r="G486" s="290" t="s">
        <v>658</v>
      </c>
      <c r="H486" s="291" t="s">
        <v>152</v>
      </c>
      <c r="I486" s="239" t="s">
        <v>402</v>
      </c>
      <c r="J486" s="424">
        <f t="shared" si="17"/>
        <v>365</v>
      </c>
      <c r="K486" s="425">
        <v>255</v>
      </c>
      <c r="L486" s="425"/>
      <c r="M486" s="425">
        <v>102</v>
      </c>
      <c r="N486" s="425"/>
      <c r="O486" s="425">
        <v>8</v>
      </c>
      <c r="P486" s="425"/>
      <c r="Q486" s="294">
        <v>21</v>
      </c>
      <c r="R486" s="295" t="e">
        <f>IF(K486="nio",0,(K486*Q486)/X486)*VLOOKUP(C486,'2-Uren per locatie'!$B$15:$D$74,3,FALSE)</f>
        <v>#DIV/0!</v>
      </c>
      <c r="S486" s="295" t="e">
        <f>IF(K486="nio",0,(L486*Q486)/Y486)*VLOOKUP(C486,'2-Uren per locatie'!$B$15:$D$74,3,FALSE)</f>
        <v>#DIV/0!</v>
      </c>
      <c r="T486" s="295" t="e">
        <f>IF(K486="nio",0,(M486*Q486)/Z486)*VLOOKUP(C486,'2-Uren per locatie'!$B$15:$D$74,3,FALSE)</f>
        <v>#DIV/0!</v>
      </c>
      <c r="U486" s="295" t="e">
        <f>IF(K486="nio",0,(N486*Q486)/AA486)*VLOOKUP(C486,'2-Uren per locatie'!$B$15:$D$74,3,FALSE)</f>
        <v>#DIV/0!</v>
      </c>
      <c r="V486" s="295" t="e">
        <f>IF(K486="nio",0,(O486*Q486)/Z486)*VLOOKUP(C486,'2-Uren per locatie'!$B$15:$D$74,3,FALSE)</f>
        <v>#DIV/0!</v>
      </c>
      <c r="W486" s="295" t="e">
        <f>IF(K486="nio",0,(P486*Q486)/AA486)*VLOOKUP(C486,'2-Uren per locatie'!$B$15:$D$74,3,FALSE)</f>
        <v>#DIV/0!</v>
      </c>
      <c r="X486" s="485">
        <f>IF(K486="nio",0,IF(K486&gt;0,VLOOKUP(H486,'3-Productie normen'!A:F,VLOOKUP(K486,'3-Productie normen'!$B$29:$C$34,2,FALSE),FALSE)))</f>
        <v>0</v>
      </c>
      <c r="Y486" s="485">
        <f>VLOOKUP(H486,'3-Productie normen'!$A$10:$J$24,8,FALSE)*'3-Ruimtestaat'!X486</f>
        <v>0</v>
      </c>
      <c r="Z486" s="485">
        <f>VLOOKUP(H486,'3-Productie normen'!$A$10:$J$24,9,FALSE)*'3-Ruimtestaat'!X486</f>
        <v>0</v>
      </c>
      <c r="AA486" s="485">
        <f>VLOOKUP(H486,'3-Productie normen'!$A$10:$J$24,10,FALSE)*'3-Ruimtestaat'!X486</f>
        <v>0</v>
      </c>
      <c r="AB486" s="292" t="str">
        <f>IF(H486="",0,VLOOKUP(H486,'3-Productie normen'!$A$10:$N$23,14,FALSE))</f>
        <v>V</v>
      </c>
      <c r="AD486" s="296">
        <f t="shared" si="18"/>
        <v>7665</v>
      </c>
      <c r="AE486" s="78"/>
      <c r="AF486" s="253"/>
      <c r="AG486" s="253"/>
      <c r="AH486" s="253"/>
      <c r="AI486" s="253"/>
      <c r="AJ486" s="253"/>
      <c r="AK486" s="253"/>
      <c r="AL486" s="253"/>
      <c r="AM486" s="253"/>
      <c r="AN486" s="253"/>
      <c r="AO486" s="253"/>
    </row>
    <row r="487" spans="1:41" ht="15" customHeight="1">
      <c r="A487" s="254">
        <v>487</v>
      </c>
      <c r="B487" s="253">
        <v>601</v>
      </c>
      <c r="C487" s="240" t="s">
        <v>108</v>
      </c>
      <c r="D487" s="288" t="s">
        <v>634</v>
      </c>
      <c r="E487" s="289" t="s">
        <v>648</v>
      </c>
      <c r="F487" s="239" t="s">
        <v>659</v>
      </c>
      <c r="G487" s="290" t="s">
        <v>660</v>
      </c>
      <c r="H487" s="291" t="s">
        <v>155</v>
      </c>
      <c r="I487" s="239" t="s">
        <v>637</v>
      </c>
      <c r="J487" s="424">
        <f t="shared" si="17"/>
        <v>365</v>
      </c>
      <c r="K487" s="425">
        <v>255</v>
      </c>
      <c r="L487" s="425"/>
      <c r="M487" s="425">
        <v>102</v>
      </c>
      <c r="N487" s="425"/>
      <c r="O487" s="425">
        <v>8</v>
      </c>
      <c r="P487" s="425"/>
      <c r="Q487" s="294">
        <v>63</v>
      </c>
      <c r="R487" s="295" t="e">
        <f>IF(K487="nio",0,(K487*Q487)/X487)*VLOOKUP(C487,'2-Uren per locatie'!$B$15:$D$74,3,FALSE)</f>
        <v>#DIV/0!</v>
      </c>
      <c r="S487" s="295" t="e">
        <f>IF(K487="nio",0,(L487*Q487)/Y487)*VLOOKUP(C487,'2-Uren per locatie'!$B$15:$D$74,3,FALSE)</f>
        <v>#DIV/0!</v>
      </c>
      <c r="T487" s="295" t="e">
        <f>IF(K487="nio",0,(M487*Q487)/Z487)*VLOOKUP(C487,'2-Uren per locatie'!$B$15:$D$74,3,FALSE)</f>
        <v>#DIV/0!</v>
      </c>
      <c r="U487" s="295" t="e">
        <f>IF(K487="nio",0,(N487*Q487)/AA487)*VLOOKUP(C487,'2-Uren per locatie'!$B$15:$D$74,3,FALSE)</f>
        <v>#DIV/0!</v>
      </c>
      <c r="V487" s="295" t="e">
        <f>IF(K487="nio",0,(O487*Q487)/Z487)*VLOOKUP(C487,'2-Uren per locatie'!$B$15:$D$74,3,FALSE)</f>
        <v>#DIV/0!</v>
      </c>
      <c r="W487" s="295" t="e">
        <f>IF(K487="nio",0,(P487*Q487)/AA487)*VLOOKUP(C487,'2-Uren per locatie'!$B$15:$D$74,3,FALSE)</f>
        <v>#DIV/0!</v>
      </c>
      <c r="X487" s="485">
        <f>IF(K487="nio",0,IF(K487&gt;0,VLOOKUP(H487,'3-Productie normen'!A:F,VLOOKUP(K487,'3-Productie normen'!$B$29:$C$34,2,FALSE),FALSE)))</f>
        <v>0</v>
      </c>
      <c r="Y487" s="485">
        <f>VLOOKUP(H487,'3-Productie normen'!$A$10:$J$24,8,FALSE)*'3-Ruimtestaat'!X487</f>
        <v>0</v>
      </c>
      <c r="Z487" s="485">
        <f>VLOOKUP(H487,'3-Productie normen'!$A$10:$J$24,9,FALSE)*'3-Ruimtestaat'!X487</f>
        <v>0</v>
      </c>
      <c r="AA487" s="485">
        <f>VLOOKUP(H487,'3-Productie normen'!$A$10:$J$24,10,FALSE)*'3-Ruimtestaat'!X487</f>
        <v>0</v>
      </c>
      <c r="AB487" s="292" t="str">
        <f>IF(H487="",0,VLOOKUP(H487,'3-Productie normen'!$A$10:$N$23,14,FALSE))</f>
        <v>V</v>
      </c>
      <c r="AD487" s="296">
        <f t="shared" si="18"/>
        <v>22995</v>
      </c>
      <c r="AE487" s="78"/>
      <c r="AF487" s="253"/>
      <c r="AG487" s="253"/>
      <c r="AH487" s="253"/>
      <c r="AI487" s="253"/>
      <c r="AJ487" s="253"/>
      <c r="AK487" s="253"/>
      <c r="AL487" s="253"/>
      <c r="AM487" s="253"/>
      <c r="AN487" s="253"/>
      <c r="AO487" s="253"/>
    </row>
    <row r="488" spans="1:41" ht="15" customHeight="1">
      <c r="A488" s="254">
        <v>488</v>
      </c>
      <c r="B488" s="253">
        <v>601</v>
      </c>
      <c r="C488" s="240" t="s">
        <v>108</v>
      </c>
      <c r="D488" s="288" t="s">
        <v>634</v>
      </c>
      <c r="E488" s="289" t="s">
        <v>648</v>
      </c>
      <c r="F488" s="239" t="s">
        <v>661</v>
      </c>
      <c r="G488" s="290" t="s">
        <v>662</v>
      </c>
      <c r="H488" s="291" t="s">
        <v>149</v>
      </c>
      <c r="I488" s="239" t="s">
        <v>402</v>
      </c>
      <c r="J488" s="424">
        <f t="shared" si="17"/>
        <v>365</v>
      </c>
      <c r="K488" s="425">
        <v>255</v>
      </c>
      <c r="L488" s="425"/>
      <c r="M488" s="425">
        <v>102</v>
      </c>
      <c r="N488" s="425"/>
      <c r="O488" s="425">
        <v>8</v>
      </c>
      <c r="P488" s="425"/>
      <c r="Q488" s="294">
        <v>2</v>
      </c>
      <c r="R488" s="295" t="e">
        <f>IF(K488="nio",0,(K488*Q488)/X488)*VLOOKUP(C488,'2-Uren per locatie'!$B$15:$D$74,3,FALSE)</f>
        <v>#DIV/0!</v>
      </c>
      <c r="S488" s="295" t="e">
        <f>IF(K488="nio",0,(L488*Q488)/Y488)*VLOOKUP(C488,'2-Uren per locatie'!$B$15:$D$74,3,FALSE)</f>
        <v>#DIV/0!</v>
      </c>
      <c r="T488" s="295" t="e">
        <f>IF(K488="nio",0,(M488*Q488)/Z488)*VLOOKUP(C488,'2-Uren per locatie'!$B$15:$D$74,3,FALSE)</f>
        <v>#DIV/0!</v>
      </c>
      <c r="U488" s="295" t="e">
        <f>IF(K488="nio",0,(N488*Q488)/AA488)*VLOOKUP(C488,'2-Uren per locatie'!$B$15:$D$74,3,FALSE)</f>
        <v>#DIV/0!</v>
      </c>
      <c r="V488" s="295" t="e">
        <f>IF(K488="nio",0,(O488*Q488)/Z488)*VLOOKUP(C488,'2-Uren per locatie'!$B$15:$D$74,3,FALSE)</f>
        <v>#DIV/0!</v>
      </c>
      <c r="W488" s="295" t="e">
        <f>IF(K488="nio",0,(P488*Q488)/AA488)*VLOOKUP(C488,'2-Uren per locatie'!$B$15:$D$74,3,FALSE)</f>
        <v>#DIV/0!</v>
      </c>
      <c r="X488" s="485">
        <f>IF(K488="nio",0,IF(K488&gt;0,VLOOKUP(H488,'3-Productie normen'!A:F,VLOOKUP(K488,'3-Productie normen'!$B$29:$C$34,2,FALSE),FALSE)))</f>
        <v>0</v>
      </c>
      <c r="Y488" s="485">
        <f>VLOOKUP(H488,'3-Productie normen'!$A$10:$J$24,8,FALSE)*'3-Ruimtestaat'!X488</f>
        <v>0</v>
      </c>
      <c r="Z488" s="485">
        <f>VLOOKUP(H488,'3-Productie normen'!$A$10:$J$24,9,FALSE)*'3-Ruimtestaat'!X488</f>
        <v>0</v>
      </c>
      <c r="AA488" s="485">
        <f>VLOOKUP(H488,'3-Productie normen'!$A$10:$J$24,10,FALSE)*'3-Ruimtestaat'!X488</f>
        <v>0</v>
      </c>
      <c r="AB488" s="292" t="str">
        <f>IF(H488="",0,VLOOKUP(H488,'3-Productie normen'!$A$10:$N$23,14,FALSE))</f>
        <v>V</v>
      </c>
      <c r="AD488" s="296">
        <f t="shared" si="18"/>
        <v>730</v>
      </c>
      <c r="AE488" s="78"/>
      <c r="AF488" s="253"/>
      <c r="AG488" s="253"/>
      <c r="AH488" s="253"/>
      <c r="AI488" s="253"/>
      <c r="AJ488" s="253"/>
      <c r="AK488" s="253"/>
      <c r="AL488" s="253"/>
      <c r="AM488" s="253"/>
      <c r="AN488" s="253"/>
      <c r="AO488" s="253"/>
    </row>
    <row r="489" spans="1:41" ht="15" customHeight="1">
      <c r="A489" s="254">
        <v>489</v>
      </c>
      <c r="B489" s="253">
        <v>601</v>
      </c>
      <c r="C489" s="240" t="s">
        <v>108</v>
      </c>
      <c r="D489" s="288" t="s">
        <v>634</v>
      </c>
      <c r="E489" s="289" t="s">
        <v>648</v>
      </c>
      <c r="F489" s="239" t="s">
        <v>663</v>
      </c>
      <c r="G489" s="290" t="s">
        <v>664</v>
      </c>
      <c r="H489" s="291" t="s">
        <v>149</v>
      </c>
      <c r="I489" s="239" t="s">
        <v>402</v>
      </c>
      <c r="J489" s="424">
        <f t="shared" si="17"/>
        <v>365</v>
      </c>
      <c r="K489" s="425">
        <v>255</v>
      </c>
      <c r="L489" s="425"/>
      <c r="M489" s="425">
        <v>102</v>
      </c>
      <c r="N489" s="425"/>
      <c r="O489" s="425">
        <v>8</v>
      </c>
      <c r="P489" s="425"/>
      <c r="Q489" s="294">
        <v>2</v>
      </c>
      <c r="R489" s="295" t="e">
        <f>IF(K489="nio",0,(K489*Q489)/X489)*VLOOKUP(C489,'2-Uren per locatie'!$B$15:$D$74,3,FALSE)</f>
        <v>#DIV/0!</v>
      </c>
      <c r="S489" s="295" t="e">
        <f>IF(K489="nio",0,(L489*Q489)/Y489)*VLOOKUP(C489,'2-Uren per locatie'!$B$15:$D$74,3,FALSE)</f>
        <v>#DIV/0!</v>
      </c>
      <c r="T489" s="295" t="e">
        <f>IF(K489="nio",0,(M489*Q489)/Z489)*VLOOKUP(C489,'2-Uren per locatie'!$B$15:$D$74,3,FALSE)</f>
        <v>#DIV/0!</v>
      </c>
      <c r="U489" s="295" t="e">
        <f>IF(K489="nio",0,(N489*Q489)/AA489)*VLOOKUP(C489,'2-Uren per locatie'!$B$15:$D$74,3,FALSE)</f>
        <v>#DIV/0!</v>
      </c>
      <c r="V489" s="295" t="e">
        <f>IF(K489="nio",0,(O489*Q489)/Z489)*VLOOKUP(C489,'2-Uren per locatie'!$B$15:$D$74,3,FALSE)</f>
        <v>#DIV/0!</v>
      </c>
      <c r="W489" s="295" t="e">
        <f>IF(K489="nio",0,(P489*Q489)/AA489)*VLOOKUP(C489,'2-Uren per locatie'!$B$15:$D$74,3,FALSE)</f>
        <v>#DIV/0!</v>
      </c>
      <c r="X489" s="485">
        <f>IF(K489="nio",0,IF(K489&gt;0,VLOOKUP(H489,'3-Productie normen'!A:F,VLOOKUP(K489,'3-Productie normen'!$B$29:$C$34,2,FALSE),FALSE)))</f>
        <v>0</v>
      </c>
      <c r="Y489" s="485">
        <f>VLOOKUP(H489,'3-Productie normen'!$A$10:$J$24,8,FALSE)*'3-Ruimtestaat'!X489</f>
        <v>0</v>
      </c>
      <c r="Z489" s="485">
        <f>VLOOKUP(H489,'3-Productie normen'!$A$10:$J$24,9,FALSE)*'3-Ruimtestaat'!X489</f>
        <v>0</v>
      </c>
      <c r="AA489" s="485">
        <f>VLOOKUP(H489,'3-Productie normen'!$A$10:$J$24,10,FALSE)*'3-Ruimtestaat'!X489</f>
        <v>0</v>
      </c>
      <c r="AB489" s="292" t="str">
        <f>IF(H489="",0,VLOOKUP(H489,'3-Productie normen'!$A$10:$N$23,14,FALSE))</f>
        <v>V</v>
      </c>
      <c r="AD489" s="296">
        <f t="shared" si="18"/>
        <v>730</v>
      </c>
      <c r="AE489" s="78"/>
      <c r="AF489" s="253"/>
      <c r="AG489" s="253"/>
      <c r="AH489" s="253"/>
      <c r="AI489" s="253"/>
      <c r="AJ489" s="253"/>
      <c r="AK489" s="253"/>
      <c r="AL489" s="253"/>
      <c r="AM489" s="253"/>
      <c r="AN489" s="253"/>
      <c r="AO489" s="253"/>
    </row>
    <row r="490" spans="1:41" ht="15" customHeight="1">
      <c r="A490" s="254">
        <v>490</v>
      </c>
      <c r="B490" s="253">
        <v>601</v>
      </c>
      <c r="C490" s="240" t="s">
        <v>108</v>
      </c>
      <c r="D490" s="288" t="s">
        <v>634</v>
      </c>
      <c r="E490" s="289" t="s">
        <v>648</v>
      </c>
      <c r="F490" s="239" t="s">
        <v>659</v>
      </c>
      <c r="G490" s="290" t="s">
        <v>665</v>
      </c>
      <c r="H490" s="291" t="s">
        <v>155</v>
      </c>
      <c r="I490" s="239" t="s">
        <v>637</v>
      </c>
      <c r="J490" s="424">
        <f t="shared" si="17"/>
        <v>365</v>
      </c>
      <c r="K490" s="425">
        <v>255</v>
      </c>
      <c r="L490" s="425"/>
      <c r="M490" s="425">
        <v>102</v>
      </c>
      <c r="N490" s="425"/>
      <c r="O490" s="425">
        <v>8</v>
      </c>
      <c r="P490" s="425"/>
      <c r="Q490" s="294">
        <v>63</v>
      </c>
      <c r="R490" s="295" t="e">
        <f>IF(K490="nio",0,(K490*Q490)/X490)*VLOOKUP(C490,'2-Uren per locatie'!$B$15:$D$74,3,FALSE)</f>
        <v>#DIV/0!</v>
      </c>
      <c r="S490" s="295" t="e">
        <f>IF(K490="nio",0,(L490*Q490)/Y490)*VLOOKUP(C490,'2-Uren per locatie'!$B$15:$D$74,3,FALSE)</f>
        <v>#DIV/0!</v>
      </c>
      <c r="T490" s="295" t="e">
        <f>IF(K490="nio",0,(M490*Q490)/Z490)*VLOOKUP(C490,'2-Uren per locatie'!$B$15:$D$74,3,FALSE)</f>
        <v>#DIV/0!</v>
      </c>
      <c r="U490" s="295" t="e">
        <f>IF(K490="nio",0,(N490*Q490)/AA490)*VLOOKUP(C490,'2-Uren per locatie'!$B$15:$D$74,3,FALSE)</f>
        <v>#DIV/0!</v>
      </c>
      <c r="V490" s="295" t="e">
        <f>IF(K490="nio",0,(O490*Q490)/Z490)*VLOOKUP(C490,'2-Uren per locatie'!$B$15:$D$74,3,FALSE)</f>
        <v>#DIV/0!</v>
      </c>
      <c r="W490" s="295" t="e">
        <f>IF(K490="nio",0,(P490*Q490)/AA490)*VLOOKUP(C490,'2-Uren per locatie'!$B$15:$D$74,3,FALSE)</f>
        <v>#DIV/0!</v>
      </c>
      <c r="X490" s="485">
        <f>IF(K490="nio",0,IF(K490&gt;0,VLOOKUP(H490,'3-Productie normen'!A:F,VLOOKUP(K490,'3-Productie normen'!$B$29:$C$34,2,FALSE),FALSE)))</f>
        <v>0</v>
      </c>
      <c r="Y490" s="485">
        <f>VLOOKUP(H490,'3-Productie normen'!$A$10:$J$24,8,FALSE)*'3-Ruimtestaat'!X490</f>
        <v>0</v>
      </c>
      <c r="Z490" s="485">
        <f>VLOOKUP(H490,'3-Productie normen'!$A$10:$J$24,9,FALSE)*'3-Ruimtestaat'!X490</f>
        <v>0</v>
      </c>
      <c r="AA490" s="485">
        <f>VLOOKUP(H490,'3-Productie normen'!$A$10:$J$24,10,FALSE)*'3-Ruimtestaat'!X490</f>
        <v>0</v>
      </c>
      <c r="AB490" s="292" t="str">
        <f>IF(H490="",0,VLOOKUP(H490,'3-Productie normen'!$A$10:$N$23,14,FALSE))</f>
        <v>V</v>
      </c>
      <c r="AD490" s="296">
        <f t="shared" si="18"/>
        <v>22995</v>
      </c>
      <c r="AE490" s="78"/>
      <c r="AF490" s="253"/>
      <c r="AG490" s="253"/>
      <c r="AH490" s="253"/>
      <c r="AI490" s="253"/>
      <c r="AJ490" s="253"/>
      <c r="AK490" s="253"/>
      <c r="AL490" s="253"/>
      <c r="AM490" s="253"/>
      <c r="AN490" s="253"/>
      <c r="AO490" s="253"/>
    </row>
    <row r="491" spans="1:41" ht="15" customHeight="1">
      <c r="A491" s="254">
        <v>491</v>
      </c>
      <c r="B491" s="253">
        <v>601</v>
      </c>
      <c r="C491" s="240" t="s">
        <v>108</v>
      </c>
      <c r="D491" s="288" t="s">
        <v>634</v>
      </c>
      <c r="E491" s="289" t="s">
        <v>648</v>
      </c>
      <c r="F491" s="239" t="s">
        <v>657</v>
      </c>
      <c r="G491" s="290" t="s">
        <v>666</v>
      </c>
      <c r="H491" s="291" t="s">
        <v>152</v>
      </c>
      <c r="I491" s="239" t="s">
        <v>402</v>
      </c>
      <c r="J491" s="424">
        <f t="shared" si="17"/>
        <v>365</v>
      </c>
      <c r="K491" s="425">
        <v>255</v>
      </c>
      <c r="L491" s="425"/>
      <c r="M491" s="425">
        <v>102</v>
      </c>
      <c r="N491" s="425"/>
      <c r="O491" s="425">
        <v>8</v>
      </c>
      <c r="P491" s="425"/>
      <c r="Q491" s="294">
        <v>21</v>
      </c>
      <c r="R491" s="295" t="e">
        <f>IF(K491="nio",0,(K491*Q491)/X491)*VLOOKUP(C491,'2-Uren per locatie'!$B$15:$D$74,3,FALSE)</f>
        <v>#DIV/0!</v>
      </c>
      <c r="S491" s="295" t="e">
        <f>IF(K491="nio",0,(L491*Q491)/Y491)*VLOOKUP(C491,'2-Uren per locatie'!$B$15:$D$74,3,FALSE)</f>
        <v>#DIV/0!</v>
      </c>
      <c r="T491" s="295" t="e">
        <f>IF(K491="nio",0,(M491*Q491)/Z491)*VLOOKUP(C491,'2-Uren per locatie'!$B$15:$D$74,3,FALSE)</f>
        <v>#DIV/0!</v>
      </c>
      <c r="U491" s="295" t="e">
        <f>IF(K491="nio",0,(N491*Q491)/AA491)*VLOOKUP(C491,'2-Uren per locatie'!$B$15:$D$74,3,FALSE)</f>
        <v>#DIV/0!</v>
      </c>
      <c r="V491" s="295" t="e">
        <f>IF(K491="nio",0,(O491*Q491)/Z491)*VLOOKUP(C491,'2-Uren per locatie'!$B$15:$D$74,3,FALSE)</f>
        <v>#DIV/0!</v>
      </c>
      <c r="W491" s="295" t="e">
        <f>IF(K491="nio",0,(P491*Q491)/AA491)*VLOOKUP(C491,'2-Uren per locatie'!$B$15:$D$74,3,FALSE)</f>
        <v>#DIV/0!</v>
      </c>
      <c r="X491" s="485">
        <f>IF(K491="nio",0,IF(K491&gt;0,VLOOKUP(H491,'3-Productie normen'!A:F,VLOOKUP(K491,'3-Productie normen'!$B$29:$C$34,2,FALSE),FALSE)))</f>
        <v>0</v>
      </c>
      <c r="Y491" s="485">
        <f>VLOOKUP(H491,'3-Productie normen'!$A$10:$J$24,8,FALSE)*'3-Ruimtestaat'!X491</f>
        <v>0</v>
      </c>
      <c r="Z491" s="485">
        <f>VLOOKUP(H491,'3-Productie normen'!$A$10:$J$24,9,FALSE)*'3-Ruimtestaat'!X491</f>
        <v>0</v>
      </c>
      <c r="AA491" s="485">
        <f>VLOOKUP(H491,'3-Productie normen'!$A$10:$J$24,10,FALSE)*'3-Ruimtestaat'!X491</f>
        <v>0</v>
      </c>
      <c r="AB491" s="292" t="str">
        <f>IF(H491="",0,VLOOKUP(H491,'3-Productie normen'!$A$10:$N$23,14,FALSE))</f>
        <v>V</v>
      </c>
      <c r="AD491" s="296">
        <f t="shared" si="18"/>
        <v>7665</v>
      </c>
      <c r="AE491" s="78"/>
      <c r="AF491" s="253"/>
      <c r="AG491" s="253"/>
      <c r="AH491" s="253"/>
      <c r="AI491" s="253"/>
      <c r="AJ491" s="253"/>
      <c r="AK491" s="253"/>
      <c r="AL491" s="253"/>
      <c r="AM491" s="253"/>
      <c r="AN491" s="253"/>
      <c r="AO491" s="253"/>
    </row>
    <row r="492" spans="1:41" ht="15" customHeight="1">
      <c r="A492" s="254">
        <v>492</v>
      </c>
      <c r="B492" s="253">
        <v>601</v>
      </c>
      <c r="C492" s="240" t="s">
        <v>108</v>
      </c>
      <c r="D492" s="288" t="s">
        <v>634</v>
      </c>
      <c r="E492" s="289" t="s">
        <v>648</v>
      </c>
      <c r="F492" s="239" t="s">
        <v>667</v>
      </c>
      <c r="G492" s="290" t="s">
        <v>668</v>
      </c>
      <c r="H492" s="291" t="s">
        <v>145</v>
      </c>
      <c r="I492" s="239" t="s">
        <v>637</v>
      </c>
      <c r="J492" s="424">
        <f t="shared" si="17"/>
        <v>365</v>
      </c>
      <c r="K492" s="425">
        <v>255</v>
      </c>
      <c r="L492" s="425"/>
      <c r="M492" s="425">
        <v>102</v>
      </c>
      <c r="N492" s="425"/>
      <c r="O492" s="425">
        <v>8</v>
      </c>
      <c r="P492" s="425"/>
      <c r="Q492" s="294">
        <v>390</v>
      </c>
      <c r="R492" s="295" t="e">
        <f>IF(K492="nio",0,(K492*Q492)/X492)*VLOOKUP(C492,'2-Uren per locatie'!$B$15:$D$74,3,FALSE)</f>
        <v>#DIV/0!</v>
      </c>
      <c r="S492" s="295" t="e">
        <f>IF(K492="nio",0,(L492*Q492)/Y492)*VLOOKUP(C492,'2-Uren per locatie'!$B$15:$D$74,3,FALSE)</f>
        <v>#DIV/0!</v>
      </c>
      <c r="T492" s="295" t="e">
        <f>IF(K492="nio",0,(M492*Q492)/Z492)*VLOOKUP(C492,'2-Uren per locatie'!$B$15:$D$74,3,FALSE)</f>
        <v>#DIV/0!</v>
      </c>
      <c r="U492" s="295" t="e">
        <f>IF(K492="nio",0,(N492*Q492)/AA492)*VLOOKUP(C492,'2-Uren per locatie'!$B$15:$D$74,3,FALSE)</f>
        <v>#DIV/0!</v>
      </c>
      <c r="V492" s="295" t="e">
        <f>IF(K492="nio",0,(O492*Q492)/Z492)*VLOOKUP(C492,'2-Uren per locatie'!$B$15:$D$74,3,FALSE)</f>
        <v>#DIV/0!</v>
      </c>
      <c r="W492" s="295" t="e">
        <f>IF(K492="nio",0,(P492*Q492)/AA492)*VLOOKUP(C492,'2-Uren per locatie'!$B$15:$D$74,3,FALSE)</f>
        <v>#DIV/0!</v>
      </c>
      <c r="X492" s="485">
        <f>IF(K492="nio",0,IF(K492&gt;0,VLOOKUP(H492,'3-Productie normen'!A:F,VLOOKUP(K492,'3-Productie normen'!$B$29:$C$34,2,FALSE),FALSE)))</f>
        <v>0</v>
      </c>
      <c r="Y492" s="485">
        <f>VLOOKUP(H492,'3-Productie normen'!$A$10:$J$24,8,FALSE)*'3-Ruimtestaat'!X492</f>
        <v>0</v>
      </c>
      <c r="Z492" s="485">
        <f>VLOOKUP(H492,'3-Productie normen'!$A$10:$J$24,9,FALSE)*'3-Ruimtestaat'!X492</f>
        <v>0</v>
      </c>
      <c r="AA492" s="485">
        <f>VLOOKUP(H492,'3-Productie normen'!$A$10:$J$24,10,FALSE)*'3-Ruimtestaat'!X492</f>
        <v>0</v>
      </c>
      <c r="AB492" s="292" t="str">
        <f>IF(H492="",0,VLOOKUP(H492,'3-Productie normen'!$A$10:$N$23,14,FALSE))</f>
        <v>V</v>
      </c>
      <c r="AD492" s="296">
        <f t="shared" si="18"/>
        <v>142350</v>
      </c>
      <c r="AE492" s="78"/>
      <c r="AF492" s="253"/>
      <c r="AG492" s="253"/>
      <c r="AH492" s="253"/>
      <c r="AI492" s="253"/>
      <c r="AJ492" s="253"/>
      <c r="AK492" s="253"/>
      <c r="AL492" s="253"/>
      <c r="AM492" s="253"/>
      <c r="AN492" s="253"/>
      <c r="AO492" s="253"/>
    </row>
    <row r="493" spans="1:41" ht="15" customHeight="1">
      <c r="A493" s="254">
        <v>493</v>
      </c>
      <c r="B493" s="253">
        <v>601</v>
      </c>
      <c r="C493" s="240" t="s">
        <v>108</v>
      </c>
      <c r="D493" s="288" t="s">
        <v>634</v>
      </c>
      <c r="E493" s="289" t="s">
        <v>648</v>
      </c>
      <c r="F493" s="239" t="s">
        <v>669</v>
      </c>
      <c r="G493" s="290" t="s">
        <v>670</v>
      </c>
      <c r="H493" s="291" t="s">
        <v>152</v>
      </c>
      <c r="I493" s="239" t="s">
        <v>402</v>
      </c>
      <c r="J493" s="424">
        <f t="shared" si="17"/>
        <v>365</v>
      </c>
      <c r="K493" s="425">
        <v>255</v>
      </c>
      <c r="L493" s="425"/>
      <c r="M493" s="425">
        <v>102</v>
      </c>
      <c r="N493" s="425"/>
      <c r="O493" s="425">
        <v>8</v>
      </c>
      <c r="P493" s="425"/>
      <c r="Q493" s="294">
        <v>21</v>
      </c>
      <c r="R493" s="295" t="e">
        <f>IF(K493="nio",0,(K493*Q493)/X493)*VLOOKUP(C493,'2-Uren per locatie'!$B$15:$D$74,3,FALSE)</f>
        <v>#DIV/0!</v>
      </c>
      <c r="S493" s="295" t="e">
        <f>IF(K493="nio",0,(L493*Q493)/Y493)*VLOOKUP(C493,'2-Uren per locatie'!$B$15:$D$74,3,FALSE)</f>
        <v>#DIV/0!</v>
      </c>
      <c r="T493" s="295" t="e">
        <f>IF(K493="nio",0,(M493*Q493)/Z493)*VLOOKUP(C493,'2-Uren per locatie'!$B$15:$D$74,3,FALSE)</f>
        <v>#DIV/0!</v>
      </c>
      <c r="U493" s="295" t="e">
        <f>IF(K493="nio",0,(N493*Q493)/AA493)*VLOOKUP(C493,'2-Uren per locatie'!$B$15:$D$74,3,FALSE)</f>
        <v>#DIV/0!</v>
      </c>
      <c r="V493" s="295" t="e">
        <f>IF(K493="nio",0,(O493*Q493)/Z493)*VLOOKUP(C493,'2-Uren per locatie'!$B$15:$D$74,3,FALSE)</f>
        <v>#DIV/0!</v>
      </c>
      <c r="W493" s="295" t="e">
        <f>IF(K493="nio",0,(P493*Q493)/AA493)*VLOOKUP(C493,'2-Uren per locatie'!$B$15:$D$74,3,FALSE)</f>
        <v>#DIV/0!</v>
      </c>
      <c r="X493" s="485">
        <f>IF(K493="nio",0,IF(K493&gt;0,VLOOKUP(H493,'3-Productie normen'!A:F,VLOOKUP(K493,'3-Productie normen'!$B$29:$C$34,2,FALSE),FALSE)))</f>
        <v>0</v>
      </c>
      <c r="Y493" s="485">
        <f>VLOOKUP(H493,'3-Productie normen'!$A$10:$J$24,8,FALSE)*'3-Ruimtestaat'!X493</f>
        <v>0</v>
      </c>
      <c r="Z493" s="485">
        <f>VLOOKUP(H493,'3-Productie normen'!$A$10:$J$24,9,FALSE)*'3-Ruimtestaat'!X493</f>
        <v>0</v>
      </c>
      <c r="AA493" s="485">
        <f>VLOOKUP(H493,'3-Productie normen'!$A$10:$J$24,10,FALSE)*'3-Ruimtestaat'!X493</f>
        <v>0</v>
      </c>
      <c r="AB493" s="292" t="str">
        <f>IF(H493="",0,VLOOKUP(H493,'3-Productie normen'!$A$10:$N$23,14,FALSE))</f>
        <v>V</v>
      </c>
      <c r="AD493" s="296">
        <f t="shared" si="18"/>
        <v>7665</v>
      </c>
      <c r="AE493" s="78"/>
      <c r="AF493" s="253"/>
      <c r="AG493" s="253"/>
      <c r="AH493" s="253"/>
      <c r="AI493" s="253"/>
      <c r="AJ493" s="253"/>
      <c r="AK493" s="253"/>
      <c r="AL493" s="253"/>
      <c r="AM493" s="253"/>
      <c r="AN493" s="253"/>
      <c r="AO493" s="253"/>
    </row>
    <row r="494" spans="1:41" ht="15" customHeight="1">
      <c r="A494" s="254">
        <v>494</v>
      </c>
      <c r="B494" s="253">
        <v>601</v>
      </c>
      <c r="C494" s="240" t="s">
        <v>108</v>
      </c>
      <c r="D494" s="288" t="s">
        <v>634</v>
      </c>
      <c r="E494" s="289" t="s">
        <v>648</v>
      </c>
      <c r="F494" s="239" t="s">
        <v>671</v>
      </c>
      <c r="G494" s="290" t="s">
        <v>672</v>
      </c>
      <c r="H494" s="291" t="s">
        <v>155</v>
      </c>
      <c r="I494" s="239" t="s">
        <v>637</v>
      </c>
      <c r="J494" s="424">
        <f t="shared" si="17"/>
        <v>365</v>
      </c>
      <c r="K494" s="425">
        <v>255</v>
      </c>
      <c r="L494" s="425"/>
      <c r="M494" s="425">
        <v>102</v>
      </c>
      <c r="N494" s="425"/>
      <c r="O494" s="425">
        <v>8</v>
      </c>
      <c r="P494" s="425"/>
      <c r="Q494" s="294">
        <v>60</v>
      </c>
      <c r="R494" s="295" t="e">
        <f>IF(K494="nio",0,(K494*Q494)/X494)*VLOOKUP(C494,'2-Uren per locatie'!$B$15:$D$74,3,FALSE)</f>
        <v>#DIV/0!</v>
      </c>
      <c r="S494" s="295" t="e">
        <f>IF(K494="nio",0,(L494*Q494)/Y494)*VLOOKUP(C494,'2-Uren per locatie'!$B$15:$D$74,3,FALSE)</f>
        <v>#DIV/0!</v>
      </c>
      <c r="T494" s="295" t="e">
        <f>IF(K494="nio",0,(M494*Q494)/Z494)*VLOOKUP(C494,'2-Uren per locatie'!$B$15:$D$74,3,FALSE)</f>
        <v>#DIV/0!</v>
      </c>
      <c r="U494" s="295" t="e">
        <f>IF(K494="nio",0,(N494*Q494)/AA494)*VLOOKUP(C494,'2-Uren per locatie'!$B$15:$D$74,3,FALSE)</f>
        <v>#DIV/0!</v>
      </c>
      <c r="V494" s="295" t="e">
        <f>IF(K494="nio",0,(O494*Q494)/Z494)*VLOOKUP(C494,'2-Uren per locatie'!$B$15:$D$74,3,FALSE)</f>
        <v>#DIV/0!</v>
      </c>
      <c r="W494" s="295" t="e">
        <f>IF(K494="nio",0,(P494*Q494)/AA494)*VLOOKUP(C494,'2-Uren per locatie'!$B$15:$D$74,3,FALSE)</f>
        <v>#DIV/0!</v>
      </c>
      <c r="X494" s="485">
        <f>IF(K494="nio",0,IF(K494&gt;0,VLOOKUP(H494,'3-Productie normen'!A:F,VLOOKUP(K494,'3-Productie normen'!$B$29:$C$34,2,FALSE),FALSE)))</f>
        <v>0</v>
      </c>
      <c r="Y494" s="485">
        <f>VLOOKUP(H494,'3-Productie normen'!$A$10:$J$24,8,FALSE)*'3-Ruimtestaat'!X494</f>
        <v>0</v>
      </c>
      <c r="Z494" s="485">
        <f>VLOOKUP(H494,'3-Productie normen'!$A$10:$J$24,9,FALSE)*'3-Ruimtestaat'!X494</f>
        <v>0</v>
      </c>
      <c r="AA494" s="485">
        <f>VLOOKUP(H494,'3-Productie normen'!$A$10:$J$24,10,FALSE)*'3-Ruimtestaat'!X494</f>
        <v>0</v>
      </c>
      <c r="AB494" s="292" t="str">
        <f>IF(H494="",0,VLOOKUP(H494,'3-Productie normen'!$A$10:$N$23,14,FALSE))</f>
        <v>V</v>
      </c>
      <c r="AD494" s="296">
        <f t="shared" si="18"/>
        <v>21900</v>
      </c>
      <c r="AE494" s="78"/>
      <c r="AF494" s="253"/>
      <c r="AG494" s="253"/>
      <c r="AH494" s="253"/>
      <c r="AI494" s="253"/>
      <c r="AJ494" s="253"/>
      <c r="AK494" s="253"/>
      <c r="AL494" s="253"/>
      <c r="AM494" s="253"/>
      <c r="AN494" s="253"/>
      <c r="AO494" s="253"/>
    </row>
    <row r="495" spans="1:41" ht="15" customHeight="1">
      <c r="A495" s="254">
        <v>495</v>
      </c>
      <c r="B495" s="253">
        <v>601</v>
      </c>
      <c r="C495" s="240" t="s">
        <v>108</v>
      </c>
      <c r="D495" s="288" t="s">
        <v>634</v>
      </c>
      <c r="E495" s="289" t="s">
        <v>648</v>
      </c>
      <c r="F495" s="239" t="s">
        <v>673</v>
      </c>
      <c r="G495" s="290" t="s">
        <v>674</v>
      </c>
      <c r="H495" s="291" t="s">
        <v>149</v>
      </c>
      <c r="I495" s="239" t="s">
        <v>402</v>
      </c>
      <c r="J495" s="424">
        <f t="shared" si="17"/>
        <v>365</v>
      </c>
      <c r="K495" s="425">
        <v>255</v>
      </c>
      <c r="L495" s="425"/>
      <c r="M495" s="425">
        <v>102</v>
      </c>
      <c r="N495" s="425"/>
      <c r="O495" s="425">
        <v>8</v>
      </c>
      <c r="P495" s="425"/>
      <c r="Q495" s="294">
        <v>2</v>
      </c>
      <c r="R495" s="295" t="e">
        <f>IF(K495="nio",0,(K495*Q495)/X495)*VLOOKUP(C495,'2-Uren per locatie'!$B$15:$D$74,3,FALSE)</f>
        <v>#DIV/0!</v>
      </c>
      <c r="S495" s="295" t="e">
        <f>IF(K495="nio",0,(L495*Q495)/Y495)*VLOOKUP(C495,'2-Uren per locatie'!$B$15:$D$74,3,FALSE)</f>
        <v>#DIV/0!</v>
      </c>
      <c r="T495" s="295" t="e">
        <f>IF(K495="nio",0,(M495*Q495)/Z495)*VLOOKUP(C495,'2-Uren per locatie'!$B$15:$D$74,3,FALSE)</f>
        <v>#DIV/0!</v>
      </c>
      <c r="U495" s="295" t="e">
        <f>IF(K495="nio",0,(N495*Q495)/AA495)*VLOOKUP(C495,'2-Uren per locatie'!$B$15:$D$74,3,FALSE)</f>
        <v>#DIV/0!</v>
      </c>
      <c r="V495" s="295" t="e">
        <f>IF(K495="nio",0,(O495*Q495)/Z495)*VLOOKUP(C495,'2-Uren per locatie'!$B$15:$D$74,3,FALSE)</f>
        <v>#DIV/0!</v>
      </c>
      <c r="W495" s="295" t="e">
        <f>IF(K495="nio",0,(P495*Q495)/AA495)*VLOOKUP(C495,'2-Uren per locatie'!$B$15:$D$74,3,FALSE)</f>
        <v>#DIV/0!</v>
      </c>
      <c r="X495" s="485">
        <f>IF(K495="nio",0,IF(K495&gt;0,VLOOKUP(H495,'3-Productie normen'!A:F,VLOOKUP(K495,'3-Productie normen'!$B$29:$C$34,2,FALSE),FALSE)))</f>
        <v>0</v>
      </c>
      <c r="Y495" s="485">
        <f>VLOOKUP(H495,'3-Productie normen'!$A$10:$J$24,8,FALSE)*'3-Ruimtestaat'!X495</f>
        <v>0</v>
      </c>
      <c r="Z495" s="485">
        <f>VLOOKUP(H495,'3-Productie normen'!$A$10:$J$24,9,FALSE)*'3-Ruimtestaat'!X495</f>
        <v>0</v>
      </c>
      <c r="AA495" s="485">
        <f>VLOOKUP(H495,'3-Productie normen'!$A$10:$J$24,10,FALSE)*'3-Ruimtestaat'!X495</f>
        <v>0</v>
      </c>
      <c r="AB495" s="292" t="str">
        <f>IF(H495="",0,VLOOKUP(H495,'3-Productie normen'!$A$10:$N$23,14,FALSE))</f>
        <v>V</v>
      </c>
      <c r="AD495" s="296">
        <f t="shared" si="18"/>
        <v>730</v>
      </c>
      <c r="AE495" s="78"/>
      <c r="AF495" s="253"/>
      <c r="AG495" s="253"/>
      <c r="AH495" s="253"/>
      <c r="AI495" s="253"/>
      <c r="AJ495" s="253"/>
      <c r="AK495" s="253"/>
      <c r="AL495" s="253"/>
      <c r="AM495" s="253"/>
      <c r="AN495" s="253"/>
      <c r="AO495" s="253"/>
    </row>
    <row r="496" spans="1:41" ht="15" customHeight="1">
      <c r="A496" s="254">
        <v>496</v>
      </c>
      <c r="B496" s="253">
        <v>601</v>
      </c>
      <c r="C496" s="240" t="s">
        <v>108</v>
      </c>
      <c r="D496" s="288" t="s">
        <v>634</v>
      </c>
      <c r="E496" s="289" t="s">
        <v>648</v>
      </c>
      <c r="F496" s="239" t="s">
        <v>675</v>
      </c>
      <c r="G496" s="290" t="s">
        <v>676</v>
      </c>
      <c r="H496" s="291" t="s">
        <v>149</v>
      </c>
      <c r="I496" s="239" t="s">
        <v>402</v>
      </c>
      <c r="J496" s="424">
        <f t="shared" si="17"/>
        <v>365</v>
      </c>
      <c r="K496" s="425">
        <v>255</v>
      </c>
      <c r="L496" s="425"/>
      <c r="M496" s="425">
        <v>102</v>
      </c>
      <c r="N496" s="425"/>
      <c r="O496" s="425">
        <v>8</v>
      </c>
      <c r="P496" s="425"/>
      <c r="Q496" s="294">
        <v>2</v>
      </c>
      <c r="R496" s="295" t="e">
        <f>IF(K496="nio",0,(K496*Q496)/X496)*VLOOKUP(C496,'2-Uren per locatie'!$B$15:$D$74,3,FALSE)</f>
        <v>#DIV/0!</v>
      </c>
      <c r="S496" s="295" t="e">
        <f>IF(K496="nio",0,(L496*Q496)/Y496)*VLOOKUP(C496,'2-Uren per locatie'!$B$15:$D$74,3,FALSE)</f>
        <v>#DIV/0!</v>
      </c>
      <c r="T496" s="295" t="e">
        <f>IF(K496="nio",0,(M496*Q496)/Z496)*VLOOKUP(C496,'2-Uren per locatie'!$B$15:$D$74,3,FALSE)</f>
        <v>#DIV/0!</v>
      </c>
      <c r="U496" s="295" t="e">
        <f>IF(K496="nio",0,(N496*Q496)/AA496)*VLOOKUP(C496,'2-Uren per locatie'!$B$15:$D$74,3,FALSE)</f>
        <v>#DIV/0!</v>
      </c>
      <c r="V496" s="295" t="e">
        <f>IF(K496="nio",0,(O496*Q496)/Z496)*VLOOKUP(C496,'2-Uren per locatie'!$B$15:$D$74,3,FALSE)</f>
        <v>#DIV/0!</v>
      </c>
      <c r="W496" s="295" t="e">
        <f>IF(K496="nio",0,(P496*Q496)/AA496)*VLOOKUP(C496,'2-Uren per locatie'!$B$15:$D$74,3,FALSE)</f>
        <v>#DIV/0!</v>
      </c>
      <c r="X496" s="485">
        <f>IF(K496="nio",0,IF(K496&gt;0,VLOOKUP(H496,'3-Productie normen'!A:F,VLOOKUP(K496,'3-Productie normen'!$B$29:$C$34,2,FALSE),FALSE)))</f>
        <v>0</v>
      </c>
      <c r="Y496" s="485">
        <f>VLOOKUP(H496,'3-Productie normen'!$A$10:$J$24,8,FALSE)*'3-Ruimtestaat'!X496</f>
        <v>0</v>
      </c>
      <c r="Z496" s="485">
        <f>VLOOKUP(H496,'3-Productie normen'!$A$10:$J$24,9,FALSE)*'3-Ruimtestaat'!X496</f>
        <v>0</v>
      </c>
      <c r="AA496" s="485">
        <f>VLOOKUP(H496,'3-Productie normen'!$A$10:$J$24,10,FALSE)*'3-Ruimtestaat'!X496</f>
        <v>0</v>
      </c>
      <c r="AB496" s="292" t="str">
        <f>IF(H496="",0,VLOOKUP(H496,'3-Productie normen'!$A$10:$N$23,14,FALSE))</f>
        <v>V</v>
      </c>
      <c r="AD496" s="296">
        <f t="shared" si="18"/>
        <v>730</v>
      </c>
      <c r="AE496" s="78"/>
      <c r="AF496" s="253"/>
      <c r="AG496" s="253"/>
      <c r="AH496" s="253"/>
      <c r="AI496" s="253"/>
      <c r="AJ496" s="253"/>
      <c r="AK496" s="253"/>
      <c r="AL496" s="253"/>
      <c r="AM496" s="253"/>
      <c r="AN496" s="253"/>
      <c r="AO496" s="253"/>
    </row>
    <row r="497" spans="1:41" ht="15" customHeight="1">
      <c r="A497" s="254">
        <v>497</v>
      </c>
      <c r="B497" s="253">
        <v>601</v>
      </c>
      <c r="C497" s="240" t="s">
        <v>108</v>
      </c>
      <c r="D497" s="288" t="s">
        <v>634</v>
      </c>
      <c r="E497" s="289" t="s">
        <v>648</v>
      </c>
      <c r="F497" s="239" t="s">
        <v>671</v>
      </c>
      <c r="G497" s="290" t="s">
        <v>677</v>
      </c>
      <c r="H497" s="291" t="s">
        <v>155</v>
      </c>
      <c r="I497" s="239" t="s">
        <v>637</v>
      </c>
      <c r="J497" s="424">
        <f t="shared" si="17"/>
        <v>365</v>
      </c>
      <c r="K497" s="425">
        <v>255</v>
      </c>
      <c r="L497" s="425"/>
      <c r="M497" s="425">
        <v>102</v>
      </c>
      <c r="N497" s="425"/>
      <c r="O497" s="425">
        <v>8</v>
      </c>
      <c r="P497" s="425"/>
      <c r="Q497" s="294">
        <v>60</v>
      </c>
      <c r="R497" s="295" t="e">
        <f>IF(K497="nio",0,(K497*Q497)/X497)*VLOOKUP(C497,'2-Uren per locatie'!$B$15:$D$74,3,FALSE)</f>
        <v>#DIV/0!</v>
      </c>
      <c r="S497" s="295" t="e">
        <f>IF(K497="nio",0,(L497*Q497)/Y497)*VLOOKUP(C497,'2-Uren per locatie'!$B$15:$D$74,3,FALSE)</f>
        <v>#DIV/0!</v>
      </c>
      <c r="T497" s="295" t="e">
        <f>IF(K497="nio",0,(M497*Q497)/Z497)*VLOOKUP(C497,'2-Uren per locatie'!$B$15:$D$74,3,FALSE)</f>
        <v>#DIV/0!</v>
      </c>
      <c r="U497" s="295" t="e">
        <f>IF(K497="nio",0,(N497*Q497)/AA497)*VLOOKUP(C497,'2-Uren per locatie'!$B$15:$D$74,3,FALSE)</f>
        <v>#DIV/0!</v>
      </c>
      <c r="V497" s="295" t="e">
        <f>IF(K497="nio",0,(O497*Q497)/Z497)*VLOOKUP(C497,'2-Uren per locatie'!$B$15:$D$74,3,FALSE)</f>
        <v>#DIV/0!</v>
      </c>
      <c r="W497" s="295" t="e">
        <f>IF(K497="nio",0,(P497*Q497)/AA497)*VLOOKUP(C497,'2-Uren per locatie'!$B$15:$D$74,3,FALSE)</f>
        <v>#DIV/0!</v>
      </c>
      <c r="X497" s="485">
        <f>IF(K497="nio",0,IF(K497&gt;0,VLOOKUP(H497,'3-Productie normen'!A:F,VLOOKUP(K497,'3-Productie normen'!$B$29:$C$34,2,FALSE),FALSE)))</f>
        <v>0</v>
      </c>
      <c r="Y497" s="485">
        <f>VLOOKUP(H497,'3-Productie normen'!$A$10:$J$24,8,FALSE)*'3-Ruimtestaat'!X497</f>
        <v>0</v>
      </c>
      <c r="Z497" s="485">
        <f>VLOOKUP(H497,'3-Productie normen'!$A$10:$J$24,9,FALSE)*'3-Ruimtestaat'!X497</f>
        <v>0</v>
      </c>
      <c r="AA497" s="485">
        <f>VLOOKUP(H497,'3-Productie normen'!$A$10:$J$24,10,FALSE)*'3-Ruimtestaat'!X497</f>
        <v>0</v>
      </c>
      <c r="AB497" s="292" t="str">
        <f>IF(H497="",0,VLOOKUP(H497,'3-Productie normen'!$A$10:$N$23,14,FALSE))</f>
        <v>V</v>
      </c>
      <c r="AD497" s="296">
        <f t="shared" si="18"/>
        <v>21900</v>
      </c>
      <c r="AE497" s="78"/>
      <c r="AF497" s="253"/>
      <c r="AG497" s="253"/>
      <c r="AH497" s="253"/>
      <c r="AI497" s="253"/>
      <c r="AJ497" s="253"/>
      <c r="AK497" s="253"/>
      <c r="AL497" s="253"/>
      <c r="AM497" s="253"/>
      <c r="AN497" s="253"/>
      <c r="AO497" s="253"/>
    </row>
    <row r="498" spans="1:41" ht="15" customHeight="1">
      <c r="A498" s="254">
        <v>498</v>
      </c>
      <c r="B498" s="253">
        <v>601</v>
      </c>
      <c r="C498" s="240" t="s">
        <v>108</v>
      </c>
      <c r="D498" s="288" t="s">
        <v>634</v>
      </c>
      <c r="E498" s="289" t="s">
        <v>648</v>
      </c>
      <c r="F498" s="239" t="s">
        <v>669</v>
      </c>
      <c r="G498" s="290" t="s">
        <v>678</v>
      </c>
      <c r="H498" s="291" t="s">
        <v>152</v>
      </c>
      <c r="I498" s="239" t="s">
        <v>402</v>
      </c>
      <c r="J498" s="424">
        <f t="shared" si="17"/>
        <v>365</v>
      </c>
      <c r="K498" s="425">
        <v>255</v>
      </c>
      <c r="L498" s="425"/>
      <c r="M498" s="425">
        <v>102</v>
      </c>
      <c r="N498" s="425"/>
      <c r="O498" s="425">
        <v>8</v>
      </c>
      <c r="P498" s="425"/>
      <c r="Q498" s="294">
        <v>21</v>
      </c>
      <c r="R498" s="295" t="e">
        <f>IF(K498="nio",0,(K498*Q498)/X498)*VLOOKUP(C498,'2-Uren per locatie'!$B$15:$D$74,3,FALSE)</f>
        <v>#DIV/0!</v>
      </c>
      <c r="S498" s="295" t="e">
        <f>IF(K498="nio",0,(L498*Q498)/Y498)*VLOOKUP(C498,'2-Uren per locatie'!$B$15:$D$74,3,FALSE)</f>
        <v>#DIV/0!</v>
      </c>
      <c r="T498" s="295" t="e">
        <f>IF(K498="nio",0,(M498*Q498)/Z498)*VLOOKUP(C498,'2-Uren per locatie'!$B$15:$D$74,3,FALSE)</f>
        <v>#DIV/0!</v>
      </c>
      <c r="U498" s="295" t="e">
        <f>IF(K498="nio",0,(N498*Q498)/AA498)*VLOOKUP(C498,'2-Uren per locatie'!$B$15:$D$74,3,FALSE)</f>
        <v>#DIV/0!</v>
      </c>
      <c r="V498" s="295" t="e">
        <f>IF(K498="nio",0,(O498*Q498)/Z498)*VLOOKUP(C498,'2-Uren per locatie'!$B$15:$D$74,3,FALSE)</f>
        <v>#DIV/0!</v>
      </c>
      <c r="W498" s="295" t="e">
        <f>IF(K498="nio",0,(P498*Q498)/AA498)*VLOOKUP(C498,'2-Uren per locatie'!$B$15:$D$74,3,FALSE)</f>
        <v>#DIV/0!</v>
      </c>
      <c r="X498" s="485">
        <f>IF(K498="nio",0,IF(K498&gt;0,VLOOKUP(H498,'3-Productie normen'!A:F,VLOOKUP(K498,'3-Productie normen'!$B$29:$C$34,2,FALSE),FALSE)))</f>
        <v>0</v>
      </c>
      <c r="Y498" s="485">
        <f>VLOOKUP(H498,'3-Productie normen'!$A$10:$J$24,8,FALSE)*'3-Ruimtestaat'!X498</f>
        <v>0</v>
      </c>
      <c r="Z498" s="485">
        <f>VLOOKUP(H498,'3-Productie normen'!$A$10:$J$24,9,FALSE)*'3-Ruimtestaat'!X498</f>
        <v>0</v>
      </c>
      <c r="AA498" s="485">
        <f>VLOOKUP(H498,'3-Productie normen'!$A$10:$J$24,10,FALSE)*'3-Ruimtestaat'!X498</f>
        <v>0</v>
      </c>
      <c r="AB498" s="292" t="str">
        <f>IF(H498="",0,VLOOKUP(H498,'3-Productie normen'!$A$10:$N$23,14,FALSE))</f>
        <v>V</v>
      </c>
      <c r="AD498" s="296">
        <f t="shared" si="18"/>
        <v>7665</v>
      </c>
      <c r="AE498" s="78"/>
      <c r="AF498" s="253"/>
      <c r="AG498" s="253"/>
      <c r="AH498" s="253"/>
      <c r="AI498" s="253"/>
      <c r="AJ498" s="253"/>
      <c r="AK498" s="253"/>
      <c r="AL498" s="253"/>
      <c r="AM498" s="253"/>
      <c r="AN498" s="253"/>
      <c r="AO498" s="253"/>
    </row>
    <row r="499" spans="1:41" ht="15" customHeight="1">
      <c r="A499" s="254">
        <v>499</v>
      </c>
      <c r="B499" s="253">
        <v>601</v>
      </c>
      <c r="C499" s="240" t="s">
        <v>108</v>
      </c>
      <c r="D499" s="288" t="s">
        <v>634</v>
      </c>
      <c r="E499" s="289" t="s">
        <v>679</v>
      </c>
      <c r="F499" s="239" t="s">
        <v>249</v>
      </c>
      <c r="G499" s="290" t="s">
        <v>680</v>
      </c>
      <c r="H499" s="291" t="s">
        <v>151</v>
      </c>
      <c r="I499" s="239" t="s">
        <v>637</v>
      </c>
      <c r="J499" s="424">
        <f t="shared" si="17"/>
        <v>365</v>
      </c>
      <c r="K499" s="425">
        <v>255</v>
      </c>
      <c r="L499" s="425"/>
      <c r="M499" s="425">
        <v>102</v>
      </c>
      <c r="N499" s="425"/>
      <c r="O499" s="425">
        <v>8</v>
      </c>
      <c r="P499" s="425"/>
      <c r="Q499" s="294">
        <v>1700</v>
      </c>
      <c r="R499" s="295" t="e">
        <f>IF(K499="nio",0,(K499*Q499)/X499)*VLOOKUP(C499,'2-Uren per locatie'!$B$15:$D$74,3,FALSE)</f>
        <v>#DIV/0!</v>
      </c>
      <c r="S499" s="295" t="e">
        <f>IF(K499="nio",0,(L499*Q499)/Y499)*VLOOKUP(C499,'2-Uren per locatie'!$B$15:$D$74,3,FALSE)</f>
        <v>#DIV/0!</v>
      </c>
      <c r="T499" s="295" t="e">
        <f>IF(K499="nio",0,(M499*Q499)/Z499)*VLOOKUP(C499,'2-Uren per locatie'!$B$15:$D$74,3,FALSE)</f>
        <v>#DIV/0!</v>
      </c>
      <c r="U499" s="295" t="e">
        <f>IF(K499="nio",0,(N499*Q499)/AA499)*VLOOKUP(C499,'2-Uren per locatie'!$B$15:$D$74,3,FALSE)</f>
        <v>#DIV/0!</v>
      </c>
      <c r="V499" s="295" t="e">
        <f>IF(K499="nio",0,(O499*Q499)/Z499)*VLOOKUP(C499,'2-Uren per locatie'!$B$15:$D$74,3,FALSE)</f>
        <v>#DIV/0!</v>
      </c>
      <c r="W499" s="295" t="e">
        <f>IF(K499="nio",0,(P499*Q499)/AA499)*VLOOKUP(C499,'2-Uren per locatie'!$B$15:$D$74,3,FALSE)</f>
        <v>#DIV/0!</v>
      </c>
      <c r="X499" s="485">
        <f>IF(K499="nio",0,IF(K499&gt;0,VLOOKUP(H499,'3-Productie normen'!A:F,VLOOKUP(K499,'3-Productie normen'!$B$29:$C$34,2,FALSE),FALSE)))</f>
        <v>0</v>
      </c>
      <c r="Y499" s="485">
        <f>VLOOKUP(H499,'3-Productie normen'!$A$10:$J$24,8,FALSE)*'3-Ruimtestaat'!X499</f>
        <v>0</v>
      </c>
      <c r="Z499" s="485">
        <f>VLOOKUP(H499,'3-Productie normen'!$A$10:$J$24,9,FALSE)*'3-Ruimtestaat'!X499</f>
        <v>0</v>
      </c>
      <c r="AA499" s="485">
        <f>VLOOKUP(H499,'3-Productie normen'!$A$10:$J$24,10,FALSE)*'3-Ruimtestaat'!X499</f>
        <v>0</v>
      </c>
      <c r="AB499" s="292" t="str">
        <f>IF(H499="",0,VLOOKUP(H499,'3-Productie normen'!$A$10:$N$23,14,FALSE))</f>
        <v>V</v>
      </c>
      <c r="AD499" s="296">
        <f t="shared" si="18"/>
        <v>620500</v>
      </c>
      <c r="AE499" s="78"/>
      <c r="AF499" s="253"/>
      <c r="AG499" s="253"/>
      <c r="AH499" s="253"/>
      <c r="AI499" s="253"/>
      <c r="AJ499" s="253"/>
      <c r="AK499" s="253"/>
      <c r="AL499" s="253"/>
      <c r="AM499" s="253"/>
      <c r="AN499" s="253"/>
      <c r="AO499" s="253"/>
    </row>
    <row r="500" spans="1:41" ht="15" customHeight="1">
      <c r="A500" s="254">
        <v>500</v>
      </c>
      <c r="B500" s="253">
        <v>602</v>
      </c>
      <c r="C500" s="240" t="s">
        <v>110</v>
      </c>
      <c r="D500" s="288" t="s">
        <v>634</v>
      </c>
      <c r="E500" s="289" t="s">
        <v>242</v>
      </c>
      <c r="F500" s="239" t="s">
        <v>681</v>
      </c>
      <c r="G500" s="290" t="s">
        <v>682</v>
      </c>
      <c r="H500" s="291" t="s">
        <v>152</v>
      </c>
      <c r="I500" s="239" t="s">
        <v>402</v>
      </c>
      <c r="J500" s="424">
        <f t="shared" si="17"/>
        <v>365</v>
      </c>
      <c r="K500" s="425">
        <v>255</v>
      </c>
      <c r="L500" s="425"/>
      <c r="M500" s="425">
        <v>102</v>
      </c>
      <c r="N500" s="425"/>
      <c r="O500" s="425">
        <v>8</v>
      </c>
      <c r="P500" s="425"/>
      <c r="Q500" s="294">
        <v>65</v>
      </c>
      <c r="R500" s="295" t="e">
        <f>IF(K500="nio",0,(K500*Q500)/X500)*VLOOKUP(C500,'2-Uren per locatie'!$B$15:$D$74,3,FALSE)</f>
        <v>#DIV/0!</v>
      </c>
      <c r="S500" s="295" t="e">
        <f>IF(K500="nio",0,(L500*Q500)/Y500)*VLOOKUP(C500,'2-Uren per locatie'!$B$15:$D$74,3,FALSE)</f>
        <v>#DIV/0!</v>
      </c>
      <c r="T500" s="295" t="e">
        <f>IF(K500="nio",0,(M500*Q500)/Z500)*VLOOKUP(C500,'2-Uren per locatie'!$B$15:$D$74,3,FALSE)</f>
        <v>#DIV/0!</v>
      </c>
      <c r="U500" s="295" t="e">
        <f>IF(K500="nio",0,(N500*Q500)/AA500)*VLOOKUP(C500,'2-Uren per locatie'!$B$15:$D$74,3,FALSE)</f>
        <v>#DIV/0!</v>
      </c>
      <c r="V500" s="295" t="e">
        <f>IF(K500="nio",0,(O500*Q500)/Z500)*VLOOKUP(C500,'2-Uren per locatie'!$B$15:$D$74,3,FALSE)</f>
        <v>#DIV/0!</v>
      </c>
      <c r="W500" s="295" t="e">
        <f>IF(K500="nio",0,(P500*Q500)/AA500)*VLOOKUP(C500,'2-Uren per locatie'!$B$15:$D$74,3,FALSE)</f>
        <v>#DIV/0!</v>
      </c>
      <c r="X500" s="485">
        <f>IF(K500="nio",0,IF(K500&gt;0,VLOOKUP(H500,'3-Productie normen'!A:F,VLOOKUP(K500,'3-Productie normen'!$B$29:$C$34,2,FALSE),FALSE)))</f>
        <v>0</v>
      </c>
      <c r="Y500" s="485">
        <f>VLOOKUP(H500,'3-Productie normen'!$A$10:$J$24,8,FALSE)*'3-Ruimtestaat'!X500</f>
        <v>0</v>
      </c>
      <c r="Z500" s="485">
        <f>VLOOKUP(H500,'3-Productie normen'!$A$10:$J$24,9,FALSE)*'3-Ruimtestaat'!X500</f>
        <v>0</v>
      </c>
      <c r="AA500" s="485">
        <f>VLOOKUP(H500,'3-Productie normen'!$A$10:$J$24,10,FALSE)*'3-Ruimtestaat'!X500</f>
        <v>0</v>
      </c>
      <c r="AB500" s="292" t="str">
        <f>IF(H500="",0,VLOOKUP(H500,'3-Productie normen'!$A$10:$N$23,14,FALSE))</f>
        <v>V</v>
      </c>
      <c r="AD500" s="296">
        <f t="shared" si="18"/>
        <v>23725</v>
      </c>
      <c r="AE500" s="78"/>
      <c r="AF500" s="253"/>
      <c r="AG500" s="253"/>
      <c r="AH500" s="253"/>
      <c r="AI500" s="253"/>
      <c r="AJ500" s="253"/>
      <c r="AK500" s="253"/>
      <c r="AL500" s="253"/>
      <c r="AM500" s="253"/>
      <c r="AN500" s="253"/>
      <c r="AO500" s="253"/>
    </row>
    <row r="501" spans="1:41" ht="15" customHeight="1">
      <c r="A501" s="254">
        <v>501</v>
      </c>
      <c r="B501" s="253">
        <v>602</v>
      </c>
      <c r="C501" s="240" t="s">
        <v>110</v>
      </c>
      <c r="D501" s="288" t="s">
        <v>634</v>
      </c>
      <c r="E501" s="289" t="s">
        <v>242</v>
      </c>
      <c r="F501" s="239" t="s">
        <v>644</v>
      </c>
      <c r="G501" s="290" t="s">
        <v>645</v>
      </c>
      <c r="H501" s="291" t="s">
        <v>149</v>
      </c>
      <c r="I501" s="239" t="s">
        <v>402</v>
      </c>
      <c r="J501" s="424">
        <f t="shared" si="17"/>
        <v>365</v>
      </c>
      <c r="K501" s="425">
        <v>255</v>
      </c>
      <c r="L501" s="425"/>
      <c r="M501" s="425">
        <v>102</v>
      </c>
      <c r="N501" s="425"/>
      <c r="O501" s="425">
        <v>8</v>
      </c>
      <c r="P501" s="425"/>
      <c r="Q501" s="294">
        <v>2</v>
      </c>
      <c r="R501" s="295" t="e">
        <f>IF(K501="nio",0,(K501*Q501)/X501)*VLOOKUP(C501,'2-Uren per locatie'!$B$15:$D$74,3,FALSE)</f>
        <v>#DIV/0!</v>
      </c>
      <c r="S501" s="295" t="e">
        <f>IF(K501="nio",0,(L501*Q501)/Y501)*VLOOKUP(C501,'2-Uren per locatie'!$B$15:$D$74,3,FALSE)</f>
        <v>#DIV/0!</v>
      </c>
      <c r="T501" s="295" t="e">
        <f>IF(K501="nio",0,(M501*Q501)/Z501)*VLOOKUP(C501,'2-Uren per locatie'!$B$15:$D$74,3,FALSE)</f>
        <v>#DIV/0!</v>
      </c>
      <c r="U501" s="295" t="e">
        <f>IF(K501="nio",0,(N501*Q501)/AA501)*VLOOKUP(C501,'2-Uren per locatie'!$B$15:$D$74,3,FALSE)</f>
        <v>#DIV/0!</v>
      </c>
      <c r="V501" s="295" t="e">
        <f>IF(K501="nio",0,(O501*Q501)/Z501)*VLOOKUP(C501,'2-Uren per locatie'!$B$15:$D$74,3,FALSE)</f>
        <v>#DIV/0!</v>
      </c>
      <c r="W501" s="295" t="e">
        <f>IF(K501="nio",0,(P501*Q501)/AA501)*VLOOKUP(C501,'2-Uren per locatie'!$B$15:$D$74,3,FALSE)</f>
        <v>#DIV/0!</v>
      </c>
      <c r="X501" s="485">
        <f>IF(K501="nio",0,IF(K501&gt;0,VLOOKUP(H501,'3-Productie normen'!A:F,VLOOKUP(K501,'3-Productie normen'!$B$29:$C$34,2,FALSE),FALSE)))</f>
        <v>0</v>
      </c>
      <c r="Y501" s="485">
        <f>VLOOKUP(H501,'3-Productie normen'!$A$10:$J$24,8,FALSE)*'3-Ruimtestaat'!X501</f>
        <v>0</v>
      </c>
      <c r="Z501" s="485">
        <f>VLOOKUP(H501,'3-Productie normen'!$A$10:$J$24,9,FALSE)*'3-Ruimtestaat'!X501</f>
        <v>0</v>
      </c>
      <c r="AA501" s="485">
        <f>VLOOKUP(H501,'3-Productie normen'!$A$10:$J$24,10,FALSE)*'3-Ruimtestaat'!X501</f>
        <v>0</v>
      </c>
      <c r="AB501" s="292" t="str">
        <f>IF(H501="",0,VLOOKUP(H501,'3-Productie normen'!$A$10:$N$23,14,FALSE))</f>
        <v>V</v>
      </c>
      <c r="AD501" s="296">
        <f t="shared" si="18"/>
        <v>730</v>
      </c>
      <c r="AE501" s="78"/>
      <c r="AF501" s="253"/>
      <c r="AG501" s="253"/>
      <c r="AH501" s="253"/>
      <c r="AI501" s="253"/>
      <c r="AJ501" s="253"/>
      <c r="AK501" s="253"/>
      <c r="AL501" s="253"/>
      <c r="AM501" s="253"/>
      <c r="AN501" s="253"/>
      <c r="AO501" s="253"/>
    </row>
    <row r="502" spans="1:41" ht="15" customHeight="1">
      <c r="A502" s="254">
        <v>502</v>
      </c>
      <c r="B502" s="253">
        <v>602</v>
      </c>
      <c r="C502" s="240" t="s">
        <v>110</v>
      </c>
      <c r="D502" s="288" t="s">
        <v>634</v>
      </c>
      <c r="E502" s="289" t="s">
        <v>242</v>
      </c>
      <c r="F502" s="239" t="s">
        <v>683</v>
      </c>
      <c r="G502" s="290" t="s">
        <v>684</v>
      </c>
      <c r="H502" s="291" t="s">
        <v>145</v>
      </c>
      <c r="I502" s="239" t="s">
        <v>637</v>
      </c>
      <c r="J502" s="424">
        <f t="shared" si="17"/>
        <v>365</v>
      </c>
      <c r="K502" s="425">
        <v>255</v>
      </c>
      <c r="L502" s="425"/>
      <c r="M502" s="425">
        <v>102</v>
      </c>
      <c r="N502" s="425"/>
      <c r="O502" s="425">
        <v>8</v>
      </c>
      <c r="P502" s="425"/>
      <c r="Q502" s="294">
        <v>58</v>
      </c>
      <c r="R502" s="295" t="e">
        <f>IF(K502="nio",0,(K502*Q502)/X502)*VLOOKUP(C502,'2-Uren per locatie'!$B$15:$D$74,3,FALSE)</f>
        <v>#DIV/0!</v>
      </c>
      <c r="S502" s="295" t="e">
        <f>IF(K502="nio",0,(L502*Q502)/Y502)*VLOOKUP(C502,'2-Uren per locatie'!$B$15:$D$74,3,FALSE)</f>
        <v>#DIV/0!</v>
      </c>
      <c r="T502" s="295" t="e">
        <f>IF(K502="nio",0,(M502*Q502)/Z502)*VLOOKUP(C502,'2-Uren per locatie'!$B$15:$D$74,3,FALSE)</f>
        <v>#DIV/0!</v>
      </c>
      <c r="U502" s="295" t="e">
        <f>IF(K502="nio",0,(N502*Q502)/AA502)*VLOOKUP(C502,'2-Uren per locatie'!$B$15:$D$74,3,FALSE)</f>
        <v>#DIV/0!</v>
      </c>
      <c r="V502" s="295" t="e">
        <f>IF(K502="nio",0,(O502*Q502)/Z502)*VLOOKUP(C502,'2-Uren per locatie'!$B$15:$D$74,3,FALSE)</f>
        <v>#DIV/0!</v>
      </c>
      <c r="W502" s="295" t="e">
        <f>IF(K502="nio",0,(P502*Q502)/AA502)*VLOOKUP(C502,'2-Uren per locatie'!$B$15:$D$74,3,FALSE)</f>
        <v>#DIV/0!</v>
      </c>
      <c r="X502" s="485">
        <f>IF(K502="nio",0,IF(K502&gt;0,VLOOKUP(H502,'3-Productie normen'!A:F,VLOOKUP(K502,'3-Productie normen'!$B$29:$C$34,2,FALSE),FALSE)))</f>
        <v>0</v>
      </c>
      <c r="Y502" s="485">
        <f>VLOOKUP(H502,'3-Productie normen'!$A$10:$J$24,8,FALSE)*'3-Ruimtestaat'!X502</f>
        <v>0</v>
      </c>
      <c r="Z502" s="485">
        <f>VLOOKUP(H502,'3-Productie normen'!$A$10:$J$24,9,FALSE)*'3-Ruimtestaat'!X502</f>
        <v>0</v>
      </c>
      <c r="AA502" s="485">
        <f>VLOOKUP(H502,'3-Productie normen'!$A$10:$J$24,10,FALSE)*'3-Ruimtestaat'!X502</f>
        <v>0</v>
      </c>
      <c r="AB502" s="292" t="str">
        <f>IF(H502="",0,VLOOKUP(H502,'3-Productie normen'!$A$10:$N$23,14,FALSE))</f>
        <v>V</v>
      </c>
      <c r="AD502" s="296">
        <f t="shared" si="18"/>
        <v>21170</v>
      </c>
      <c r="AE502" s="78"/>
      <c r="AF502" s="253"/>
      <c r="AG502" s="253"/>
      <c r="AH502" s="253"/>
      <c r="AI502" s="253"/>
      <c r="AJ502" s="253"/>
      <c r="AK502" s="253"/>
      <c r="AL502" s="253"/>
      <c r="AM502" s="253"/>
      <c r="AN502" s="253"/>
      <c r="AO502" s="253"/>
    </row>
    <row r="503" spans="1:41" ht="15" customHeight="1">
      <c r="A503" s="254">
        <v>503</v>
      </c>
      <c r="B503" s="253">
        <v>602</v>
      </c>
      <c r="C503" s="240" t="s">
        <v>110</v>
      </c>
      <c r="D503" s="288" t="s">
        <v>634</v>
      </c>
      <c r="E503" s="289" t="s">
        <v>242</v>
      </c>
      <c r="F503" s="239" t="s">
        <v>685</v>
      </c>
      <c r="G503" s="290" t="s">
        <v>686</v>
      </c>
      <c r="H503" s="291" t="s">
        <v>152</v>
      </c>
      <c r="I503" s="239" t="s">
        <v>402</v>
      </c>
      <c r="J503" s="424">
        <f t="shared" si="17"/>
        <v>365</v>
      </c>
      <c r="K503" s="425">
        <v>255</v>
      </c>
      <c r="L503" s="425"/>
      <c r="M503" s="425">
        <v>102</v>
      </c>
      <c r="N503" s="425"/>
      <c r="O503" s="425">
        <v>8</v>
      </c>
      <c r="P503" s="425"/>
      <c r="Q503" s="294">
        <v>65</v>
      </c>
      <c r="R503" s="295" t="e">
        <f>IF(K503="nio",0,(K503*Q503)/X503)*VLOOKUP(C503,'2-Uren per locatie'!$B$15:$D$74,3,FALSE)</f>
        <v>#DIV/0!</v>
      </c>
      <c r="S503" s="295" t="e">
        <f>IF(K503="nio",0,(L503*Q503)/Y503)*VLOOKUP(C503,'2-Uren per locatie'!$B$15:$D$74,3,FALSE)</f>
        <v>#DIV/0!</v>
      </c>
      <c r="T503" s="295" t="e">
        <f>IF(K503="nio",0,(M503*Q503)/Z503)*VLOOKUP(C503,'2-Uren per locatie'!$B$15:$D$74,3,FALSE)</f>
        <v>#DIV/0!</v>
      </c>
      <c r="U503" s="295" t="e">
        <f>IF(K503="nio",0,(N503*Q503)/AA503)*VLOOKUP(C503,'2-Uren per locatie'!$B$15:$D$74,3,FALSE)</f>
        <v>#DIV/0!</v>
      </c>
      <c r="V503" s="295" t="e">
        <f>IF(K503="nio",0,(O503*Q503)/Z503)*VLOOKUP(C503,'2-Uren per locatie'!$B$15:$D$74,3,FALSE)</f>
        <v>#DIV/0!</v>
      </c>
      <c r="W503" s="295" t="e">
        <f>IF(K503="nio",0,(P503*Q503)/AA503)*VLOOKUP(C503,'2-Uren per locatie'!$B$15:$D$74,3,FALSE)</f>
        <v>#DIV/0!</v>
      </c>
      <c r="X503" s="485">
        <f>IF(K503="nio",0,IF(K503&gt;0,VLOOKUP(H503,'3-Productie normen'!A:F,VLOOKUP(K503,'3-Productie normen'!$B$29:$C$34,2,FALSE),FALSE)))</f>
        <v>0</v>
      </c>
      <c r="Y503" s="485">
        <f>VLOOKUP(H503,'3-Productie normen'!$A$10:$J$24,8,FALSE)*'3-Ruimtestaat'!X503</f>
        <v>0</v>
      </c>
      <c r="Z503" s="485">
        <f>VLOOKUP(H503,'3-Productie normen'!$A$10:$J$24,9,FALSE)*'3-Ruimtestaat'!X503</f>
        <v>0</v>
      </c>
      <c r="AA503" s="485">
        <f>VLOOKUP(H503,'3-Productie normen'!$A$10:$J$24,10,FALSE)*'3-Ruimtestaat'!X503</f>
        <v>0</v>
      </c>
      <c r="AB503" s="292" t="str">
        <f>IF(H503="",0,VLOOKUP(H503,'3-Productie normen'!$A$10:$N$23,14,FALSE))</f>
        <v>V</v>
      </c>
      <c r="AD503" s="296">
        <f t="shared" si="18"/>
        <v>23725</v>
      </c>
      <c r="AE503" s="78"/>
      <c r="AF503" s="253"/>
      <c r="AG503" s="253"/>
      <c r="AH503" s="253"/>
      <c r="AI503" s="253"/>
      <c r="AJ503" s="253"/>
      <c r="AK503" s="253"/>
      <c r="AL503" s="253"/>
      <c r="AM503" s="253"/>
      <c r="AN503" s="253"/>
      <c r="AO503" s="253"/>
    </row>
    <row r="504" spans="1:41" ht="15" customHeight="1">
      <c r="A504" s="254">
        <v>504</v>
      </c>
      <c r="B504" s="253">
        <v>602</v>
      </c>
      <c r="C504" s="240" t="s">
        <v>110</v>
      </c>
      <c r="D504" s="288" t="s">
        <v>634</v>
      </c>
      <c r="E504" s="289" t="s">
        <v>242</v>
      </c>
      <c r="F504" s="239" t="s">
        <v>646</v>
      </c>
      <c r="G504" s="290" t="s">
        <v>664</v>
      </c>
      <c r="H504" s="291" t="s">
        <v>149</v>
      </c>
      <c r="I504" s="239" t="s">
        <v>402</v>
      </c>
      <c r="J504" s="424">
        <f t="shared" si="17"/>
        <v>365</v>
      </c>
      <c r="K504" s="425">
        <v>255</v>
      </c>
      <c r="L504" s="425"/>
      <c r="M504" s="425">
        <v>102</v>
      </c>
      <c r="N504" s="425"/>
      <c r="O504" s="425">
        <v>8</v>
      </c>
      <c r="P504" s="425"/>
      <c r="Q504" s="294">
        <v>2</v>
      </c>
      <c r="R504" s="295" t="e">
        <f>IF(K504="nio",0,(K504*Q504)/X504)*VLOOKUP(C504,'2-Uren per locatie'!$B$15:$D$74,3,FALSE)</f>
        <v>#DIV/0!</v>
      </c>
      <c r="S504" s="295" t="e">
        <f>IF(K504="nio",0,(L504*Q504)/Y504)*VLOOKUP(C504,'2-Uren per locatie'!$B$15:$D$74,3,FALSE)</f>
        <v>#DIV/0!</v>
      </c>
      <c r="T504" s="295" t="e">
        <f>IF(K504="nio",0,(M504*Q504)/Z504)*VLOOKUP(C504,'2-Uren per locatie'!$B$15:$D$74,3,FALSE)</f>
        <v>#DIV/0!</v>
      </c>
      <c r="U504" s="295" t="e">
        <f>IF(K504="nio",0,(N504*Q504)/AA504)*VLOOKUP(C504,'2-Uren per locatie'!$B$15:$D$74,3,FALSE)</f>
        <v>#DIV/0!</v>
      </c>
      <c r="V504" s="295" t="e">
        <f>IF(K504="nio",0,(O504*Q504)/Z504)*VLOOKUP(C504,'2-Uren per locatie'!$B$15:$D$74,3,FALSE)</f>
        <v>#DIV/0!</v>
      </c>
      <c r="W504" s="295" t="e">
        <f>IF(K504="nio",0,(P504*Q504)/AA504)*VLOOKUP(C504,'2-Uren per locatie'!$B$15:$D$74,3,FALSE)</f>
        <v>#DIV/0!</v>
      </c>
      <c r="X504" s="485">
        <f>IF(K504="nio",0,IF(K504&gt;0,VLOOKUP(H504,'3-Productie normen'!A:F,VLOOKUP(K504,'3-Productie normen'!$B$29:$C$34,2,FALSE),FALSE)))</f>
        <v>0</v>
      </c>
      <c r="Y504" s="485">
        <f>VLOOKUP(H504,'3-Productie normen'!$A$10:$J$24,8,FALSE)*'3-Ruimtestaat'!X504</f>
        <v>0</v>
      </c>
      <c r="Z504" s="485">
        <f>VLOOKUP(H504,'3-Productie normen'!$A$10:$J$24,9,FALSE)*'3-Ruimtestaat'!X504</f>
        <v>0</v>
      </c>
      <c r="AA504" s="485">
        <f>VLOOKUP(H504,'3-Productie normen'!$A$10:$J$24,10,FALSE)*'3-Ruimtestaat'!X504</f>
        <v>0</v>
      </c>
      <c r="AB504" s="292" t="str">
        <f>IF(H504="",0,VLOOKUP(H504,'3-Productie normen'!$A$10:$N$23,14,FALSE))</f>
        <v>V</v>
      </c>
      <c r="AD504" s="296">
        <f t="shared" si="18"/>
        <v>730</v>
      </c>
      <c r="AE504" s="78"/>
      <c r="AF504" s="253"/>
      <c r="AG504" s="253"/>
      <c r="AH504" s="253"/>
      <c r="AI504" s="253"/>
      <c r="AJ504" s="253"/>
      <c r="AK504" s="253"/>
      <c r="AL504" s="253"/>
      <c r="AM504" s="253"/>
      <c r="AN504" s="253"/>
      <c r="AO504" s="253"/>
    </row>
    <row r="505" spans="1:41" ht="15" customHeight="1">
      <c r="A505" s="254">
        <v>505</v>
      </c>
      <c r="B505" s="253">
        <v>602</v>
      </c>
      <c r="C505" s="240" t="s">
        <v>110</v>
      </c>
      <c r="D505" s="288" t="s">
        <v>634</v>
      </c>
      <c r="E505" s="289" t="s">
        <v>242</v>
      </c>
      <c r="F505" s="239" t="s">
        <v>687</v>
      </c>
      <c r="G505" s="290" t="s">
        <v>688</v>
      </c>
      <c r="H505" s="291" t="s">
        <v>145</v>
      </c>
      <c r="I505" s="239" t="s">
        <v>637</v>
      </c>
      <c r="J505" s="424">
        <f t="shared" si="17"/>
        <v>365</v>
      </c>
      <c r="K505" s="425">
        <v>255</v>
      </c>
      <c r="L505" s="425"/>
      <c r="M505" s="425">
        <v>102</v>
      </c>
      <c r="N505" s="425"/>
      <c r="O505" s="425">
        <v>8</v>
      </c>
      <c r="P505" s="425"/>
      <c r="Q505" s="294">
        <v>58</v>
      </c>
      <c r="R505" s="295" t="e">
        <f>IF(K505="nio",0,(K505*Q505)/X505)*VLOOKUP(C505,'2-Uren per locatie'!$B$15:$D$74,3,FALSE)</f>
        <v>#DIV/0!</v>
      </c>
      <c r="S505" s="295" t="e">
        <f>IF(K505="nio",0,(L505*Q505)/Y505)*VLOOKUP(C505,'2-Uren per locatie'!$B$15:$D$74,3,FALSE)</f>
        <v>#DIV/0!</v>
      </c>
      <c r="T505" s="295" t="e">
        <f>IF(K505="nio",0,(M505*Q505)/Z505)*VLOOKUP(C505,'2-Uren per locatie'!$B$15:$D$74,3,FALSE)</f>
        <v>#DIV/0!</v>
      </c>
      <c r="U505" s="295" t="e">
        <f>IF(K505="nio",0,(N505*Q505)/AA505)*VLOOKUP(C505,'2-Uren per locatie'!$B$15:$D$74,3,FALSE)</f>
        <v>#DIV/0!</v>
      </c>
      <c r="V505" s="295" t="e">
        <f>IF(K505="nio",0,(O505*Q505)/Z505)*VLOOKUP(C505,'2-Uren per locatie'!$B$15:$D$74,3,FALSE)</f>
        <v>#DIV/0!</v>
      </c>
      <c r="W505" s="295" t="e">
        <f>IF(K505="nio",0,(P505*Q505)/AA505)*VLOOKUP(C505,'2-Uren per locatie'!$B$15:$D$74,3,FALSE)</f>
        <v>#DIV/0!</v>
      </c>
      <c r="X505" s="485">
        <f>IF(K505="nio",0,IF(K505&gt;0,VLOOKUP(H505,'3-Productie normen'!A:F,VLOOKUP(K505,'3-Productie normen'!$B$29:$C$34,2,FALSE),FALSE)))</f>
        <v>0</v>
      </c>
      <c r="Y505" s="485">
        <f>VLOOKUP(H505,'3-Productie normen'!$A$10:$J$24,8,FALSE)*'3-Ruimtestaat'!X505</f>
        <v>0</v>
      </c>
      <c r="Z505" s="485">
        <f>VLOOKUP(H505,'3-Productie normen'!$A$10:$J$24,9,FALSE)*'3-Ruimtestaat'!X505</f>
        <v>0</v>
      </c>
      <c r="AA505" s="485">
        <f>VLOOKUP(H505,'3-Productie normen'!$A$10:$J$24,10,FALSE)*'3-Ruimtestaat'!X505</f>
        <v>0</v>
      </c>
      <c r="AB505" s="292" t="str">
        <f>IF(H505="",0,VLOOKUP(H505,'3-Productie normen'!$A$10:$N$23,14,FALSE))</f>
        <v>V</v>
      </c>
      <c r="AD505" s="296">
        <f t="shared" si="18"/>
        <v>21170</v>
      </c>
      <c r="AE505" s="78"/>
      <c r="AF505" s="253"/>
      <c r="AG505" s="253"/>
      <c r="AH505" s="253"/>
      <c r="AI505" s="253"/>
      <c r="AJ505" s="253"/>
      <c r="AK505" s="253"/>
      <c r="AL505" s="253"/>
      <c r="AM505" s="253"/>
      <c r="AN505" s="253"/>
      <c r="AO505" s="253"/>
    </row>
    <row r="506" spans="1:41" ht="15" customHeight="1">
      <c r="A506" s="254">
        <v>506</v>
      </c>
      <c r="B506" s="253">
        <v>602</v>
      </c>
      <c r="C506" s="240" t="s">
        <v>110</v>
      </c>
      <c r="D506" s="288" t="s">
        <v>634</v>
      </c>
      <c r="E506" s="289" t="s">
        <v>648</v>
      </c>
      <c r="F506" s="239" t="s">
        <v>210</v>
      </c>
      <c r="G506" s="290" t="s">
        <v>689</v>
      </c>
      <c r="H506" s="291" t="s">
        <v>145</v>
      </c>
      <c r="I506" s="239" t="s">
        <v>637</v>
      </c>
      <c r="J506" s="424">
        <f t="shared" si="17"/>
        <v>365</v>
      </c>
      <c r="K506" s="425">
        <v>255</v>
      </c>
      <c r="L506" s="425"/>
      <c r="M506" s="425">
        <v>102</v>
      </c>
      <c r="N506" s="425"/>
      <c r="O506" s="425">
        <v>8</v>
      </c>
      <c r="P506" s="425"/>
      <c r="Q506" s="294">
        <v>1400</v>
      </c>
      <c r="R506" s="295" t="e">
        <f>IF(K506="nio",0,(K506*Q506)/X506)*VLOOKUP(C506,'2-Uren per locatie'!$B$15:$D$74,3,FALSE)</f>
        <v>#DIV/0!</v>
      </c>
      <c r="S506" s="295" t="e">
        <f>IF(K506="nio",0,(L506*Q506)/Y506)*VLOOKUP(C506,'2-Uren per locatie'!$B$15:$D$74,3,FALSE)</f>
        <v>#DIV/0!</v>
      </c>
      <c r="T506" s="295" t="e">
        <f>IF(K506="nio",0,(M506*Q506)/Z506)*VLOOKUP(C506,'2-Uren per locatie'!$B$15:$D$74,3,FALSE)</f>
        <v>#DIV/0!</v>
      </c>
      <c r="U506" s="295" t="e">
        <f>IF(K506="nio",0,(N506*Q506)/AA506)*VLOOKUP(C506,'2-Uren per locatie'!$B$15:$D$74,3,FALSE)</f>
        <v>#DIV/0!</v>
      </c>
      <c r="V506" s="295" t="e">
        <f>IF(K506="nio",0,(O506*Q506)/Z506)*VLOOKUP(C506,'2-Uren per locatie'!$B$15:$D$74,3,FALSE)</f>
        <v>#DIV/0!</v>
      </c>
      <c r="W506" s="295" t="e">
        <f>IF(K506="nio",0,(P506*Q506)/AA506)*VLOOKUP(C506,'2-Uren per locatie'!$B$15:$D$74,3,FALSE)</f>
        <v>#DIV/0!</v>
      </c>
      <c r="X506" s="485">
        <f>IF(K506="nio",0,IF(K506&gt;0,VLOOKUP(H506,'3-Productie normen'!A:F,VLOOKUP(K506,'3-Productie normen'!$B$29:$C$34,2,FALSE),FALSE)))</f>
        <v>0</v>
      </c>
      <c r="Y506" s="485">
        <f>VLOOKUP(H506,'3-Productie normen'!$A$10:$J$24,8,FALSE)*'3-Ruimtestaat'!X506</f>
        <v>0</v>
      </c>
      <c r="Z506" s="485">
        <f>VLOOKUP(H506,'3-Productie normen'!$A$10:$J$24,9,FALSE)*'3-Ruimtestaat'!X506</f>
        <v>0</v>
      </c>
      <c r="AA506" s="485">
        <f>VLOOKUP(H506,'3-Productie normen'!$A$10:$J$24,10,FALSE)*'3-Ruimtestaat'!X506</f>
        <v>0</v>
      </c>
      <c r="AB506" s="292" t="str">
        <f>IF(H506="",0,VLOOKUP(H506,'3-Productie normen'!$A$10:$N$23,14,FALSE))</f>
        <v>V</v>
      </c>
      <c r="AD506" s="296">
        <f t="shared" si="18"/>
        <v>511000</v>
      </c>
      <c r="AE506" s="78"/>
      <c r="AF506" s="253"/>
      <c r="AG506" s="253"/>
      <c r="AH506" s="253"/>
      <c r="AI506" s="253"/>
      <c r="AJ506" s="253"/>
      <c r="AK506" s="253"/>
      <c r="AL506" s="253"/>
      <c r="AM506" s="253"/>
      <c r="AN506" s="253"/>
      <c r="AO506" s="253"/>
    </row>
    <row r="507" spans="1:41" ht="15" customHeight="1">
      <c r="A507" s="254">
        <v>507</v>
      </c>
      <c r="B507" s="253">
        <v>602</v>
      </c>
      <c r="C507" s="240" t="s">
        <v>110</v>
      </c>
      <c r="D507" s="288" t="s">
        <v>634</v>
      </c>
      <c r="E507" s="289" t="s">
        <v>648</v>
      </c>
      <c r="F507" s="239" t="s">
        <v>690</v>
      </c>
      <c r="G507" s="290" t="s">
        <v>691</v>
      </c>
      <c r="H507" s="291" t="s">
        <v>153</v>
      </c>
      <c r="I507" s="239" t="s">
        <v>637</v>
      </c>
      <c r="J507" s="424">
        <f t="shared" si="17"/>
        <v>365</v>
      </c>
      <c r="K507" s="425">
        <v>255</v>
      </c>
      <c r="L507" s="425"/>
      <c r="M507" s="425">
        <v>102</v>
      </c>
      <c r="N507" s="425"/>
      <c r="O507" s="425">
        <v>8</v>
      </c>
      <c r="P507" s="425"/>
      <c r="Q507" s="294">
        <v>10</v>
      </c>
      <c r="R507" s="295" t="e">
        <f>IF(K507="nio",0,(K507*Q507)/X507)*VLOOKUP(C507,'2-Uren per locatie'!$B$15:$D$74,3,FALSE)</f>
        <v>#DIV/0!</v>
      </c>
      <c r="S507" s="295" t="e">
        <f>IF(K507="nio",0,(L507*Q507)/Y507)*VLOOKUP(C507,'2-Uren per locatie'!$B$15:$D$74,3,FALSE)</f>
        <v>#DIV/0!</v>
      </c>
      <c r="T507" s="295" t="e">
        <f>IF(K507="nio",0,(M507*Q507)/Z507)*VLOOKUP(C507,'2-Uren per locatie'!$B$15:$D$74,3,FALSE)</f>
        <v>#DIV/0!</v>
      </c>
      <c r="U507" s="295" t="e">
        <f>IF(K507="nio",0,(N507*Q507)/AA507)*VLOOKUP(C507,'2-Uren per locatie'!$B$15:$D$74,3,FALSE)</f>
        <v>#DIV/0!</v>
      </c>
      <c r="V507" s="295" t="e">
        <f>IF(K507="nio",0,(O507*Q507)/Z507)*VLOOKUP(C507,'2-Uren per locatie'!$B$15:$D$74,3,FALSE)</f>
        <v>#DIV/0!</v>
      </c>
      <c r="W507" s="295" t="e">
        <f>IF(K507="nio",0,(P507*Q507)/AA507)*VLOOKUP(C507,'2-Uren per locatie'!$B$15:$D$74,3,FALSE)</f>
        <v>#DIV/0!</v>
      </c>
      <c r="X507" s="485">
        <f>IF(K507="nio",0,IF(K507&gt;0,VLOOKUP(H507,'3-Productie normen'!A:F,VLOOKUP(K507,'3-Productie normen'!$B$29:$C$34,2,FALSE),FALSE)))</f>
        <v>0</v>
      </c>
      <c r="Y507" s="485">
        <f>VLOOKUP(H507,'3-Productie normen'!$A$10:$J$24,8,FALSE)*'3-Ruimtestaat'!X507</f>
        <v>0</v>
      </c>
      <c r="Z507" s="485">
        <f>VLOOKUP(H507,'3-Productie normen'!$A$10:$J$24,9,FALSE)*'3-Ruimtestaat'!X507</f>
        <v>0</v>
      </c>
      <c r="AA507" s="485">
        <f>VLOOKUP(H507,'3-Productie normen'!$A$10:$J$24,10,FALSE)*'3-Ruimtestaat'!X507</f>
        <v>0</v>
      </c>
      <c r="AB507" s="292" t="str">
        <f>IF(H507="",0,VLOOKUP(H507,'3-Productie normen'!$A$10:$N$23,14,FALSE))</f>
        <v>S</v>
      </c>
      <c r="AD507" s="296">
        <f t="shared" si="18"/>
        <v>3650</v>
      </c>
      <c r="AE507" s="78"/>
      <c r="AF507" s="253"/>
      <c r="AG507" s="253"/>
      <c r="AH507" s="253"/>
      <c r="AI507" s="253"/>
      <c r="AJ507" s="253"/>
      <c r="AK507" s="253"/>
      <c r="AL507" s="253"/>
      <c r="AM507" s="253"/>
      <c r="AN507" s="253"/>
      <c r="AO507" s="253"/>
    </row>
    <row r="508" spans="1:41" ht="15" customHeight="1">
      <c r="A508" s="254">
        <v>508</v>
      </c>
      <c r="B508" s="253">
        <v>602</v>
      </c>
      <c r="C508" s="240" t="s">
        <v>110</v>
      </c>
      <c r="D508" s="288" t="s">
        <v>634</v>
      </c>
      <c r="E508" s="289" t="s">
        <v>648</v>
      </c>
      <c r="F508" s="239" t="s">
        <v>651</v>
      </c>
      <c r="G508" s="290" t="s">
        <v>692</v>
      </c>
      <c r="H508" s="291" t="s">
        <v>150</v>
      </c>
      <c r="I508" s="239" t="s">
        <v>325</v>
      </c>
      <c r="J508" s="424">
        <f t="shared" si="17"/>
        <v>365</v>
      </c>
      <c r="K508" s="425">
        <v>255</v>
      </c>
      <c r="L508" s="425"/>
      <c r="M508" s="425">
        <v>102</v>
      </c>
      <c r="N508" s="425"/>
      <c r="O508" s="425">
        <v>8</v>
      </c>
      <c r="P508" s="425"/>
      <c r="Q508" s="294">
        <v>7.5</v>
      </c>
      <c r="R508" s="295" t="e">
        <f>IF(K508="nio",0,(K508*Q508)/X508)*VLOOKUP(C508,'2-Uren per locatie'!$B$15:$D$74,3,FALSE)</f>
        <v>#DIV/0!</v>
      </c>
      <c r="S508" s="295" t="e">
        <f>IF(K508="nio",0,(L508*Q508)/Y508)*VLOOKUP(C508,'2-Uren per locatie'!$B$15:$D$74,3,FALSE)</f>
        <v>#DIV/0!</v>
      </c>
      <c r="T508" s="295" t="e">
        <f>IF(K508="nio",0,(M508*Q508)/Z508)*VLOOKUP(C508,'2-Uren per locatie'!$B$15:$D$74,3,FALSE)</f>
        <v>#DIV/0!</v>
      </c>
      <c r="U508" s="295" t="e">
        <f>IF(K508="nio",0,(N508*Q508)/AA508)*VLOOKUP(C508,'2-Uren per locatie'!$B$15:$D$74,3,FALSE)</f>
        <v>#DIV/0!</v>
      </c>
      <c r="V508" s="295" t="e">
        <f>IF(K508="nio",0,(O508*Q508)/Z508)*VLOOKUP(C508,'2-Uren per locatie'!$B$15:$D$74,3,FALSE)</f>
        <v>#DIV/0!</v>
      </c>
      <c r="W508" s="295" t="e">
        <f>IF(K508="nio",0,(P508*Q508)/AA508)*VLOOKUP(C508,'2-Uren per locatie'!$B$15:$D$74,3,FALSE)</f>
        <v>#DIV/0!</v>
      </c>
      <c r="X508" s="485">
        <f>IF(K508="nio",0,IF(K508&gt;0,VLOOKUP(H508,'3-Productie normen'!A:F,VLOOKUP(K508,'3-Productie normen'!$B$29:$C$34,2,FALSE),FALSE)))</f>
        <v>0</v>
      </c>
      <c r="Y508" s="485">
        <f>VLOOKUP(H508,'3-Productie normen'!$A$10:$J$24,8,FALSE)*'3-Ruimtestaat'!X508</f>
        <v>0</v>
      </c>
      <c r="Z508" s="485">
        <f>VLOOKUP(H508,'3-Productie normen'!$A$10:$J$24,9,FALSE)*'3-Ruimtestaat'!X508</f>
        <v>0</v>
      </c>
      <c r="AA508" s="485">
        <f>VLOOKUP(H508,'3-Productie normen'!$A$10:$J$24,10,FALSE)*'3-Ruimtestaat'!X508</f>
        <v>0</v>
      </c>
      <c r="AB508" s="292" t="str">
        <f>IF(H508="",0,VLOOKUP(H508,'3-Productie normen'!$A$10:$N$23,14,FALSE))</f>
        <v>V</v>
      </c>
      <c r="AD508" s="296">
        <f t="shared" si="18"/>
        <v>2737.5</v>
      </c>
      <c r="AE508" s="78"/>
      <c r="AF508" s="253"/>
      <c r="AG508" s="253"/>
      <c r="AH508" s="253"/>
      <c r="AI508" s="253"/>
      <c r="AJ508" s="253"/>
      <c r="AK508" s="253"/>
      <c r="AL508" s="253"/>
      <c r="AM508" s="253"/>
      <c r="AN508" s="253"/>
      <c r="AO508" s="253"/>
    </row>
    <row r="509" spans="1:41" ht="15" customHeight="1">
      <c r="A509" s="254">
        <v>509</v>
      </c>
      <c r="B509" s="253">
        <v>602</v>
      </c>
      <c r="C509" s="240" t="s">
        <v>110</v>
      </c>
      <c r="D509" s="288" t="s">
        <v>634</v>
      </c>
      <c r="E509" s="289" t="s">
        <v>648</v>
      </c>
      <c r="F509" s="239" t="s">
        <v>693</v>
      </c>
      <c r="G509" s="290" t="s">
        <v>694</v>
      </c>
      <c r="H509" s="291" t="s">
        <v>150</v>
      </c>
      <c r="I509" s="239" t="s">
        <v>637</v>
      </c>
      <c r="J509" s="424">
        <f t="shared" si="17"/>
        <v>365</v>
      </c>
      <c r="K509" s="425">
        <v>255</v>
      </c>
      <c r="L509" s="425"/>
      <c r="M509" s="425">
        <v>102</v>
      </c>
      <c r="N509" s="425"/>
      <c r="O509" s="425">
        <v>8</v>
      </c>
      <c r="P509" s="425"/>
      <c r="Q509" s="294">
        <v>15</v>
      </c>
      <c r="R509" s="295" t="e">
        <f>IF(K509="nio",0,(K509*Q509)/X509)*VLOOKUP(C509,'2-Uren per locatie'!$B$15:$D$74,3,FALSE)</f>
        <v>#DIV/0!</v>
      </c>
      <c r="S509" s="295" t="e">
        <f>IF(K509="nio",0,(L509*Q509)/Y509)*VLOOKUP(C509,'2-Uren per locatie'!$B$15:$D$74,3,FALSE)</f>
        <v>#DIV/0!</v>
      </c>
      <c r="T509" s="295" t="e">
        <f>IF(K509="nio",0,(M509*Q509)/Z509)*VLOOKUP(C509,'2-Uren per locatie'!$B$15:$D$74,3,FALSE)</f>
        <v>#DIV/0!</v>
      </c>
      <c r="U509" s="295" t="e">
        <f>IF(K509="nio",0,(N509*Q509)/AA509)*VLOOKUP(C509,'2-Uren per locatie'!$B$15:$D$74,3,FALSE)</f>
        <v>#DIV/0!</v>
      </c>
      <c r="V509" s="295" t="e">
        <f>IF(K509="nio",0,(O509*Q509)/Z509)*VLOOKUP(C509,'2-Uren per locatie'!$B$15:$D$74,3,FALSE)</f>
        <v>#DIV/0!</v>
      </c>
      <c r="W509" s="295" t="e">
        <f>IF(K509="nio",0,(P509*Q509)/AA509)*VLOOKUP(C509,'2-Uren per locatie'!$B$15:$D$74,3,FALSE)</f>
        <v>#DIV/0!</v>
      </c>
      <c r="X509" s="485">
        <f>IF(K509="nio",0,IF(K509&gt;0,VLOOKUP(H509,'3-Productie normen'!A:F,VLOOKUP(K509,'3-Productie normen'!$B$29:$C$34,2,FALSE),FALSE)))</f>
        <v>0</v>
      </c>
      <c r="Y509" s="485">
        <f>VLOOKUP(H509,'3-Productie normen'!$A$10:$J$24,8,FALSE)*'3-Ruimtestaat'!X509</f>
        <v>0</v>
      </c>
      <c r="Z509" s="485">
        <f>VLOOKUP(H509,'3-Productie normen'!$A$10:$J$24,9,FALSE)*'3-Ruimtestaat'!X509</f>
        <v>0</v>
      </c>
      <c r="AA509" s="485">
        <f>VLOOKUP(H509,'3-Productie normen'!$A$10:$J$24,10,FALSE)*'3-Ruimtestaat'!X509</f>
        <v>0</v>
      </c>
      <c r="AB509" s="292" t="str">
        <f>IF(H509="",0,VLOOKUP(H509,'3-Productie normen'!$A$10:$N$23,14,FALSE))</f>
        <v>V</v>
      </c>
      <c r="AD509" s="296">
        <f t="shared" si="18"/>
        <v>5475</v>
      </c>
      <c r="AE509" s="78"/>
      <c r="AF509" s="253"/>
      <c r="AG509" s="253"/>
      <c r="AH509" s="253"/>
      <c r="AI509" s="253"/>
      <c r="AJ509" s="253"/>
      <c r="AK509" s="253"/>
      <c r="AL509" s="253"/>
      <c r="AM509" s="253"/>
      <c r="AN509" s="253"/>
      <c r="AO509" s="253"/>
    </row>
    <row r="510" spans="1:41" ht="15" customHeight="1">
      <c r="A510" s="254">
        <v>510</v>
      </c>
      <c r="B510" s="253">
        <v>602</v>
      </c>
      <c r="C510" s="240" t="s">
        <v>110</v>
      </c>
      <c r="D510" s="288" t="s">
        <v>634</v>
      </c>
      <c r="E510" s="289" t="s">
        <v>648</v>
      </c>
      <c r="F510" s="239" t="s">
        <v>695</v>
      </c>
      <c r="G510" s="290" t="s">
        <v>696</v>
      </c>
      <c r="H510" s="291" t="s">
        <v>152</v>
      </c>
      <c r="I510" s="239" t="s">
        <v>402</v>
      </c>
      <c r="J510" s="424">
        <f t="shared" si="17"/>
        <v>365</v>
      </c>
      <c r="K510" s="425">
        <v>255</v>
      </c>
      <c r="L510" s="425"/>
      <c r="M510" s="425">
        <v>102</v>
      </c>
      <c r="N510" s="425"/>
      <c r="O510" s="425">
        <v>8</v>
      </c>
      <c r="P510" s="425"/>
      <c r="Q510" s="294">
        <v>330</v>
      </c>
      <c r="R510" s="295" t="e">
        <f>IF(K510="nio",0,(K510*Q510)/X510)*VLOOKUP(C510,'2-Uren per locatie'!$B$15:$D$74,3,FALSE)</f>
        <v>#DIV/0!</v>
      </c>
      <c r="S510" s="295" t="e">
        <f>IF(K510="nio",0,(L510*Q510)/Y510)*VLOOKUP(C510,'2-Uren per locatie'!$B$15:$D$74,3,FALSE)</f>
        <v>#DIV/0!</v>
      </c>
      <c r="T510" s="295" t="e">
        <f>IF(K510="nio",0,(M510*Q510)/Z510)*VLOOKUP(C510,'2-Uren per locatie'!$B$15:$D$74,3,FALSE)</f>
        <v>#DIV/0!</v>
      </c>
      <c r="U510" s="295" t="e">
        <f>IF(K510="nio",0,(N510*Q510)/AA510)*VLOOKUP(C510,'2-Uren per locatie'!$B$15:$D$74,3,FALSE)</f>
        <v>#DIV/0!</v>
      </c>
      <c r="V510" s="295" t="e">
        <f>IF(K510="nio",0,(O510*Q510)/Z510)*VLOOKUP(C510,'2-Uren per locatie'!$B$15:$D$74,3,FALSE)</f>
        <v>#DIV/0!</v>
      </c>
      <c r="W510" s="295" t="e">
        <f>IF(K510="nio",0,(P510*Q510)/AA510)*VLOOKUP(C510,'2-Uren per locatie'!$B$15:$D$74,3,FALSE)</f>
        <v>#DIV/0!</v>
      </c>
      <c r="X510" s="485">
        <f>IF(K510="nio",0,IF(K510&gt;0,VLOOKUP(H510,'3-Productie normen'!A:F,VLOOKUP(K510,'3-Productie normen'!$B$29:$C$34,2,FALSE),FALSE)))</f>
        <v>0</v>
      </c>
      <c r="Y510" s="485">
        <f>VLOOKUP(H510,'3-Productie normen'!$A$10:$J$24,8,FALSE)*'3-Ruimtestaat'!X510</f>
        <v>0</v>
      </c>
      <c r="Z510" s="485">
        <f>VLOOKUP(H510,'3-Productie normen'!$A$10:$J$24,9,FALSE)*'3-Ruimtestaat'!X510</f>
        <v>0</v>
      </c>
      <c r="AA510" s="485">
        <f>VLOOKUP(H510,'3-Productie normen'!$A$10:$J$24,10,FALSE)*'3-Ruimtestaat'!X510</f>
        <v>0</v>
      </c>
      <c r="AB510" s="292" t="str">
        <f>IF(H510="",0,VLOOKUP(H510,'3-Productie normen'!$A$10:$N$23,14,FALSE))</f>
        <v>V</v>
      </c>
      <c r="AD510" s="296">
        <f t="shared" si="18"/>
        <v>120450</v>
      </c>
      <c r="AE510" s="78"/>
      <c r="AF510" s="253"/>
      <c r="AG510" s="253"/>
      <c r="AH510" s="253"/>
      <c r="AI510" s="253"/>
      <c r="AJ510" s="253"/>
      <c r="AK510" s="253"/>
      <c r="AL510" s="253"/>
      <c r="AM510" s="253"/>
      <c r="AN510" s="253"/>
      <c r="AO510" s="253"/>
    </row>
    <row r="511" spans="1:41" ht="15" customHeight="1">
      <c r="A511" s="254">
        <v>511</v>
      </c>
      <c r="B511" s="253">
        <v>602</v>
      </c>
      <c r="C511" s="240" t="s">
        <v>110</v>
      </c>
      <c r="D511" s="288" t="s">
        <v>634</v>
      </c>
      <c r="E511" s="289" t="s">
        <v>648</v>
      </c>
      <c r="F511" s="239" t="s">
        <v>376</v>
      </c>
      <c r="G511" s="290" t="s">
        <v>662</v>
      </c>
      <c r="H511" s="291" t="s">
        <v>149</v>
      </c>
      <c r="I511" s="239" t="s">
        <v>402</v>
      </c>
      <c r="J511" s="424">
        <f t="shared" si="17"/>
        <v>365</v>
      </c>
      <c r="K511" s="425">
        <v>255</v>
      </c>
      <c r="L511" s="425"/>
      <c r="M511" s="425">
        <v>102</v>
      </c>
      <c r="N511" s="425"/>
      <c r="O511" s="425">
        <v>8</v>
      </c>
      <c r="P511" s="425"/>
      <c r="Q511" s="294">
        <v>2</v>
      </c>
      <c r="R511" s="295" t="e">
        <f>IF(K511="nio",0,(K511*Q511)/X511)*VLOOKUP(C511,'2-Uren per locatie'!$B$15:$D$74,3,FALSE)</f>
        <v>#DIV/0!</v>
      </c>
      <c r="S511" s="295" t="e">
        <f>IF(K511="nio",0,(L511*Q511)/Y511)*VLOOKUP(C511,'2-Uren per locatie'!$B$15:$D$74,3,FALSE)</f>
        <v>#DIV/0!</v>
      </c>
      <c r="T511" s="295" t="e">
        <f>IF(K511="nio",0,(M511*Q511)/Z511)*VLOOKUP(C511,'2-Uren per locatie'!$B$15:$D$74,3,FALSE)</f>
        <v>#DIV/0!</v>
      </c>
      <c r="U511" s="295" t="e">
        <f>IF(K511="nio",0,(N511*Q511)/AA511)*VLOOKUP(C511,'2-Uren per locatie'!$B$15:$D$74,3,FALSE)</f>
        <v>#DIV/0!</v>
      </c>
      <c r="V511" s="295" t="e">
        <f>IF(K511="nio",0,(O511*Q511)/Z511)*VLOOKUP(C511,'2-Uren per locatie'!$B$15:$D$74,3,FALSE)</f>
        <v>#DIV/0!</v>
      </c>
      <c r="W511" s="295" t="e">
        <f>IF(K511="nio",0,(P511*Q511)/AA511)*VLOOKUP(C511,'2-Uren per locatie'!$B$15:$D$74,3,FALSE)</f>
        <v>#DIV/0!</v>
      </c>
      <c r="X511" s="485">
        <f>IF(K511="nio",0,IF(K511&gt;0,VLOOKUP(H511,'3-Productie normen'!A:F,VLOOKUP(K511,'3-Productie normen'!$B$29:$C$34,2,FALSE),FALSE)))</f>
        <v>0</v>
      </c>
      <c r="Y511" s="485">
        <f>VLOOKUP(H511,'3-Productie normen'!$A$10:$J$24,8,FALSE)*'3-Ruimtestaat'!X511</f>
        <v>0</v>
      </c>
      <c r="Z511" s="485">
        <f>VLOOKUP(H511,'3-Productie normen'!$A$10:$J$24,9,FALSE)*'3-Ruimtestaat'!X511</f>
        <v>0</v>
      </c>
      <c r="AA511" s="485">
        <f>VLOOKUP(H511,'3-Productie normen'!$A$10:$J$24,10,FALSE)*'3-Ruimtestaat'!X511</f>
        <v>0</v>
      </c>
      <c r="AB511" s="292" t="str">
        <f>IF(H511="",0,VLOOKUP(H511,'3-Productie normen'!$A$10:$N$23,14,FALSE))</f>
        <v>V</v>
      </c>
      <c r="AD511" s="296">
        <f t="shared" si="18"/>
        <v>730</v>
      </c>
      <c r="AE511" s="78"/>
      <c r="AF511" s="253"/>
      <c r="AG511" s="253"/>
      <c r="AH511" s="253"/>
      <c r="AI511" s="253"/>
      <c r="AJ511" s="253"/>
      <c r="AK511" s="253"/>
      <c r="AL511" s="253"/>
      <c r="AM511" s="253"/>
      <c r="AN511" s="253"/>
      <c r="AO511" s="253"/>
    </row>
    <row r="512" spans="1:41" ht="15" customHeight="1">
      <c r="A512" s="254">
        <v>512</v>
      </c>
      <c r="B512" s="253">
        <v>602</v>
      </c>
      <c r="C512" s="240" t="s">
        <v>110</v>
      </c>
      <c r="D512" s="288" t="s">
        <v>634</v>
      </c>
      <c r="E512" s="289" t="s">
        <v>648</v>
      </c>
      <c r="F512" s="239" t="s">
        <v>376</v>
      </c>
      <c r="G512" s="290" t="s">
        <v>647</v>
      </c>
      <c r="H512" s="291" t="s">
        <v>149</v>
      </c>
      <c r="I512" s="239" t="s">
        <v>402</v>
      </c>
      <c r="J512" s="424">
        <f t="shared" si="17"/>
        <v>365</v>
      </c>
      <c r="K512" s="425">
        <v>255</v>
      </c>
      <c r="L512" s="425"/>
      <c r="M512" s="425">
        <v>102</v>
      </c>
      <c r="N512" s="425"/>
      <c r="O512" s="425">
        <v>8</v>
      </c>
      <c r="P512" s="425"/>
      <c r="Q512" s="294">
        <v>2</v>
      </c>
      <c r="R512" s="295" t="e">
        <f>IF(K512="nio",0,(K512*Q512)/X512)*VLOOKUP(C512,'2-Uren per locatie'!$B$15:$D$74,3,FALSE)</f>
        <v>#DIV/0!</v>
      </c>
      <c r="S512" s="295" t="e">
        <f>IF(K512="nio",0,(L512*Q512)/Y512)*VLOOKUP(C512,'2-Uren per locatie'!$B$15:$D$74,3,FALSE)</f>
        <v>#DIV/0!</v>
      </c>
      <c r="T512" s="295" t="e">
        <f>IF(K512="nio",0,(M512*Q512)/Z512)*VLOOKUP(C512,'2-Uren per locatie'!$B$15:$D$74,3,FALSE)</f>
        <v>#DIV/0!</v>
      </c>
      <c r="U512" s="295" t="e">
        <f>IF(K512="nio",0,(N512*Q512)/AA512)*VLOOKUP(C512,'2-Uren per locatie'!$B$15:$D$74,3,FALSE)</f>
        <v>#DIV/0!</v>
      </c>
      <c r="V512" s="295" t="e">
        <f>IF(K512="nio",0,(O512*Q512)/Z512)*VLOOKUP(C512,'2-Uren per locatie'!$B$15:$D$74,3,FALSE)</f>
        <v>#DIV/0!</v>
      </c>
      <c r="W512" s="295" t="e">
        <f>IF(K512="nio",0,(P512*Q512)/AA512)*VLOOKUP(C512,'2-Uren per locatie'!$B$15:$D$74,3,FALSE)</f>
        <v>#DIV/0!</v>
      </c>
      <c r="X512" s="485">
        <f>IF(K512="nio",0,IF(K512&gt;0,VLOOKUP(H512,'3-Productie normen'!A:F,VLOOKUP(K512,'3-Productie normen'!$B$29:$C$34,2,FALSE),FALSE)))</f>
        <v>0</v>
      </c>
      <c r="Y512" s="485">
        <f>VLOOKUP(H512,'3-Productie normen'!$A$10:$J$24,8,FALSE)*'3-Ruimtestaat'!X512</f>
        <v>0</v>
      </c>
      <c r="Z512" s="485">
        <f>VLOOKUP(H512,'3-Productie normen'!$A$10:$J$24,9,FALSE)*'3-Ruimtestaat'!X512</f>
        <v>0</v>
      </c>
      <c r="AA512" s="485">
        <f>VLOOKUP(H512,'3-Productie normen'!$A$10:$J$24,10,FALSE)*'3-Ruimtestaat'!X512</f>
        <v>0</v>
      </c>
      <c r="AB512" s="292" t="str">
        <f>IF(H512="",0,VLOOKUP(H512,'3-Productie normen'!$A$10:$N$23,14,FALSE))</f>
        <v>V</v>
      </c>
      <c r="AD512" s="296">
        <f t="shared" si="18"/>
        <v>730</v>
      </c>
      <c r="AE512" s="78"/>
      <c r="AF512" s="253"/>
      <c r="AG512" s="253"/>
      <c r="AH512" s="253"/>
      <c r="AI512" s="253"/>
      <c r="AJ512" s="253"/>
      <c r="AK512" s="253"/>
      <c r="AL512" s="253"/>
      <c r="AM512" s="253"/>
      <c r="AN512" s="253"/>
      <c r="AO512" s="253"/>
    </row>
    <row r="513" spans="1:41" ht="15" customHeight="1">
      <c r="A513" s="254">
        <v>513</v>
      </c>
      <c r="B513" s="253">
        <v>602</v>
      </c>
      <c r="C513" s="240" t="s">
        <v>110</v>
      </c>
      <c r="D513" s="288" t="s">
        <v>634</v>
      </c>
      <c r="E513" s="289" t="s">
        <v>648</v>
      </c>
      <c r="F513" s="239" t="s">
        <v>697</v>
      </c>
      <c r="G513" s="290" t="s">
        <v>698</v>
      </c>
      <c r="H513" s="291" t="s">
        <v>150</v>
      </c>
      <c r="I513" s="239" t="s">
        <v>637</v>
      </c>
      <c r="J513" s="424">
        <f t="shared" si="17"/>
        <v>365</v>
      </c>
      <c r="K513" s="425">
        <v>255</v>
      </c>
      <c r="L513" s="425"/>
      <c r="M513" s="425">
        <v>102</v>
      </c>
      <c r="N513" s="425"/>
      <c r="O513" s="425">
        <v>8</v>
      </c>
      <c r="P513" s="425"/>
      <c r="Q513" s="294">
        <v>16</v>
      </c>
      <c r="R513" s="295" t="e">
        <f>IF(K513="nio",0,(K513*Q513)/X513)*VLOOKUP(C513,'2-Uren per locatie'!$B$15:$D$74,3,FALSE)</f>
        <v>#DIV/0!</v>
      </c>
      <c r="S513" s="295" t="e">
        <f>IF(K513="nio",0,(L513*Q513)/Y513)*VLOOKUP(C513,'2-Uren per locatie'!$B$15:$D$74,3,FALSE)</f>
        <v>#DIV/0!</v>
      </c>
      <c r="T513" s="295" t="e">
        <f>IF(K513="nio",0,(M513*Q513)/Z513)*VLOOKUP(C513,'2-Uren per locatie'!$B$15:$D$74,3,FALSE)</f>
        <v>#DIV/0!</v>
      </c>
      <c r="U513" s="295" t="e">
        <f>IF(K513="nio",0,(N513*Q513)/AA513)*VLOOKUP(C513,'2-Uren per locatie'!$B$15:$D$74,3,FALSE)</f>
        <v>#DIV/0!</v>
      </c>
      <c r="V513" s="295" t="e">
        <f>IF(K513="nio",0,(O513*Q513)/Z513)*VLOOKUP(C513,'2-Uren per locatie'!$B$15:$D$74,3,FALSE)</f>
        <v>#DIV/0!</v>
      </c>
      <c r="W513" s="295" t="e">
        <f>IF(K513="nio",0,(P513*Q513)/AA513)*VLOOKUP(C513,'2-Uren per locatie'!$B$15:$D$74,3,FALSE)</f>
        <v>#DIV/0!</v>
      </c>
      <c r="X513" s="485">
        <f>IF(K513="nio",0,IF(K513&gt;0,VLOOKUP(H513,'3-Productie normen'!A:F,VLOOKUP(K513,'3-Productie normen'!$B$29:$C$34,2,FALSE),FALSE)))</f>
        <v>0</v>
      </c>
      <c r="Y513" s="485">
        <f>VLOOKUP(H513,'3-Productie normen'!$A$10:$J$24,8,FALSE)*'3-Ruimtestaat'!X513</f>
        <v>0</v>
      </c>
      <c r="Z513" s="485">
        <f>VLOOKUP(H513,'3-Productie normen'!$A$10:$J$24,9,FALSE)*'3-Ruimtestaat'!X513</f>
        <v>0</v>
      </c>
      <c r="AA513" s="485">
        <f>VLOOKUP(H513,'3-Productie normen'!$A$10:$J$24,10,FALSE)*'3-Ruimtestaat'!X513</f>
        <v>0</v>
      </c>
      <c r="AB513" s="292" t="str">
        <f>IF(H513="",0,VLOOKUP(H513,'3-Productie normen'!$A$10:$N$23,14,FALSE))</f>
        <v>V</v>
      </c>
      <c r="AD513" s="296">
        <f t="shared" si="18"/>
        <v>5840</v>
      </c>
      <c r="AE513" s="78"/>
      <c r="AF513" s="253"/>
      <c r="AG513" s="253"/>
      <c r="AH513" s="253"/>
      <c r="AI513" s="253"/>
      <c r="AJ513" s="253"/>
      <c r="AK513" s="253"/>
      <c r="AL513" s="253"/>
      <c r="AM513" s="253"/>
      <c r="AN513" s="253"/>
      <c r="AO513" s="253"/>
    </row>
    <row r="514" spans="1:41" ht="15" customHeight="1">
      <c r="A514" s="254">
        <v>514</v>
      </c>
      <c r="B514" s="253">
        <v>602</v>
      </c>
      <c r="C514" s="240" t="s">
        <v>110</v>
      </c>
      <c r="D514" s="288" t="s">
        <v>634</v>
      </c>
      <c r="E514" s="289" t="s">
        <v>648</v>
      </c>
      <c r="F514" s="239" t="s">
        <v>699</v>
      </c>
      <c r="G514" s="290" t="s">
        <v>700</v>
      </c>
      <c r="H514" s="291" t="s">
        <v>153</v>
      </c>
      <c r="I514" s="239" t="s">
        <v>637</v>
      </c>
      <c r="J514" s="424">
        <f t="shared" si="17"/>
        <v>365</v>
      </c>
      <c r="K514" s="425">
        <v>255</v>
      </c>
      <c r="L514" s="425"/>
      <c r="M514" s="425">
        <v>102</v>
      </c>
      <c r="N514" s="425"/>
      <c r="O514" s="425">
        <v>8</v>
      </c>
      <c r="P514" s="425"/>
      <c r="Q514" s="294">
        <v>6</v>
      </c>
      <c r="R514" s="295" t="e">
        <f>IF(K514="nio",0,(K514*Q514)/X514)*VLOOKUP(C514,'2-Uren per locatie'!$B$15:$D$74,3,FALSE)</f>
        <v>#DIV/0!</v>
      </c>
      <c r="S514" s="295" t="e">
        <f>IF(K514="nio",0,(L514*Q514)/Y514)*VLOOKUP(C514,'2-Uren per locatie'!$B$15:$D$74,3,FALSE)</f>
        <v>#DIV/0!</v>
      </c>
      <c r="T514" s="295" t="e">
        <f>IF(K514="nio",0,(M514*Q514)/Z514)*VLOOKUP(C514,'2-Uren per locatie'!$B$15:$D$74,3,FALSE)</f>
        <v>#DIV/0!</v>
      </c>
      <c r="U514" s="295" t="e">
        <f>IF(K514="nio",0,(N514*Q514)/AA514)*VLOOKUP(C514,'2-Uren per locatie'!$B$15:$D$74,3,FALSE)</f>
        <v>#DIV/0!</v>
      </c>
      <c r="V514" s="295" t="e">
        <f>IF(K514="nio",0,(O514*Q514)/Z514)*VLOOKUP(C514,'2-Uren per locatie'!$B$15:$D$74,3,FALSE)</f>
        <v>#DIV/0!</v>
      </c>
      <c r="W514" s="295" t="e">
        <f>IF(K514="nio",0,(P514*Q514)/AA514)*VLOOKUP(C514,'2-Uren per locatie'!$B$15:$D$74,3,FALSE)</f>
        <v>#DIV/0!</v>
      </c>
      <c r="X514" s="485">
        <f>IF(K514="nio",0,IF(K514&gt;0,VLOOKUP(H514,'3-Productie normen'!A:F,VLOOKUP(K514,'3-Productie normen'!$B$29:$C$34,2,FALSE),FALSE)))</f>
        <v>0</v>
      </c>
      <c r="Y514" s="485">
        <f>VLOOKUP(H514,'3-Productie normen'!$A$10:$J$24,8,FALSE)*'3-Ruimtestaat'!X514</f>
        <v>0</v>
      </c>
      <c r="Z514" s="485">
        <f>VLOOKUP(H514,'3-Productie normen'!$A$10:$J$24,9,FALSE)*'3-Ruimtestaat'!X514</f>
        <v>0</v>
      </c>
      <c r="AA514" s="485">
        <f>VLOOKUP(H514,'3-Productie normen'!$A$10:$J$24,10,FALSE)*'3-Ruimtestaat'!X514</f>
        <v>0</v>
      </c>
      <c r="AB514" s="292" t="str">
        <f>IF(H514="",0,VLOOKUP(H514,'3-Productie normen'!$A$10:$N$23,14,FALSE))</f>
        <v>S</v>
      </c>
      <c r="AD514" s="296">
        <f t="shared" si="18"/>
        <v>2190</v>
      </c>
      <c r="AE514" s="78"/>
      <c r="AF514" s="253"/>
      <c r="AG514" s="253"/>
      <c r="AH514" s="253"/>
      <c r="AI514" s="253"/>
      <c r="AJ514" s="253"/>
      <c r="AK514" s="253"/>
      <c r="AL514" s="253"/>
      <c r="AM514" s="253"/>
      <c r="AN514" s="253"/>
      <c r="AO514" s="253"/>
    </row>
    <row r="515" spans="1:41" ht="15" customHeight="1">
      <c r="A515" s="254">
        <v>515</v>
      </c>
      <c r="B515" s="253">
        <v>602</v>
      </c>
      <c r="C515" s="240" t="s">
        <v>110</v>
      </c>
      <c r="D515" s="288" t="s">
        <v>634</v>
      </c>
      <c r="E515" s="289" t="s">
        <v>701</v>
      </c>
      <c r="F515" s="239" t="s">
        <v>249</v>
      </c>
      <c r="G515" s="290" t="s">
        <v>702</v>
      </c>
      <c r="H515" s="291" t="s">
        <v>151</v>
      </c>
      <c r="I515" s="239" t="s">
        <v>637</v>
      </c>
      <c r="J515" s="424">
        <f t="shared" si="17"/>
        <v>365</v>
      </c>
      <c r="K515" s="425">
        <v>255</v>
      </c>
      <c r="L515" s="425"/>
      <c r="M515" s="425">
        <v>102</v>
      </c>
      <c r="N515" s="425"/>
      <c r="O515" s="425">
        <v>8</v>
      </c>
      <c r="P515" s="425"/>
      <c r="Q515" s="294">
        <v>750</v>
      </c>
      <c r="R515" s="295" t="e">
        <f>IF(K515="nio",0,(K515*Q515)/X515)*VLOOKUP(C515,'2-Uren per locatie'!$B$15:$D$74,3,FALSE)</f>
        <v>#DIV/0!</v>
      </c>
      <c r="S515" s="295" t="e">
        <f>IF(K515="nio",0,(L515*Q515)/Y515)*VLOOKUP(C515,'2-Uren per locatie'!$B$15:$D$74,3,FALSE)</f>
        <v>#DIV/0!</v>
      </c>
      <c r="T515" s="295" t="e">
        <f>IF(K515="nio",0,(M515*Q515)/Z515)*VLOOKUP(C515,'2-Uren per locatie'!$B$15:$D$74,3,FALSE)</f>
        <v>#DIV/0!</v>
      </c>
      <c r="U515" s="295" t="e">
        <f>IF(K515="nio",0,(N515*Q515)/AA515)*VLOOKUP(C515,'2-Uren per locatie'!$B$15:$D$74,3,FALSE)</f>
        <v>#DIV/0!</v>
      </c>
      <c r="V515" s="295" t="e">
        <f>IF(K515="nio",0,(O515*Q515)/Z515)*VLOOKUP(C515,'2-Uren per locatie'!$B$15:$D$74,3,FALSE)</f>
        <v>#DIV/0!</v>
      </c>
      <c r="W515" s="295" t="e">
        <f>IF(K515="nio",0,(P515*Q515)/AA515)*VLOOKUP(C515,'2-Uren per locatie'!$B$15:$D$74,3,FALSE)</f>
        <v>#DIV/0!</v>
      </c>
      <c r="X515" s="485">
        <f>IF(K515="nio",0,IF(K515&gt;0,VLOOKUP(H515,'3-Productie normen'!A:F,VLOOKUP(K515,'3-Productie normen'!$B$29:$C$34,2,FALSE),FALSE)))</f>
        <v>0</v>
      </c>
      <c r="Y515" s="485">
        <f>VLOOKUP(H515,'3-Productie normen'!$A$10:$J$24,8,FALSE)*'3-Ruimtestaat'!X515</f>
        <v>0</v>
      </c>
      <c r="Z515" s="485">
        <f>VLOOKUP(H515,'3-Productie normen'!$A$10:$J$24,9,FALSE)*'3-Ruimtestaat'!X515</f>
        <v>0</v>
      </c>
      <c r="AA515" s="485">
        <f>VLOOKUP(H515,'3-Productie normen'!$A$10:$J$24,10,FALSE)*'3-Ruimtestaat'!X515</f>
        <v>0</v>
      </c>
      <c r="AB515" s="292" t="str">
        <f>IF(H515="",0,VLOOKUP(H515,'3-Productie normen'!$A$10:$N$23,14,FALSE))</f>
        <v>V</v>
      </c>
      <c r="AD515" s="296">
        <f t="shared" si="18"/>
        <v>273750</v>
      </c>
      <c r="AE515" s="78"/>
      <c r="AF515" s="253"/>
      <c r="AG515" s="253"/>
      <c r="AH515" s="253"/>
      <c r="AI515" s="253"/>
      <c r="AJ515" s="253"/>
      <c r="AK515" s="253"/>
      <c r="AL515" s="253"/>
      <c r="AM515" s="253"/>
      <c r="AN515" s="253"/>
      <c r="AO515" s="253"/>
    </row>
    <row r="516" spans="1:41" ht="15" customHeight="1">
      <c r="A516" s="254">
        <v>516</v>
      </c>
      <c r="B516" s="253">
        <v>602</v>
      </c>
      <c r="C516" s="240" t="s">
        <v>110</v>
      </c>
      <c r="D516" s="288" t="s">
        <v>634</v>
      </c>
      <c r="E516" s="289" t="s">
        <v>703</v>
      </c>
      <c r="F516" s="239" t="s">
        <v>529</v>
      </c>
      <c r="G516" s="290" t="s">
        <v>704</v>
      </c>
      <c r="H516" s="291" t="s">
        <v>153</v>
      </c>
      <c r="I516" s="239" t="s">
        <v>637</v>
      </c>
      <c r="J516" s="424">
        <f t="shared" si="17"/>
        <v>365</v>
      </c>
      <c r="K516" s="425">
        <v>255</v>
      </c>
      <c r="L516" s="425"/>
      <c r="M516" s="425">
        <v>102</v>
      </c>
      <c r="N516" s="425"/>
      <c r="O516" s="425">
        <v>8</v>
      </c>
      <c r="P516" s="425"/>
      <c r="Q516" s="294">
        <v>2</v>
      </c>
      <c r="R516" s="295" t="e">
        <f>IF(K516="nio",0,(K516*Q516)/X516)*VLOOKUP(C516,'2-Uren per locatie'!$B$15:$D$74,3,FALSE)</f>
        <v>#DIV/0!</v>
      </c>
      <c r="S516" s="295" t="e">
        <f>IF(K516="nio",0,(L516*Q516)/Y516)*VLOOKUP(C516,'2-Uren per locatie'!$B$15:$D$74,3,FALSE)</f>
        <v>#DIV/0!</v>
      </c>
      <c r="T516" s="295" t="e">
        <f>IF(K516="nio",0,(M516*Q516)/Z516)*VLOOKUP(C516,'2-Uren per locatie'!$B$15:$D$74,3,FALSE)</f>
        <v>#DIV/0!</v>
      </c>
      <c r="U516" s="295" t="e">
        <f>IF(K516="nio",0,(N516*Q516)/AA516)*VLOOKUP(C516,'2-Uren per locatie'!$B$15:$D$74,3,FALSE)</f>
        <v>#DIV/0!</v>
      </c>
      <c r="V516" s="295" t="e">
        <f>IF(K516="nio",0,(O516*Q516)/Z516)*VLOOKUP(C516,'2-Uren per locatie'!$B$15:$D$74,3,FALSE)</f>
        <v>#DIV/0!</v>
      </c>
      <c r="W516" s="295" t="e">
        <f>IF(K516="nio",0,(P516*Q516)/AA516)*VLOOKUP(C516,'2-Uren per locatie'!$B$15:$D$74,3,FALSE)</f>
        <v>#DIV/0!</v>
      </c>
      <c r="X516" s="485">
        <f>IF(K516="nio",0,IF(K516&gt;0,VLOOKUP(H516,'3-Productie normen'!A:F,VLOOKUP(K516,'3-Productie normen'!$B$29:$C$34,2,FALSE),FALSE)))</f>
        <v>0</v>
      </c>
      <c r="Y516" s="485">
        <f>VLOOKUP(H516,'3-Productie normen'!$A$10:$J$24,8,FALSE)*'3-Ruimtestaat'!X516</f>
        <v>0</v>
      </c>
      <c r="Z516" s="485">
        <f>VLOOKUP(H516,'3-Productie normen'!$A$10:$J$24,9,FALSE)*'3-Ruimtestaat'!X516</f>
        <v>0</v>
      </c>
      <c r="AA516" s="485">
        <f>VLOOKUP(H516,'3-Productie normen'!$A$10:$J$24,10,FALSE)*'3-Ruimtestaat'!X516</f>
        <v>0</v>
      </c>
      <c r="AB516" s="292" t="str">
        <f>IF(H516="",0,VLOOKUP(H516,'3-Productie normen'!$A$10:$N$23,14,FALSE))</f>
        <v>S</v>
      </c>
      <c r="AD516" s="296">
        <f t="shared" si="18"/>
        <v>730</v>
      </c>
      <c r="AE516" s="78"/>
      <c r="AF516" s="253"/>
      <c r="AG516" s="253"/>
      <c r="AH516" s="253"/>
      <c r="AI516" s="253"/>
      <c r="AJ516" s="253"/>
      <c r="AK516" s="253"/>
      <c r="AL516" s="253"/>
      <c r="AM516" s="253"/>
      <c r="AN516" s="253"/>
      <c r="AO516" s="253"/>
    </row>
    <row r="517" spans="1:41" ht="15" customHeight="1">
      <c r="A517" s="254">
        <v>517</v>
      </c>
      <c r="B517" s="253">
        <v>602</v>
      </c>
      <c r="C517" s="240" t="s">
        <v>110</v>
      </c>
      <c r="D517" s="288" t="s">
        <v>634</v>
      </c>
      <c r="E517" s="289" t="s">
        <v>705</v>
      </c>
      <c r="F517" s="239" t="s">
        <v>249</v>
      </c>
      <c r="G517" s="290" t="s">
        <v>706</v>
      </c>
      <c r="H517" s="291" t="s">
        <v>151</v>
      </c>
      <c r="I517" s="239" t="s">
        <v>637</v>
      </c>
      <c r="J517" s="424">
        <f t="shared" ref="J517:J576" si="19">SUM(K517:P517)</f>
        <v>365</v>
      </c>
      <c r="K517" s="425">
        <v>255</v>
      </c>
      <c r="L517" s="425"/>
      <c r="M517" s="425">
        <v>102</v>
      </c>
      <c r="N517" s="425"/>
      <c r="O517" s="425">
        <v>8</v>
      </c>
      <c r="P517" s="425"/>
      <c r="Q517" s="294">
        <v>800</v>
      </c>
      <c r="R517" s="295" t="e">
        <f>IF(K517="nio",0,(K517*Q517)/X517)*VLOOKUP(C517,'2-Uren per locatie'!$B$15:$D$74,3,FALSE)</f>
        <v>#DIV/0!</v>
      </c>
      <c r="S517" s="295" t="e">
        <f>IF(K517="nio",0,(L517*Q517)/Y517)*VLOOKUP(C517,'2-Uren per locatie'!$B$15:$D$74,3,FALSE)</f>
        <v>#DIV/0!</v>
      </c>
      <c r="T517" s="295" t="e">
        <f>IF(K517="nio",0,(M517*Q517)/Z517)*VLOOKUP(C517,'2-Uren per locatie'!$B$15:$D$74,3,FALSE)</f>
        <v>#DIV/0!</v>
      </c>
      <c r="U517" s="295" t="e">
        <f>IF(K517="nio",0,(N517*Q517)/AA517)*VLOOKUP(C517,'2-Uren per locatie'!$B$15:$D$74,3,FALSE)</f>
        <v>#DIV/0!</v>
      </c>
      <c r="V517" s="295" t="e">
        <f>IF(K517="nio",0,(O517*Q517)/Z517)*VLOOKUP(C517,'2-Uren per locatie'!$B$15:$D$74,3,FALSE)</f>
        <v>#DIV/0!</v>
      </c>
      <c r="W517" s="295" t="e">
        <f>IF(K517="nio",0,(P517*Q517)/AA517)*VLOOKUP(C517,'2-Uren per locatie'!$B$15:$D$74,3,FALSE)</f>
        <v>#DIV/0!</v>
      </c>
      <c r="X517" s="485">
        <f>IF(K517="nio",0,IF(K517&gt;0,VLOOKUP(H517,'3-Productie normen'!A:F,VLOOKUP(K517,'3-Productie normen'!$B$29:$C$34,2,FALSE),FALSE)))</f>
        <v>0</v>
      </c>
      <c r="Y517" s="485">
        <f>VLOOKUP(H517,'3-Productie normen'!$A$10:$J$24,8,FALSE)*'3-Ruimtestaat'!X517</f>
        <v>0</v>
      </c>
      <c r="Z517" s="485">
        <f>VLOOKUP(H517,'3-Productie normen'!$A$10:$J$24,9,FALSE)*'3-Ruimtestaat'!X517</f>
        <v>0</v>
      </c>
      <c r="AA517" s="485">
        <f>VLOOKUP(H517,'3-Productie normen'!$A$10:$J$24,10,FALSE)*'3-Ruimtestaat'!X517</f>
        <v>0</v>
      </c>
      <c r="AB517" s="292" t="str">
        <f>IF(H517="",0,VLOOKUP(H517,'3-Productie normen'!$A$10:$N$23,14,FALSE))</f>
        <v>V</v>
      </c>
      <c r="AD517" s="296">
        <f t="shared" si="18"/>
        <v>292000</v>
      </c>
      <c r="AE517" s="78"/>
      <c r="AF517" s="253"/>
      <c r="AG517" s="253"/>
      <c r="AH517" s="253"/>
      <c r="AI517" s="253"/>
      <c r="AJ517" s="253"/>
      <c r="AK517" s="253"/>
      <c r="AL517" s="253"/>
      <c r="AM517" s="253"/>
      <c r="AN517" s="253"/>
      <c r="AO517" s="253"/>
    </row>
    <row r="518" spans="1:41" ht="15" customHeight="1">
      <c r="A518" s="254">
        <v>518</v>
      </c>
      <c r="B518" s="253">
        <v>603</v>
      </c>
      <c r="C518" s="240" t="s">
        <v>111</v>
      </c>
      <c r="D518" s="288" t="s">
        <v>634</v>
      </c>
      <c r="E518" s="289" t="s">
        <v>242</v>
      </c>
      <c r="F518" s="239" t="s">
        <v>707</v>
      </c>
      <c r="G518" s="290" t="s">
        <v>708</v>
      </c>
      <c r="H518" s="291" t="s">
        <v>152</v>
      </c>
      <c r="I518" s="239" t="s">
        <v>402</v>
      </c>
      <c r="J518" s="424">
        <f t="shared" si="19"/>
        <v>365</v>
      </c>
      <c r="K518" s="425">
        <v>255</v>
      </c>
      <c r="L518" s="425"/>
      <c r="M518" s="425">
        <v>102</v>
      </c>
      <c r="N518" s="425"/>
      <c r="O518" s="425">
        <v>8</v>
      </c>
      <c r="P518" s="425"/>
      <c r="Q518" s="294">
        <v>90</v>
      </c>
      <c r="R518" s="295" t="e">
        <f>IF(K518="nio",0,(K518*Q518)/X518)*VLOOKUP(C518,'2-Uren per locatie'!$B$15:$D$74,3,FALSE)</f>
        <v>#DIV/0!</v>
      </c>
      <c r="S518" s="295" t="e">
        <f>IF(K518="nio",0,(L518*Q518)/Y518)*VLOOKUP(C518,'2-Uren per locatie'!$B$15:$D$74,3,FALSE)</f>
        <v>#DIV/0!</v>
      </c>
      <c r="T518" s="295" t="e">
        <f>IF(K518="nio",0,(M518*Q518)/Z518)*VLOOKUP(C518,'2-Uren per locatie'!$B$15:$D$74,3,FALSE)</f>
        <v>#DIV/0!</v>
      </c>
      <c r="U518" s="295" t="e">
        <f>IF(K518="nio",0,(N518*Q518)/AA518)*VLOOKUP(C518,'2-Uren per locatie'!$B$15:$D$74,3,FALSE)</f>
        <v>#DIV/0!</v>
      </c>
      <c r="V518" s="295" t="e">
        <f>IF(K518="nio",0,(O518*Q518)/Z518)*VLOOKUP(C518,'2-Uren per locatie'!$B$15:$D$74,3,FALSE)</f>
        <v>#DIV/0!</v>
      </c>
      <c r="W518" s="295" t="e">
        <f>IF(K518="nio",0,(P518*Q518)/AA518)*VLOOKUP(C518,'2-Uren per locatie'!$B$15:$D$74,3,FALSE)</f>
        <v>#DIV/0!</v>
      </c>
      <c r="X518" s="485">
        <f>IF(K518="nio",0,IF(K518&gt;0,VLOOKUP(H518,'3-Productie normen'!A:F,VLOOKUP(K518,'3-Productie normen'!$B$29:$C$34,2,FALSE),FALSE)))</f>
        <v>0</v>
      </c>
      <c r="Y518" s="485">
        <f>VLOOKUP(H518,'3-Productie normen'!$A$10:$J$24,8,FALSE)*'3-Ruimtestaat'!X518</f>
        <v>0</v>
      </c>
      <c r="Z518" s="485">
        <f>VLOOKUP(H518,'3-Productie normen'!$A$10:$J$24,9,FALSE)*'3-Ruimtestaat'!X518</f>
        <v>0</v>
      </c>
      <c r="AA518" s="485">
        <f>VLOOKUP(H518,'3-Productie normen'!$A$10:$J$24,10,FALSE)*'3-Ruimtestaat'!X518</f>
        <v>0</v>
      </c>
      <c r="AB518" s="292" t="str">
        <f>IF(H518="",0,VLOOKUP(H518,'3-Productie normen'!$A$10:$N$23,14,FALSE))</f>
        <v>V</v>
      </c>
      <c r="AD518" s="296">
        <f t="shared" si="18"/>
        <v>32850</v>
      </c>
      <c r="AE518" s="78"/>
      <c r="AF518" s="253"/>
      <c r="AG518" s="253"/>
      <c r="AH518" s="253"/>
      <c r="AI518" s="253"/>
      <c r="AJ518" s="253"/>
      <c r="AK518" s="253"/>
      <c r="AL518" s="253"/>
      <c r="AM518" s="253"/>
      <c r="AN518" s="253"/>
      <c r="AO518" s="253"/>
    </row>
    <row r="519" spans="1:41" ht="15" customHeight="1">
      <c r="A519" s="254">
        <v>519</v>
      </c>
      <c r="B519" s="253">
        <v>603</v>
      </c>
      <c r="C519" s="240" t="s">
        <v>111</v>
      </c>
      <c r="D519" s="288" t="s">
        <v>634</v>
      </c>
      <c r="E519" s="289" t="s">
        <v>242</v>
      </c>
      <c r="F519" s="239" t="s">
        <v>709</v>
      </c>
      <c r="G519" s="290" t="s">
        <v>710</v>
      </c>
      <c r="H519" s="291" t="s">
        <v>152</v>
      </c>
      <c r="I519" s="239" t="s">
        <v>402</v>
      </c>
      <c r="J519" s="424">
        <f t="shared" si="19"/>
        <v>365</v>
      </c>
      <c r="K519" s="425">
        <v>255</v>
      </c>
      <c r="L519" s="425"/>
      <c r="M519" s="425">
        <v>102</v>
      </c>
      <c r="N519" s="425"/>
      <c r="O519" s="425">
        <v>8</v>
      </c>
      <c r="P519" s="425"/>
      <c r="Q519" s="294">
        <v>108</v>
      </c>
      <c r="R519" s="295" t="e">
        <f>IF(K519="nio",0,(K519*Q519)/X519)*VLOOKUP(C519,'2-Uren per locatie'!$B$15:$D$74,3,FALSE)</f>
        <v>#DIV/0!</v>
      </c>
      <c r="S519" s="295" t="e">
        <f>IF(K519="nio",0,(L519*Q519)/Y519)*VLOOKUP(C519,'2-Uren per locatie'!$B$15:$D$74,3,FALSE)</f>
        <v>#DIV/0!</v>
      </c>
      <c r="T519" s="295" t="e">
        <f>IF(K519="nio",0,(M519*Q519)/Z519)*VLOOKUP(C519,'2-Uren per locatie'!$B$15:$D$74,3,FALSE)</f>
        <v>#DIV/0!</v>
      </c>
      <c r="U519" s="295" t="e">
        <f>IF(K519="nio",0,(N519*Q519)/AA519)*VLOOKUP(C519,'2-Uren per locatie'!$B$15:$D$74,3,FALSE)</f>
        <v>#DIV/0!</v>
      </c>
      <c r="V519" s="295" t="e">
        <f>IF(K519="nio",0,(O519*Q519)/Z519)*VLOOKUP(C519,'2-Uren per locatie'!$B$15:$D$74,3,FALSE)</f>
        <v>#DIV/0!</v>
      </c>
      <c r="W519" s="295" t="e">
        <f>IF(K519="nio",0,(P519*Q519)/AA519)*VLOOKUP(C519,'2-Uren per locatie'!$B$15:$D$74,3,FALSE)</f>
        <v>#DIV/0!</v>
      </c>
      <c r="X519" s="485">
        <f>IF(K519="nio",0,IF(K519&gt;0,VLOOKUP(H519,'3-Productie normen'!A:F,VLOOKUP(K519,'3-Productie normen'!$B$29:$C$34,2,FALSE),FALSE)))</f>
        <v>0</v>
      </c>
      <c r="Y519" s="485">
        <f>VLOOKUP(H519,'3-Productie normen'!$A$10:$J$24,8,FALSE)*'3-Ruimtestaat'!X519</f>
        <v>0</v>
      </c>
      <c r="Z519" s="485">
        <f>VLOOKUP(H519,'3-Productie normen'!$A$10:$J$24,9,FALSE)*'3-Ruimtestaat'!X519</f>
        <v>0</v>
      </c>
      <c r="AA519" s="485">
        <f>VLOOKUP(H519,'3-Productie normen'!$A$10:$J$24,10,FALSE)*'3-Ruimtestaat'!X519</f>
        <v>0</v>
      </c>
      <c r="AB519" s="292" t="str">
        <f>IF(H519="",0,VLOOKUP(H519,'3-Productie normen'!$A$10:$N$23,14,FALSE))</f>
        <v>V</v>
      </c>
      <c r="AD519" s="296">
        <f t="shared" si="18"/>
        <v>39420</v>
      </c>
      <c r="AE519" s="78"/>
      <c r="AF519" s="253"/>
      <c r="AG519" s="253"/>
      <c r="AH519" s="253"/>
      <c r="AI519" s="253"/>
      <c r="AJ519" s="253"/>
      <c r="AK519" s="253"/>
      <c r="AL519" s="253"/>
      <c r="AM519" s="253"/>
      <c r="AN519" s="253"/>
      <c r="AO519" s="253"/>
    </row>
    <row r="520" spans="1:41" ht="15" customHeight="1">
      <c r="A520" s="254">
        <v>520</v>
      </c>
      <c r="B520" s="253">
        <v>603</v>
      </c>
      <c r="C520" s="240" t="s">
        <v>111</v>
      </c>
      <c r="D520" s="288" t="s">
        <v>634</v>
      </c>
      <c r="E520" s="289" t="s">
        <v>242</v>
      </c>
      <c r="F520" s="239" t="s">
        <v>711</v>
      </c>
      <c r="G520" s="290" t="s">
        <v>712</v>
      </c>
      <c r="H520" s="291" t="s">
        <v>152</v>
      </c>
      <c r="I520" s="239" t="s">
        <v>402</v>
      </c>
      <c r="J520" s="424">
        <f t="shared" si="19"/>
        <v>365</v>
      </c>
      <c r="K520" s="425">
        <v>255</v>
      </c>
      <c r="L520" s="425"/>
      <c r="M520" s="425">
        <v>102</v>
      </c>
      <c r="N520" s="425"/>
      <c r="O520" s="425">
        <v>8</v>
      </c>
      <c r="P520" s="425"/>
      <c r="Q520" s="294">
        <v>90</v>
      </c>
      <c r="R520" s="295" t="e">
        <f>IF(K520="nio",0,(K520*Q520)/X520)*VLOOKUP(C520,'2-Uren per locatie'!$B$15:$D$74,3,FALSE)</f>
        <v>#DIV/0!</v>
      </c>
      <c r="S520" s="295" t="e">
        <f>IF(K520="nio",0,(L520*Q520)/Y520)*VLOOKUP(C520,'2-Uren per locatie'!$B$15:$D$74,3,FALSE)</f>
        <v>#DIV/0!</v>
      </c>
      <c r="T520" s="295" t="e">
        <f>IF(K520="nio",0,(M520*Q520)/Z520)*VLOOKUP(C520,'2-Uren per locatie'!$B$15:$D$74,3,FALSE)</f>
        <v>#DIV/0!</v>
      </c>
      <c r="U520" s="295" t="e">
        <f>IF(K520="nio",0,(N520*Q520)/AA520)*VLOOKUP(C520,'2-Uren per locatie'!$B$15:$D$74,3,FALSE)</f>
        <v>#DIV/0!</v>
      </c>
      <c r="V520" s="295" t="e">
        <f>IF(K520="nio",0,(O520*Q520)/Z520)*VLOOKUP(C520,'2-Uren per locatie'!$B$15:$D$74,3,FALSE)</f>
        <v>#DIV/0!</v>
      </c>
      <c r="W520" s="295" t="e">
        <f>IF(K520="nio",0,(P520*Q520)/AA520)*VLOOKUP(C520,'2-Uren per locatie'!$B$15:$D$74,3,FALSE)</f>
        <v>#DIV/0!</v>
      </c>
      <c r="X520" s="485">
        <f>IF(K520="nio",0,IF(K520&gt;0,VLOOKUP(H520,'3-Productie normen'!A:F,VLOOKUP(K520,'3-Productie normen'!$B$29:$C$34,2,FALSE),FALSE)))</f>
        <v>0</v>
      </c>
      <c r="Y520" s="485">
        <f>VLOOKUP(H520,'3-Productie normen'!$A$10:$J$24,8,FALSE)*'3-Ruimtestaat'!X520</f>
        <v>0</v>
      </c>
      <c r="Z520" s="485">
        <f>VLOOKUP(H520,'3-Productie normen'!$A$10:$J$24,9,FALSE)*'3-Ruimtestaat'!X520</f>
        <v>0</v>
      </c>
      <c r="AA520" s="485">
        <f>VLOOKUP(H520,'3-Productie normen'!$A$10:$J$24,10,FALSE)*'3-Ruimtestaat'!X520</f>
        <v>0</v>
      </c>
      <c r="AB520" s="292" t="str">
        <f>IF(H520="",0,VLOOKUP(H520,'3-Productie normen'!$A$10:$N$23,14,FALSE))</f>
        <v>V</v>
      </c>
      <c r="AD520" s="296">
        <f t="shared" si="18"/>
        <v>32850</v>
      </c>
      <c r="AE520" s="78"/>
      <c r="AF520" s="253"/>
      <c r="AG520" s="253"/>
      <c r="AH520" s="253"/>
      <c r="AI520" s="253"/>
      <c r="AJ520" s="253"/>
      <c r="AK520" s="253"/>
      <c r="AL520" s="253"/>
      <c r="AM520" s="253"/>
      <c r="AN520" s="253"/>
      <c r="AO520" s="253"/>
    </row>
    <row r="521" spans="1:41" ht="15" customHeight="1">
      <c r="A521" s="254">
        <v>521</v>
      </c>
      <c r="B521" s="253">
        <v>603</v>
      </c>
      <c r="C521" s="240" t="s">
        <v>111</v>
      </c>
      <c r="D521" s="288" t="s">
        <v>634</v>
      </c>
      <c r="E521" s="289" t="s">
        <v>242</v>
      </c>
      <c r="F521" s="239" t="s">
        <v>713</v>
      </c>
      <c r="G521" s="290" t="s">
        <v>645</v>
      </c>
      <c r="H521" s="291" t="s">
        <v>149</v>
      </c>
      <c r="I521" s="239" t="s">
        <v>402</v>
      </c>
      <c r="J521" s="424">
        <f t="shared" si="19"/>
        <v>365</v>
      </c>
      <c r="K521" s="425">
        <v>255</v>
      </c>
      <c r="L521" s="425"/>
      <c r="M521" s="425">
        <v>102</v>
      </c>
      <c r="N521" s="425"/>
      <c r="O521" s="425">
        <v>8</v>
      </c>
      <c r="P521" s="425"/>
      <c r="Q521" s="294">
        <v>2</v>
      </c>
      <c r="R521" s="295" t="e">
        <f>IF(K521="nio",0,(K521*Q521)/X521)*VLOOKUP(C521,'2-Uren per locatie'!$B$15:$D$74,3,FALSE)</f>
        <v>#DIV/0!</v>
      </c>
      <c r="S521" s="295" t="e">
        <f>IF(K521="nio",0,(L521*Q521)/Y521)*VLOOKUP(C521,'2-Uren per locatie'!$B$15:$D$74,3,FALSE)</f>
        <v>#DIV/0!</v>
      </c>
      <c r="T521" s="295" t="e">
        <f>IF(K521="nio",0,(M521*Q521)/Z521)*VLOOKUP(C521,'2-Uren per locatie'!$B$15:$D$74,3,FALSE)</f>
        <v>#DIV/0!</v>
      </c>
      <c r="U521" s="295" t="e">
        <f>IF(K521="nio",0,(N521*Q521)/AA521)*VLOOKUP(C521,'2-Uren per locatie'!$B$15:$D$74,3,FALSE)</f>
        <v>#DIV/0!</v>
      </c>
      <c r="V521" s="295" t="e">
        <f>IF(K521="nio",0,(O521*Q521)/Z521)*VLOOKUP(C521,'2-Uren per locatie'!$B$15:$D$74,3,FALSE)</f>
        <v>#DIV/0!</v>
      </c>
      <c r="W521" s="295" t="e">
        <f>IF(K521="nio",0,(P521*Q521)/AA521)*VLOOKUP(C521,'2-Uren per locatie'!$B$15:$D$74,3,FALSE)</f>
        <v>#DIV/0!</v>
      </c>
      <c r="X521" s="485">
        <f>IF(K521="nio",0,IF(K521&gt;0,VLOOKUP(H521,'3-Productie normen'!A:F,VLOOKUP(K521,'3-Productie normen'!$B$29:$C$34,2,FALSE),FALSE)))</f>
        <v>0</v>
      </c>
      <c r="Y521" s="485">
        <f>VLOOKUP(H521,'3-Productie normen'!$A$10:$J$24,8,FALSE)*'3-Ruimtestaat'!X521</f>
        <v>0</v>
      </c>
      <c r="Z521" s="485">
        <f>VLOOKUP(H521,'3-Productie normen'!$A$10:$J$24,9,FALSE)*'3-Ruimtestaat'!X521</f>
        <v>0</v>
      </c>
      <c r="AA521" s="485">
        <f>VLOOKUP(H521,'3-Productie normen'!$A$10:$J$24,10,FALSE)*'3-Ruimtestaat'!X521</f>
        <v>0</v>
      </c>
      <c r="AB521" s="292" t="str">
        <f>IF(H521="",0,VLOOKUP(H521,'3-Productie normen'!$A$10:$N$23,14,FALSE))</f>
        <v>V</v>
      </c>
      <c r="AD521" s="296">
        <f t="shared" si="18"/>
        <v>730</v>
      </c>
      <c r="AE521" s="78"/>
      <c r="AF521" s="301"/>
      <c r="AG521" s="301"/>
      <c r="AH521" s="301"/>
      <c r="AI521" s="301"/>
      <c r="AJ521" s="301"/>
      <c r="AK521" s="301"/>
      <c r="AL521" s="301"/>
      <c r="AM521" s="301"/>
      <c r="AN521" s="301"/>
      <c r="AO521" s="301"/>
    </row>
    <row r="522" spans="1:41" ht="15" customHeight="1">
      <c r="A522" s="254">
        <v>522</v>
      </c>
      <c r="B522" s="253">
        <v>603</v>
      </c>
      <c r="C522" s="240" t="s">
        <v>111</v>
      </c>
      <c r="D522" s="288" t="s">
        <v>634</v>
      </c>
      <c r="E522" s="289" t="s">
        <v>648</v>
      </c>
      <c r="F522" s="239" t="s">
        <v>714</v>
      </c>
      <c r="G522" s="290" t="s">
        <v>715</v>
      </c>
      <c r="H522" s="291" t="s">
        <v>145</v>
      </c>
      <c r="I522" s="239" t="s">
        <v>637</v>
      </c>
      <c r="J522" s="424">
        <f t="shared" si="19"/>
        <v>365</v>
      </c>
      <c r="K522" s="425">
        <v>255</v>
      </c>
      <c r="L522" s="425"/>
      <c r="M522" s="425">
        <v>102</v>
      </c>
      <c r="N522" s="425"/>
      <c r="O522" s="425">
        <v>8</v>
      </c>
      <c r="P522" s="425"/>
      <c r="Q522" s="294">
        <v>275</v>
      </c>
      <c r="R522" s="295" t="e">
        <f>IF(K522="nio",0,(K522*Q522)/X522)*VLOOKUP(C522,'2-Uren per locatie'!$B$15:$D$74,3,FALSE)</f>
        <v>#DIV/0!</v>
      </c>
      <c r="S522" s="295" t="e">
        <f>IF(K522="nio",0,(L522*Q522)/Y522)*VLOOKUP(C522,'2-Uren per locatie'!$B$15:$D$74,3,FALSE)</f>
        <v>#DIV/0!</v>
      </c>
      <c r="T522" s="295" t="e">
        <f>IF(K522="nio",0,(M522*Q522)/Z522)*VLOOKUP(C522,'2-Uren per locatie'!$B$15:$D$74,3,FALSE)</f>
        <v>#DIV/0!</v>
      </c>
      <c r="U522" s="295" t="e">
        <f>IF(K522="nio",0,(N522*Q522)/AA522)*VLOOKUP(C522,'2-Uren per locatie'!$B$15:$D$74,3,FALSE)</f>
        <v>#DIV/0!</v>
      </c>
      <c r="V522" s="295" t="e">
        <f>IF(K522="nio",0,(O522*Q522)/Z522)*VLOOKUP(C522,'2-Uren per locatie'!$B$15:$D$74,3,FALSE)</f>
        <v>#DIV/0!</v>
      </c>
      <c r="W522" s="295" t="e">
        <f>IF(K522="nio",0,(P522*Q522)/AA522)*VLOOKUP(C522,'2-Uren per locatie'!$B$15:$D$74,3,FALSE)</f>
        <v>#DIV/0!</v>
      </c>
      <c r="X522" s="485">
        <f>IF(K522="nio",0,IF(K522&gt;0,VLOOKUP(H522,'3-Productie normen'!A:F,VLOOKUP(K522,'3-Productie normen'!$B$29:$C$34,2,FALSE),FALSE)))</f>
        <v>0</v>
      </c>
      <c r="Y522" s="485">
        <f>VLOOKUP(H522,'3-Productie normen'!$A$10:$J$24,8,FALSE)*'3-Ruimtestaat'!X522</f>
        <v>0</v>
      </c>
      <c r="Z522" s="485">
        <f>VLOOKUP(H522,'3-Productie normen'!$A$10:$J$24,9,FALSE)*'3-Ruimtestaat'!X522</f>
        <v>0</v>
      </c>
      <c r="AA522" s="485">
        <f>VLOOKUP(H522,'3-Productie normen'!$A$10:$J$24,10,FALSE)*'3-Ruimtestaat'!X522</f>
        <v>0</v>
      </c>
      <c r="AB522" s="292" t="str">
        <f>IF(H522="",0,VLOOKUP(H522,'3-Productie normen'!$A$10:$N$23,14,FALSE))</f>
        <v>V</v>
      </c>
      <c r="AD522" s="296">
        <f t="shared" si="18"/>
        <v>100375</v>
      </c>
      <c r="AE522" s="78"/>
      <c r="AF522" s="301"/>
      <c r="AG522" s="301"/>
      <c r="AH522" s="301"/>
      <c r="AI522" s="301"/>
      <c r="AJ522" s="301"/>
      <c r="AK522" s="301"/>
      <c r="AL522" s="301"/>
      <c r="AM522" s="301"/>
      <c r="AN522" s="301"/>
      <c r="AO522" s="301"/>
    </row>
    <row r="523" spans="1:41" ht="15" customHeight="1">
      <c r="A523" s="254">
        <v>523</v>
      </c>
      <c r="B523" s="253">
        <v>603</v>
      </c>
      <c r="C523" s="240" t="s">
        <v>111</v>
      </c>
      <c r="D523" s="288" t="s">
        <v>634</v>
      </c>
      <c r="E523" s="289" t="s">
        <v>648</v>
      </c>
      <c r="F523" s="239" t="s">
        <v>716</v>
      </c>
      <c r="G523" s="290" t="s">
        <v>717</v>
      </c>
      <c r="H523" s="291" t="s">
        <v>152</v>
      </c>
      <c r="I523" s="239" t="s">
        <v>402</v>
      </c>
      <c r="J523" s="424">
        <f t="shared" si="19"/>
        <v>365</v>
      </c>
      <c r="K523" s="425">
        <v>255</v>
      </c>
      <c r="L523" s="425"/>
      <c r="M523" s="425">
        <v>102</v>
      </c>
      <c r="N523" s="425"/>
      <c r="O523" s="425">
        <v>8</v>
      </c>
      <c r="P523" s="425"/>
      <c r="Q523" s="294">
        <v>126</v>
      </c>
      <c r="R523" s="295" t="e">
        <f>IF(K523="nio",0,(K523*Q523)/X523)*VLOOKUP(C523,'2-Uren per locatie'!$B$15:$D$74,3,FALSE)</f>
        <v>#DIV/0!</v>
      </c>
      <c r="S523" s="295" t="e">
        <f>IF(K523="nio",0,(L523*Q523)/Y523)*VLOOKUP(C523,'2-Uren per locatie'!$B$15:$D$74,3,FALSE)</f>
        <v>#DIV/0!</v>
      </c>
      <c r="T523" s="295" t="e">
        <f>IF(K523="nio",0,(M523*Q523)/Z523)*VLOOKUP(C523,'2-Uren per locatie'!$B$15:$D$74,3,FALSE)</f>
        <v>#DIV/0!</v>
      </c>
      <c r="U523" s="295" t="e">
        <f>IF(K523="nio",0,(N523*Q523)/AA523)*VLOOKUP(C523,'2-Uren per locatie'!$B$15:$D$74,3,FALSE)</f>
        <v>#DIV/0!</v>
      </c>
      <c r="V523" s="295" t="e">
        <f>IF(K523="nio",0,(O523*Q523)/Z523)*VLOOKUP(C523,'2-Uren per locatie'!$B$15:$D$74,3,FALSE)</f>
        <v>#DIV/0!</v>
      </c>
      <c r="W523" s="295" t="e">
        <f>IF(K523="nio",0,(P523*Q523)/AA523)*VLOOKUP(C523,'2-Uren per locatie'!$B$15:$D$74,3,FALSE)</f>
        <v>#DIV/0!</v>
      </c>
      <c r="X523" s="485">
        <f>IF(K523="nio",0,IF(K523&gt;0,VLOOKUP(H523,'3-Productie normen'!A:F,VLOOKUP(K523,'3-Productie normen'!$B$29:$C$34,2,FALSE),FALSE)))</f>
        <v>0</v>
      </c>
      <c r="Y523" s="485">
        <f>VLOOKUP(H523,'3-Productie normen'!$A$10:$J$24,8,FALSE)*'3-Ruimtestaat'!X523</f>
        <v>0</v>
      </c>
      <c r="Z523" s="485">
        <f>VLOOKUP(H523,'3-Productie normen'!$A$10:$J$24,9,FALSE)*'3-Ruimtestaat'!X523</f>
        <v>0</v>
      </c>
      <c r="AA523" s="485">
        <f>VLOOKUP(H523,'3-Productie normen'!$A$10:$J$24,10,FALSE)*'3-Ruimtestaat'!X523</f>
        <v>0</v>
      </c>
      <c r="AB523" s="292" t="str">
        <f>IF(H523="",0,VLOOKUP(H523,'3-Productie normen'!$A$10:$N$23,14,FALSE))</f>
        <v>V</v>
      </c>
      <c r="AD523" s="296">
        <f t="shared" si="18"/>
        <v>45990</v>
      </c>
      <c r="AE523" s="78"/>
      <c r="AF523" s="253"/>
      <c r="AG523" s="253"/>
      <c r="AH523" s="253"/>
      <c r="AI523" s="253"/>
      <c r="AJ523" s="253"/>
      <c r="AK523" s="253"/>
      <c r="AL523" s="253"/>
      <c r="AM523" s="253"/>
      <c r="AN523" s="253"/>
      <c r="AO523" s="253"/>
    </row>
    <row r="524" spans="1:41" ht="15" customHeight="1">
      <c r="A524" s="254">
        <v>524</v>
      </c>
      <c r="B524" s="253">
        <v>603</v>
      </c>
      <c r="C524" s="240" t="s">
        <v>111</v>
      </c>
      <c r="D524" s="288" t="s">
        <v>634</v>
      </c>
      <c r="E524" s="289" t="s">
        <v>648</v>
      </c>
      <c r="F524" s="239" t="s">
        <v>718</v>
      </c>
      <c r="G524" s="290" t="s">
        <v>719</v>
      </c>
      <c r="H524" s="291" t="s">
        <v>153</v>
      </c>
      <c r="I524" s="239" t="s">
        <v>637</v>
      </c>
      <c r="J524" s="424">
        <f t="shared" si="19"/>
        <v>365</v>
      </c>
      <c r="K524" s="425">
        <v>255</v>
      </c>
      <c r="L524" s="425"/>
      <c r="M524" s="425">
        <v>102</v>
      </c>
      <c r="N524" s="425"/>
      <c r="O524" s="425">
        <v>8</v>
      </c>
      <c r="P524" s="425"/>
      <c r="Q524" s="294">
        <v>6</v>
      </c>
      <c r="R524" s="295" t="e">
        <f>IF(K524="nio",0,(K524*Q524)/X524)*VLOOKUP(C524,'2-Uren per locatie'!$B$15:$D$74,3,FALSE)</f>
        <v>#DIV/0!</v>
      </c>
      <c r="S524" s="295" t="e">
        <f>IF(K524="nio",0,(L524*Q524)/Y524)*VLOOKUP(C524,'2-Uren per locatie'!$B$15:$D$74,3,FALSE)</f>
        <v>#DIV/0!</v>
      </c>
      <c r="T524" s="295" t="e">
        <f>IF(K524="nio",0,(M524*Q524)/Z524)*VLOOKUP(C524,'2-Uren per locatie'!$B$15:$D$74,3,FALSE)</f>
        <v>#DIV/0!</v>
      </c>
      <c r="U524" s="295" t="e">
        <f>IF(K524="nio",0,(N524*Q524)/AA524)*VLOOKUP(C524,'2-Uren per locatie'!$B$15:$D$74,3,FALSE)</f>
        <v>#DIV/0!</v>
      </c>
      <c r="V524" s="295" t="e">
        <f>IF(K524="nio",0,(O524*Q524)/Z524)*VLOOKUP(C524,'2-Uren per locatie'!$B$15:$D$74,3,FALSE)</f>
        <v>#DIV/0!</v>
      </c>
      <c r="W524" s="295" t="e">
        <f>IF(K524="nio",0,(P524*Q524)/AA524)*VLOOKUP(C524,'2-Uren per locatie'!$B$15:$D$74,3,FALSE)</f>
        <v>#DIV/0!</v>
      </c>
      <c r="X524" s="485">
        <f>IF(K524="nio",0,IF(K524&gt;0,VLOOKUP(H524,'3-Productie normen'!A:F,VLOOKUP(K524,'3-Productie normen'!$B$29:$C$34,2,FALSE),FALSE)))</f>
        <v>0</v>
      </c>
      <c r="Y524" s="485">
        <f>VLOOKUP(H524,'3-Productie normen'!$A$10:$J$24,8,FALSE)*'3-Ruimtestaat'!X524</f>
        <v>0</v>
      </c>
      <c r="Z524" s="485">
        <f>VLOOKUP(H524,'3-Productie normen'!$A$10:$J$24,9,FALSE)*'3-Ruimtestaat'!X524</f>
        <v>0</v>
      </c>
      <c r="AA524" s="485">
        <f>VLOOKUP(H524,'3-Productie normen'!$A$10:$J$24,10,FALSE)*'3-Ruimtestaat'!X524</f>
        <v>0</v>
      </c>
      <c r="AB524" s="292" t="str">
        <f>IF(H524="",0,VLOOKUP(H524,'3-Productie normen'!$A$10:$N$23,14,FALSE))</f>
        <v>S</v>
      </c>
      <c r="AD524" s="296">
        <f t="shared" ref="AD524:AD587" si="20">Q524*J524</f>
        <v>2190</v>
      </c>
      <c r="AE524" s="78"/>
      <c r="AF524" s="301"/>
      <c r="AG524" s="301"/>
      <c r="AH524" s="301"/>
      <c r="AI524" s="301"/>
      <c r="AJ524" s="301"/>
      <c r="AK524" s="301"/>
      <c r="AL524" s="301"/>
      <c r="AM524" s="301"/>
      <c r="AN524" s="301"/>
      <c r="AO524" s="301"/>
    </row>
    <row r="525" spans="1:41" ht="15" customHeight="1">
      <c r="A525" s="254">
        <v>525</v>
      </c>
      <c r="B525" s="253">
        <v>603</v>
      </c>
      <c r="C525" s="240" t="s">
        <v>111</v>
      </c>
      <c r="D525" s="288" t="s">
        <v>634</v>
      </c>
      <c r="E525" s="289" t="s">
        <v>648</v>
      </c>
      <c r="F525" s="239" t="s">
        <v>720</v>
      </c>
      <c r="G525" s="290" t="s">
        <v>721</v>
      </c>
      <c r="H525" s="291" t="s">
        <v>145</v>
      </c>
      <c r="I525" s="239" t="s">
        <v>637</v>
      </c>
      <c r="J525" s="424">
        <f t="shared" si="19"/>
        <v>365</v>
      </c>
      <c r="K525" s="425">
        <v>255</v>
      </c>
      <c r="L525" s="425"/>
      <c r="M525" s="425">
        <v>102</v>
      </c>
      <c r="N525" s="425"/>
      <c r="O525" s="425">
        <v>8</v>
      </c>
      <c r="P525" s="425"/>
      <c r="Q525" s="294">
        <v>650</v>
      </c>
      <c r="R525" s="295" t="e">
        <f>IF(K525="nio",0,(K525*Q525)/X525)*VLOOKUP(C525,'2-Uren per locatie'!$B$15:$D$74,3,FALSE)</f>
        <v>#DIV/0!</v>
      </c>
      <c r="S525" s="295" t="e">
        <f>IF(K525="nio",0,(L525*Q525)/Y525)*VLOOKUP(C525,'2-Uren per locatie'!$B$15:$D$74,3,FALSE)</f>
        <v>#DIV/0!</v>
      </c>
      <c r="T525" s="295" t="e">
        <f>IF(K525="nio",0,(M525*Q525)/Z525)*VLOOKUP(C525,'2-Uren per locatie'!$B$15:$D$74,3,FALSE)</f>
        <v>#DIV/0!</v>
      </c>
      <c r="U525" s="295" t="e">
        <f>IF(K525="nio",0,(N525*Q525)/AA525)*VLOOKUP(C525,'2-Uren per locatie'!$B$15:$D$74,3,FALSE)</f>
        <v>#DIV/0!</v>
      </c>
      <c r="V525" s="295" t="e">
        <f>IF(K525="nio",0,(O525*Q525)/Z525)*VLOOKUP(C525,'2-Uren per locatie'!$B$15:$D$74,3,FALSE)</f>
        <v>#DIV/0!</v>
      </c>
      <c r="W525" s="295" t="e">
        <f>IF(K525="nio",0,(P525*Q525)/AA525)*VLOOKUP(C525,'2-Uren per locatie'!$B$15:$D$74,3,FALSE)</f>
        <v>#DIV/0!</v>
      </c>
      <c r="X525" s="485">
        <f>IF(K525="nio",0,IF(K525&gt;0,VLOOKUP(H525,'3-Productie normen'!A:F,VLOOKUP(K525,'3-Productie normen'!$B$29:$C$34,2,FALSE),FALSE)))</f>
        <v>0</v>
      </c>
      <c r="Y525" s="485">
        <f>VLOOKUP(H525,'3-Productie normen'!$A$10:$J$24,8,FALSE)*'3-Ruimtestaat'!X525</f>
        <v>0</v>
      </c>
      <c r="Z525" s="485">
        <f>VLOOKUP(H525,'3-Productie normen'!$A$10:$J$24,9,FALSE)*'3-Ruimtestaat'!X525</f>
        <v>0</v>
      </c>
      <c r="AA525" s="485">
        <f>VLOOKUP(H525,'3-Productie normen'!$A$10:$J$24,10,FALSE)*'3-Ruimtestaat'!X525</f>
        <v>0</v>
      </c>
      <c r="AB525" s="292" t="str">
        <f>IF(H525="",0,VLOOKUP(H525,'3-Productie normen'!$A$10:$N$23,14,FALSE))</f>
        <v>V</v>
      </c>
      <c r="AD525" s="296">
        <f t="shared" si="20"/>
        <v>237250</v>
      </c>
      <c r="AE525" s="78"/>
      <c r="AF525" s="301"/>
      <c r="AG525" s="301"/>
      <c r="AH525" s="301"/>
      <c r="AI525" s="301"/>
      <c r="AJ525" s="301"/>
      <c r="AK525" s="301"/>
      <c r="AL525" s="301"/>
      <c r="AM525" s="301"/>
      <c r="AN525" s="301"/>
      <c r="AO525" s="301"/>
    </row>
    <row r="526" spans="1:41" ht="15" customHeight="1">
      <c r="A526" s="254">
        <v>526</v>
      </c>
      <c r="B526" s="253">
        <v>603</v>
      </c>
      <c r="C526" s="240" t="s">
        <v>111</v>
      </c>
      <c r="D526" s="288" t="s">
        <v>634</v>
      </c>
      <c r="E526" s="289" t="s">
        <v>648</v>
      </c>
      <c r="F526" s="239" t="s">
        <v>722</v>
      </c>
      <c r="G526" s="290" t="s">
        <v>666</v>
      </c>
      <c r="H526" s="291" t="s">
        <v>152</v>
      </c>
      <c r="I526" s="239" t="s">
        <v>402</v>
      </c>
      <c r="J526" s="424">
        <f t="shared" si="19"/>
        <v>365</v>
      </c>
      <c r="K526" s="425">
        <v>255</v>
      </c>
      <c r="L526" s="425"/>
      <c r="M526" s="425">
        <v>102</v>
      </c>
      <c r="N526" s="425"/>
      <c r="O526" s="425">
        <v>8</v>
      </c>
      <c r="P526" s="425"/>
      <c r="Q526" s="294">
        <v>126</v>
      </c>
      <c r="R526" s="295" t="e">
        <f>IF(K526="nio",0,(K526*Q526)/X526)*VLOOKUP(C526,'2-Uren per locatie'!$B$15:$D$74,3,FALSE)</f>
        <v>#DIV/0!</v>
      </c>
      <c r="S526" s="295" t="e">
        <f>IF(K526="nio",0,(L526*Q526)/Y526)*VLOOKUP(C526,'2-Uren per locatie'!$B$15:$D$74,3,FALSE)</f>
        <v>#DIV/0!</v>
      </c>
      <c r="T526" s="295" t="e">
        <f>IF(K526="nio",0,(M526*Q526)/Z526)*VLOOKUP(C526,'2-Uren per locatie'!$B$15:$D$74,3,FALSE)</f>
        <v>#DIV/0!</v>
      </c>
      <c r="U526" s="295" t="e">
        <f>IF(K526="nio",0,(N526*Q526)/AA526)*VLOOKUP(C526,'2-Uren per locatie'!$B$15:$D$74,3,FALSE)</f>
        <v>#DIV/0!</v>
      </c>
      <c r="V526" s="295" t="e">
        <f>IF(K526="nio",0,(O526*Q526)/Z526)*VLOOKUP(C526,'2-Uren per locatie'!$B$15:$D$74,3,FALSE)</f>
        <v>#DIV/0!</v>
      </c>
      <c r="W526" s="295" t="e">
        <f>IF(K526="nio",0,(P526*Q526)/AA526)*VLOOKUP(C526,'2-Uren per locatie'!$B$15:$D$74,3,FALSE)</f>
        <v>#DIV/0!</v>
      </c>
      <c r="X526" s="485">
        <f>IF(K526="nio",0,IF(K526&gt;0,VLOOKUP(H526,'3-Productie normen'!A:F,VLOOKUP(K526,'3-Productie normen'!$B$29:$C$34,2,FALSE),FALSE)))</f>
        <v>0</v>
      </c>
      <c r="Y526" s="485">
        <f>VLOOKUP(H526,'3-Productie normen'!$A$10:$J$24,8,FALSE)*'3-Ruimtestaat'!X526</f>
        <v>0</v>
      </c>
      <c r="Z526" s="485">
        <f>VLOOKUP(H526,'3-Productie normen'!$A$10:$J$24,9,FALSE)*'3-Ruimtestaat'!X526</f>
        <v>0</v>
      </c>
      <c r="AA526" s="485">
        <f>VLOOKUP(H526,'3-Productie normen'!$A$10:$J$24,10,FALSE)*'3-Ruimtestaat'!X526</f>
        <v>0</v>
      </c>
      <c r="AB526" s="292" t="str">
        <f>IF(H526="",0,VLOOKUP(H526,'3-Productie normen'!$A$10:$N$23,14,FALSE))</f>
        <v>V</v>
      </c>
      <c r="AD526" s="296">
        <f t="shared" si="20"/>
        <v>45990</v>
      </c>
      <c r="AE526" s="78"/>
      <c r="AF526" s="253"/>
      <c r="AG526" s="253"/>
      <c r="AH526" s="253"/>
      <c r="AI526" s="253"/>
      <c r="AJ526" s="253"/>
      <c r="AK526" s="253"/>
      <c r="AL526" s="253"/>
      <c r="AM526" s="253"/>
      <c r="AN526" s="253"/>
      <c r="AO526" s="253"/>
    </row>
    <row r="527" spans="1:41" ht="15" customHeight="1">
      <c r="A527" s="254">
        <v>527</v>
      </c>
      <c r="B527" s="253">
        <v>603</v>
      </c>
      <c r="C527" s="240" t="s">
        <v>111</v>
      </c>
      <c r="D527" s="288" t="s">
        <v>634</v>
      </c>
      <c r="E527" s="289" t="s">
        <v>648</v>
      </c>
      <c r="F527" s="239" t="s">
        <v>376</v>
      </c>
      <c r="G527" s="290" t="s">
        <v>647</v>
      </c>
      <c r="H527" s="291" t="s">
        <v>149</v>
      </c>
      <c r="I527" s="239" t="s">
        <v>402</v>
      </c>
      <c r="J527" s="424">
        <f t="shared" si="19"/>
        <v>365</v>
      </c>
      <c r="K527" s="425">
        <v>255</v>
      </c>
      <c r="L527" s="425"/>
      <c r="M527" s="425">
        <v>102</v>
      </c>
      <c r="N527" s="425"/>
      <c r="O527" s="425">
        <v>8</v>
      </c>
      <c r="P527" s="425"/>
      <c r="Q527" s="294">
        <v>3</v>
      </c>
      <c r="R527" s="295" t="e">
        <f>IF(K527="nio",0,(K527*Q527)/X527)*VLOOKUP(C527,'2-Uren per locatie'!$B$15:$D$74,3,FALSE)</f>
        <v>#DIV/0!</v>
      </c>
      <c r="S527" s="295" t="e">
        <f>IF(K527="nio",0,(L527*Q527)/Y527)*VLOOKUP(C527,'2-Uren per locatie'!$B$15:$D$74,3,FALSE)</f>
        <v>#DIV/0!</v>
      </c>
      <c r="T527" s="295" t="e">
        <f>IF(K527="nio",0,(M527*Q527)/Z527)*VLOOKUP(C527,'2-Uren per locatie'!$B$15:$D$74,3,FALSE)</f>
        <v>#DIV/0!</v>
      </c>
      <c r="U527" s="295" t="e">
        <f>IF(K527="nio",0,(N527*Q527)/AA527)*VLOOKUP(C527,'2-Uren per locatie'!$B$15:$D$74,3,FALSE)</f>
        <v>#DIV/0!</v>
      </c>
      <c r="V527" s="295" t="e">
        <f>IF(K527="nio",0,(O527*Q527)/Z527)*VLOOKUP(C527,'2-Uren per locatie'!$B$15:$D$74,3,FALSE)</f>
        <v>#DIV/0!</v>
      </c>
      <c r="W527" s="295" t="e">
        <f>IF(K527="nio",0,(P527*Q527)/AA527)*VLOOKUP(C527,'2-Uren per locatie'!$B$15:$D$74,3,FALSE)</f>
        <v>#DIV/0!</v>
      </c>
      <c r="X527" s="485">
        <f>IF(K527="nio",0,IF(K527&gt;0,VLOOKUP(H527,'3-Productie normen'!A:F,VLOOKUP(K527,'3-Productie normen'!$B$29:$C$34,2,FALSE),FALSE)))</f>
        <v>0</v>
      </c>
      <c r="Y527" s="485">
        <f>VLOOKUP(H527,'3-Productie normen'!$A$10:$J$24,8,FALSE)*'3-Ruimtestaat'!X527</f>
        <v>0</v>
      </c>
      <c r="Z527" s="485">
        <f>VLOOKUP(H527,'3-Productie normen'!$A$10:$J$24,9,FALSE)*'3-Ruimtestaat'!X527</f>
        <v>0</v>
      </c>
      <c r="AA527" s="485">
        <f>VLOOKUP(H527,'3-Productie normen'!$A$10:$J$24,10,FALSE)*'3-Ruimtestaat'!X527</f>
        <v>0</v>
      </c>
      <c r="AB527" s="292" t="str">
        <f>IF(H527="",0,VLOOKUP(H527,'3-Productie normen'!$A$10:$N$23,14,FALSE))</f>
        <v>V</v>
      </c>
      <c r="AD527" s="296">
        <f t="shared" si="20"/>
        <v>1095</v>
      </c>
      <c r="AE527" s="78"/>
      <c r="AF527" s="253"/>
      <c r="AG527" s="253"/>
      <c r="AH527" s="253"/>
      <c r="AI527" s="253"/>
      <c r="AJ527" s="253"/>
      <c r="AK527" s="253"/>
      <c r="AL527" s="253"/>
      <c r="AM527" s="253"/>
      <c r="AN527" s="253"/>
      <c r="AO527" s="253"/>
    </row>
    <row r="528" spans="1:41" ht="15" customHeight="1">
      <c r="A528" s="254">
        <v>528</v>
      </c>
      <c r="B528" s="253">
        <v>603</v>
      </c>
      <c r="C528" s="240" t="s">
        <v>111</v>
      </c>
      <c r="D528" s="288" t="s">
        <v>634</v>
      </c>
      <c r="E528" s="289" t="s">
        <v>705</v>
      </c>
      <c r="F528" s="239" t="s">
        <v>249</v>
      </c>
      <c r="G528" s="290" t="s">
        <v>723</v>
      </c>
      <c r="H528" s="291" t="s">
        <v>151</v>
      </c>
      <c r="I528" s="239" t="s">
        <v>637</v>
      </c>
      <c r="J528" s="424">
        <f t="shared" si="19"/>
        <v>365</v>
      </c>
      <c r="K528" s="425">
        <v>255</v>
      </c>
      <c r="L528" s="425"/>
      <c r="M528" s="425">
        <v>102</v>
      </c>
      <c r="N528" s="425"/>
      <c r="O528" s="425">
        <v>8</v>
      </c>
      <c r="P528" s="425"/>
      <c r="Q528" s="294">
        <v>1100</v>
      </c>
      <c r="R528" s="295" t="e">
        <f>IF(K528="nio",0,(K528*Q528)/X528)*VLOOKUP(C528,'2-Uren per locatie'!$B$15:$D$74,3,FALSE)</f>
        <v>#DIV/0!</v>
      </c>
      <c r="S528" s="295" t="e">
        <f>IF(K528="nio",0,(L528*Q528)/Y528)*VLOOKUP(C528,'2-Uren per locatie'!$B$15:$D$74,3,FALSE)</f>
        <v>#DIV/0!</v>
      </c>
      <c r="T528" s="295" t="e">
        <f>IF(K528="nio",0,(M528*Q528)/Z528)*VLOOKUP(C528,'2-Uren per locatie'!$B$15:$D$74,3,FALSE)</f>
        <v>#DIV/0!</v>
      </c>
      <c r="U528" s="295" t="e">
        <f>IF(K528="nio",0,(N528*Q528)/AA528)*VLOOKUP(C528,'2-Uren per locatie'!$B$15:$D$74,3,FALSE)</f>
        <v>#DIV/0!</v>
      </c>
      <c r="V528" s="295" t="e">
        <f>IF(K528="nio",0,(O528*Q528)/Z528)*VLOOKUP(C528,'2-Uren per locatie'!$B$15:$D$74,3,FALSE)</f>
        <v>#DIV/0!</v>
      </c>
      <c r="W528" s="295" t="e">
        <f>IF(K528="nio",0,(P528*Q528)/AA528)*VLOOKUP(C528,'2-Uren per locatie'!$B$15:$D$74,3,FALSE)</f>
        <v>#DIV/0!</v>
      </c>
      <c r="X528" s="485">
        <f>IF(K528="nio",0,IF(K528&gt;0,VLOOKUP(H528,'3-Productie normen'!A:F,VLOOKUP(K528,'3-Productie normen'!$B$29:$C$34,2,FALSE),FALSE)))</f>
        <v>0</v>
      </c>
      <c r="Y528" s="485">
        <f>VLOOKUP(H528,'3-Productie normen'!$A$10:$J$24,8,FALSE)*'3-Ruimtestaat'!X528</f>
        <v>0</v>
      </c>
      <c r="Z528" s="485">
        <f>VLOOKUP(H528,'3-Productie normen'!$A$10:$J$24,9,FALSE)*'3-Ruimtestaat'!X528</f>
        <v>0</v>
      </c>
      <c r="AA528" s="485">
        <f>VLOOKUP(H528,'3-Productie normen'!$A$10:$J$24,10,FALSE)*'3-Ruimtestaat'!X528</f>
        <v>0</v>
      </c>
      <c r="AB528" s="292" t="str">
        <f>IF(H528="",0,VLOOKUP(H528,'3-Productie normen'!$A$10:$N$23,14,FALSE))</f>
        <v>V</v>
      </c>
      <c r="AD528" s="296">
        <f t="shared" si="20"/>
        <v>401500</v>
      </c>
      <c r="AE528" s="78"/>
      <c r="AF528" s="253"/>
      <c r="AG528" s="253"/>
      <c r="AH528" s="253"/>
      <c r="AI528" s="253"/>
      <c r="AJ528" s="253"/>
      <c r="AK528" s="253"/>
      <c r="AL528" s="253"/>
      <c r="AM528" s="253"/>
      <c r="AN528" s="253"/>
      <c r="AO528" s="253"/>
    </row>
    <row r="529" spans="1:41" ht="15" customHeight="1">
      <c r="A529" s="254">
        <v>529</v>
      </c>
      <c r="B529" s="253">
        <v>603</v>
      </c>
      <c r="C529" s="240" t="s">
        <v>111</v>
      </c>
      <c r="D529" s="288" t="s">
        <v>634</v>
      </c>
      <c r="E529" s="289" t="s">
        <v>705</v>
      </c>
      <c r="F529" s="239" t="s">
        <v>529</v>
      </c>
      <c r="G529" s="290" t="s">
        <v>724</v>
      </c>
      <c r="H529" s="291" t="s">
        <v>153</v>
      </c>
      <c r="I529" s="239" t="s">
        <v>637</v>
      </c>
      <c r="J529" s="424">
        <f t="shared" si="19"/>
        <v>365</v>
      </c>
      <c r="K529" s="425">
        <v>255</v>
      </c>
      <c r="L529" s="425"/>
      <c r="M529" s="425">
        <v>102</v>
      </c>
      <c r="N529" s="425"/>
      <c r="O529" s="425">
        <v>8</v>
      </c>
      <c r="P529" s="425"/>
      <c r="Q529" s="294">
        <v>2</v>
      </c>
      <c r="R529" s="295" t="e">
        <f>IF(K529="nio",0,(K529*Q529)/X529)*VLOOKUP(C529,'2-Uren per locatie'!$B$15:$D$74,3,FALSE)</f>
        <v>#DIV/0!</v>
      </c>
      <c r="S529" s="295" t="e">
        <f>IF(K529="nio",0,(L529*Q529)/Y529)*VLOOKUP(C529,'2-Uren per locatie'!$B$15:$D$74,3,FALSE)</f>
        <v>#DIV/0!</v>
      </c>
      <c r="T529" s="295" t="e">
        <f>IF(K529="nio",0,(M529*Q529)/Z529)*VLOOKUP(C529,'2-Uren per locatie'!$B$15:$D$74,3,FALSE)</f>
        <v>#DIV/0!</v>
      </c>
      <c r="U529" s="295" t="e">
        <f>IF(K529="nio",0,(N529*Q529)/AA529)*VLOOKUP(C529,'2-Uren per locatie'!$B$15:$D$74,3,FALSE)</f>
        <v>#DIV/0!</v>
      </c>
      <c r="V529" s="295" t="e">
        <f>IF(K529="nio",0,(O529*Q529)/Z529)*VLOOKUP(C529,'2-Uren per locatie'!$B$15:$D$74,3,FALSE)</f>
        <v>#DIV/0!</v>
      </c>
      <c r="W529" s="295" t="e">
        <f>IF(K529="nio",0,(P529*Q529)/AA529)*VLOOKUP(C529,'2-Uren per locatie'!$B$15:$D$74,3,FALSE)</f>
        <v>#DIV/0!</v>
      </c>
      <c r="X529" s="485">
        <f>IF(K529="nio",0,IF(K529&gt;0,VLOOKUP(H529,'3-Productie normen'!A:F,VLOOKUP(K529,'3-Productie normen'!$B$29:$C$34,2,FALSE),FALSE)))</f>
        <v>0</v>
      </c>
      <c r="Y529" s="485">
        <f>VLOOKUP(H529,'3-Productie normen'!$A$10:$J$24,8,FALSE)*'3-Ruimtestaat'!X529</f>
        <v>0</v>
      </c>
      <c r="Z529" s="485">
        <f>VLOOKUP(H529,'3-Productie normen'!$A$10:$J$24,9,FALSE)*'3-Ruimtestaat'!X529</f>
        <v>0</v>
      </c>
      <c r="AA529" s="485">
        <f>VLOOKUP(H529,'3-Productie normen'!$A$10:$J$24,10,FALSE)*'3-Ruimtestaat'!X529</f>
        <v>0</v>
      </c>
      <c r="AB529" s="292" t="str">
        <f>IF(H529="",0,VLOOKUP(H529,'3-Productie normen'!$A$10:$N$23,14,FALSE))</f>
        <v>S</v>
      </c>
      <c r="AD529" s="296">
        <f t="shared" si="20"/>
        <v>730</v>
      </c>
      <c r="AE529" s="78"/>
      <c r="AF529" s="253"/>
      <c r="AG529" s="253"/>
      <c r="AH529" s="253"/>
      <c r="AI529" s="253"/>
      <c r="AJ529" s="253"/>
      <c r="AK529" s="253"/>
      <c r="AL529" s="253"/>
      <c r="AM529" s="253"/>
      <c r="AN529" s="253"/>
      <c r="AO529" s="253"/>
    </row>
    <row r="530" spans="1:41" ht="15" customHeight="1">
      <c r="A530" s="254">
        <v>530</v>
      </c>
      <c r="B530" s="253">
        <v>604</v>
      </c>
      <c r="C530" s="240" t="s">
        <v>112</v>
      </c>
      <c r="D530" s="288" t="s">
        <v>634</v>
      </c>
      <c r="E530" s="289" t="s">
        <v>242</v>
      </c>
      <c r="F530" s="239" t="s">
        <v>725</v>
      </c>
      <c r="G530" s="290" t="s">
        <v>710</v>
      </c>
      <c r="H530" s="291" t="s">
        <v>152</v>
      </c>
      <c r="I530" s="239" t="s">
        <v>402</v>
      </c>
      <c r="J530" s="424">
        <f t="shared" si="19"/>
        <v>365</v>
      </c>
      <c r="K530" s="425">
        <v>255</v>
      </c>
      <c r="L530" s="425"/>
      <c r="M530" s="425">
        <v>102</v>
      </c>
      <c r="N530" s="425"/>
      <c r="O530" s="425">
        <v>8</v>
      </c>
      <c r="P530" s="425"/>
      <c r="Q530" s="294">
        <v>86</v>
      </c>
      <c r="R530" s="295" t="e">
        <f>IF(K530="nio",0,(K530*Q530)/X530)*VLOOKUP(C530,'2-Uren per locatie'!$B$15:$D$74,3,FALSE)</f>
        <v>#DIV/0!</v>
      </c>
      <c r="S530" s="295" t="e">
        <f>IF(K530="nio",0,(L530*Q530)/Y530)*VLOOKUP(C530,'2-Uren per locatie'!$B$15:$D$74,3,FALSE)</f>
        <v>#DIV/0!</v>
      </c>
      <c r="T530" s="295" t="e">
        <f>IF(K530="nio",0,(M530*Q530)/Z530)*VLOOKUP(C530,'2-Uren per locatie'!$B$15:$D$74,3,FALSE)</f>
        <v>#DIV/0!</v>
      </c>
      <c r="U530" s="295" t="e">
        <f>IF(K530="nio",0,(N530*Q530)/AA530)*VLOOKUP(C530,'2-Uren per locatie'!$B$15:$D$74,3,FALSE)</f>
        <v>#DIV/0!</v>
      </c>
      <c r="V530" s="295" t="e">
        <f>IF(K530="nio",0,(O530*Q530)/Z530)*VLOOKUP(C530,'2-Uren per locatie'!$B$15:$D$74,3,FALSE)</f>
        <v>#DIV/0!</v>
      </c>
      <c r="W530" s="295" t="e">
        <f>IF(K530="nio",0,(P530*Q530)/AA530)*VLOOKUP(C530,'2-Uren per locatie'!$B$15:$D$74,3,FALSE)</f>
        <v>#DIV/0!</v>
      </c>
      <c r="X530" s="485">
        <f>IF(K530="nio",0,IF(K530&gt;0,VLOOKUP(H530,'3-Productie normen'!A:F,VLOOKUP(K530,'3-Productie normen'!$B$29:$C$34,2,FALSE),FALSE)))</f>
        <v>0</v>
      </c>
      <c r="Y530" s="485">
        <f>VLOOKUP(H530,'3-Productie normen'!$A$10:$J$24,8,FALSE)*'3-Ruimtestaat'!X530</f>
        <v>0</v>
      </c>
      <c r="Z530" s="485">
        <f>VLOOKUP(H530,'3-Productie normen'!$A$10:$J$24,9,FALSE)*'3-Ruimtestaat'!X530</f>
        <v>0</v>
      </c>
      <c r="AA530" s="485">
        <f>VLOOKUP(H530,'3-Productie normen'!$A$10:$J$24,10,FALSE)*'3-Ruimtestaat'!X530</f>
        <v>0</v>
      </c>
      <c r="AB530" s="292" t="str">
        <f>IF(H530="",0,VLOOKUP(H530,'3-Productie normen'!$A$10:$N$23,14,FALSE))</f>
        <v>V</v>
      </c>
      <c r="AD530" s="296">
        <f t="shared" si="20"/>
        <v>31390</v>
      </c>
      <c r="AE530" s="78"/>
      <c r="AF530" s="253"/>
      <c r="AG530" s="253"/>
      <c r="AH530" s="253"/>
      <c r="AI530" s="253"/>
      <c r="AJ530" s="253"/>
      <c r="AK530" s="253"/>
      <c r="AL530" s="253"/>
      <c r="AM530" s="253"/>
      <c r="AN530" s="253"/>
      <c r="AO530" s="253"/>
    </row>
    <row r="531" spans="1:41" ht="15" customHeight="1">
      <c r="A531" s="254">
        <v>531</v>
      </c>
      <c r="B531" s="253">
        <v>604</v>
      </c>
      <c r="C531" s="240" t="s">
        <v>112</v>
      </c>
      <c r="D531" s="288" t="s">
        <v>634</v>
      </c>
      <c r="E531" s="289" t="s">
        <v>242</v>
      </c>
      <c r="F531" s="239" t="s">
        <v>726</v>
      </c>
      <c r="G531" s="290" t="s">
        <v>712</v>
      </c>
      <c r="H531" s="291" t="s">
        <v>152</v>
      </c>
      <c r="I531" s="239" t="s">
        <v>402</v>
      </c>
      <c r="J531" s="424">
        <f t="shared" si="19"/>
        <v>365</v>
      </c>
      <c r="K531" s="425">
        <v>255</v>
      </c>
      <c r="L531" s="425"/>
      <c r="M531" s="425">
        <v>102</v>
      </c>
      <c r="N531" s="425"/>
      <c r="O531" s="425">
        <v>8</v>
      </c>
      <c r="P531" s="425"/>
      <c r="Q531" s="294">
        <v>85.5</v>
      </c>
      <c r="R531" s="295" t="e">
        <f>IF(K531="nio",0,(K531*Q531)/X531)*VLOOKUP(C531,'2-Uren per locatie'!$B$15:$D$74,3,FALSE)</f>
        <v>#DIV/0!</v>
      </c>
      <c r="S531" s="295" t="e">
        <f>IF(K531="nio",0,(L531*Q531)/Y531)*VLOOKUP(C531,'2-Uren per locatie'!$B$15:$D$74,3,FALSE)</f>
        <v>#DIV/0!</v>
      </c>
      <c r="T531" s="295" t="e">
        <f>IF(K531="nio",0,(M531*Q531)/Z531)*VLOOKUP(C531,'2-Uren per locatie'!$B$15:$D$74,3,FALSE)</f>
        <v>#DIV/0!</v>
      </c>
      <c r="U531" s="295" t="e">
        <f>IF(K531="nio",0,(N531*Q531)/AA531)*VLOOKUP(C531,'2-Uren per locatie'!$B$15:$D$74,3,FALSE)</f>
        <v>#DIV/0!</v>
      </c>
      <c r="V531" s="295" t="e">
        <f>IF(K531="nio",0,(O531*Q531)/Z531)*VLOOKUP(C531,'2-Uren per locatie'!$B$15:$D$74,3,FALSE)</f>
        <v>#DIV/0!</v>
      </c>
      <c r="W531" s="295" t="e">
        <f>IF(K531="nio",0,(P531*Q531)/AA531)*VLOOKUP(C531,'2-Uren per locatie'!$B$15:$D$74,3,FALSE)</f>
        <v>#DIV/0!</v>
      </c>
      <c r="X531" s="485">
        <f>IF(K531="nio",0,IF(K531&gt;0,VLOOKUP(H531,'3-Productie normen'!A:F,VLOOKUP(K531,'3-Productie normen'!$B$29:$C$34,2,FALSE),FALSE)))</f>
        <v>0</v>
      </c>
      <c r="Y531" s="485">
        <f>VLOOKUP(H531,'3-Productie normen'!$A$10:$J$24,8,FALSE)*'3-Ruimtestaat'!X531</f>
        <v>0</v>
      </c>
      <c r="Z531" s="485">
        <f>VLOOKUP(H531,'3-Productie normen'!$A$10:$J$24,9,FALSE)*'3-Ruimtestaat'!X531</f>
        <v>0</v>
      </c>
      <c r="AA531" s="485">
        <f>VLOOKUP(H531,'3-Productie normen'!$A$10:$J$24,10,FALSE)*'3-Ruimtestaat'!X531</f>
        <v>0</v>
      </c>
      <c r="AB531" s="292" t="str">
        <f>IF(H531="",0,VLOOKUP(H531,'3-Productie normen'!$A$10:$N$23,14,FALSE))</f>
        <v>V</v>
      </c>
      <c r="AD531" s="296">
        <f t="shared" si="20"/>
        <v>31207.5</v>
      </c>
      <c r="AE531" s="78"/>
      <c r="AF531" s="253"/>
      <c r="AG531" s="253"/>
      <c r="AH531" s="253"/>
      <c r="AI531" s="253"/>
      <c r="AJ531" s="253"/>
      <c r="AK531" s="253"/>
      <c r="AL531" s="253"/>
      <c r="AM531" s="253"/>
      <c r="AN531" s="253"/>
      <c r="AO531" s="253"/>
    </row>
    <row r="532" spans="1:41" ht="15" customHeight="1">
      <c r="A532" s="254">
        <v>532</v>
      </c>
      <c r="B532" s="253">
        <v>604</v>
      </c>
      <c r="C532" s="240" t="s">
        <v>112</v>
      </c>
      <c r="D532" s="288" t="s">
        <v>634</v>
      </c>
      <c r="E532" s="289" t="s">
        <v>242</v>
      </c>
      <c r="F532" s="239" t="s">
        <v>727</v>
      </c>
      <c r="G532" s="290" t="s">
        <v>728</v>
      </c>
      <c r="H532" s="291" t="s">
        <v>155</v>
      </c>
      <c r="I532" s="239" t="s">
        <v>637</v>
      </c>
      <c r="J532" s="424">
        <f t="shared" si="19"/>
        <v>365</v>
      </c>
      <c r="K532" s="425">
        <v>255</v>
      </c>
      <c r="L532" s="425"/>
      <c r="M532" s="425">
        <v>102</v>
      </c>
      <c r="N532" s="425"/>
      <c r="O532" s="425">
        <v>8</v>
      </c>
      <c r="P532" s="425"/>
      <c r="Q532" s="294">
        <v>135</v>
      </c>
      <c r="R532" s="295" t="e">
        <f>IF(K532="nio",0,(K532*Q532)/X532)*VLOOKUP(C532,'2-Uren per locatie'!$B$15:$D$74,3,FALSE)</f>
        <v>#DIV/0!</v>
      </c>
      <c r="S532" s="295" t="e">
        <f>IF(K532="nio",0,(L532*Q532)/Y532)*VLOOKUP(C532,'2-Uren per locatie'!$B$15:$D$74,3,FALSE)</f>
        <v>#DIV/0!</v>
      </c>
      <c r="T532" s="295" t="e">
        <f>IF(K532="nio",0,(M532*Q532)/Z532)*VLOOKUP(C532,'2-Uren per locatie'!$B$15:$D$74,3,FALSE)</f>
        <v>#DIV/0!</v>
      </c>
      <c r="U532" s="295" t="e">
        <f>IF(K532="nio",0,(N532*Q532)/AA532)*VLOOKUP(C532,'2-Uren per locatie'!$B$15:$D$74,3,FALSE)</f>
        <v>#DIV/0!</v>
      </c>
      <c r="V532" s="295" t="e">
        <f>IF(K532="nio",0,(O532*Q532)/Z532)*VLOOKUP(C532,'2-Uren per locatie'!$B$15:$D$74,3,FALSE)</f>
        <v>#DIV/0!</v>
      </c>
      <c r="W532" s="295" t="e">
        <f>IF(K532="nio",0,(P532*Q532)/AA532)*VLOOKUP(C532,'2-Uren per locatie'!$B$15:$D$74,3,FALSE)</f>
        <v>#DIV/0!</v>
      </c>
      <c r="X532" s="485">
        <f>IF(K532="nio",0,IF(K532&gt;0,VLOOKUP(H532,'3-Productie normen'!A:F,VLOOKUP(K532,'3-Productie normen'!$B$29:$C$34,2,FALSE),FALSE)))</f>
        <v>0</v>
      </c>
      <c r="Y532" s="485">
        <f>VLOOKUP(H532,'3-Productie normen'!$A$10:$J$24,8,FALSE)*'3-Ruimtestaat'!X532</f>
        <v>0</v>
      </c>
      <c r="Z532" s="485">
        <f>VLOOKUP(H532,'3-Productie normen'!$A$10:$J$24,9,FALSE)*'3-Ruimtestaat'!X532</f>
        <v>0</v>
      </c>
      <c r="AA532" s="485">
        <f>VLOOKUP(H532,'3-Productie normen'!$A$10:$J$24,10,FALSE)*'3-Ruimtestaat'!X532</f>
        <v>0</v>
      </c>
      <c r="AB532" s="292" t="str">
        <f>IF(H532="",0,VLOOKUP(H532,'3-Productie normen'!$A$10:$N$23,14,FALSE))</f>
        <v>V</v>
      </c>
      <c r="AD532" s="296">
        <f t="shared" si="20"/>
        <v>49275</v>
      </c>
      <c r="AE532" s="78"/>
      <c r="AF532" s="253"/>
      <c r="AG532" s="253"/>
      <c r="AH532" s="253"/>
      <c r="AI532" s="253"/>
      <c r="AJ532" s="253"/>
      <c r="AK532" s="253"/>
      <c r="AL532" s="253"/>
      <c r="AM532" s="253"/>
      <c r="AN532" s="253"/>
      <c r="AO532" s="253"/>
    </row>
    <row r="533" spans="1:41" ht="15" customHeight="1">
      <c r="A533" s="254">
        <v>533</v>
      </c>
      <c r="B533" s="253">
        <v>604</v>
      </c>
      <c r="C533" s="240" t="s">
        <v>112</v>
      </c>
      <c r="D533" s="288" t="s">
        <v>634</v>
      </c>
      <c r="E533" s="289" t="s">
        <v>242</v>
      </c>
      <c r="F533" s="239" t="s">
        <v>729</v>
      </c>
      <c r="G533" s="290" t="s">
        <v>645</v>
      </c>
      <c r="H533" s="291" t="s">
        <v>149</v>
      </c>
      <c r="I533" s="239" t="s">
        <v>402</v>
      </c>
      <c r="J533" s="424">
        <f t="shared" si="19"/>
        <v>365</v>
      </c>
      <c r="K533" s="425">
        <v>255</v>
      </c>
      <c r="L533" s="425"/>
      <c r="M533" s="425">
        <v>102</v>
      </c>
      <c r="N533" s="425"/>
      <c r="O533" s="425">
        <v>8</v>
      </c>
      <c r="P533" s="425"/>
      <c r="Q533" s="294">
        <v>2</v>
      </c>
      <c r="R533" s="295" t="e">
        <f>IF(K533="nio",0,(K533*Q533)/X533)*VLOOKUP(C533,'2-Uren per locatie'!$B$15:$D$74,3,FALSE)</f>
        <v>#DIV/0!</v>
      </c>
      <c r="S533" s="295" t="e">
        <f>IF(K533="nio",0,(L533*Q533)/Y533)*VLOOKUP(C533,'2-Uren per locatie'!$B$15:$D$74,3,FALSE)</f>
        <v>#DIV/0!</v>
      </c>
      <c r="T533" s="295" t="e">
        <f>IF(K533="nio",0,(M533*Q533)/Z533)*VLOOKUP(C533,'2-Uren per locatie'!$B$15:$D$74,3,FALSE)</f>
        <v>#DIV/0!</v>
      </c>
      <c r="U533" s="295" t="e">
        <f>IF(K533="nio",0,(N533*Q533)/AA533)*VLOOKUP(C533,'2-Uren per locatie'!$B$15:$D$74,3,FALSE)</f>
        <v>#DIV/0!</v>
      </c>
      <c r="V533" s="295" t="e">
        <f>IF(K533="nio",0,(O533*Q533)/Z533)*VLOOKUP(C533,'2-Uren per locatie'!$B$15:$D$74,3,FALSE)</f>
        <v>#DIV/0!</v>
      </c>
      <c r="W533" s="295" t="e">
        <f>IF(K533="nio",0,(P533*Q533)/AA533)*VLOOKUP(C533,'2-Uren per locatie'!$B$15:$D$74,3,FALSE)</f>
        <v>#DIV/0!</v>
      </c>
      <c r="X533" s="485">
        <f>IF(K533="nio",0,IF(K533&gt;0,VLOOKUP(H533,'3-Productie normen'!A:F,VLOOKUP(K533,'3-Productie normen'!$B$29:$C$34,2,FALSE),FALSE)))</f>
        <v>0</v>
      </c>
      <c r="Y533" s="485">
        <f>VLOOKUP(H533,'3-Productie normen'!$A$10:$J$24,8,FALSE)*'3-Ruimtestaat'!X533</f>
        <v>0</v>
      </c>
      <c r="Z533" s="485">
        <f>VLOOKUP(H533,'3-Productie normen'!$A$10:$J$24,9,FALSE)*'3-Ruimtestaat'!X533</f>
        <v>0</v>
      </c>
      <c r="AA533" s="485">
        <f>VLOOKUP(H533,'3-Productie normen'!$A$10:$J$24,10,FALSE)*'3-Ruimtestaat'!X533</f>
        <v>0</v>
      </c>
      <c r="AB533" s="292" t="str">
        <f>IF(H533="",0,VLOOKUP(H533,'3-Productie normen'!$A$10:$N$23,14,FALSE))</f>
        <v>V</v>
      </c>
      <c r="AD533" s="296">
        <f t="shared" si="20"/>
        <v>730</v>
      </c>
      <c r="AE533" s="78"/>
      <c r="AF533" s="253"/>
      <c r="AG533" s="253"/>
      <c r="AH533" s="253"/>
      <c r="AI533" s="253"/>
      <c r="AJ533" s="253"/>
      <c r="AK533" s="253"/>
      <c r="AL533" s="253"/>
      <c r="AM533" s="253"/>
      <c r="AN533" s="253"/>
      <c r="AO533" s="253"/>
    </row>
    <row r="534" spans="1:41" ht="15" customHeight="1">
      <c r="A534" s="254">
        <v>534</v>
      </c>
      <c r="B534" s="253">
        <v>604</v>
      </c>
      <c r="C534" s="240" t="s">
        <v>112</v>
      </c>
      <c r="D534" s="288" t="s">
        <v>634</v>
      </c>
      <c r="E534" s="289" t="s">
        <v>242</v>
      </c>
      <c r="F534" s="239" t="s">
        <v>730</v>
      </c>
      <c r="G534" s="290" t="s">
        <v>647</v>
      </c>
      <c r="H534" s="291" t="s">
        <v>149</v>
      </c>
      <c r="I534" s="239" t="s">
        <v>402</v>
      </c>
      <c r="J534" s="424">
        <f t="shared" si="19"/>
        <v>365</v>
      </c>
      <c r="K534" s="425">
        <v>255</v>
      </c>
      <c r="L534" s="425"/>
      <c r="M534" s="425">
        <v>102</v>
      </c>
      <c r="N534" s="425"/>
      <c r="O534" s="425">
        <v>8</v>
      </c>
      <c r="P534" s="425"/>
      <c r="Q534" s="294">
        <v>2</v>
      </c>
      <c r="R534" s="295" t="e">
        <f>IF(K534="nio",0,(K534*Q534)/X534)*VLOOKUP(C534,'2-Uren per locatie'!$B$15:$D$74,3,FALSE)</f>
        <v>#DIV/0!</v>
      </c>
      <c r="S534" s="295" t="e">
        <f>IF(K534="nio",0,(L534*Q534)/Y534)*VLOOKUP(C534,'2-Uren per locatie'!$B$15:$D$74,3,FALSE)</f>
        <v>#DIV/0!</v>
      </c>
      <c r="T534" s="295" t="e">
        <f>IF(K534="nio",0,(M534*Q534)/Z534)*VLOOKUP(C534,'2-Uren per locatie'!$B$15:$D$74,3,FALSE)</f>
        <v>#DIV/0!</v>
      </c>
      <c r="U534" s="295" t="e">
        <f>IF(K534="nio",0,(N534*Q534)/AA534)*VLOOKUP(C534,'2-Uren per locatie'!$B$15:$D$74,3,FALSE)</f>
        <v>#DIV/0!</v>
      </c>
      <c r="V534" s="295" t="e">
        <f>IF(K534="nio",0,(O534*Q534)/Z534)*VLOOKUP(C534,'2-Uren per locatie'!$B$15:$D$74,3,FALSE)</f>
        <v>#DIV/0!</v>
      </c>
      <c r="W534" s="295" t="e">
        <f>IF(K534="nio",0,(P534*Q534)/AA534)*VLOOKUP(C534,'2-Uren per locatie'!$B$15:$D$74,3,FALSE)</f>
        <v>#DIV/0!</v>
      </c>
      <c r="X534" s="485">
        <f>IF(K534="nio",0,IF(K534&gt;0,VLOOKUP(H534,'3-Productie normen'!A:F,VLOOKUP(K534,'3-Productie normen'!$B$29:$C$34,2,FALSE),FALSE)))</f>
        <v>0</v>
      </c>
      <c r="Y534" s="485">
        <f>VLOOKUP(H534,'3-Productie normen'!$A$10:$J$24,8,FALSE)*'3-Ruimtestaat'!X534</f>
        <v>0</v>
      </c>
      <c r="Z534" s="485">
        <f>VLOOKUP(H534,'3-Productie normen'!$A$10:$J$24,9,FALSE)*'3-Ruimtestaat'!X534</f>
        <v>0</v>
      </c>
      <c r="AA534" s="485">
        <f>VLOOKUP(H534,'3-Productie normen'!$A$10:$J$24,10,FALSE)*'3-Ruimtestaat'!X534</f>
        <v>0</v>
      </c>
      <c r="AB534" s="292" t="str">
        <f>IF(H534="",0,VLOOKUP(H534,'3-Productie normen'!$A$10:$N$23,14,FALSE))</f>
        <v>V</v>
      </c>
      <c r="AD534" s="296">
        <f t="shared" si="20"/>
        <v>730</v>
      </c>
      <c r="AE534" s="78"/>
      <c r="AF534" s="253"/>
      <c r="AG534" s="253"/>
      <c r="AH534" s="253"/>
      <c r="AI534" s="253"/>
      <c r="AJ534" s="253"/>
      <c r="AK534" s="253"/>
      <c r="AL534" s="253"/>
      <c r="AM534" s="253"/>
      <c r="AN534" s="253"/>
      <c r="AO534" s="253"/>
    </row>
    <row r="535" spans="1:41" ht="15" customHeight="1">
      <c r="A535" s="254">
        <v>535</v>
      </c>
      <c r="B535" s="253">
        <v>604</v>
      </c>
      <c r="C535" s="240" t="s">
        <v>112</v>
      </c>
      <c r="D535" s="288" t="s">
        <v>634</v>
      </c>
      <c r="E535" s="289" t="s">
        <v>648</v>
      </c>
      <c r="F535" s="239" t="s">
        <v>714</v>
      </c>
      <c r="G535" s="290" t="s">
        <v>731</v>
      </c>
      <c r="H535" s="291" t="s">
        <v>145</v>
      </c>
      <c r="I535" s="239" t="s">
        <v>637</v>
      </c>
      <c r="J535" s="424">
        <f t="shared" si="19"/>
        <v>365</v>
      </c>
      <c r="K535" s="425">
        <v>255</v>
      </c>
      <c r="L535" s="425"/>
      <c r="M535" s="425">
        <v>102</v>
      </c>
      <c r="N535" s="425"/>
      <c r="O535" s="425">
        <v>8</v>
      </c>
      <c r="P535" s="425"/>
      <c r="Q535" s="294">
        <v>600</v>
      </c>
      <c r="R535" s="295" t="e">
        <f>IF(K535="nio",0,(K535*Q535)/X535)*VLOOKUP(C535,'2-Uren per locatie'!$B$15:$D$74,3,FALSE)</f>
        <v>#DIV/0!</v>
      </c>
      <c r="S535" s="295" t="e">
        <f>IF(K535="nio",0,(L535*Q535)/Y535)*VLOOKUP(C535,'2-Uren per locatie'!$B$15:$D$74,3,FALSE)</f>
        <v>#DIV/0!</v>
      </c>
      <c r="T535" s="295" t="e">
        <f>IF(K535="nio",0,(M535*Q535)/Z535)*VLOOKUP(C535,'2-Uren per locatie'!$B$15:$D$74,3,FALSE)</f>
        <v>#DIV/0!</v>
      </c>
      <c r="U535" s="295" t="e">
        <f>IF(K535="nio",0,(N535*Q535)/AA535)*VLOOKUP(C535,'2-Uren per locatie'!$B$15:$D$74,3,FALSE)</f>
        <v>#DIV/0!</v>
      </c>
      <c r="V535" s="295" t="e">
        <f>IF(K535="nio",0,(O535*Q535)/Z535)*VLOOKUP(C535,'2-Uren per locatie'!$B$15:$D$74,3,FALSE)</f>
        <v>#DIV/0!</v>
      </c>
      <c r="W535" s="295" t="e">
        <f>IF(K535="nio",0,(P535*Q535)/AA535)*VLOOKUP(C535,'2-Uren per locatie'!$B$15:$D$74,3,FALSE)</f>
        <v>#DIV/0!</v>
      </c>
      <c r="X535" s="485">
        <f>IF(K535="nio",0,IF(K535&gt;0,VLOOKUP(H535,'3-Productie normen'!A:F,VLOOKUP(K535,'3-Productie normen'!$B$29:$C$34,2,FALSE),FALSE)))</f>
        <v>0</v>
      </c>
      <c r="Y535" s="485">
        <f>VLOOKUP(H535,'3-Productie normen'!$A$10:$J$24,8,FALSE)*'3-Ruimtestaat'!X535</f>
        <v>0</v>
      </c>
      <c r="Z535" s="485">
        <f>VLOOKUP(H535,'3-Productie normen'!$A$10:$J$24,9,FALSE)*'3-Ruimtestaat'!X535</f>
        <v>0</v>
      </c>
      <c r="AA535" s="485">
        <f>VLOOKUP(H535,'3-Productie normen'!$A$10:$J$24,10,FALSE)*'3-Ruimtestaat'!X535</f>
        <v>0</v>
      </c>
      <c r="AB535" s="292" t="str">
        <f>IF(H535="",0,VLOOKUP(H535,'3-Productie normen'!$A$10:$N$23,14,FALSE))</f>
        <v>V</v>
      </c>
      <c r="AD535" s="296">
        <f t="shared" si="20"/>
        <v>219000</v>
      </c>
      <c r="AE535" s="78"/>
      <c r="AF535" s="253"/>
      <c r="AG535" s="253"/>
      <c r="AH535" s="253"/>
      <c r="AI535" s="253"/>
      <c r="AJ535" s="253"/>
      <c r="AK535" s="253"/>
      <c r="AL535" s="253"/>
      <c r="AM535" s="253"/>
      <c r="AN535" s="253"/>
      <c r="AO535" s="253"/>
    </row>
    <row r="536" spans="1:41" ht="15" customHeight="1">
      <c r="A536" s="254">
        <v>536</v>
      </c>
      <c r="B536" s="253">
        <v>604</v>
      </c>
      <c r="C536" s="240" t="s">
        <v>112</v>
      </c>
      <c r="D536" s="288" t="s">
        <v>634</v>
      </c>
      <c r="E536" s="289" t="s">
        <v>648</v>
      </c>
      <c r="F536" s="239" t="s">
        <v>732</v>
      </c>
      <c r="G536" s="290" t="s">
        <v>733</v>
      </c>
      <c r="H536" s="291" t="s">
        <v>152</v>
      </c>
      <c r="I536" s="239" t="s">
        <v>402</v>
      </c>
      <c r="J536" s="424">
        <f t="shared" si="19"/>
        <v>365</v>
      </c>
      <c r="K536" s="425">
        <v>255</v>
      </c>
      <c r="L536" s="425"/>
      <c r="M536" s="425">
        <v>102</v>
      </c>
      <c r="N536" s="425"/>
      <c r="O536" s="425">
        <v>8</v>
      </c>
      <c r="P536" s="425"/>
      <c r="Q536" s="294">
        <v>195</v>
      </c>
      <c r="R536" s="295" t="e">
        <f>IF(K536="nio",0,(K536*Q536)/X536)*VLOOKUP(C536,'2-Uren per locatie'!$B$15:$D$74,3,FALSE)</f>
        <v>#DIV/0!</v>
      </c>
      <c r="S536" s="295" t="e">
        <f>IF(K536="nio",0,(L536*Q536)/Y536)*VLOOKUP(C536,'2-Uren per locatie'!$B$15:$D$74,3,FALSE)</f>
        <v>#DIV/0!</v>
      </c>
      <c r="T536" s="295" t="e">
        <f>IF(K536="nio",0,(M536*Q536)/Z536)*VLOOKUP(C536,'2-Uren per locatie'!$B$15:$D$74,3,FALSE)</f>
        <v>#DIV/0!</v>
      </c>
      <c r="U536" s="295" t="e">
        <f>IF(K536="nio",0,(N536*Q536)/AA536)*VLOOKUP(C536,'2-Uren per locatie'!$B$15:$D$74,3,FALSE)</f>
        <v>#DIV/0!</v>
      </c>
      <c r="V536" s="295" t="e">
        <f>IF(K536="nio",0,(O536*Q536)/Z536)*VLOOKUP(C536,'2-Uren per locatie'!$B$15:$D$74,3,FALSE)</f>
        <v>#DIV/0!</v>
      </c>
      <c r="W536" s="295" t="e">
        <f>IF(K536="nio",0,(P536*Q536)/AA536)*VLOOKUP(C536,'2-Uren per locatie'!$B$15:$D$74,3,FALSE)</f>
        <v>#DIV/0!</v>
      </c>
      <c r="X536" s="485">
        <f>IF(K536="nio",0,IF(K536&gt;0,VLOOKUP(H536,'3-Productie normen'!A:F,VLOOKUP(K536,'3-Productie normen'!$B$29:$C$34,2,FALSE),FALSE)))</f>
        <v>0</v>
      </c>
      <c r="Y536" s="485">
        <f>VLOOKUP(H536,'3-Productie normen'!$A$10:$J$24,8,FALSE)*'3-Ruimtestaat'!X536</f>
        <v>0</v>
      </c>
      <c r="Z536" s="485">
        <f>VLOOKUP(H536,'3-Productie normen'!$A$10:$J$24,9,FALSE)*'3-Ruimtestaat'!X536</f>
        <v>0</v>
      </c>
      <c r="AA536" s="485">
        <f>VLOOKUP(H536,'3-Productie normen'!$A$10:$J$24,10,FALSE)*'3-Ruimtestaat'!X536</f>
        <v>0</v>
      </c>
      <c r="AB536" s="292" t="str">
        <f>IF(H536="",0,VLOOKUP(H536,'3-Productie normen'!$A$10:$N$23,14,FALSE))</f>
        <v>V</v>
      </c>
      <c r="AD536" s="296">
        <f t="shared" si="20"/>
        <v>71175</v>
      </c>
      <c r="AE536" s="78"/>
      <c r="AF536" s="253"/>
      <c r="AG536" s="253"/>
      <c r="AH536" s="253"/>
      <c r="AI536" s="253"/>
      <c r="AJ536" s="253"/>
      <c r="AK536" s="253"/>
      <c r="AL536" s="253"/>
      <c r="AM536" s="253"/>
      <c r="AN536" s="253"/>
      <c r="AO536" s="253"/>
    </row>
    <row r="537" spans="1:41" ht="15" customHeight="1">
      <c r="A537" s="254">
        <v>537</v>
      </c>
      <c r="B537" s="253">
        <v>604</v>
      </c>
      <c r="C537" s="240" t="s">
        <v>112</v>
      </c>
      <c r="D537" s="288" t="s">
        <v>634</v>
      </c>
      <c r="E537" s="289" t="s">
        <v>648</v>
      </c>
      <c r="F537" s="239" t="s">
        <v>734</v>
      </c>
      <c r="G537" s="290" t="s">
        <v>664</v>
      </c>
      <c r="H537" s="291" t="s">
        <v>149</v>
      </c>
      <c r="I537" s="239" t="s">
        <v>402</v>
      </c>
      <c r="J537" s="424">
        <f t="shared" si="19"/>
        <v>365</v>
      </c>
      <c r="K537" s="425">
        <v>255</v>
      </c>
      <c r="L537" s="425"/>
      <c r="M537" s="425">
        <v>102</v>
      </c>
      <c r="N537" s="425"/>
      <c r="O537" s="425">
        <v>8</v>
      </c>
      <c r="P537" s="425"/>
      <c r="Q537" s="294">
        <v>2</v>
      </c>
      <c r="R537" s="295" t="e">
        <f>IF(K537="nio",0,(K537*Q537)/X537)*VLOOKUP(C537,'2-Uren per locatie'!$B$15:$D$74,3,FALSE)</f>
        <v>#DIV/0!</v>
      </c>
      <c r="S537" s="295" t="e">
        <f>IF(K537="nio",0,(L537*Q537)/Y537)*VLOOKUP(C537,'2-Uren per locatie'!$B$15:$D$74,3,FALSE)</f>
        <v>#DIV/0!</v>
      </c>
      <c r="T537" s="295" t="e">
        <f>IF(K537="nio",0,(M537*Q537)/Z537)*VLOOKUP(C537,'2-Uren per locatie'!$B$15:$D$74,3,FALSE)</f>
        <v>#DIV/0!</v>
      </c>
      <c r="U537" s="295" t="e">
        <f>IF(K537="nio",0,(N537*Q537)/AA537)*VLOOKUP(C537,'2-Uren per locatie'!$B$15:$D$74,3,FALSE)</f>
        <v>#DIV/0!</v>
      </c>
      <c r="V537" s="295" t="e">
        <f>IF(K537="nio",0,(O537*Q537)/Z537)*VLOOKUP(C537,'2-Uren per locatie'!$B$15:$D$74,3,FALSE)</f>
        <v>#DIV/0!</v>
      </c>
      <c r="W537" s="295" t="e">
        <f>IF(K537="nio",0,(P537*Q537)/AA537)*VLOOKUP(C537,'2-Uren per locatie'!$B$15:$D$74,3,FALSE)</f>
        <v>#DIV/0!</v>
      </c>
      <c r="X537" s="485">
        <f>IF(K537="nio",0,IF(K537&gt;0,VLOOKUP(H537,'3-Productie normen'!A:F,VLOOKUP(K537,'3-Productie normen'!$B$29:$C$34,2,FALSE),FALSE)))</f>
        <v>0</v>
      </c>
      <c r="Y537" s="485">
        <f>VLOOKUP(H537,'3-Productie normen'!$A$10:$J$24,8,FALSE)*'3-Ruimtestaat'!X537</f>
        <v>0</v>
      </c>
      <c r="Z537" s="485">
        <f>VLOOKUP(H537,'3-Productie normen'!$A$10:$J$24,9,FALSE)*'3-Ruimtestaat'!X537</f>
        <v>0</v>
      </c>
      <c r="AA537" s="485">
        <f>VLOOKUP(H537,'3-Productie normen'!$A$10:$J$24,10,FALSE)*'3-Ruimtestaat'!X537</f>
        <v>0</v>
      </c>
      <c r="AB537" s="292" t="str">
        <f>IF(H537="",0,VLOOKUP(H537,'3-Productie normen'!$A$10:$N$23,14,FALSE))</f>
        <v>V</v>
      </c>
      <c r="AD537" s="296">
        <f t="shared" si="20"/>
        <v>730</v>
      </c>
      <c r="AE537" s="78"/>
      <c r="AF537" s="253"/>
      <c r="AG537" s="253"/>
      <c r="AH537" s="253"/>
      <c r="AI537" s="253"/>
      <c r="AJ537" s="253"/>
      <c r="AK537" s="253"/>
      <c r="AL537" s="253"/>
      <c r="AM537" s="253"/>
      <c r="AN537" s="253"/>
      <c r="AO537" s="253"/>
    </row>
    <row r="538" spans="1:41" ht="15" customHeight="1">
      <c r="A538" s="254">
        <v>538</v>
      </c>
      <c r="B538" s="253">
        <v>604</v>
      </c>
      <c r="C538" s="240" t="s">
        <v>112</v>
      </c>
      <c r="D538" s="288" t="s">
        <v>634</v>
      </c>
      <c r="E538" s="289" t="s">
        <v>648</v>
      </c>
      <c r="F538" s="239" t="s">
        <v>718</v>
      </c>
      <c r="G538" s="290" t="s">
        <v>735</v>
      </c>
      <c r="H538" s="291" t="s">
        <v>153</v>
      </c>
      <c r="I538" s="239" t="s">
        <v>637</v>
      </c>
      <c r="J538" s="424">
        <f t="shared" si="19"/>
        <v>365</v>
      </c>
      <c r="K538" s="425">
        <v>255</v>
      </c>
      <c r="L538" s="425"/>
      <c r="M538" s="425">
        <v>102</v>
      </c>
      <c r="N538" s="425"/>
      <c r="O538" s="425">
        <v>8</v>
      </c>
      <c r="P538" s="425"/>
      <c r="Q538" s="294">
        <v>5.2</v>
      </c>
      <c r="R538" s="295" t="e">
        <f>IF(K538="nio",0,(K538*Q538)/X538)*VLOOKUP(C538,'2-Uren per locatie'!$B$15:$D$74,3,FALSE)</f>
        <v>#DIV/0!</v>
      </c>
      <c r="S538" s="295" t="e">
        <f>IF(K538="nio",0,(L538*Q538)/Y538)*VLOOKUP(C538,'2-Uren per locatie'!$B$15:$D$74,3,FALSE)</f>
        <v>#DIV/0!</v>
      </c>
      <c r="T538" s="295" t="e">
        <f>IF(K538="nio",0,(M538*Q538)/Z538)*VLOOKUP(C538,'2-Uren per locatie'!$B$15:$D$74,3,FALSE)</f>
        <v>#DIV/0!</v>
      </c>
      <c r="U538" s="295" t="e">
        <f>IF(K538="nio",0,(N538*Q538)/AA538)*VLOOKUP(C538,'2-Uren per locatie'!$B$15:$D$74,3,FALSE)</f>
        <v>#DIV/0!</v>
      </c>
      <c r="V538" s="295" t="e">
        <f>IF(K538="nio",0,(O538*Q538)/Z538)*VLOOKUP(C538,'2-Uren per locatie'!$B$15:$D$74,3,FALSE)</f>
        <v>#DIV/0!</v>
      </c>
      <c r="W538" s="295" t="e">
        <f>IF(K538="nio",0,(P538*Q538)/AA538)*VLOOKUP(C538,'2-Uren per locatie'!$B$15:$D$74,3,FALSE)</f>
        <v>#DIV/0!</v>
      </c>
      <c r="X538" s="485">
        <f>IF(K538="nio",0,IF(K538&gt;0,VLOOKUP(H538,'3-Productie normen'!A:F,VLOOKUP(K538,'3-Productie normen'!$B$29:$C$34,2,FALSE),FALSE)))</f>
        <v>0</v>
      </c>
      <c r="Y538" s="485">
        <f>VLOOKUP(H538,'3-Productie normen'!$A$10:$J$24,8,FALSE)*'3-Ruimtestaat'!X538</f>
        <v>0</v>
      </c>
      <c r="Z538" s="485">
        <f>VLOOKUP(H538,'3-Productie normen'!$A$10:$J$24,9,FALSE)*'3-Ruimtestaat'!X538</f>
        <v>0</v>
      </c>
      <c r="AA538" s="485">
        <f>VLOOKUP(H538,'3-Productie normen'!$A$10:$J$24,10,FALSE)*'3-Ruimtestaat'!X538</f>
        <v>0</v>
      </c>
      <c r="AB538" s="292" t="str">
        <f>IF(H538="",0,VLOOKUP(H538,'3-Productie normen'!$A$10:$N$23,14,FALSE))</f>
        <v>S</v>
      </c>
      <c r="AD538" s="296">
        <f t="shared" si="20"/>
        <v>1898</v>
      </c>
      <c r="AE538" s="78"/>
      <c r="AF538" s="253"/>
      <c r="AG538" s="253"/>
      <c r="AH538" s="253"/>
      <c r="AI538" s="253"/>
      <c r="AJ538" s="253"/>
      <c r="AK538" s="253"/>
      <c r="AL538" s="253"/>
      <c r="AM538" s="253"/>
      <c r="AN538" s="253"/>
      <c r="AO538" s="253"/>
    </row>
    <row r="539" spans="1:41" ht="15" customHeight="1">
      <c r="A539" s="254">
        <v>539</v>
      </c>
      <c r="B539" s="253">
        <v>604</v>
      </c>
      <c r="C539" s="240" t="s">
        <v>112</v>
      </c>
      <c r="D539" s="288" t="s">
        <v>634</v>
      </c>
      <c r="E539" s="289" t="s">
        <v>648</v>
      </c>
      <c r="F539" s="239" t="s">
        <v>736</v>
      </c>
      <c r="G539" s="290" t="s">
        <v>737</v>
      </c>
      <c r="H539" s="291" t="s">
        <v>144</v>
      </c>
      <c r="I539" s="239" t="s">
        <v>325</v>
      </c>
      <c r="J539" s="424">
        <f t="shared" si="19"/>
        <v>156</v>
      </c>
      <c r="K539" s="425">
        <v>156</v>
      </c>
      <c r="L539" s="425"/>
      <c r="M539" s="425"/>
      <c r="N539" s="425"/>
      <c r="O539" s="425"/>
      <c r="P539" s="425"/>
      <c r="Q539" s="294">
        <v>46.5</v>
      </c>
      <c r="R539" s="295" t="e">
        <f>IF(K539="nio",0,(K539*Q539)/X539)*VLOOKUP(C539,'2-Uren per locatie'!$B$15:$D$74,3,FALSE)</f>
        <v>#DIV/0!</v>
      </c>
      <c r="S539" s="295" t="e">
        <f>IF(K539="nio",0,(L539*Q539)/Y539)*VLOOKUP(C539,'2-Uren per locatie'!$B$15:$D$74,3,FALSE)</f>
        <v>#DIV/0!</v>
      </c>
      <c r="T539" s="295" t="e">
        <f>IF(K539="nio",0,(M539*Q539)/Z539)*VLOOKUP(C539,'2-Uren per locatie'!$B$15:$D$74,3,FALSE)</f>
        <v>#DIV/0!</v>
      </c>
      <c r="U539" s="295" t="e">
        <f>IF(K539="nio",0,(N539*Q539)/AA539)*VLOOKUP(C539,'2-Uren per locatie'!$B$15:$D$74,3,FALSE)</f>
        <v>#DIV/0!</v>
      </c>
      <c r="V539" s="295" t="e">
        <f>IF(K539="nio",0,(O539*Q539)/Z539)*VLOOKUP(C539,'2-Uren per locatie'!$B$15:$D$74,3,FALSE)</f>
        <v>#DIV/0!</v>
      </c>
      <c r="W539" s="295" t="e">
        <f>IF(K539="nio",0,(P539*Q539)/AA539)*VLOOKUP(C539,'2-Uren per locatie'!$B$15:$D$74,3,FALSE)</f>
        <v>#DIV/0!</v>
      </c>
      <c r="X539" s="485">
        <f>IF(K539="nio",0,IF(K539&gt;0,VLOOKUP(H539,'3-Productie normen'!A:F,VLOOKUP(K539,'3-Productie normen'!$B$29:$C$34,2,FALSE),FALSE)))</f>
        <v>0</v>
      </c>
      <c r="Y539" s="485">
        <f>VLOOKUP(H539,'3-Productie normen'!$A$10:$J$24,8,FALSE)*'3-Ruimtestaat'!X539</f>
        <v>0</v>
      </c>
      <c r="Z539" s="485">
        <f>VLOOKUP(H539,'3-Productie normen'!$A$10:$J$24,9,FALSE)*'3-Ruimtestaat'!X539</f>
        <v>0</v>
      </c>
      <c r="AA539" s="485">
        <f>VLOOKUP(H539,'3-Productie normen'!$A$10:$J$24,10,FALSE)*'3-Ruimtestaat'!X539</f>
        <v>0</v>
      </c>
      <c r="AB539" s="292" t="str">
        <f>IF(H539="",0,VLOOKUP(H539,'3-Productie normen'!$A$10:$N$23,14,FALSE))</f>
        <v>V</v>
      </c>
      <c r="AD539" s="296">
        <f t="shared" si="20"/>
        <v>7254</v>
      </c>
      <c r="AE539" s="78"/>
      <c r="AF539" s="253"/>
      <c r="AG539" s="253"/>
      <c r="AH539" s="253"/>
      <c r="AI539" s="253"/>
      <c r="AJ539" s="253"/>
      <c r="AK539" s="253"/>
      <c r="AL539" s="253"/>
      <c r="AM539" s="253"/>
      <c r="AN539" s="253"/>
      <c r="AO539" s="253"/>
    </row>
    <row r="540" spans="1:41" ht="15" customHeight="1">
      <c r="A540" s="254">
        <v>540</v>
      </c>
      <c r="B540" s="253">
        <v>604</v>
      </c>
      <c r="C540" s="240" t="s">
        <v>112</v>
      </c>
      <c r="D540" s="288" t="s">
        <v>634</v>
      </c>
      <c r="E540" s="289" t="s">
        <v>648</v>
      </c>
      <c r="F540" s="239" t="s">
        <v>720</v>
      </c>
      <c r="G540" s="290" t="s">
        <v>738</v>
      </c>
      <c r="H540" s="291" t="s">
        <v>145</v>
      </c>
      <c r="I540" s="239" t="s">
        <v>637</v>
      </c>
      <c r="J540" s="424">
        <f t="shared" si="19"/>
        <v>365</v>
      </c>
      <c r="K540" s="425">
        <v>255</v>
      </c>
      <c r="L540" s="425"/>
      <c r="M540" s="425">
        <v>102</v>
      </c>
      <c r="N540" s="425"/>
      <c r="O540" s="425">
        <v>8</v>
      </c>
      <c r="P540" s="425"/>
      <c r="Q540" s="294">
        <v>400</v>
      </c>
      <c r="R540" s="295" t="e">
        <f>IF(K540="nio",0,(K540*Q540)/X540)*VLOOKUP(C540,'2-Uren per locatie'!$B$15:$D$74,3,FALSE)</f>
        <v>#DIV/0!</v>
      </c>
      <c r="S540" s="295" t="e">
        <f>IF(K540="nio",0,(L540*Q540)/Y540)*VLOOKUP(C540,'2-Uren per locatie'!$B$15:$D$74,3,FALSE)</f>
        <v>#DIV/0!</v>
      </c>
      <c r="T540" s="295" t="e">
        <f>IF(K540="nio",0,(M540*Q540)/Z540)*VLOOKUP(C540,'2-Uren per locatie'!$B$15:$D$74,3,FALSE)</f>
        <v>#DIV/0!</v>
      </c>
      <c r="U540" s="295" t="e">
        <f>IF(K540="nio",0,(N540*Q540)/AA540)*VLOOKUP(C540,'2-Uren per locatie'!$B$15:$D$74,3,FALSE)</f>
        <v>#DIV/0!</v>
      </c>
      <c r="V540" s="295" t="e">
        <f>IF(K540="nio",0,(O540*Q540)/Z540)*VLOOKUP(C540,'2-Uren per locatie'!$B$15:$D$74,3,FALSE)</f>
        <v>#DIV/0!</v>
      </c>
      <c r="W540" s="295" t="e">
        <f>IF(K540="nio",0,(P540*Q540)/AA540)*VLOOKUP(C540,'2-Uren per locatie'!$B$15:$D$74,3,FALSE)</f>
        <v>#DIV/0!</v>
      </c>
      <c r="X540" s="485">
        <f>IF(K540="nio",0,IF(K540&gt;0,VLOOKUP(H540,'3-Productie normen'!A:F,VLOOKUP(K540,'3-Productie normen'!$B$29:$C$34,2,FALSE),FALSE)))</f>
        <v>0</v>
      </c>
      <c r="Y540" s="485">
        <f>VLOOKUP(H540,'3-Productie normen'!$A$10:$J$24,8,FALSE)*'3-Ruimtestaat'!X540</f>
        <v>0</v>
      </c>
      <c r="Z540" s="485">
        <f>VLOOKUP(H540,'3-Productie normen'!$A$10:$J$24,9,FALSE)*'3-Ruimtestaat'!X540</f>
        <v>0</v>
      </c>
      <c r="AA540" s="485">
        <f>VLOOKUP(H540,'3-Productie normen'!$A$10:$J$24,10,FALSE)*'3-Ruimtestaat'!X540</f>
        <v>0</v>
      </c>
      <c r="AB540" s="292" t="str">
        <f>IF(H540="",0,VLOOKUP(H540,'3-Productie normen'!$A$10:$N$23,14,FALSE))</f>
        <v>V</v>
      </c>
      <c r="AD540" s="296">
        <f t="shared" si="20"/>
        <v>146000</v>
      </c>
      <c r="AE540" s="78"/>
      <c r="AF540" s="253"/>
      <c r="AG540" s="253"/>
      <c r="AH540" s="253"/>
      <c r="AI540" s="253"/>
      <c r="AJ540" s="253"/>
      <c r="AK540" s="253"/>
      <c r="AL540" s="253"/>
      <c r="AM540" s="253"/>
      <c r="AN540" s="253"/>
      <c r="AO540" s="253"/>
    </row>
    <row r="541" spans="1:41" ht="15" customHeight="1">
      <c r="A541" s="254">
        <v>541</v>
      </c>
      <c r="B541" s="253">
        <v>604</v>
      </c>
      <c r="C541" s="240" t="s">
        <v>112</v>
      </c>
      <c r="D541" s="288" t="s">
        <v>634</v>
      </c>
      <c r="E541" s="289" t="s">
        <v>648</v>
      </c>
      <c r="F541" s="239" t="s">
        <v>739</v>
      </c>
      <c r="G541" s="290" t="s">
        <v>740</v>
      </c>
      <c r="H541" s="291" t="s">
        <v>153</v>
      </c>
      <c r="I541" s="239" t="s">
        <v>637</v>
      </c>
      <c r="J541" s="424">
        <f t="shared" si="19"/>
        <v>365</v>
      </c>
      <c r="K541" s="425">
        <v>255</v>
      </c>
      <c r="L541" s="425"/>
      <c r="M541" s="425">
        <v>102</v>
      </c>
      <c r="N541" s="425"/>
      <c r="O541" s="425">
        <v>8</v>
      </c>
      <c r="P541" s="425"/>
      <c r="Q541" s="294">
        <v>8.8000000000000007</v>
      </c>
      <c r="R541" s="295" t="e">
        <f>IF(K541="nio",0,(K541*Q541)/X541)*VLOOKUP(C541,'2-Uren per locatie'!$B$15:$D$74,3,FALSE)</f>
        <v>#DIV/0!</v>
      </c>
      <c r="S541" s="295" t="e">
        <f>IF(K541="nio",0,(L541*Q541)/Y541)*VLOOKUP(C541,'2-Uren per locatie'!$B$15:$D$74,3,FALSE)</f>
        <v>#DIV/0!</v>
      </c>
      <c r="T541" s="295" t="e">
        <f>IF(K541="nio",0,(M541*Q541)/Z541)*VLOOKUP(C541,'2-Uren per locatie'!$B$15:$D$74,3,FALSE)</f>
        <v>#DIV/0!</v>
      </c>
      <c r="U541" s="295" t="e">
        <f>IF(K541="nio",0,(N541*Q541)/AA541)*VLOOKUP(C541,'2-Uren per locatie'!$B$15:$D$74,3,FALSE)</f>
        <v>#DIV/0!</v>
      </c>
      <c r="V541" s="295" t="e">
        <f>IF(K541="nio",0,(O541*Q541)/Z541)*VLOOKUP(C541,'2-Uren per locatie'!$B$15:$D$74,3,FALSE)</f>
        <v>#DIV/0!</v>
      </c>
      <c r="W541" s="295" t="e">
        <f>IF(K541="nio",0,(P541*Q541)/AA541)*VLOOKUP(C541,'2-Uren per locatie'!$B$15:$D$74,3,FALSE)</f>
        <v>#DIV/0!</v>
      </c>
      <c r="X541" s="485">
        <f>IF(K541="nio",0,IF(K541&gt;0,VLOOKUP(H541,'3-Productie normen'!A:F,VLOOKUP(K541,'3-Productie normen'!$B$29:$C$34,2,FALSE),FALSE)))</f>
        <v>0</v>
      </c>
      <c r="Y541" s="485">
        <f>VLOOKUP(H541,'3-Productie normen'!$A$10:$J$24,8,FALSE)*'3-Ruimtestaat'!X541</f>
        <v>0</v>
      </c>
      <c r="Z541" s="485">
        <f>VLOOKUP(H541,'3-Productie normen'!$A$10:$J$24,9,FALSE)*'3-Ruimtestaat'!X541</f>
        <v>0</v>
      </c>
      <c r="AA541" s="485">
        <f>VLOOKUP(H541,'3-Productie normen'!$A$10:$J$24,10,FALSE)*'3-Ruimtestaat'!X541</f>
        <v>0</v>
      </c>
      <c r="AB541" s="292" t="str">
        <f>IF(H541="",0,VLOOKUP(H541,'3-Productie normen'!$A$10:$N$23,14,FALSE))</f>
        <v>S</v>
      </c>
      <c r="AD541" s="296">
        <f t="shared" si="20"/>
        <v>3212.0000000000005</v>
      </c>
      <c r="AE541" s="78"/>
      <c r="AF541" s="253"/>
      <c r="AG541" s="253"/>
      <c r="AH541" s="253"/>
      <c r="AI541" s="253"/>
      <c r="AJ541" s="253"/>
      <c r="AK541" s="253"/>
      <c r="AL541" s="253"/>
      <c r="AM541" s="253"/>
      <c r="AN541" s="253"/>
      <c r="AO541" s="253"/>
    </row>
    <row r="542" spans="1:41" ht="15" customHeight="1">
      <c r="A542" s="254">
        <v>542</v>
      </c>
      <c r="B542" s="253">
        <v>604</v>
      </c>
      <c r="C542" s="240" t="s">
        <v>112</v>
      </c>
      <c r="D542" s="288" t="s">
        <v>634</v>
      </c>
      <c r="E542" s="289" t="s">
        <v>648</v>
      </c>
      <c r="F542" s="239" t="s">
        <v>741</v>
      </c>
      <c r="G542" s="290" t="s">
        <v>742</v>
      </c>
      <c r="H542" s="291" t="s">
        <v>144</v>
      </c>
      <c r="I542" s="239" t="s">
        <v>325</v>
      </c>
      <c r="J542" s="424">
        <f t="shared" si="19"/>
        <v>156</v>
      </c>
      <c r="K542" s="425">
        <v>156</v>
      </c>
      <c r="L542" s="425"/>
      <c r="M542" s="425"/>
      <c r="N542" s="425"/>
      <c r="O542" s="425"/>
      <c r="P542" s="425"/>
      <c r="Q542" s="294">
        <v>19</v>
      </c>
      <c r="R542" s="295" t="e">
        <f>IF(K542="nio",0,(K542*Q542)/X542)*VLOOKUP(C542,'2-Uren per locatie'!$B$15:$D$74,3,FALSE)</f>
        <v>#DIV/0!</v>
      </c>
      <c r="S542" s="295" t="e">
        <f>IF(K542="nio",0,(L542*Q542)/Y542)*VLOOKUP(C542,'2-Uren per locatie'!$B$15:$D$74,3,FALSE)</f>
        <v>#DIV/0!</v>
      </c>
      <c r="T542" s="295" t="e">
        <f>IF(K542="nio",0,(M542*Q542)/Z542)*VLOOKUP(C542,'2-Uren per locatie'!$B$15:$D$74,3,FALSE)</f>
        <v>#DIV/0!</v>
      </c>
      <c r="U542" s="295" t="e">
        <f>IF(K542="nio",0,(N542*Q542)/AA542)*VLOOKUP(C542,'2-Uren per locatie'!$B$15:$D$74,3,FALSE)</f>
        <v>#DIV/0!</v>
      </c>
      <c r="V542" s="295" t="e">
        <f>IF(K542="nio",0,(O542*Q542)/Z542)*VLOOKUP(C542,'2-Uren per locatie'!$B$15:$D$74,3,FALSE)</f>
        <v>#DIV/0!</v>
      </c>
      <c r="W542" s="295" t="e">
        <f>IF(K542="nio",0,(P542*Q542)/AA542)*VLOOKUP(C542,'2-Uren per locatie'!$B$15:$D$74,3,FALSE)</f>
        <v>#DIV/0!</v>
      </c>
      <c r="X542" s="485">
        <f>IF(K542="nio",0,IF(K542&gt;0,VLOOKUP(H542,'3-Productie normen'!A:F,VLOOKUP(K542,'3-Productie normen'!$B$29:$C$34,2,FALSE),FALSE)))</f>
        <v>0</v>
      </c>
      <c r="Y542" s="485">
        <f>VLOOKUP(H542,'3-Productie normen'!$A$10:$J$24,8,FALSE)*'3-Ruimtestaat'!X542</f>
        <v>0</v>
      </c>
      <c r="Z542" s="485">
        <f>VLOOKUP(H542,'3-Productie normen'!$A$10:$J$24,9,FALSE)*'3-Ruimtestaat'!X542</f>
        <v>0</v>
      </c>
      <c r="AA542" s="485">
        <f>VLOOKUP(H542,'3-Productie normen'!$A$10:$J$24,10,FALSE)*'3-Ruimtestaat'!X542</f>
        <v>0</v>
      </c>
      <c r="AB542" s="292" t="str">
        <f>IF(H542="",0,VLOOKUP(H542,'3-Productie normen'!$A$10:$N$23,14,FALSE))</f>
        <v>V</v>
      </c>
      <c r="AD542" s="296">
        <f t="shared" si="20"/>
        <v>2964</v>
      </c>
      <c r="AE542" s="78"/>
      <c r="AF542" s="253"/>
      <c r="AG542" s="253"/>
      <c r="AH542" s="253"/>
      <c r="AI542" s="253"/>
      <c r="AJ542" s="253"/>
      <c r="AK542" s="253"/>
      <c r="AL542" s="253"/>
      <c r="AM542" s="253"/>
      <c r="AN542" s="253"/>
      <c r="AO542" s="253"/>
    </row>
    <row r="543" spans="1:41" ht="15" customHeight="1">
      <c r="A543" s="254">
        <v>543</v>
      </c>
      <c r="B543" s="253">
        <v>604</v>
      </c>
      <c r="C543" s="240" t="s">
        <v>112</v>
      </c>
      <c r="D543" s="288" t="s">
        <v>634</v>
      </c>
      <c r="E543" s="289" t="s">
        <v>648</v>
      </c>
      <c r="F543" s="239" t="s">
        <v>743</v>
      </c>
      <c r="G543" s="290" t="s">
        <v>662</v>
      </c>
      <c r="H543" s="291" t="s">
        <v>149</v>
      </c>
      <c r="I543" s="239" t="s">
        <v>325</v>
      </c>
      <c r="J543" s="424">
        <f t="shared" si="19"/>
        <v>365</v>
      </c>
      <c r="K543" s="425">
        <v>255</v>
      </c>
      <c r="L543" s="425"/>
      <c r="M543" s="425">
        <v>102</v>
      </c>
      <c r="N543" s="425"/>
      <c r="O543" s="425">
        <v>8</v>
      </c>
      <c r="P543" s="425"/>
      <c r="Q543" s="294">
        <v>2</v>
      </c>
      <c r="R543" s="295" t="e">
        <f>IF(K543="nio",0,(K543*Q543)/X543)*VLOOKUP(C543,'2-Uren per locatie'!$B$15:$D$74,3,FALSE)</f>
        <v>#DIV/0!</v>
      </c>
      <c r="S543" s="295" t="e">
        <f>IF(K543="nio",0,(L543*Q543)/Y543)*VLOOKUP(C543,'2-Uren per locatie'!$B$15:$D$74,3,FALSE)</f>
        <v>#DIV/0!</v>
      </c>
      <c r="T543" s="295" t="e">
        <f>IF(K543="nio",0,(M543*Q543)/Z543)*VLOOKUP(C543,'2-Uren per locatie'!$B$15:$D$74,3,FALSE)</f>
        <v>#DIV/0!</v>
      </c>
      <c r="U543" s="295" t="e">
        <f>IF(K543="nio",0,(N543*Q543)/AA543)*VLOOKUP(C543,'2-Uren per locatie'!$B$15:$D$74,3,FALSE)</f>
        <v>#DIV/0!</v>
      </c>
      <c r="V543" s="295" t="e">
        <f>IF(K543="nio",0,(O543*Q543)/Z543)*VLOOKUP(C543,'2-Uren per locatie'!$B$15:$D$74,3,FALSE)</f>
        <v>#DIV/0!</v>
      </c>
      <c r="W543" s="295" t="e">
        <f>IF(K543="nio",0,(P543*Q543)/AA543)*VLOOKUP(C543,'2-Uren per locatie'!$B$15:$D$74,3,FALSE)</f>
        <v>#DIV/0!</v>
      </c>
      <c r="X543" s="485">
        <f>IF(K543="nio",0,IF(K543&gt;0,VLOOKUP(H543,'3-Productie normen'!A:F,VLOOKUP(K543,'3-Productie normen'!$B$29:$C$34,2,FALSE),FALSE)))</f>
        <v>0</v>
      </c>
      <c r="Y543" s="485">
        <f>VLOOKUP(H543,'3-Productie normen'!$A$10:$J$24,8,FALSE)*'3-Ruimtestaat'!X543</f>
        <v>0</v>
      </c>
      <c r="Z543" s="485">
        <f>VLOOKUP(H543,'3-Productie normen'!$A$10:$J$24,9,FALSE)*'3-Ruimtestaat'!X543</f>
        <v>0</v>
      </c>
      <c r="AA543" s="485">
        <f>VLOOKUP(H543,'3-Productie normen'!$A$10:$J$24,10,FALSE)*'3-Ruimtestaat'!X543</f>
        <v>0</v>
      </c>
      <c r="AB543" s="292" t="str">
        <f>IF(H543="",0,VLOOKUP(H543,'3-Productie normen'!$A$10:$N$23,14,FALSE))</f>
        <v>V</v>
      </c>
      <c r="AD543" s="296">
        <f t="shared" si="20"/>
        <v>730</v>
      </c>
      <c r="AE543" s="78"/>
      <c r="AF543" s="253"/>
      <c r="AG543" s="253"/>
      <c r="AH543" s="253"/>
      <c r="AI543" s="253"/>
      <c r="AJ543" s="253"/>
      <c r="AK543" s="253"/>
      <c r="AL543" s="253"/>
      <c r="AM543" s="253"/>
      <c r="AN543" s="253"/>
      <c r="AO543" s="253"/>
    </row>
    <row r="544" spans="1:41" ht="15" customHeight="1">
      <c r="A544" s="254">
        <v>544</v>
      </c>
      <c r="B544" s="253">
        <v>604</v>
      </c>
      <c r="C544" s="240" t="s">
        <v>112</v>
      </c>
      <c r="D544" s="288" t="s">
        <v>634</v>
      </c>
      <c r="E544" s="289" t="s">
        <v>648</v>
      </c>
      <c r="F544" s="239" t="s">
        <v>744</v>
      </c>
      <c r="G544" s="290" t="s">
        <v>745</v>
      </c>
      <c r="H544" s="291" t="s">
        <v>152</v>
      </c>
      <c r="I544" s="239" t="s">
        <v>402</v>
      </c>
      <c r="J544" s="424">
        <f t="shared" si="19"/>
        <v>365</v>
      </c>
      <c r="K544" s="425">
        <v>255</v>
      </c>
      <c r="L544" s="425"/>
      <c r="M544" s="425">
        <v>102</v>
      </c>
      <c r="N544" s="425"/>
      <c r="O544" s="425">
        <v>8</v>
      </c>
      <c r="P544" s="425"/>
      <c r="Q544" s="294">
        <v>195</v>
      </c>
      <c r="R544" s="295" t="e">
        <f>IF(K544="nio",0,(K544*Q544)/X544)*VLOOKUP(C544,'2-Uren per locatie'!$B$15:$D$74,3,FALSE)</f>
        <v>#DIV/0!</v>
      </c>
      <c r="S544" s="295" t="e">
        <f>IF(K544="nio",0,(L544*Q544)/Y544)*VLOOKUP(C544,'2-Uren per locatie'!$B$15:$D$74,3,FALSE)</f>
        <v>#DIV/0!</v>
      </c>
      <c r="T544" s="295" t="e">
        <f>IF(K544="nio",0,(M544*Q544)/Z544)*VLOOKUP(C544,'2-Uren per locatie'!$B$15:$D$74,3,FALSE)</f>
        <v>#DIV/0!</v>
      </c>
      <c r="U544" s="295" t="e">
        <f>IF(K544="nio",0,(N544*Q544)/AA544)*VLOOKUP(C544,'2-Uren per locatie'!$B$15:$D$74,3,FALSE)</f>
        <v>#DIV/0!</v>
      </c>
      <c r="V544" s="295" t="e">
        <f>IF(K544="nio",0,(O544*Q544)/Z544)*VLOOKUP(C544,'2-Uren per locatie'!$B$15:$D$74,3,FALSE)</f>
        <v>#DIV/0!</v>
      </c>
      <c r="W544" s="295" t="e">
        <f>IF(K544="nio",0,(P544*Q544)/AA544)*VLOOKUP(C544,'2-Uren per locatie'!$B$15:$D$74,3,FALSE)</f>
        <v>#DIV/0!</v>
      </c>
      <c r="X544" s="485">
        <f>IF(K544="nio",0,IF(K544&gt;0,VLOOKUP(H544,'3-Productie normen'!A:F,VLOOKUP(K544,'3-Productie normen'!$B$29:$C$34,2,FALSE),FALSE)))</f>
        <v>0</v>
      </c>
      <c r="Y544" s="485">
        <f>VLOOKUP(H544,'3-Productie normen'!$A$10:$J$24,8,FALSE)*'3-Ruimtestaat'!X544</f>
        <v>0</v>
      </c>
      <c r="Z544" s="485">
        <f>VLOOKUP(H544,'3-Productie normen'!$A$10:$J$24,9,FALSE)*'3-Ruimtestaat'!X544</f>
        <v>0</v>
      </c>
      <c r="AA544" s="485">
        <f>VLOOKUP(H544,'3-Productie normen'!$A$10:$J$24,10,FALSE)*'3-Ruimtestaat'!X544</f>
        <v>0</v>
      </c>
      <c r="AB544" s="292" t="str">
        <f>IF(H544="",0,VLOOKUP(H544,'3-Productie normen'!$A$10:$N$23,14,FALSE))</f>
        <v>V</v>
      </c>
      <c r="AD544" s="296">
        <f t="shared" si="20"/>
        <v>71175</v>
      </c>
      <c r="AE544" s="78"/>
      <c r="AF544" s="253"/>
      <c r="AG544" s="253"/>
      <c r="AH544" s="253"/>
      <c r="AI544" s="253"/>
      <c r="AJ544" s="253"/>
      <c r="AK544" s="253"/>
      <c r="AL544" s="253"/>
      <c r="AM544" s="253"/>
      <c r="AN544" s="253"/>
      <c r="AO544" s="253"/>
    </row>
    <row r="545" spans="1:41" ht="15" customHeight="1">
      <c r="A545" s="254">
        <v>545</v>
      </c>
      <c r="B545" s="253">
        <v>604</v>
      </c>
      <c r="C545" s="240" t="s">
        <v>112</v>
      </c>
      <c r="D545" s="288" t="s">
        <v>634</v>
      </c>
      <c r="E545" s="289" t="s">
        <v>705</v>
      </c>
      <c r="F545" s="239" t="s">
        <v>249</v>
      </c>
      <c r="G545" s="290" t="s">
        <v>746</v>
      </c>
      <c r="H545" s="291" t="s">
        <v>151</v>
      </c>
      <c r="I545" s="239" t="s">
        <v>637</v>
      </c>
      <c r="J545" s="424">
        <f t="shared" si="19"/>
        <v>365</v>
      </c>
      <c r="K545" s="425">
        <v>255</v>
      </c>
      <c r="L545" s="425"/>
      <c r="M545" s="425">
        <v>102</v>
      </c>
      <c r="N545" s="425"/>
      <c r="O545" s="425">
        <v>8</v>
      </c>
      <c r="P545" s="425"/>
      <c r="Q545" s="294">
        <v>1620</v>
      </c>
      <c r="R545" s="295" t="e">
        <f>IF(K545="nio",0,(K545*Q545)/X545)*VLOOKUP(C545,'2-Uren per locatie'!$B$15:$D$74,3,FALSE)</f>
        <v>#DIV/0!</v>
      </c>
      <c r="S545" s="295" t="e">
        <f>IF(K545="nio",0,(L545*Q545)/Y545)*VLOOKUP(C545,'2-Uren per locatie'!$B$15:$D$74,3,FALSE)</f>
        <v>#DIV/0!</v>
      </c>
      <c r="T545" s="295" t="e">
        <f>IF(K545="nio",0,(M545*Q545)/Z545)*VLOOKUP(C545,'2-Uren per locatie'!$B$15:$D$74,3,FALSE)</f>
        <v>#DIV/0!</v>
      </c>
      <c r="U545" s="295" t="e">
        <f>IF(K545="nio",0,(N545*Q545)/AA545)*VLOOKUP(C545,'2-Uren per locatie'!$B$15:$D$74,3,FALSE)</f>
        <v>#DIV/0!</v>
      </c>
      <c r="V545" s="295" t="e">
        <f>IF(K545="nio",0,(O545*Q545)/Z545)*VLOOKUP(C545,'2-Uren per locatie'!$B$15:$D$74,3,FALSE)</f>
        <v>#DIV/0!</v>
      </c>
      <c r="W545" s="295" t="e">
        <f>IF(K545="nio",0,(P545*Q545)/AA545)*VLOOKUP(C545,'2-Uren per locatie'!$B$15:$D$74,3,FALSE)</f>
        <v>#DIV/0!</v>
      </c>
      <c r="X545" s="485">
        <f>IF(K545="nio",0,IF(K545&gt;0,VLOOKUP(H545,'3-Productie normen'!A:F,VLOOKUP(K545,'3-Productie normen'!$B$29:$C$34,2,FALSE),FALSE)))</f>
        <v>0</v>
      </c>
      <c r="Y545" s="485">
        <f>VLOOKUP(H545,'3-Productie normen'!$A$10:$J$24,8,FALSE)*'3-Ruimtestaat'!X545</f>
        <v>0</v>
      </c>
      <c r="Z545" s="485">
        <f>VLOOKUP(H545,'3-Productie normen'!$A$10:$J$24,9,FALSE)*'3-Ruimtestaat'!X545</f>
        <v>0</v>
      </c>
      <c r="AA545" s="485">
        <f>VLOOKUP(H545,'3-Productie normen'!$A$10:$J$24,10,FALSE)*'3-Ruimtestaat'!X545</f>
        <v>0</v>
      </c>
      <c r="AB545" s="292" t="str">
        <f>IF(H545="",0,VLOOKUP(H545,'3-Productie normen'!$A$10:$N$23,14,FALSE))</f>
        <v>V</v>
      </c>
      <c r="AD545" s="296">
        <f t="shared" si="20"/>
        <v>591300</v>
      </c>
      <c r="AE545" s="78"/>
      <c r="AF545" s="253"/>
      <c r="AG545" s="253"/>
      <c r="AH545" s="253"/>
      <c r="AI545" s="253"/>
      <c r="AJ545" s="253"/>
      <c r="AK545" s="253"/>
      <c r="AL545" s="253"/>
      <c r="AM545" s="253"/>
      <c r="AN545" s="253"/>
      <c r="AO545" s="253"/>
    </row>
    <row r="546" spans="1:41" ht="15" customHeight="1">
      <c r="A546" s="254">
        <v>546</v>
      </c>
      <c r="B546" s="253">
        <v>604</v>
      </c>
      <c r="C546" s="240" t="s">
        <v>112</v>
      </c>
      <c r="D546" s="288" t="s">
        <v>634</v>
      </c>
      <c r="E546" s="289" t="s">
        <v>705</v>
      </c>
      <c r="F546" s="239" t="s">
        <v>231</v>
      </c>
      <c r="G546" s="290" t="s">
        <v>747</v>
      </c>
      <c r="H546" s="291" t="s">
        <v>153</v>
      </c>
      <c r="I546" s="239" t="s">
        <v>325</v>
      </c>
      <c r="J546" s="424">
        <f t="shared" si="19"/>
        <v>365</v>
      </c>
      <c r="K546" s="425">
        <v>255</v>
      </c>
      <c r="L546" s="425"/>
      <c r="M546" s="425">
        <v>102</v>
      </c>
      <c r="N546" s="425"/>
      <c r="O546" s="425">
        <v>8</v>
      </c>
      <c r="P546" s="425"/>
      <c r="Q546" s="294">
        <v>2.4</v>
      </c>
      <c r="R546" s="295" t="e">
        <f>IF(K546="nio",0,(K546*Q546)/X546)*VLOOKUP(C546,'2-Uren per locatie'!$B$15:$D$74,3,FALSE)</f>
        <v>#DIV/0!</v>
      </c>
      <c r="S546" s="295" t="e">
        <f>IF(K546="nio",0,(L546*Q546)/Y546)*VLOOKUP(C546,'2-Uren per locatie'!$B$15:$D$74,3,FALSE)</f>
        <v>#DIV/0!</v>
      </c>
      <c r="T546" s="295" t="e">
        <f>IF(K546="nio",0,(M546*Q546)/Z546)*VLOOKUP(C546,'2-Uren per locatie'!$B$15:$D$74,3,FALSE)</f>
        <v>#DIV/0!</v>
      </c>
      <c r="U546" s="295" t="e">
        <f>IF(K546="nio",0,(N546*Q546)/AA546)*VLOOKUP(C546,'2-Uren per locatie'!$B$15:$D$74,3,FALSE)</f>
        <v>#DIV/0!</v>
      </c>
      <c r="V546" s="295" t="e">
        <f>IF(K546="nio",0,(O546*Q546)/Z546)*VLOOKUP(C546,'2-Uren per locatie'!$B$15:$D$74,3,FALSE)</f>
        <v>#DIV/0!</v>
      </c>
      <c r="W546" s="295" t="e">
        <f>IF(K546="nio",0,(P546*Q546)/AA546)*VLOOKUP(C546,'2-Uren per locatie'!$B$15:$D$74,3,FALSE)</f>
        <v>#DIV/0!</v>
      </c>
      <c r="X546" s="485">
        <f>IF(K546="nio",0,IF(K546&gt;0,VLOOKUP(H546,'3-Productie normen'!A:F,VLOOKUP(K546,'3-Productie normen'!$B$29:$C$34,2,FALSE),FALSE)))</f>
        <v>0</v>
      </c>
      <c r="Y546" s="485">
        <f>VLOOKUP(H546,'3-Productie normen'!$A$10:$J$24,8,FALSE)*'3-Ruimtestaat'!X546</f>
        <v>0</v>
      </c>
      <c r="Z546" s="485">
        <f>VLOOKUP(H546,'3-Productie normen'!$A$10:$J$24,9,FALSE)*'3-Ruimtestaat'!X546</f>
        <v>0</v>
      </c>
      <c r="AA546" s="485">
        <f>VLOOKUP(H546,'3-Productie normen'!$A$10:$J$24,10,FALSE)*'3-Ruimtestaat'!X546</f>
        <v>0</v>
      </c>
      <c r="AB546" s="292" t="str">
        <f>IF(H546="",0,VLOOKUP(H546,'3-Productie normen'!$A$10:$N$23,14,FALSE))</f>
        <v>S</v>
      </c>
      <c r="AD546" s="296">
        <f t="shared" si="20"/>
        <v>876</v>
      </c>
      <c r="AE546" s="78"/>
      <c r="AF546" s="253"/>
      <c r="AG546" s="253"/>
      <c r="AH546" s="253"/>
      <c r="AI546" s="253"/>
      <c r="AJ546" s="253"/>
      <c r="AK546" s="253"/>
      <c r="AL546" s="253"/>
      <c r="AM546" s="253"/>
      <c r="AN546" s="253"/>
      <c r="AO546" s="253"/>
    </row>
    <row r="547" spans="1:41" ht="15" customHeight="1">
      <c r="A547" s="254">
        <v>547</v>
      </c>
      <c r="B547" s="253">
        <v>605</v>
      </c>
      <c r="C547" s="240" t="s">
        <v>113</v>
      </c>
      <c r="D547" s="288" t="s">
        <v>634</v>
      </c>
      <c r="E547" s="289" t="s">
        <v>748</v>
      </c>
      <c r="F547" s="239" t="s">
        <v>749</v>
      </c>
      <c r="G547" s="290" t="s">
        <v>750</v>
      </c>
      <c r="H547" s="291" t="s">
        <v>152</v>
      </c>
      <c r="I547" s="239" t="s">
        <v>402</v>
      </c>
      <c r="J547" s="424">
        <f t="shared" si="19"/>
        <v>365</v>
      </c>
      <c r="K547" s="425">
        <v>255</v>
      </c>
      <c r="L547" s="425"/>
      <c r="M547" s="425">
        <v>102</v>
      </c>
      <c r="N547" s="425"/>
      <c r="O547" s="425">
        <v>8</v>
      </c>
      <c r="P547" s="425"/>
      <c r="Q547" s="294">
        <v>58.5</v>
      </c>
      <c r="R547" s="295" t="e">
        <f>IF(K547="nio",0,(K547*Q547)/X547)*VLOOKUP(C547,'2-Uren per locatie'!$B$15:$D$74,3,FALSE)</f>
        <v>#DIV/0!</v>
      </c>
      <c r="S547" s="295" t="e">
        <f>IF(K547="nio",0,(L547*Q547)/Y547)*VLOOKUP(C547,'2-Uren per locatie'!$B$15:$D$74,3,FALSE)</f>
        <v>#DIV/0!</v>
      </c>
      <c r="T547" s="295" t="e">
        <f>IF(K547="nio",0,(M547*Q547)/Z547)*VLOOKUP(C547,'2-Uren per locatie'!$B$15:$D$74,3,FALSE)</f>
        <v>#DIV/0!</v>
      </c>
      <c r="U547" s="295" t="e">
        <f>IF(K547="nio",0,(N547*Q547)/AA547)*VLOOKUP(C547,'2-Uren per locatie'!$B$15:$D$74,3,FALSE)</f>
        <v>#DIV/0!</v>
      </c>
      <c r="V547" s="295" t="e">
        <f>IF(K547="nio",0,(O547*Q547)/Z547)*VLOOKUP(C547,'2-Uren per locatie'!$B$15:$D$74,3,FALSE)</f>
        <v>#DIV/0!</v>
      </c>
      <c r="W547" s="295" t="e">
        <f>IF(K547="nio",0,(P547*Q547)/AA547)*VLOOKUP(C547,'2-Uren per locatie'!$B$15:$D$74,3,FALSE)</f>
        <v>#DIV/0!</v>
      </c>
      <c r="X547" s="485">
        <f>IF(K547="nio",0,IF(K547&gt;0,VLOOKUP(H547,'3-Productie normen'!A:F,VLOOKUP(K547,'3-Productie normen'!$B$29:$C$34,2,FALSE),FALSE)))</f>
        <v>0</v>
      </c>
      <c r="Y547" s="485">
        <f>VLOOKUP(H547,'3-Productie normen'!$A$10:$J$24,8,FALSE)*'3-Ruimtestaat'!X547</f>
        <v>0</v>
      </c>
      <c r="Z547" s="485">
        <f>VLOOKUP(H547,'3-Productie normen'!$A$10:$J$24,9,FALSE)*'3-Ruimtestaat'!X547</f>
        <v>0</v>
      </c>
      <c r="AA547" s="485">
        <f>VLOOKUP(H547,'3-Productie normen'!$A$10:$J$24,10,FALSE)*'3-Ruimtestaat'!X547</f>
        <v>0</v>
      </c>
      <c r="AB547" s="292" t="str">
        <f>IF(H547="",0,VLOOKUP(H547,'3-Productie normen'!$A$10:$N$23,14,FALSE))</f>
        <v>V</v>
      </c>
      <c r="AD547" s="296">
        <f t="shared" si="20"/>
        <v>21352.5</v>
      </c>
      <c r="AE547" s="78"/>
      <c r="AF547" s="253"/>
      <c r="AG547" s="253"/>
      <c r="AH547" s="253"/>
      <c r="AI547" s="253"/>
      <c r="AJ547" s="253"/>
      <c r="AK547" s="253"/>
      <c r="AL547" s="253"/>
      <c r="AM547" s="253"/>
      <c r="AN547" s="253"/>
      <c r="AO547" s="253"/>
    </row>
    <row r="548" spans="1:41" ht="15" customHeight="1">
      <c r="A548" s="254">
        <v>548</v>
      </c>
      <c r="B548" s="253">
        <v>605</v>
      </c>
      <c r="C548" s="240" t="s">
        <v>113</v>
      </c>
      <c r="D548" s="288" t="s">
        <v>634</v>
      </c>
      <c r="E548" s="289" t="s">
        <v>748</v>
      </c>
      <c r="F548" s="239" t="s">
        <v>751</v>
      </c>
      <c r="G548" s="290" t="s">
        <v>752</v>
      </c>
      <c r="H548" s="291" t="s">
        <v>152</v>
      </c>
      <c r="I548" s="239" t="s">
        <v>402</v>
      </c>
      <c r="J548" s="424">
        <f t="shared" si="19"/>
        <v>365</v>
      </c>
      <c r="K548" s="425">
        <v>255</v>
      </c>
      <c r="L548" s="425"/>
      <c r="M548" s="425">
        <v>102</v>
      </c>
      <c r="N548" s="425"/>
      <c r="O548" s="425">
        <v>8</v>
      </c>
      <c r="P548" s="425"/>
      <c r="Q548" s="294">
        <v>186</v>
      </c>
      <c r="R548" s="295" t="e">
        <f>IF(K548="nio",0,(K548*Q548)/X548)*VLOOKUP(C548,'2-Uren per locatie'!$B$15:$D$74,3,FALSE)</f>
        <v>#DIV/0!</v>
      </c>
      <c r="S548" s="295" t="e">
        <f>IF(K548="nio",0,(L548*Q548)/Y548)*VLOOKUP(C548,'2-Uren per locatie'!$B$15:$D$74,3,FALSE)</f>
        <v>#DIV/0!</v>
      </c>
      <c r="T548" s="295" t="e">
        <f>IF(K548="nio",0,(M548*Q548)/Z548)*VLOOKUP(C548,'2-Uren per locatie'!$B$15:$D$74,3,FALSE)</f>
        <v>#DIV/0!</v>
      </c>
      <c r="U548" s="295" t="e">
        <f>IF(K548="nio",0,(N548*Q548)/AA548)*VLOOKUP(C548,'2-Uren per locatie'!$B$15:$D$74,3,FALSE)</f>
        <v>#DIV/0!</v>
      </c>
      <c r="V548" s="295" t="e">
        <f>IF(K548="nio",0,(O548*Q548)/Z548)*VLOOKUP(C548,'2-Uren per locatie'!$B$15:$D$74,3,FALSE)</f>
        <v>#DIV/0!</v>
      </c>
      <c r="W548" s="295" t="e">
        <f>IF(K548="nio",0,(P548*Q548)/AA548)*VLOOKUP(C548,'2-Uren per locatie'!$B$15:$D$74,3,FALSE)</f>
        <v>#DIV/0!</v>
      </c>
      <c r="X548" s="485">
        <f>IF(K548="nio",0,IF(K548&gt;0,VLOOKUP(H548,'3-Productie normen'!A:F,VLOOKUP(K548,'3-Productie normen'!$B$29:$C$34,2,FALSE),FALSE)))</f>
        <v>0</v>
      </c>
      <c r="Y548" s="485">
        <f>VLOOKUP(H548,'3-Productie normen'!$A$10:$J$24,8,FALSE)*'3-Ruimtestaat'!X548</f>
        <v>0</v>
      </c>
      <c r="Z548" s="485">
        <f>VLOOKUP(H548,'3-Productie normen'!$A$10:$J$24,9,FALSE)*'3-Ruimtestaat'!X548</f>
        <v>0</v>
      </c>
      <c r="AA548" s="485">
        <f>VLOOKUP(H548,'3-Productie normen'!$A$10:$J$24,10,FALSE)*'3-Ruimtestaat'!X548</f>
        <v>0</v>
      </c>
      <c r="AB548" s="292" t="str">
        <f>IF(H548="",0,VLOOKUP(H548,'3-Productie normen'!$A$10:$N$23,14,FALSE))</f>
        <v>V</v>
      </c>
      <c r="AD548" s="296">
        <f t="shared" si="20"/>
        <v>67890</v>
      </c>
      <c r="AE548" s="78"/>
      <c r="AF548" s="253"/>
      <c r="AG548" s="253"/>
      <c r="AH548" s="253"/>
      <c r="AI548" s="253"/>
      <c r="AJ548" s="253"/>
      <c r="AK548" s="253"/>
      <c r="AL548" s="253"/>
      <c r="AM548" s="253"/>
      <c r="AN548" s="253"/>
      <c r="AO548" s="253"/>
    </row>
    <row r="549" spans="1:41" ht="15" customHeight="1">
      <c r="A549" s="254">
        <v>549</v>
      </c>
      <c r="B549" s="253">
        <v>605</v>
      </c>
      <c r="C549" s="240" t="s">
        <v>113</v>
      </c>
      <c r="D549" s="288" t="s">
        <v>634</v>
      </c>
      <c r="E549" s="289" t="s">
        <v>748</v>
      </c>
      <c r="F549" s="239" t="s">
        <v>753</v>
      </c>
      <c r="G549" s="290" t="s">
        <v>754</v>
      </c>
      <c r="H549" s="291" t="s">
        <v>145</v>
      </c>
      <c r="I549" s="239" t="s">
        <v>637</v>
      </c>
      <c r="J549" s="424">
        <f t="shared" si="19"/>
        <v>365</v>
      </c>
      <c r="K549" s="425">
        <v>255</v>
      </c>
      <c r="L549" s="425"/>
      <c r="M549" s="425">
        <v>102</v>
      </c>
      <c r="N549" s="425"/>
      <c r="O549" s="425">
        <v>8</v>
      </c>
      <c r="P549" s="425"/>
      <c r="Q549" s="294">
        <v>37.4</v>
      </c>
      <c r="R549" s="295" t="e">
        <f>IF(K549="nio",0,(K549*Q549)/X549)*VLOOKUP(C549,'2-Uren per locatie'!$B$15:$D$74,3,FALSE)</f>
        <v>#DIV/0!</v>
      </c>
      <c r="S549" s="295" t="e">
        <f>IF(K549="nio",0,(L549*Q549)/Y549)*VLOOKUP(C549,'2-Uren per locatie'!$B$15:$D$74,3,FALSE)</f>
        <v>#DIV/0!</v>
      </c>
      <c r="T549" s="295" t="e">
        <f>IF(K549="nio",0,(M549*Q549)/Z549)*VLOOKUP(C549,'2-Uren per locatie'!$B$15:$D$74,3,FALSE)</f>
        <v>#DIV/0!</v>
      </c>
      <c r="U549" s="295" t="e">
        <f>IF(K549="nio",0,(N549*Q549)/AA549)*VLOOKUP(C549,'2-Uren per locatie'!$B$15:$D$74,3,FALSE)</f>
        <v>#DIV/0!</v>
      </c>
      <c r="V549" s="295" t="e">
        <f>IF(K549="nio",0,(O549*Q549)/Z549)*VLOOKUP(C549,'2-Uren per locatie'!$B$15:$D$74,3,FALSE)</f>
        <v>#DIV/0!</v>
      </c>
      <c r="W549" s="295" t="e">
        <f>IF(K549="nio",0,(P549*Q549)/AA549)*VLOOKUP(C549,'2-Uren per locatie'!$B$15:$D$74,3,FALSE)</f>
        <v>#DIV/0!</v>
      </c>
      <c r="X549" s="485">
        <f>IF(K549="nio",0,IF(K549&gt;0,VLOOKUP(H549,'3-Productie normen'!A:F,VLOOKUP(K549,'3-Productie normen'!$B$29:$C$34,2,FALSE),FALSE)))</f>
        <v>0</v>
      </c>
      <c r="Y549" s="485">
        <f>VLOOKUP(H549,'3-Productie normen'!$A$10:$J$24,8,FALSE)*'3-Ruimtestaat'!X549</f>
        <v>0</v>
      </c>
      <c r="Z549" s="485">
        <f>VLOOKUP(H549,'3-Productie normen'!$A$10:$J$24,9,FALSE)*'3-Ruimtestaat'!X549</f>
        <v>0</v>
      </c>
      <c r="AA549" s="485">
        <f>VLOOKUP(H549,'3-Productie normen'!$A$10:$J$24,10,FALSE)*'3-Ruimtestaat'!X549</f>
        <v>0</v>
      </c>
      <c r="AB549" s="292" t="str">
        <f>IF(H549="",0,VLOOKUP(H549,'3-Productie normen'!$A$10:$N$23,14,FALSE))</f>
        <v>V</v>
      </c>
      <c r="AD549" s="296">
        <f t="shared" si="20"/>
        <v>13651</v>
      </c>
      <c r="AE549" s="78"/>
      <c r="AF549" s="253"/>
      <c r="AG549" s="253"/>
      <c r="AH549" s="253"/>
      <c r="AI549" s="253"/>
      <c r="AJ549" s="253"/>
      <c r="AK549" s="253"/>
      <c r="AL549" s="253"/>
      <c r="AM549" s="253"/>
      <c r="AN549" s="253"/>
      <c r="AO549" s="253"/>
    </row>
    <row r="550" spans="1:41" ht="15" customHeight="1">
      <c r="A550" s="254">
        <v>550</v>
      </c>
      <c r="B550" s="253">
        <v>605</v>
      </c>
      <c r="C550" s="240" t="s">
        <v>113</v>
      </c>
      <c r="D550" s="288" t="s">
        <v>634</v>
      </c>
      <c r="E550" s="289" t="s">
        <v>755</v>
      </c>
      <c r="F550" s="239" t="s">
        <v>756</v>
      </c>
      <c r="G550" s="290" t="s">
        <v>757</v>
      </c>
      <c r="H550" s="291" t="s">
        <v>152</v>
      </c>
      <c r="I550" s="239" t="s">
        <v>402</v>
      </c>
      <c r="J550" s="424">
        <f t="shared" si="19"/>
        <v>365</v>
      </c>
      <c r="K550" s="425">
        <v>255</v>
      </c>
      <c r="L550" s="425"/>
      <c r="M550" s="425">
        <v>102</v>
      </c>
      <c r="N550" s="425"/>
      <c r="O550" s="425">
        <v>8</v>
      </c>
      <c r="P550" s="425"/>
      <c r="Q550" s="294">
        <v>90</v>
      </c>
      <c r="R550" s="295" t="e">
        <f>IF(K550="nio",0,(K550*Q550)/X550)*VLOOKUP(C550,'2-Uren per locatie'!$B$15:$D$74,3,FALSE)</f>
        <v>#DIV/0!</v>
      </c>
      <c r="S550" s="295" t="e">
        <f>IF(K550="nio",0,(L550*Q550)/Y550)*VLOOKUP(C550,'2-Uren per locatie'!$B$15:$D$74,3,FALSE)</f>
        <v>#DIV/0!</v>
      </c>
      <c r="T550" s="295" t="e">
        <f>IF(K550="nio",0,(M550*Q550)/Z550)*VLOOKUP(C550,'2-Uren per locatie'!$B$15:$D$74,3,FALSE)</f>
        <v>#DIV/0!</v>
      </c>
      <c r="U550" s="295" t="e">
        <f>IF(K550="nio",0,(N550*Q550)/AA550)*VLOOKUP(C550,'2-Uren per locatie'!$B$15:$D$74,3,FALSE)</f>
        <v>#DIV/0!</v>
      </c>
      <c r="V550" s="295" t="e">
        <f>IF(K550="nio",0,(O550*Q550)/Z550)*VLOOKUP(C550,'2-Uren per locatie'!$B$15:$D$74,3,FALSE)</f>
        <v>#DIV/0!</v>
      </c>
      <c r="W550" s="295" t="e">
        <f>IF(K550="nio",0,(P550*Q550)/AA550)*VLOOKUP(C550,'2-Uren per locatie'!$B$15:$D$74,3,FALSE)</f>
        <v>#DIV/0!</v>
      </c>
      <c r="X550" s="485">
        <f>IF(K550="nio",0,IF(K550&gt;0,VLOOKUP(H550,'3-Productie normen'!A:F,VLOOKUP(K550,'3-Productie normen'!$B$29:$C$34,2,FALSE),FALSE)))</f>
        <v>0</v>
      </c>
      <c r="Y550" s="485">
        <f>VLOOKUP(H550,'3-Productie normen'!$A$10:$J$24,8,FALSE)*'3-Ruimtestaat'!X550</f>
        <v>0</v>
      </c>
      <c r="Z550" s="485">
        <f>VLOOKUP(H550,'3-Productie normen'!$A$10:$J$24,9,FALSE)*'3-Ruimtestaat'!X550</f>
        <v>0</v>
      </c>
      <c r="AA550" s="485">
        <f>VLOOKUP(H550,'3-Productie normen'!$A$10:$J$24,10,FALSE)*'3-Ruimtestaat'!X550</f>
        <v>0</v>
      </c>
      <c r="AB550" s="292" t="str">
        <f>IF(H550="",0,VLOOKUP(H550,'3-Productie normen'!$A$10:$N$23,14,FALSE))</f>
        <v>V</v>
      </c>
      <c r="AD550" s="296">
        <f t="shared" si="20"/>
        <v>32850</v>
      </c>
      <c r="AE550" s="78"/>
      <c r="AF550" s="253"/>
      <c r="AG550" s="253"/>
      <c r="AH550" s="253"/>
      <c r="AI550" s="253"/>
      <c r="AJ550" s="253"/>
      <c r="AK550" s="253"/>
      <c r="AL550" s="253"/>
      <c r="AM550" s="253"/>
      <c r="AN550" s="253"/>
      <c r="AO550" s="253"/>
    </row>
    <row r="551" spans="1:41" ht="15" customHeight="1">
      <c r="A551" s="254">
        <v>551</v>
      </c>
      <c r="B551" s="253">
        <v>605</v>
      </c>
      <c r="C551" s="240" t="s">
        <v>113</v>
      </c>
      <c r="D551" s="288" t="s">
        <v>634</v>
      </c>
      <c r="E551" s="289" t="s">
        <v>755</v>
      </c>
      <c r="F551" s="239" t="s">
        <v>758</v>
      </c>
      <c r="G551" s="290" t="s">
        <v>641</v>
      </c>
      <c r="H551" s="291" t="s">
        <v>155</v>
      </c>
      <c r="I551" s="239" t="s">
        <v>325</v>
      </c>
      <c r="J551" s="424">
        <f t="shared" si="19"/>
        <v>365</v>
      </c>
      <c r="K551" s="425">
        <v>255</v>
      </c>
      <c r="L551" s="425"/>
      <c r="M551" s="425">
        <v>102</v>
      </c>
      <c r="N551" s="425"/>
      <c r="O551" s="425">
        <v>8</v>
      </c>
      <c r="P551" s="425"/>
      <c r="Q551" s="294">
        <v>94</v>
      </c>
      <c r="R551" s="295" t="e">
        <f>IF(K551="nio",0,(K551*Q551)/X551)*VLOOKUP(C551,'2-Uren per locatie'!$B$15:$D$74,3,FALSE)</f>
        <v>#DIV/0!</v>
      </c>
      <c r="S551" s="295" t="e">
        <f>IF(K551="nio",0,(L551*Q551)/Y551)*VLOOKUP(C551,'2-Uren per locatie'!$B$15:$D$74,3,FALSE)</f>
        <v>#DIV/0!</v>
      </c>
      <c r="T551" s="295" t="e">
        <f>IF(K551="nio",0,(M551*Q551)/Z551)*VLOOKUP(C551,'2-Uren per locatie'!$B$15:$D$74,3,FALSE)</f>
        <v>#DIV/0!</v>
      </c>
      <c r="U551" s="295" t="e">
        <f>IF(K551="nio",0,(N551*Q551)/AA551)*VLOOKUP(C551,'2-Uren per locatie'!$B$15:$D$74,3,FALSE)</f>
        <v>#DIV/0!</v>
      </c>
      <c r="V551" s="295" t="e">
        <f>IF(K551="nio",0,(O551*Q551)/Z551)*VLOOKUP(C551,'2-Uren per locatie'!$B$15:$D$74,3,FALSE)</f>
        <v>#DIV/0!</v>
      </c>
      <c r="W551" s="295" t="e">
        <f>IF(K551="nio",0,(P551*Q551)/AA551)*VLOOKUP(C551,'2-Uren per locatie'!$B$15:$D$74,3,FALSE)</f>
        <v>#DIV/0!</v>
      </c>
      <c r="X551" s="485">
        <f>IF(K551="nio",0,IF(K551&gt;0,VLOOKUP(H551,'3-Productie normen'!A:F,VLOOKUP(K551,'3-Productie normen'!$B$29:$C$34,2,FALSE),FALSE)))</f>
        <v>0</v>
      </c>
      <c r="Y551" s="485">
        <f>VLOOKUP(H551,'3-Productie normen'!$A$10:$J$24,8,FALSE)*'3-Ruimtestaat'!X551</f>
        <v>0</v>
      </c>
      <c r="Z551" s="485">
        <f>VLOOKUP(H551,'3-Productie normen'!$A$10:$J$24,9,FALSE)*'3-Ruimtestaat'!X551</f>
        <v>0</v>
      </c>
      <c r="AA551" s="485">
        <f>VLOOKUP(H551,'3-Productie normen'!$A$10:$J$24,10,FALSE)*'3-Ruimtestaat'!X551</f>
        <v>0</v>
      </c>
      <c r="AB551" s="292" t="str">
        <f>IF(H551="",0,VLOOKUP(H551,'3-Productie normen'!$A$10:$N$23,14,FALSE))</f>
        <v>V</v>
      </c>
      <c r="AD551" s="296">
        <f t="shared" si="20"/>
        <v>34310</v>
      </c>
      <c r="AE551" s="78"/>
      <c r="AF551" s="253"/>
      <c r="AG551" s="253"/>
      <c r="AH551" s="253"/>
      <c r="AI551" s="253"/>
      <c r="AJ551" s="253"/>
      <c r="AK551" s="253"/>
      <c r="AL551" s="253"/>
      <c r="AM551" s="253"/>
      <c r="AN551" s="253"/>
      <c r="AO551" s="253"/>
    </row>
    <row r="552" spans="1:41" ht="15" customHeight="1">
      <c r="A552" s="254">
        <v>552</v>
      </c>
      <c r="B552" s="253">
        <v>605</v>
      </c>
      <c r="C552" s="240" t="s">
        <v>113</v>
      </c>
      <c r="D552" s="288" t="s">
        <v>634</v>
      </c>
      <c r="E552" s="289" t="s">
        <v>755</v>
      </c>
      <c r="F552" s="239" t="s">
        <v>759</v>
      </c>
      <c r="G552" s="290" t="s">
        <v>708</v>
      </c>
      <c r="H552" s="291" t="s">
        <v>152</v>
      </c>
      <c r="I552" s="239" t="s">
        <v>402</v>
      </c>
      <c r="J552" s="424">
        <f t="shared" si="19"/>
        <v>365</v>
      </c>
      <c r="K552" s="425">
        <v>255</v>
      </c>
      <c r="L552" s="425"/>
      <c r="M552" s="425">
        <v>102</v>
      </c>
      <c r="N552" s="425"/>
      <c r="O552" s="425">
        <v>8</v>
      </c>
      <c r="P552" s="425"/>
      <c r="Q552" s="294">
        <v>86</v>
      </c>
      <c r="R552" s="295" t="e">
        <f>IF(K552="nio",0,(K552*Q552)/X552)*VLOOKUP(C552,'2-Uren per locatie'!$B$15:$D$74,3,FALSE)</f>
        <v>#DIV/0!</v>
      </c>
      <c r="S552" s="295" t="e">
        <f>IF(K552="nio",0,(L552*Q552)/Y552)*VLOOKUP(C552,'2-Uren per locatie'!$B$15:$D$74,3,FALSE)</f>
        <v>#DIV/0!</v>
      </c>
      <c r="T552" s="295" t="e">
        <f>IF(K552="nio",0,(M552*Q552)/Z552)*VLOOKUP(C552,'2-Uren per locatie'!$B$15:$D$74,3,FALSE)</f>
        <v>#DIV/0!</v>
      </c>
      <c r="U552" s="295" t="e">
        <f>IF(K552="nio",0,(N552*Q552)/AA552)*VLOOKUP(C552,'2-Uren per locatie'!$B$15:$D$74,3,FALSE)</f>
        <v>#DIV/0!</v>
      </c>
      <c r="V552" s="295" t="e">
        <f>IF(K552="nio",0,(O552*Q552)/Z552)*VLOOKUP(C552,'2-Uren per locatie'!$B$15:$D$74,3,FALSE)</f>
        <v>#DIV/0!</v>
      </c>
      <c r="W552" s="295" t="e">
        <f>IF(K552="nio",0,(P552*Q552)/AA552)*VLOOKUP(C552,'2-Uren per locatie'!$B$15:$D$74,3,FALSE)</f>
        <v>#DIV/0!</v>
      </c>
      <c r="X552" s="485">
        <f>IF(K552="nio",0,IF(K552&gt;0,VLOOKUP(H552,'3-Productie normen'!A:F,VLOOKUP(K552,'3-Productie normen'!$B$29:$C$34,2,FALSE),FALSE)))</f>
        <v>0</v>
      </c>
      <c r="Y552" s="485">
        <f>VLOOKUP(H552,'3-Productie normen'!$A$10:$J$24,8,FALSE)*'3-Ruimtestaat'!X552</f>
        <v>0</v>
      </c>
      <c r="Z552" s="485">
        <f>VLOOKUP(H552,'3-Productie normen'!$A$10:$J$24,9,FALSE)*'3-Ruimtestaat'!X552</f>
        <v>0</v>
      </c>
      <c r="AA552" s="485">
        <f>VLOOKUP(H552,'3-Productie normen'!$A$10:$J$24,10,FALSE)*'3-Ruimtestaat'!X552</f>
        <v>0</v>
      </c>
      <c r="AB552" s="292" t="str">
        <f>IF(H552="",0,VLOOKUP(H552,'3-Productie normen'!$A$10:$N$23,14,FALSE))</f>
        <v>V</v>
      </c>
      <c r="AD552" s="296">
        <f t="shared" si="20"/>
        <v>31390</v>
      </c>
      <c r="AE552" s="78"/>
      <c r="AF552" s="253"/>
      <c r="AG552" s="253"/>
      <c r="AH552" s="253"/>
      <c r="AI552" s="253"/>
      <c r="AJ552" s="253"/>
      <c r="AK552" s="253"/>
      <c r="AL552" s="253"/>
      <c r="AM552" s="253"/>
      <c r="AN552" s="253"/>
      <c r="AO552" s="253"/>
    </row>
    <row r="553" spans="1:41" ht="15" customHeight="1">
      <c r="A553" s="254">
        <v>553</v>
      </c>
      <c r="B553" s="253">
        <v>605</v>
      </c>
      <c r="C553" s="240" t="s">
        <v>113</v>
      </c>
      <c r="D553" s="288" t="s">
        <v>634</v>
      </c>
      <c r="E553" s="289" t="s">
        <v>755</v>
      </c>
      <c r="F553" s="239" t="s">
        <v>760</v>
      </c>
      <c r="G553" s="290" t="s">
        <v>647</v>
      </c>
      <c r="H553" s="291" t="s">
        <v>149</v>
      </c>
      <c r="I553" s="239" t="s">
        <v>402</v>
      </c>
      <c r="J553" s="424">
        <f t="shared" si="19"/>
        <v>365</v>
      </c>
      <c r="K553" s="425">
        <v>255</v>
      </c>
      <c r="L553" s="425"/>
      <c r="M553" s="425">
        <v>102</v>
      </c>
      <c r="N553" s="425"/>
      <c r="O553" s="425">
        <v>8</v>
      </c>
      <c r="P553" s="425"/>
      <c r="Q553" s="294">
        <v>4</v>
      </c>
      <c r="R553" s="295" t="e">
        <f>IF(K553="nio",0,(K553*Q553)/X553)*VLOOKUP(C553,'2-Uren per locatie'!$B$15:$D$74,3,FALSE)</f>
        <v>#DIV/0!</v>
      </c>
      <c r="S553" s="295" t="e">
        <f>IF(K553="nio",0,(L553*Q553)/Y553)*VLOOKUP(C553,'2-Uren per locatie'!$B$15:$D$74,3,FALSE)</f>
        <v>#DIV/0!</v>
      </c>
      <c r="T553" s="295" t="e">
        <f>IF(K553="nio",0,(M553*Q553)/Z553)*VLOOKUP(C553,'2-Uren per locatie'!$B$15:$D$74,3,FALSE)</f>
        <v>#DIV/0!</v>
      </c>
      <c r="U553" s="295" t="e">
        <f>IF(K553="nio",0,(N553*Q553)/AA553)*VLOOKUP(C553,'2-Uren per locatie'!$B$15:$D$74,3,FALSE)</f>
        <v>#DIV/0!</v>
      </c>
      <c r="V553" s="295" t="e">
        <f>IF(K553="nio",0,(O553*Q553)/Z553)*VLOOKUP(C553,'2-Uren per locatie'!$B$15:$D$74,3,FALSE)</f>
        <v>#DIV/0!</v>
      </c>
      <c r="W553" s="295" t="e">
        <f>IF(K553="nio",0,(P553*Q553)/AA553)*VLOOKUP(C553,'2-Uren per locatie'!$B$15:$D$74,3,FALSE)</f>
        <v>#DIV/0!</v>
      </c>
      <c r="X553" s="485">
        <f>IF(K553="nio",0,IF(K553&gt;0,VLOOKUP(H553,'3-Productie normen'!A:F,VLOOKUP(K553,'3-Productie normen'!$B$29:$C$34,2,FALSE),FALSE)))</f>
        <v>0</v>
      </c>
      <c r="Y553" s="485">
        <f>VLOOKUP(H553,'3-Productie normen'!$A$10:$J$24,8,FALSE)*'3-Ruimtestaat'!X553</f>
        <v>0</v>
      </c>
      <c r="Z553" s="485">
        <f>VLOOKUP(H553,'3-Productie normen'!$A$10:$J$24,9,FALSE)*'3-Ruimtestaat'!X553</f>
        <v>0</v>
      </c>
      <c r="AA553" s="485">
        <f>VLOOKUP(H553,'3-Productie normen'!$A$10:$J$24,10,FALSE)*'3-Ruimtestaat'!X553</f>
        <v>0</v>
      </c>
      <c r="AB553" s="292" t="str">
        <f>IF(H553="",0,VLOOKUP(H553,'3-Productie normen'!$A$10:$N$23,14,FALSE))</f>
        <v>V</v>
      </c>
      <c r="AD553" s="296">
        <f t="shared" si="20"/>
        <v>1460</v>
      </c>
      <c r="AE553" s="78"/>
      <c r="AF553" s="253"/>
      <c r="AG553" s="253"/>
      <c r="AH553" s="253"/>
      <c r="AI553" s="253"/>
      <c r="AJ553" s="253"/>
      <c r="AK553" s="253"/>
      <c r="AL553" s="253"/>
      <c r="AM553" s="253"/>
      <c r="AN553" s="253"/>
      <c r="AO553" s="253"/>
    </row>
    <row r="554" spans="1:41" ht="15" customHeight="1">
      <c r="A554" s="254">
        <v>554</v>
      </c>
      <c r="B554" s="253">
        <v>605</v>
      </c>
      <c r="C554" s="240" t="s">
        <v>113</v>
      </c>
      <c r="D554" s="288" t="s">
        <v>634</v>
      </c>
      <c r="E554" s="289" t="s">
        <v>755</v>
      </c>
      <c r="F554" s="239" t="s">
        <v>756</v>
      </c>
      <c r="G554" s="290" t="s">
        <v>761</v>
      </c>
      <c r="H554" s="291" t="s">
        <v>152</v>
      </c>
      <c r="I554" s="239" t="s">
        <v>402</v>
      </c>
      <c r="J554" s="424">
        <f t="shared" si="19"/>
        <v>365</v>
      </c>
      <c r="K554" s="425">
        <v>255</v>
      </c>
      <c r="L554" s="425"/>
      <c r="M554" s="425">
        <v>102</v>
      </c>
      <c r="N554" s="425"/>
      <c r="O554" s="425">
        <v>8</v>
      </c>
      <c r="P554" s="425"/>
      <c r="Q554" s="294">
        <v>90</v>
      </c>
      <c r="R554" s="295" t="e">
        <f>IF(K554="nio",0,(K554*Q554)/X554)*VLOOKUP(C554,'2-Uren per locatie'!$B$15:$D$74,3,FALSE)</f>
        <v>#DIV/0!</v>
      </c>
      <c r="S554" s="295" t="e">
        <f>IF(K554="nio",0,(L554*Q554)/Y554)*VLOOKUP(C554,'2-Uren per locatie'!$B$15:$D$74,3,FALSE)</f>
        <v>#DIV/0!</v>
      </c>
      <c r="T554" s="295" t="e">
        <f>IF(K554="nio",0,(M554*Q554)/Z554)*VLOOKUP(C554,'2-Uren per locatie'!$B$15:$D$74,3,FALSE)</f>
        <v>#DIV/0!</v>
      </c>
      <c r="U554" s="295" t="e">
        <f>IF(K554="nio",0,(N554*Q554)/AA554)*VLOOKUP(C554,'2-Uren per locatie'!$B$15:$D$74,3,FALSE)</f>
        <v>#DIV/0!</v>
      </c>
      <c r="V554" s="295" t="e">
        <f>IF(K554="nio",0,(O554*Q554)/Z554)*VLOOKUP(C554,'2-Uren per locatie'!$B$15:$D$74,3,FALSE)</f>
        <v>#DIV/0!</v>
      </c>
      <c r="W554" s="295" t="e">
        <f>IF(K554="nio",0,(P554*Q554)/AA554)*VLOOKUP(C554,'2-Uren per locatie'!$B$15:$D$74,3,FALSE)</f>
        <v>#DIV/0!</v>
      </c>
      <c r="X554" s="485">
        <f>IF(K554="nio",0,IF(K554&gt;0,VLOOKUP(H554,'3-Productie normen'!A:F,VLOOKUP(K554,'3-Productie normen'!$B$29:$C$34,2,FALSE),FALSE)))</f>
        <v>0</v>
      </c>
      <c r="Y554" s="485">
        <f>VLOOKUP(H554,'3-Productie normen'!$A$10:$J$24,8,FALSE)*'3-Ruimtestaat'!X554</f>
        <v>0</v>
      </c>
      <c r="Z554" s="485">
        <f>VLOOKUP(H554,'3-Productie normen'!$A$10:$J$24,9,FALSE)*'3-Ruimtestaat'!X554</f>
        <v>0</v>
      </c>
      <c r="AA554" s="485">
        <f>VLOOKUP(H554,'3-Productie normen'!$A$10:$J$24,10,FALSE)*'3-Ruimtestaat'!X554</f>
        <v>0</v>
      </c>
      <c r="AB554" s="292" t="str">
        <f>IF(H554="",0,VLOOKUP(H554,'3-Productie normen'!$A$10:$N$23,14,FALSE))</f>
        <v>V</v>
      </c>
      <c r="AD554" s="296">
        <f t="shared" si="20"/>
        <v>32850</v>
      </c>
      <c r="AE554" s="78"/>
      <c r="AF554" s="253"/>
      <c r="AG554" s="253"/>
      <c r="AH554" s="253"/>
      <c r="AI554" s="253"/>
      <c r="AJ554" s="253"/>
      <c r="AK554" s="253"/>
      <c r="AL554" s="253"/>
      <c r="AM554" s="253"/>
      <c r="AN554" s="253"/>
      <c r="AO554" s="253"/>
    </row>
    <row r="555" spans="1:41" ht="15" customHeight="1">
      <c r="A555" s="254">
        <v>555</v>
      </c>
      <c r="B555" s="253">
        <v>605</v>
      </c>
      <c r="C555" s="240" t="s">
        <v>113</v>
      </c>
      <c r="D555" s="288" t="s">
        <v>634</v>
      </c>
      <c r="E555" s="289" t="s">
        <v>755</v>
      </c>
      <c r="F555" s="239" t="s">
        <v>758</v>
      </c>
      <c r="G555" s="290" t="s">
        <v>660</v>
      </c>
      <c r="H555" s="291" t="s">
        <v>155</v>
      </c>
      <c r="I555" s="239" t="s">
        <v>325</v>
      </c>
      <c r="J555" s="424">
        <f t="shared" si="19"/>
        <v>365</v>
      </c>
      <c r="K555" s="425">
        <v>255</v>
      </c>
      <c r="L555" s="425"/>
      <c r="M555" s="425">
        <v>102</v>
      </c>
      <c r="N555" s="425"/>
      <c r="O555" s="425">
        <v>8</v>
      </c>
      <c r="P555" s="425"/>
      <c r="Q555" s="294">
        <v>94</v>
      </c>
      <c r="R555" s="295" t="e">
        <f>IF(K555="nio",0,(K555*Q555)/X555)*VLOOKUP(C555,'2-Uren per locatie'!$B$15:$D$74,3,FALSE)</f>
        <v>#DIV/0!</v>
      </c>
      <c r="S555" s="295" t="e">
        <f>IF(K555="nio",0,(L555*Q555)/Y555)*VLOOKUP(C555,'2-Uren per locatie'!$B$15:$D$74,3,FALSE)</f>
        <v>#DIV/0!</v>
      </c>
      <c r="T555" s="295" t="e">
        <f>IF(K555="nio",0,(M555*Q555)/Z555)*VLOOKUP(C555,'2-Uren per locatie'!$B$15:$D$74,3,FALSE)</f>
        <v>#DIV/0!</v>
      </c>
      <c r="U555" s="295" t="e">
        <f>IF(K555="nio",0,(N555*Q555)/AA555)*VLOOKUP(C555,'2-Uren per locatie'!$B$15:$D$74,3,FALSE)</f>
        <v>#DIV/0!</v>
      </c>
      <c r="V555" s="295" t="e">
        <f>IF(K555="nio",0,(O555*Q555)/Z555)*VLOOKUP(C555,'2-Uren per locatie'!$B$15:$D$74,3,FALSE)</f>
        <v>#DIV/0!</v>
      </c>
      <c r="W555" s="295" t="e">
        <f>IF(K555="nio",0,(P555*Q555)/AA555)*VLOOKUP(C555,'2-Uren per locatie'!$B$15:$D$74,3,FALSE)</f>
        <v>#DIV/0!</v>
      </c>
      <c r="X555" s="485">
        <f>IF(K555="nio",0,IF(K555&gt;0,VLOOKUP(H555,'3-Productie normen'!A:F,VLOOKUP(K555,'3-Productie normen'!$B$29:$C$34,2,FALSE),FALSE)))</f>
        <v>0</v>
      </c>
      <c r="Y555" s="485">
        <f>VLOOKUP(H555,'3-Productie normen'!$A$10:$J$24,8,FALSE)*'3-Ruimtestaat'!X555</f>
        <v>0</v>
      </c>
      <c r="Z555" s="485">
        <f>VLOOKUP(H555,'3-Productie normen'!$A$10:$J$24,9,FALSE)*'3-Ruimtestaat'!X555</f>
        <v>0</v>
      </c>
      <c r="AA555" s="485">
        <f>VLOOKUP(H555,'3-Productie normen'!$A$10:$J$24,10,FALSE)*'3-Ruimtestaat'!X555</f>
        <v>0</v>
      </c>
      <c r="AB555" s="292" t="str">
        <f>IF(H555="",0,VLOOKUP(H555,'3-Productie normen'!$A$10:$N$23,14,FALSE))</f>
        <v>V</v>
      </c>
      <c r="AD555" s="296">
        <f t="shared" si="20"/>
        <v>34310</v>
      </c>
      <c r="AE555" s="78"/>
      <c r="AF555" s="253"/>
      <c r="AG555" s="253"/>
      <c r="AH555" s="253"/>
      <c r="AI555" s="253"/>
      <c r="AJ555" s="253"/>
      <c r="AK555" s="253"/>
      <c r="AL555" s="253"/>
      <c r="AM555" s="253"/>
      <c r="AN555" s="253"/>
      <c r="AO555" s="253"/>
    </row>
    <row r="556" spans="1:41" ht="15" customHeight="1">
      <c r="A556" s="254">
        <v>556</v>
      </c>
      <c r="B556" s="253">
        <v>605</v>
      </c>
      <c r="C556" s="240" t="s">
        <v>113</v>
      </c>
      <c r="D556" s="288" t="s">
        <v>634</v>
      </c>
      <c r="E556" s="289" t="s">
        <v>762</v>
      </c>
      <c r="F556" s="239" t="s">
        <v>763</v>
      </c>
      <c r="G556" s="290" t="s">
        <v>764</v>
      </c>
      <c r="H556" s="291" t="s">
        <v>152</v>
      </c>
      <c r="I556" s="239" t="s">
        <v>402</v>
      </c>
      <c r="J556" s="424">
        <f t="shared" si="19"/>
        <v>365</v>
      </c>
      <c r="K556" s="425">
        <v>255</v>
      </c>
      <c r="L556" s="425"/>
      <c r="M556" s="425">
        <v>102</v>
      </c>
      <c r="N556" s="425"/>
      <c r="O556" s="425">
        <v>8</v>
      </c>
      <c r="P556" s="425"/>
      <c r="Q556" s="294">
        <v>27</v>
      </c>
      <c r="R556" s="295" t="e">
        <f>IF(K556="nio",0,(K556*Q556)/X556)*VLOOKUP(C556,'2-Uren per locatie'!$B$15:$D$74,3,FALSE)</f>
        <v>#DIV/0!</v>
      </c>
      <c r="S556" s="295" t="e">
        <f>IF(K556="nio",0,(L556*Q556)/Y556)*VLOOKUP(C556,'2-Uren per locatie'!$B$15:$D$74,3,FALSE)</f>
        <v>#DIV/0!</v>
      </c>
      <c r="T556" s="295" t="e">
        <f>IF(K556="nio",0,(M556*Q556)/Z556)*VLOOKUP(C556,'2-Uren per locatie'!$B$15:$D$74,3,FALSE)</f>
        <v>#DIV/0!</v>
      </c>
      <c r="U556" s="295" t="e">
        <f>IF(K556="nio",0,(N556*Q556)/AA556)*VLOOKUP(C556,'2-Uren per locatie'!$B$15:$D$74,3,FALSE)</f>
        <v>#DIV/0!</v>
      </c>
      <c r="V556" s="295" t="e">
        <f>IF(K556="nio",0,(O556*Q556)/Z556)*VLOOKUP(C556,'2-Uren per locatie'!$B$15:$D$74,3,FALSE)</f>
        <v>#DIV/0!</v>
      </c>
      <c r="W556" s="295" t="e">
        <f>IF(K556="nio",0,(P556*Q556)/AA556)*VLOOKUP(C556,'2-Uren per locatie'!$B$15:$D$74,3,FALSE)</f>
        <v>#DIV/0!</v>
      </c>
      <c r="X556" s="485">
        <f>IF(K556="nio",0,IF(K556&gt;0,VLOOKUP(H556,'3-Productie normen'!A:F,VLOOKUP(K556,'3-Productie normen'!$B$29:$C$34,2,FALSE),FALSE)))</f>
        <v>0</v>
      </c>
      <c r="Y556" s="485">
        <f>VLOOKUP(H556,'3-Productie normen'!$A$10:$J$24,8,FALSE)*'3-Ruimtestaat'!X556</f>
        <v>0</v>
      </c>
      <c r="Z556" s="485">
        <f>VLOOKUP(H556,'3-Productie normen'!$A$10:$J$24,9,FALSE)*'3-Ruimtestaat'!X556</f>
        <v>0</v>
      </c>
      <c r="AA556" s="485">
        <f>VLOOKUP(H556,'3-Productie normen'!$A$10:$J$24,10,FALSE)*'3-Ruimtestaat'!X556</f>
        <v>0</v>
      </c>
      <c r="AB556" s="292" t="str">
        <f>IF(H556="",0,VLOOKUP(H556,'3-Productie normen'!$A$10:$N$23,14,FALSE))</f>
        <v>V</v>
      </c>
      <c r="AD556" s="296">
        <f t="shared" si="20"/>
        <v>9855</v>
      </c>
      <c r="AE556" s="78"/>
      <c r="AF556" s="253"/>
      <c r="AG556" s="253"/>
      <c r="AH556" s="253"/>
      <c r="AI556" s="253"/>
      <c r="AJ556" s="253"/>
      <c r="AK556" s="253"/>
      <c r="AL556" s="253"/>
      <c r="AM556" s="253"/>
      <c r="AN556" s="253"/>
      <c r="AO556" s="253"/>
    </row>
    <row r="557" spans="1:41" ht="15" customHeight="1">
      <c r="A557" s="254">
        <v>557</v>
      </c>
      <c r="B557" s="253">
        <v>605</v>
      </c>
      <c r="C557" s="240" t="s">
        <v>113</v>
      </c>
      <c r="D557" s="288" t="s">
        <v>634</v>
      </c>
      <c r="E557" s="289" t="s">
        <v>762</v>
      </c>
      <c r="F557" s="239" t="s">
        <v>765</v>
      </c>
      <c r="G557" s="290" t="s">
        <v>645</v>
      </c>
      <c r="H557" s="291" t="s">
        <v>149</v>
      </c>
      <c r="I557" s="239" t="s">
        <v>402</v>
      </c>
      <c r="J557" s="424">
        <f t="shared" si="19"/>
        <v>365</v>
      </c>
      <c r="K557" s="425">
        <v>255</v>
      </c>
      <c r="L557" s="425"/>
      <c r="M557" s="425">
        <v>102</v>
      </c>
      <c r="N557" s="425"/>
      <c r="O557" s="425">
        <v>8</v>
      </c>
      <c r="P557" s="425"/>
      <c r="Q557" s="294">
        <v>2.5</v>
      </c>
      <c r="R557" s="295" t="e">
        <f>IF(K557="nio",0,(K557*Q557)/X557)*VLOOKUP(C557,'2-Uren per locatie'!$B$15:$D$74,3,FALSE)</f>
        <v>#DIV/0!</v>
      </c>
      <c r="S557" s="295" t="e">
        <f>IF(K557="nio",0,(L557*Q557)/Y557)*VLOOKUP(C557,'2-Uren per locatie'!$B$15:$D$74,3,FALSE)</f>
        <v>#DIV/0!</v>
      </c>
      <c r="T557" s="295" t="e">
        <f>IF(K557="nio",0,(M557*Q557)/Z557)*VLOOKUP(C557,'2-Uren per locatie'!$B$15:$D$74,3,FALSE)</f>
        <v>#DIV/0!</v>
      </c>
      <c r="U557" s="295" t="e">
        <f>IF(K557="nio",0,(N557*Q557)/AA557)*VLOOKUP(C557,'2-Uren per locatie'!$B$15:$D$74,3,FALSE)</f>
        <v>#DIV/0!</v>
      </c>
      <c r="V557" s="295" t="e">
        <f>IF(K557="nio",0,(O557*Q557)/Z557)*VLOOKUP(C557,'2-Uren per locatie'!$B$15:$D$74,3,FALSE)</f>
        <v>#DIV/0!</v>
      </c>
      <c r="W557" s="295" t="e">
        <f>IF(K557="nio",0,(P557*Q557)/AA557)*VLOOKUP(C557,'2-Uren per locatie'!$B$15:$D$74,3,FALSE)</f>
        <v>#DIV/0!</v>
      </c>
      <c r="X557" s="485">
        <f>IF(K557="nio",0,IF(K557&gt;0,VLOOKUP(H557,'3-Productie normen'!A:F,VLOOKUP(K557,'3-Productie normen'!$B$29:$C$34,2,FALSE),FALSE)))</f>
        <v>0</v>
      </c>
      <c r="Y557" s="485">
        <f>VLOOKUP(H557,'3-Productie normen'!$A$10:$J$24,8,FALSE)*'3-Ruimtestaat'!X557</f>
        <v>0</v>
      </c>
      <c r="Z557" s="485">
        <f>VLOOKUP(H557,'3-Productie normen'!$A$10:$J$24,9,FALSE)*'3-Ruimtestaat'!X557</f>
        <v>0</v>
      </c>
      <c r="AA557" s="485">
        <f>VLOOKUP(H557,'3-Productie normen'!$A$10:$J$24,10,FALSE)*'3-Ruimtestaat'!X557</f>
        <v>0</v>
      </c>
      <c r="AB557" s="292" t="str">
        <f>IF(H557="",0,VLOOKUP(H557,'3-Productie normen'!$A$10:$N$23,14,FALSE))</f>
        <v>V</v>
      </c>
      <c r="AD557" s="296">
        <f t="shared" si="20"/>
        <v>912.5</v>
      </c>
      <c r="AE557" s="78"/>
      <c r="AF557" s="253"/>
      <c r="AG557" s="253"/>
      <c r="AH557" s="253"/>
      <c r="AI557" s="253"/>
      <c r="AJ557" s="253"/>
      <c r="AK557" s="253"/>
      <c r="AL557" s="253"/>
      <c r="AM557" s="253"/>
      <c r="AN557" s="253"/>
      <c r="AO557" s="253"/>
    </row>
    <row r="558" spans="1:41" ht="15" customHeight="1">
      <c r="A558" s="254">
        <v>558</v>
      </c>
      <c r="B558" s="253">
        <v>605</v>
      </c>
      <c r="C558" s="240" t="s">
        <v>113</v>
      </c>
      <c r="D558" s="288" t="s">
        <v>634</v>
      </c>
      <c r="E558" s="289" t="s">
        <v>766</v>
      </c>
      <c r="F558" s="239" t="s">
        <v>767</v>
      </c>
      <c r="G558" s="290" t="s">
        <v>662</v>
      </c>
      <c r="H558" s="291" t="s">
        <v>149</v>
      </c>
      <c r="I558" s="239" t="s">
        <v>402</v>
      </c>
      <c r="J558" s="424">
        <f t="shared" si="19"/>
        <v>365</v>
      </c>
      <c r="K558" s="425">
        <v>255</v>
      </c>
      <c r="L558" s="425"/>
      <c r="M558" s="425">
        <v>102</v>
      </c>
      <c r="N558" s="425"/>
      <c r="O558" s="425">
        <v>8</v>
      </c>
      <c r="P558" s="425"/>
      <c r="Q558" s="294">
        <v>2</v>
      </c>
      <c r="R558" s="295" t="e">
        <f>IF(K558="nio",0,(K558*Q558)/X558)*VLOOKUP(C558,'2-Uren per locatie'!$B$15:$D$74,3,FALSE)</f>
        <v>#DIV/0!</v>
      </c>
      <c r="S558" s="295" t="e">
        <f>IF(K558="nio",0,(L558*Q558)/Y558)*VLOOKUP(C558,'2-Uren per locatie'!$B$15:$D$74,3,FALSE)</f>
        <v>#DIV/0!</v>
      </c>
      <c r="T558" s="295" t="e">
        <f>IF(K558="nio",0,(M558*Q558)/Z558)*VLOOKUP(C558,'2-Uren per locatie'!$B$15:$D$74,3,FALSE)</f>
        <v>#DIV/0!</v>
      </c>
      <c r="U558" s="295" t="e">
        <f>IF(K558="nio",0,(N558*Q558)/AA558)*VLOOKUP(C558,'2-Uren per locatie'!$B$15:$D$74,3,FALSE)</f>
        <v>#DIV/0!</v>
      </c>
      <c r="V558" s="295" t="e">
        <f>IF(K558="nio",0,(O558*Q558)/Z558)*VLOOKUP(C558,'2-Uren per locatie'!$B$15:$D$74,3,FALSE)</f>
        <v>#DIV/0!</v>
      </c>
      <c r="W558" s="295" t="e">
        <f>IF(K558="nio",0,(P558*Q558)/AA558)*VLOOKUP(C558,'2-Uren per locatie'!$B$15:$D$74,3,FALSE)</f>
        <v>#DIV/0!</v>
      </c>
      <c r="X558" s="485">
        <f>IF(K558="nio",0,IF(K558&gt;0,VLOOKUP(H558,'3-Productie normen'!A:F,VLOOKUP(K558,'3-Productie normen'!$B$29:$C$34,2,FALSE),FALSE)))</f>
        <v>0</v>
      </c>
      <c r="Y558" s="485">
        <f>VLOOKUP(H558,'3-Productie normen'!$A$10:$J$24,8,FALSE)*'3-Ruimtestaat'!X558</f>
        <v>0</v>
      </c>
      <c r="Z558" s="485">
        <f>VLOOKUP(H558,'3-Productie normen'!$A$10:$J$24,9,FALSE)*'3-Ruimtestaat'!X558</f>
        <v>0</v>
      </c>
      <c r="AA558" s="485">
        <f>VLOOKUP(H558,'3-Productie normen'!$A$10:$J$24,10,FALSE)*'3-Ruimtestaat'!X558</f>
        <v>0</v>
      </c>
      <c r="AB558" s="292" t="str">
        <f>IF(H558="",0,VLOOKUP(H558,'3-Productie normen'!$A$10:$N$23,14,FALSE))</f>
        <v>V</v>
      </c>
      <c r="AD558" s="296">
        <f t="shared" si="20"/>
        <v>730</v>
      </c>
      <c r="AE558" s="78"/>
      <c r="AF558" s="253"/>
      <c r="AG558" s="253"/>
      <c r="AH558" s="253"/>
      <c r="AI558" s="253"/>
      <c r="AJ558" s="253"/>
      <c r="AK558" s="253"/>
      <c r="AL558" s="253"/>
      <c r="AM558" s="253"/>
      <c r="AN558" s="253"/>
      <c r="AO558" s="253"/>
    </row>
    <row r="559" spans="1:41" ht="15" customHeight="1">
      <c r="A559" s="254">
        <v>559</v>
      </c>
      <c r="B559" s="253">
        <v>605</v>
      </c>
      <c r="C559" s="240" t="s">
        <v>113</v>
      </c>
      <c r="D559" s="288" t="s">
        <v>634</v>
      </c>
      <c r="E559" s="289" t="s">
        <v>766</v>
      </c>
      <c r="F559" s="239" t="s">
        <v>767</v>
      </c>
      <c r="G559" s="290" t="s">
        <v>664</v>
      </c>
      <c r="H559" s="291" t="s">
        <v>149</v>
      </c>
      <c r="I559" s="239" t="s">
        <v>402</v>
      </c>
      <c r="J559" s="424">
        <f t="shared" si="19"/>
        <v>365</v>
      </c>
      <c r="K559" s="425">
        <v>255</v>
      </c>
      <c r="L559" s="425"/>
      <c r="M559" s="425">
        <v>102</v>
      </c>
      <c r="N559" s="425"/>
      <c r="O559" s="425">
        <v>8</v>
      </c>
      <c r="P559" s="425"/>
      <c r="Q559" s="294">
        <v>2</v>
      </c>
      <c r="R559" s="295" t="e">
        <f>IF(K559="nio",0,(K559*Q559)/X559)*VLOOKUP(C559,'2-Uren per locatie'!$B$15:$D$74,3,FALSE)</f>
        <v>#DIV/0!</v>
      </c>
      <c r="S559" s="295" t="e">
        <f>IF(K559="nio",0,(L559*Q559)/Y559)*VLOOKUP(C559,'2-Uren per locatie'!$B$15:$D$74,3,FALSE)</f>
        <v>#DIV/0!</v>
      </c>
      <c r="T559" s="295" t="e">
        <f>IF(K559="nio",0,(M559*Q559)/Z559)*VLOOKUP(C559,'2-Uren per locatie'!$B$15:$D$74,3,FALSE)</f>
        <v>#DIV/0!</v>
      </c>
      <c r="U559" s="295" t="e">
        <f>IF(K559="nio",0,(N559*Q559)/AA559)*VLOOKUP(C559,'2-Uren per locatie'!$B$15:$D$74,3,FALSE)</f>
        <v>#DIV/0!</v>
      </c>
      <c r="V559" s="295" t="e">
        <f>IF(K559="nio",0,(O559*Q559)/Z559)*VLOOKUP(C559,'2-Uren per locatie'!$B$15:$D$74,3,FALSE)</f>
        <v>#DIV/0!</v>
      </c>
      <c r="W559" s="295" t="e">
        <f>IF(K559="nio",0,(P559*Q559)/AA559)*VLOOKUP(C559,'2-Uren per locatie'!$B$15:$D$74,3,FALSE)</f>
        <v>#DIV/0!</v>
      </c>
      <c r="X559" s="485">
        <f>IF(K559="nio",0,IF(K559&gt;0,VLOOKUP(H559,'3-Productie normen'!A:F,VLOOKUP(K559,'3-Productie normen'!$B$29:$C$34,2,FALSE),FALSE)))</f>
        <v>0</v>
      </c>
      <c r="Y559" s="485">
        <f>VLOOKUP(H559,'3-Productie normen'!$A$10:$J$24,8,FALSE)*'3-Ruimtestaat'!X559</f>
        <v>0</v>
      </c>
      <c r="Z559" s="485">
        <f>VLOOKUP(H559,'3-Productie normen'!$A$10:$J$24,9,FALSE)*'3-Ruimtestaat'!X559</f>
        <v>0</v>
      </c>
      <c r="AA559" s="485">
        <f>VLOOKUP(H559,'3-Productie normen'!$A$10:$J$24,10,FALSE)*'3-Ruimtestaat'!X559</f>
        <v>0</v>
      </c>
      <c r="AB559" s="292" t="str">
        <f>IF(H559="",0,VLOOKUP(H559,'3-Productie normen'!$A$10:$N$23,14,FALSE))</f>
        <v>V</v>
      </c>
      <c r="AD559" s="296">
        <f t="shared" si="20"/>
        <v>730</v>
      </c>
      <c r="AE559" s="78"/>
      <c r="AF559" s="253"/>
      <c r="AG559" s="253"/>
      <c r="AH559" s="253"/>
      <c r="AI559" s="253"/>
      <c r="AJ559" s="253"/>
      <c r="AK559" s="253"/>
      <c r="AL559" s="253"/>
      <c r="AM559" s="253"/>
      <c r="AN559" s="253"/>
      <c r="AO559" s="253"/>
    </row>
    <row r="560" spans="1:41" ht="15" customHeight="1">
      <c r="A560" s="254">
        <v>560</v>
      </c>
      <c r="B560" s="253">
        <v>605</v>
      </c>
      <c r="C560" s="240" t="s">
        <v>113</v>
      </c>
      <c r="D560" s="288" t="s">
        <v>634</v>
      </c>
      <c r="E560" s="289" t="s">
        <v>766</v>
      </c>
      <c r="F560" s="239" t="s">
        <v>768</v>
      </c>
      <c r="G560" s="290" t="s">
        <v>668</v>
      </c>
      <c r="H560" s="291" t="s">
        <v>145</v>
      </c>
      <c r="I560" s="239" t="s">
        <v>637</v>
      </c>
      <c r="J560" s="424">
        <f t="shared" si="19"/>
        <v>365</v>
      </c>
      <c r="K560" s="425">
        <v>255</v>
      </c>
      <c r="L560" s="425"/>
      <c r="M560" s="425">
        <v>102</v>
      </c>
      <c r="N560" s="425"/>
      <c r="O560" s="425">
        <v>8</v>
      </c>
      <c r="P560" s="425"/>
      <c r="Q560" s="294">
        <v>2000</v>
      </c>
      <c r="R560" s="295" t="e">
        <f>IF(K560="nio",0,(K560*Q560)/X560)*VLOOKUP(C560,'2-Uren per locatie'!$B$15:$D$74,3,FALSE)</f>
        <v>#DIV/0!</v>
      </c>
      <c r="S560" s="295" t="e">
        <f>IF(K560="nio",0,(L560*Q560)/Y560)*VLOOKUP(C560,'2-Uren per locatie'!$B$15:$D$74,3,FALSE)</f>
        <v>#DIV/0!</v>
      </c>
      <c r="T560" s="295" t="e">
        <f>IF(K560="nio",0,(M560*Q560)/Z560)*VLOOKUP(C560,'2-Uren per locatie'!$B$15:$D$74,3,FALSE)</f>
        <v>#DIV/0!</v>
      </c>
      <c r="U560" s="295" t="e">
        <f>IF(K560="nio",0,(N560*Q560)/AA560)*VLOOKUP(C560,'2-Uren per locatie'!$B$15:$D$74,3,FALSE)</f>
        <v>#DIV/0!</v>
      </c>
      <c r="V560" s="295" t="e">
        <f>IF(K560="nio",0,(O560*Q560)/Z560)*VLOOKUP(C560,'2-Uren per locatie'!$B$15:$D$74,3,FALSE)</f>
        <v>#DIV/0!</v>
      </c>
      <c r="W560" s="295" t="e">
        <f>IF(K560="nio",0,(P560*Q560)/AA560)*VLOOKUP(C560,'2-Uren per locatie'!$B$15:$D$74,3,FALSE)</f>
        <v>#DIV/0!</v>
      </c>
      <c r="X560" s="485">
        <f>IF(K560="nio",0,IF(K560&gt;0,VLOOKUP(H560,'3-Productie normen'!A:F,VLOOKUP(K560,'3-Productie normen'!$B$29:$C$34,2,FALSE),FALSE)))</f>
        <v>0</v>
      </c>
      <c r="Y560" s="485">
        <f>VLOOKUP(H560,'3-Productie normen'!$A$10:$J$24,8,FALSE)*'3-Ruimtestaat'!X560</f>
        <v>0</v>
      </c>
      <c r="Z560" s="485">
        <f>VLOOKUP(H560,'3-Productie normen'!$A$10:$J$24,9,FALSE)*'3-Ruimtestaat'!X560</f>
        <v>0</v>
      </c>
      <c r="AA560" s="485">
        <f>VLOOKUP(H560,'3-Productie normen'!$A$10:$J$24,10,FALSE)*'3-Ruimtestaat'!X560</f>
        <v>0</v>
      </c>
      <c r="AB560" s="292" t="str">
        <f>IF(H560="",0,VLOOKUP(H560,'3-Productie normen'!$A$10:$N$23,14,FALSE))</f>
        <v>V</v>
      </c>
      <c r="AD560" s="296">
        <f t="shared" si="20"/>
        <v>730000</v>
      </c>
      <c r="AE560" s="78"/>
      <c r="AF560" s="253"/>
      <c r="AG560" s="253"/>
      <c r="AH560" s="253"/>
      <c r="AI560" s="253"/>
      <c r="AJ560" s="253"/>
      <c r="AK560" s="253"/>
      <c r="AL560" s="253"/>
      <c r="AM560" s="253"/>
      <c r="AN560" s="253"/>
      <c r="AO560" s="253"/>
    </row>
    <row r="561" spans="1:41" ht="15" customHeight="1">
      <c r="A561" s="254">
        <v>561</v>
      </c>
      <c r="B561" s="253">
        <v>605</v>
      </c>
      <c r="C561" s="240" t="s">
        <v>113</v>
      </c>
      <c r="D561" s="288" t="s">
        <v>634</v>
      </c>
      <c r="E561" s="289" t="s">
        <v>766</v>
      </c>
      <c r="F561" s="239" t="s">
        <v>231</v>
      </c>
      <c r="G561" s="290" t="s">
        <v>769</v>
      </c>
      <c r="H561" s="291" t="s">
        <v>153</v>
      </c>
      <c r="I561" s="239" t="s">
        <v>637</v>
      </c>
      <c r="J561" s="424">
        <f t="shared" si="19"/>
        <v>365</v>
      </c>
      <c r="K561" s="425">
        <v>255</v>
      </c>
      <c r="L561" s="425"/>
      <c r="M561" s="425">
        <v>102</v>
      </c>
      <c r="N561" s="425"/>
      <c r="O561" s="425">
        <v>8</v>
      </c>
      <c r="P561" s="425"/>
      <c r="Q561" s="294">
        <v>2</v>
      </c>
      <c r="R561" s="295" t="e">
        <f>IF(K561="nio",0,(K561*Q561)/X561)*VLOOKUP(C561,'2-Uren per locatie'!$B$15:$D$74,3,FALSE)</f>
        <v>#DIV/0!</v>
      </c>
      <c r="S561" s="295" t="e">
        <f>IF(K561="nio",0,(L561*Q561)/Y561)*VLOOKUP(C561,'2-Uren per locatie'!$B$15:$D$74,3,FALSE)</f>
        <v>#DIV/0!</v>
      </c>
      <c r="T561" s="295" t="e">
        <f>IF(K561="nio",0,(M561*Q561)/Z561)*VLOOKUP(C561,'2-Uren per locatie'!$B$15:$D$74,3,FALSE)</f>
        <v>#DIV/0!</v>
      </c>
      <c r="U561" s="295" t="e">
        <f>IF(K561="nio",0,(N561*Q561)/AA561)*VLOOKUP(C561,'2-Uren per locatie'!$B$15:$D$74,3,FALSE)</f>
        <v>#DIV/0!</v>
      </c>
      <c r="V561" s="295" t="e">
        <f>IF(K561="nio",0,(O561*Q561)/Z561)*VLOOKUP(C561,'2-Uren per locatie'!$B$15:$D$74,3,FALSE)</f>
        <v>#DIV/0!</v>
      </c>
      <c r="W561" s="295" t="e">
        <f>IF(K561="nio",0,(P561*Q561)/AA561)*VLOOKUP(C561,'2-Uren per locatie'!$B$15:$D$74,3,FALSE)</f>
        <v>#DIV/0!</v>
      </c>
      <c r="X561" s="485">
        <f>IF(K561="nio",0,IF(K561&gt;0,VLOOKUP(H561,'3-Productie normen'!A:F,VLOOKUP(K561,'3-Productie normen'!$B$29:$C$34,2,FALSE),FALSE)))</f>
        <v>0</v>
      </c>
      <c r="Y561" s="485">
        <f>VLOOKUP(H561,'3-Productie normen'!$A$10:$J$24,8,FALSE)*'3-Ruimtestaat'!X561</f>
        <v>0</v>
      </c>
      <c r="Z561" s="485">
        <f>VLOOKUP(H561,'3-Productie normen'!$A$10:$J$24,9,FALSE)*'3-Ruimtestaat'!X561</f>
        <v>0</v>
      </c>
      <c r="AA561" s="485">
        <f>VLOOKUP(H561,'3-Productie normen'!$A$10:$J$24,10,FALSE)*'3-Ruimtestaat'!X561</f>
        <v>0</v>
      </c>
      <c r="AB561" s="292" t="str">
        <f>IF(H561="",0,VLOOKUP(H561,'3-Productie normen'!$A$10:$N$23,14,FALSE))</f>
        <v>S</v>
      </c>
      <c r="AD561" s="296">
        <f t="shared" si="20"/>
        <v>730</v>
      </c>
      <c r="AE561" s="78"/>
      <c r="AF561" s="253"/>
      <c r="AG561" s="253"/>
      <c r="AH561" s="253"/>
      <c r="AI561" s="253"/>
      <c r="AJ561" s="253"/>
      <c r="AK561" s="253"/>
      <c r="AL561" s="253"/>
      <c r="AM561" s="253"/>
      <c r="AN561" s="253"/>
      <c r="AO561" s="253"/>
    </row>
    <row r="562" spans="1:41" ht="15" customHeight="1">
      <c r="A562" s="254">
        <v>562</v>
      </c>
      <c r="B562" s="253">
        <v>605</v>
      </c>
      <c r="C562" s="240" t="s">
        <v>113</v>
      </c>
      <c r="D562" s="288" t="s">
        <v>634</v>
      </c>
      <c r="E562" s="289" t="s">
        <v>766</v>
      </c>
      <c r="F562" s="239" t="s">
        <v>770</v>
      </c>
      <c r="G562" s="290" t="s">
        <v>771</v>
      </c>
      <c r="H562" s="291" t="s">
        <v>150</v>
      </c>
      <c r="I562" s="239" t="s">
        <v>637</v>
      </c>
      <c r="J562" s="424">
        <f t="shared" si="19"/>
        <v>365</v>
      </c>
      <c r="K562" s="425">
        <v>255</v>
      </c>
      <c r="L562" s="425"/>
      <c r="M562" s="425">
        <v>102</v>
      </c>
      <c r="N562" s="425"/>
      <c r="O562" s="425">
        <v>8</v>
      </c>
      <c r="P562" s="425"/>
      <c r="Q562" s="294">
        <v>10</v>
      </c>
      <c r="R562" s="295" t="e">
        <f>IF(K562="nio",0,(K562*Q562)/X562)*VLOOKUP(C562,'2-Uren per locatie'!$B$15:$D$74,3,FALSE)</f>
        <v>#DIV/0!</v>
      </c>
      <c r="S562" s="295" t="e">
        <f>IF(K562="nio",0,(L562*Q562)/Y562)*VLOOKUP(C562,'2-Uren per locatie'!$B$15:$D$74,3,FALSE)</f>
        <v>#DIV/0!</v>
      </c>
      <c r="T562" s="295" t="e">
        <f>IF(K562="nio",0,(M562*Q562)/Z562)*VLOOKUP(C562,'2-Uren per locatie'!$B$15:$D$74,3,FALSE)</f>
        <v>#DIV/0!</v>
      </c>
      <c r="U562" s="295" t="e">
        <f>IF(K562="nio",0,(N562*Q562)/AA562)*VLOOKUP(C562,'2-Uren per locatie'!$B$15:$D$74,3,FALSE)</f>
        <v>#DIV/0!</v>
      </c>
      <c r="V562" s="295" t="e">
        <f>IF(K562="nio",0,(O562*Q562)/Z562)*VLOOKUP(C562,'2-Uren per locatie'!$B$15:$D$74,3,FALSE)</f>
        <v>#DIV/0!</v>
      </c>
      <c r="W562" s="295" t="e">
        <f>IF(K562="nio",0,(P562*Q562)/AA562)*VLOOKUP(C562,'2-Uren per locatie'!$B$15:$D$74,3,FALSE)</f>
        <v>#DIV/0!</v>
      </c>
      <c r="X562" s="485">
        <f>IF(K562="nio",0,IF(K562&gt;0,VLOOKUP(H562,'3-Productie normen'!A:F,VLOOKUP(K562,'3-Productie normen'!$B$29:$C$34,2,FALSE),FALSE)))</f>
        <v>0</v>
      </c>
      <c r="Y562" s="485">
        <f>VLOOKUP(H562,'3-Productie normen'!$A$10:$J$24,8,FALSE)*'3-Ruimtestaat'!X562</f>
        <v>0</v>
      </c>
      <c r="Z562" s="485">
        <f>VLOOKUP(H562,'3-Productie normen'!$A$10:$J$24,9,FALSE)*'3-Ruimtestaat'!X562</f>
        <v>0</v>
      </c>
      <c r="AA562" s="485">
        <f>VLOOKUP(H562,'3-Productie normen'!$A$10:$J$24,10,FALSE)*'3-Ruimtestaat'!X562</f>
        <v>0</v>
      </c>
      <c r="AB562" s="292" t="str">
        <f>IF(H562="",0,VLOOKUP(H562,'3-Productie normen'!$A$10:$N$23,14,FALSE))</f>
        <v>V</v>
      </c>
      <c r="AD562" s="296">
        <f t="shared" si="20"/>
        <v>3650</v>
      </c>
      <c r="AE562" s="78"/>
      <c r="AF562" s="301"/>
      <c r="AG562" s="301"/>
      <c r="AH562" s="301"/>
      <c r="AI562" s="301"/>
      <c r="AJ562" s="301"/>
      <c r="AK562" s="301"/>
      <c r="AL562" s="301"/>
      <c r="AM562" s="301"/>
      <c r="AN562" s="301"/>
      <c r="AO562" s="301"/>
    </row>
    <row r="563" spans="1:41" ht="15" customHeight="1">
      <c r="A563" s="254">
        <v>563</v>
      </c>
      <c r="B563" s="253">
        <v>605</v>
      </c>
      <c r="C563" s="240" t="s">
        <v>113</v>
      </c>
      <c r="D563" s="288" t="s">
        <v>634</v>
      </c>
      <c r="E563" s="289" t="s">
        <v>766</v>
      </c>
      <c r="F563" s="239" t="s">
        <v>231</v>
      </c>
      <c r="G563" s="290" t="s">
        <v>772</v>
      </c>
      <c r="H563" s="291" t="s">
        <v>153</v>
      </c>
      <c r="I563" s="239" t="s">
        <v>637</v>
      </c>
      <c r="J563" s="424">
        <f t="shared" si="19"/>
        <v>365</v>
      </c>
      <c r="K563" s="425">
        <v>255</v>
      </c>
      <c r="L563" s="425"/>
      <c r="M563" s="425">
        <v>102</v>
      </c>
      <c r="N563" s="425"/>
      <c r="O563" s="425">
        <v>8</v>
      </c>
      <c r="P563" s="425"/>
      <c r="Q563" s="294">
        <v>2.5</v>
      </c>
      <c r="R563" s="295" t="e">
        <f>IF(K563="nio",0,(K563*Q563)/X563)*VLOOKUP(C563,'2-Uren per locatie'!$B$15:$D$74,3,FALSE)</f>
        <v>#DIV/0!</v>
      </c>
      <c r="S563" s="295" t="e">
        <f>IF(K563="nio",0,(L563*Q563)/Y563)*VLOOKUP(C563,'2-Uren per locatie'!$B$15:$D$74,3,FALSE)</f>
        <v>#DIV/0!</v>
      </c>
      <c r="T563" s="295" t="e">
        <f>IF(K563="nio",0,(M563*Q563)/Z563)*VLOOKUP(C563,'2-Uren per locatie'!$B$15:$D$74,3,FALSE)</f>
        <v>#DIV/0!</v>
      </c>
      <c r="U563" s="295" t="e">
        <f>IF(K563="nio",0,(N563*Q563)/AA563)*VLOOKUP(C563,'2-Uren per locatie'!$B$15:$D$74,3,FALSE)</f>
        <v>#DIV/0!</v>
      </c>
      <c r="V563" s="295" t="e">
        <f>IF(K563="nio",0,(O563*Q563)/Z563)*VLOOKUP(C563,'2-Uren per locatie'!$B$15:$D$74,3,FALSE)</f>
        <v>#DIV/0!</v>
      </c>
      <c r="W563" s="295" t="e">
        <f>IF(K563="nio",0,(P563*Q563)/AA563)*VLOOKUP(C563,'2-Uren per locatie'!$B$15:$D$74,3,FALSE)</f>
        <v>#DIV/0!</v>
      </c>
      <c r="X563" s="485">
        <f>IF(K563="nio",0,IF(K563&gt;0,VLOOKUP(H563,'3-Productie normen'!A:F,VLOOKUP(K563,'3-Productie normen'!$B$29:$C$34,2,FALSE),FALSE)))</f>
        <v>0</v>
      </c>
      <c r="Y563" s="485">
        <f>VLOOKUP(H563,'3-Productie normen'!$A$10:$J$24,8,FALSE)*'3-Ruimtestaat'!X563</f>
        <v>0</v>
      </c>
      <c r="Z563" s="485">
        <f>VLOOKUP(H563,'3-Productie normen'!$A$10:$J$24,9,FALSE)*'3-Ruimtestaat'!X563</f>
        <v>0</v>
      </c>
      <c r="AA563" s="485">
        <f>VLOOKUP(H563,'3-Productie normen'!$A$10:$J$24,10,FALSE)*'3-Ruimtestaat'!X563</f>
        <v>0</v>
      </c>
      <c r="AB563" s="292" t="str">
        <f>IF(H563="",0,VLOOKUP(H563,'3-Productie normen'!$A$10:$N$23,14,FALSE))</f>
        <v>S</v>
      </c>
      <c r="AD563" s="296">
        <f t="shared" si="20"/>
        <v>912.5</v>
      </c>
      <c r="AE563" s="78"/>
      <c r="AF563" s="301"/>
      <c r="AG563" s="301"/>
      <c r="AH563" s="301"/>
      <c r="AI563" s="301"/>
      <c r="AJ563" s="301"/>
      <c r="AK563" s="301"/>
      <c r="AL563" s="301"/>
      <c r="AM563" s="301"/>
      <c r="AN563" s="301"/>
      <c r="AO563" s="301"/>
    </row>
    <row r="564" spans="1:41" ht="15" customHeight="1">
      <c r="A564" s="254">
        <v>564</v>
      </c>
      <c r="B564" s="253">
        <v>605</v>
      </c>
      <c r="C564" s="240" t="s">
        <v>113</v>
      </c>
      <c r="D564" s="288" t="s">
        <v>634</v>
      </c>
      <c r="E564" s="289" t="s">
        <v>766</v>
      </c>
      <c r="F564" s="239" t="s">
        <v>150</v>
      </c>
      <c r="G564" s="290" t="s">
        <v>773</v>
      </c>
      <c r="H564" s="291" t="s">
        <v>150</v>
      </c>
      <c r="I564" s="239" t="s">
        <v>637</v>
      </c>
      <c r="J564" s="424">
        <f t="shared" si="19"/>
        <v>365</v>
      </c>
      <c r="K564" s="425">
        <v>255</v>
      </c>
      <c r="L564" s="425"/>
      <c r="M564" s="425">
        <v>102</v>
      </c>
      <c r="N564" s="425"/>
      <c r="O564" s="425">
        <v>8</v>
      </c>
      <c r="P564" s="425"/>
      <c r="Q564" s="294">
        <v>7.5</v>
      </c>
      <c r="R564" s="295" t="e">
        <f>IF(K564="nio",0,(K564*Q564)/X564)*VLOOKUP(C564,'2-Uren per locatie'!$B$15:$D$74,3,FALSE)</f>
        <v>#DIV/0!</v>
      </c>
      <c r="S564" s="295" t="e">
        <f>IF(K564="nio",0,(L564*Q564)/Y564)*VLOOKUP(C564,'2-Uren per locatie'!$B$15:$D$74,3,FALSE)</f>
        <v>#DIV/0!</v>
      </c>
      <c r="T564" s="295" t="e">
        <f>IF(K564="nio",0,(M564*Q564)/Z564)*VLOOKUP(C564,'2-Uren per locatie'!$B$15:$D$74,3,FALSE)</f>
        <v>#DIV/0!</v>
      </c>
      <c r="U564" s="295" t="e">
        <f>IF(K564="nio",0,(N564*Q564)/AA564)*VLOOKUP(C564,'2-Uren per locatie'!$B$15:$D$74,3,FALSE)</f>
        <v>#DIV/0!</v>
      </c>
      <c r="V564" s="295" t="e">
        <f>IF(K564="nio",0,(O564*Q564)/Z564)*VLOOKUP(C564,'2-Uren per locatie'!$B$15:$D$74,3,FALSE)</f>
        <v>#DIV/0!</v>
      </c>
      <c r="W564" s="295" t="e">
        <f>IF(K564="nio",0,(P564*Q564)/AA564)*VLOOKUP(C564,'2-Uren per locatie'!$B$15:$D$74,3,FALSE)</f>
        <v>#DIV/0!</v>
      </c>
      <c r="X564" s="485">
        <f>IF(K564="nio",0,IF(K564&gt;0,VLOOKUP(H564,'3-Productie normen'!A:F,VLOOKUP(K564,'3-Productie normen'!$B$29:$C$34,2,FALSE),FALSE)))</f>
        <v>0</v>
      </c>
      <c r="Y564" s="485">
        <f>VLOOKUP(H564,'3-Productie normen'!$A$10:$J$24,8,FALSE)*'3-Ruimtestaat'!X564</f>
        <v>0</v>
      </c>
      <c r="Z564" s="485">
        <f>VLOOKUP(H564,'3-Productie normen'!$A$10:$J$24,9,FALSE)*'3-Ruimtestaat'!X564</f>
        <v>0</v>
      </c>
      <c r="AA564" s="485">
        <f>VLOOKUP(H564,'3-Productie normen'!$A$10:$J$24,10,FALSE)*'3-Ruimtestaat'!X564</f>
        <v>0</v>
      </c>
      <c r="AB564" s="292" t="str">
        <f>IF(H564="",0,VLOOKUP(H564,'3-Productie normen'!$A$10:$N$23,14,FALSE))</f>
        <v>V</v>
      </c>
      <c r="AD564" s="296">
        <f t="shared" si="20"/>
        <v>2737.5</v>
      </c>
      <c r="AE564" s="78"/>
      <c r="AF564" s="301"/>
      <c r="AG564" s="301"/>
      <c r="AH564" s="301"/>
      <c r="AI564" s="301"/>
      <c r="AJ564" s="301"/>
      <c r="AK564" s="301"/>
      <c r="AL564" s="301"/>
      <c r="AM564" s="301"/>
      <c r="AN564" s="301"/>
      <c r="AO564" s="301"/>
    </row>
    <row r="565" spans="1:41" ht="15" customHeight="1">
      <c r="A565" s="254">
        <v>565</v>
      </c>
      <c r="B565" s="253">
        <v>605</v>
      </c>
      <c r="C565" s="240" t="s">
        <v>113</v>
      </c>
      <c r="D565" s="288" t="s">
        <v>634</v>
      </c>
      <c r="E565" s="289" t="s">
        <v>766</v>
      </c>
      <c r="F565" s="239" t="s">
        <v>231</v>
      </c>
      <c r="G565" s="290" t="s">
        <v>774</v>
      </c>
      <c r="H565" s="291" t="s">
        <v>153</v>
      </c>
      <c r="I565" s="239" t="s">
        <v>637</v>
      </c>
      <c r="J565" s="424">
        <f t="shared" si="19"/>
        <v>365</v>
      </c>
      <c r="K565" s="425">
        <v>255</v>
      </c>
      <c r="L565" s="425"/>
      <c r="M565" s="425">
        <v>102</v>
      </c>
      <c r="N565" s="425"/>
      <c r="O565" s="425">
        <v>8</v>
      </c>
      <c r="P565" s="425"/>
      <c r="Q565" s="294">
        <v>7</v>
      </c>
      <c r="R565" s="295" t="e">
        <f>IF(K565="nio",0,(K565*Q565)/X565)*VLOOKUP(C565,'2-Uren per locatie'!$B$15:$D$74,3,FALSE)</f>
        <v>#DIV/0!</v>
      </c>
      <c r="S565" s="295" t="e">
        <f>IF(K565="nio",0,(L565*Q565)/Y565)*VLOOKUP(C565,'2-Uren per locatie'!$B$15:$D$74,3,FALSE)</f>
        <v>#DIV/0!</v>
      </c>
      <c r="T565" s="295" t="e">
        <f>IF(K565="nio",0,(M565*Q565)/Z565)*VLOOKUP(C565,'2-Uren per locatie'!$B$15:$D$74,3,FALSE)</f>
        <v>#DIV/0!</v>
      </c>
      <c r="U565" s="295" t="e">
        <f>IF(K565="nio",0,(N565*Q565)/AA565)*VLOOKUP(C565,'2-Uren per locatie'!$B$15:$D$74,3,FALSE)</f>
        <v>#DIV/0!</v>
      </c>
      <c r="V565" s="295" t="e">
        <f>IF(K565="nio",0,(O565*Q565)/Z565)*VLOOKUP(C565,'2-Uren per locatie'!$B$15:$D$74,3,FALSE)</f>
        <v>#DIV/0!</v>
      </c>
      <c r="W565" s="295" t="e">
        <f>IF(K565="nio",0,(P565*Q565)/AA565)*VLOOKUP(C565,'2-Uren per locatie'!$B$15:$D$74,3,FALSE)</f>
        <v>#DIV/0!</v>
      </c>
      <c r="X565" s="485">
        <f>IF(K565="nio",0,IF(K565&gt;0,VLOOKUP(H565,'3-Productie normen'!A:F,VLOOKUP(K565,'3-Productie normen'!$B$29:$C$34,2,FALSE),FALSE)))</f>
        <v>0</v>
      </c>
      <c r="Y565" s="485">
        <f>VLOOKUP(H565,'3-Productie normen'!$A$10:$J$24,8,FALSE)*'3-Ruimtestaat'!X565</f>
        <v>0</v>
      </c>
      <c r="Z565" s="485">
        <f>VLOOKUP(H565,'3-Productie normen'!$A$10:$J$24,9,FALSE)*'3-Ruimtestaat'!X565</f>
        <v>0</v>
      </c>
      <c r="AA565" s="485">
        <f>VLOOKUP(H565,'3-Productie normen'!$A$10:$J$24,10,FALSE)*'3-Ruimtestaat'!X565</f>
        <v>0</v>
      </c>
      <c r="AB565" s="292" t="str">
        <f>IF(H565="",0,VLOOKUP(H565,'3-Productie normen'!$A$10:$N$23,14,FALSE))</f>
        <v>S</v>
      </c>
      <c r="AD565" s="296">
        <f t="shared" si="20"/>
        <v>2555</v>
      </c>
      <c r="AE565" s="78"/>
      <c r="AF565" s="301"/>
      <c r="AG565" s="301"/>
      <c r="AH565" s="301"/>
      <c r="AI565" s="301"/>
      <c r="AJ565" s="301"/>
      <c r="AK565" s="301"/>
      <c r="AL565" s="301"/>
      <c r="AM565" s="301"/>
      <c r="AN565" s="301"/>
      <c r="AO565" s="301"/>
    </row>
    <row r="566" spans="1:41" ht="15" customHeight="1">
      <c r="A566" s="254">
        <v>566</v>
      </c>
      <c r="B566" s="253">
        <v>605</v>
      </c>
      <c r="C566" s="240" t="s">
        <v>113</v>
      </c>
      <c r="D566" s="288" t="s">
        <v>634</v>
      </c>
      <c r="E566" s="289" t="s">
        <v>766</v>
      </c>
      <c r="F566" s="239" t="s">
        <v>775</v>
      </c>
      <c r="G566" s="290" t="s">
        <v>776</v>
      </c>
      <c r="H566" s="291" t="s">
        <v>152</v>
      </c>
      <c r="I566" s="239" t="s">
        <v>402</v>
      </c>
      <c r="J566" s="424">
        <f t="shared" si="19"/>
        <v>365</v>
      </c>
      <c r="K566" s="425">
        <v>255</v>
      </c>
      <c r="L566" s="425"/>
      <c r="M566" s="425">
        <v>102</v>
      </c>
      <c r="N566" s="425"/>
      <c r="O566" s="425">
        <v>8</v>
      </c>
      <c r="P566" s="425"/>
      <c r="Q566" s="294">
        <v>76.5</v>
      </c>
      <c r="R566" s="295" t="e">
        <f>IF(K566="nio",0,(K566*Q566)/X566)*VLOOKUP(C566,'2-Uren per locatie'!$B$15:$D$74,3,FALSE)</f>
        <v>#DIV/0!</v>
      </c>
      <c r="S566" s="295" t="e">
        <f>IF(K566="nio",0,(L566*Q566)/Y566)*VLOOKUP(C566,'2-Uren per locatie'!$B$15:$D$74,3,FALSE)</f>
        <v>#DIV/0!</v>
      </c>
      <c r="T566" s="295" t="e">
        <f>IF(K566="nio",0,(M566*Q566)/Z566)*VLOOKUP(C566,'2-Uren per locatie'!$B$15:$D$74,3,FALSE)</f>
        <v>#DIV/0!</v>
      </c>
      <c r="U566" s="295" t="e">
        <f>IF(K566="nio",0,(N566*Q566)/AA566)*VLOOKUP(C566,'2-Uren per locatie'!$B$15:$D$74,3,FALSE)</f>
        <v>#DIV/0!</v>
      </c>
      <c r="V566" s="295" t="e">
        <f>IF(K566="nio",0,(O566*Q566)/Z566)*VLOOKUP(C566,'2-Uren per locatie'!$B$15:$D$74,3,FALSE)</f>
        <v>#DIV/0!</v>
      </c>
      <c r="W566" s="295" t="e">
        <f>IF(K566="nio",0,(P566*Q566)/AA566)*VLOOKUP(C566,'2-Uren per locatie'!$B$15:$D$74,3,FALSE)</f>
        <v>#DIV/0!</v>
      </c>
      <c r="X566" s="485">
        <f>IF(K566="nio",0,IF(K566&gt;0,VLOOKUP(H566,'3-Productie normen'!A:F,VLOOKUP(K566,'3-Productie normen'!$B$29:$C$34,2,FALSE),FALSE)))</f>
        <v>0</v>
      </c>
      <c r="Y566" s="485">
        <f>VLOOKUP(H566,'3-Productie normen'!$A$10:$J$24,8,FALSE)*'3-Ruimtestaat'!X566</f>
        <v>0</v>
      </c>
      <c r="Z566" s="485">
        <f>VLOOKUP(H566,'3-Productie normen'!$A$10:$J$24,9,FALSE)*'3-Ruimtestaat'!X566</f>
        <v>0</v>
      </c>
      <c r="AA566" s="485">
        <f>VLOOKUP(H566,'3-Productie normen'!$A$10:$J$24,10,FALSE)*'3-Ruimtestaat'!X566</f>
        <v>0</v>
      </c>
      <c r="AB566" s="292" t="str">
        <f>IF(H566="",0,VLOOKUP(H566,'3-Productie normen'!$A$10:$N$23,14,FALSE))</f>
        <v>V</v>
      </c>
      <c r="AD566" s="296">
        <f t="shared" si="20"/>
        <v>27922.5</v>
      </c>
      <c r="AE566" s="78"/>
      <c r="AF566" s="301"/>
      <c r="AG566" s="301"/>
      <c r="AH566" s="301"/>
      <c r="AI566" s="301"/>
      <c r="AJ566" s="301"/>
      <c r="AK566" s="301"/>
      <c r="AL566" s="301"/>
      <c r="AM566" s="301"/>
      <c r="AN566" s="301"/>
      <c r="AO566" s="301"/>
    </row>
    <row r="567" spans="1:41" ht="15" customHeight="1">
      <c r="A567" s="254">
        <v>567</v>
      </c>
      <c r="B567" s="253">
        <v>605</v>
      </c>
      <c r="C567" s="240" t="s">
        <v>113</v>
      </c>
      <c r="D567" s="288" t="s">
        <v>634</v>
      </c>
      <c r="E567" s="289" t="s">
        <v>766</v>
      </c>
      <c r="F567" s="239" t="s">
        <v>777</v>
      </c>
      <c r="G567" s="290" t="s">
        <v>778</v>
      </c>
      <c r="H567" s="291" t="s">
        <v>152</v>
      </c>
      <c r="I567" s="239" t="s">
        <v>402</v>
      </c>
      <c r="J567" s="424">
        <f t="shared" si="19"/>
        <v>365</v>
      </c>
      <c r="K567" s="425">
        <v>255</v>
      </c>
      <c r="L567" s="425"/>
      <c r="M567" s="425">
        <v>102</v>
      </c>
      <c r="N567" s="425"/>
      <c r="O567" s="425">
        <v>8</v>
      </c>
      <c r="P567" s="425"/>
      <c r="Q567" s="294">
        <v>75</v>
      </c>
      <c r="R567" s="295" t="e">
        <f>IF(K567="nio",0,(K567*Q567)/X567)*VLOOKUP(C567,'2-Uren per locatie'!$B$15:$D$74,3,FALSE)</f>
        <v>#DIV/0!</v>
      </c>
      <c r="S567" s="295" t="e">
        <f>IF(K567="nio",0,(L567*Q567)/Y567)*VLOOKUP(C567,'2-Uren per locatie'!$B$15:$D$74,3,FALSE)</f>
        <v>#DIV/0!</v>
      </c>
      <c r="T567" s="295" t="e">
        <f>IF(K567="nio",0,(M567*Q567)/Z567)*VLOOKUP(C567,'2-Uren per locatie'!$B$15:$D$74,3,FALSE)</f>
        <v>#DIV/0!</v>
      </c>
      <c r="U567" s="295" t="e">
        <f>IF(K567="nio",0,(N567*Q567)/AA567)*VLOOKUP(C567,'2-Uren per locatie'!$B$15:$D$74,3,FALSE)</f>
        <v>#DIV/0!</v>
      </c>
      <c r="V567" s="295" t="e">
        <f>IF(K567="nio",0,(O567*Q567)/Z567)*VLOOKUP(C567,'2-Uren per locatie'!$B$15:$D$74,3,FALSE)</f>
        <v>#DIV/0!</v>
      </c>
      <c r="W567" s="295" t="e">
        <f>IF(K567="nio",0,(P567*Q567)/AA567)*VLOOKUP(C567,'2-Uren per locatie'!$B$15:$D$74,3,FALSE)</f>
        <v>#DIV/0!</v>
      </c>
      <c r="X567" s="485">
        <f>IF(K567="nio",0,IF(K567&gt;0,VLOOKUP(H567,'3-Productie normen'!A:F,VLOOKUP(K567,'3-Productie normen'!$B$29:$C$34,2,FALSE),FALSE)))</f>
        <v>0</v>
      </c>
      <c r="Y567" s="485">
        <f>VLOOKUP(H567,'3-Productie normen'!$A$10:$J$24,8,FALSE)*'3-Ruimtestaat'!X567</f>
        <v>0</v>
      </c>
      <c r="Z567" s="485">
        <f>VLOOKUP(H567,'3-Productie normen'!$A$10:$J$24,9,FALSE)*'3-Ruimtestaat'!X567</f>
        <v>0</v>
      </c>
      <c r="AA567" s="485">
        <f>VLOOKUP(H567,'3-Productie normen'!$A$10:$J$24,10,FALSE)*'3-Ruimtestaat'!X567</f>
        <v>0</v>
      </c>
      <c r="AB567" s="292" t="str">
        <f>IF(H567="",0,VLOOKUP(H567,'3-Productie normen'!$A$10:$N$23,14,FALSE))</f>
        <v>V</v>
      </c>
      <c r="AD567" s="296">
        <f t="shared" si="20"/>
        <v>27375</v>
      </c>
      <c r="AE567" s="78"/>
      <c r="AF567" s="301"/>
      <c r="AG567" s="301"/>
      <c r="AH567" s="301"/>
      <c r="AI567" s="301"/>
      <c r="AJ567" s="301"/>
      <c r="AK567" s="301"/>
      <c r="AL567" s="301"/>
      <c r="AM567" s="301"/>
      <c r="AN567" s="301"/>
      <c r="AO567" s="301"/>
    </row>
    <row r="568" spans="1:41" ht="15" customHeight="1">
      <c r="A568" s="254">
        <v>568</v>
      </c>
      <c r="B568" s="253">
        <v>605</v>
      </c>
      <c r="C568" s="240" t="s">
        <v>113</v>
      </c>
      <c r="D568" s="288" t="s">
        <v>634</v>
      </c>
      <c r="E568" s="289" t="s">
        <v>766</v>
      </c>
      <c r="F568" s="239" t="s">
        <v>753</v>
      </c>
      <c r="G568" s="290" t="s">
        <v>779</v>
      </c>
      <c r="H568" s="291" t="s">
        <v>145</v>
      </c>
      <c r="I568" s="239" t="s">
        <v>637</v>
      </c>
      <c r="J568" s="424">
        <f t="shared" si="19"/>
        <v>365</v>
      </c>
      <c r="K568" s="425">
        <v>255</v>
      </c>
      <c r="L568" s="425"/>
      <c r="M568" s="425">
        <v>102</v>
      </c>
      <c r="N568" s="425"/>
      <c r="O568" s="425">
        <v>8</v>
      </c>
      <c r="P568" s="425"/>
      <c r="Q568" s="294">
        <v>55</v>
      </c>
      <c r="R568" s="295" t="e">
        <f>IF(K568="nio",0,(K568*Q568)/X568)*VLOOKUP(C568,'2-Uren per locatie'!$B$15:$D$74,3,FALSE)</f>
        <v>#DIV/0!</v>
      </c>
      <c r="S568" s="295" t="e">
        <f>IF(K568="nio",0,(L568*Q568)/Y568)*VLOOKUP(C568,'2-Uren per locatie'!$B$15:$D$74,3,FALSE)</f>
        <v>#DIV/0!</v>
      </c>
      <c r="T568" s="295" t="e">
        <f>IF(K568="nio",0,(M568*Q568)/Z568)*VLOOKUP(C568,'2-Uren per locatie'!$B$15:$D$74,3,FALSE)</f>
        <v>#DIV/0!</v>
      </c>
      <c r="U568" s="295" t="e">
        <f>IF(K568="nio",0,(N568*Q568)/AA568)*VLOOKUP(C568,'2-Uren per locatie'!$B$15:$D$74,3,FALSE)</f>
        <v>#DIV/0!</v>
      </c>
      <c r="V568" s="295" t="e">
        <f>IF(K568="nio",0,(O568*Q568)/Z568)*VLOOKUP(C568,'2-Uren per locatie'!$B$15:$D$74,3,FALSE)</f>
        <v>#DIV/0!</v>
      </c>
      <c r="W568" s="295" t="e">
        <f>IF(K568="nio",0,(P568*Q568)/AA568)*VLOOKUP(C568,'2-Uren per locatie'!$B$15:$D$74,3,FALSE)</f>
        <v>#DIV/0!</v>
      </c>
      <c r="X568" s="485">
        <f>IF(K568="nio",0,IF(K568&gt;0,VLOOKUP(H568,'3-Productie normen'!A:F,VLOOKUP(K568,'3-Productie normen'!$B$29:$C$34,2,FALSE),FALSE)))</f>
        <v>0</v>
      </c>
      <c r="Y568" s="485">
        <f>VLOOKUP(H568,'3-Productie normen'!$A$10:$J$24,8,FALSE)*'3-Ruimtestaat'!X568</f>
        <v>0</v>
      </c>
      <c r="Z568" s="485">
        <f>VLOOKUP(H568,'3-Productie normen'!$A$10:$J$24,9,FALSE)*'3-Ruimtestaat'!X568</f>
        <v>0</v>
      </c>
      <c r="AA568" s="485">
        <f>VLOOKUP(H568,'3-Productie normen'!$A$10:$J$24,10,FALSE)*'3-Ruimtestaat'!X568</f>
        <v>0</v>
      </c>
      <c r="AB568" s="292" t="str">
        <f>IF(H568="",0,VLOOKUP(H568,'3-Productie normen'!$A$10:$N$23,14,FALSE))</f>
        <v>V</v>
      </c>
      <c r="AD568" s="296">
        <f t="shared" si="20"/>
        <v>20075</v>
      </c>
      <c r="AE568" s="78"/>
      <c r="AF568" s="253"/>
      <c r="AG568" s="253"/>
      <c r="AH568" s="253"/>
      <c r="AI568" s="253"/>
      <c r="AJ568" s="253"/>
      <c r="AK568" s="253"/>
      <c r="AL568" s="253"/>
      <c r="AM568" s="253"/>
      <c r="AN568" s="253"/>
      <c r="AO568" s="253"/>
    </row>
    <row r="569" spans="1:41" ht="15" customHeight="1">
      <c r="A569" s="254">
        <v>569</v>
      </c>
      <c r="B569" s="253">
        <v>605</v>
      </c>
      <c r="C569" s="240" t="s">
        <v>113</v>
      </c>
      <c r="D569" s="288" t="s">
        <v>634</v>
      </c>
      <c r="E569" s="289" t="s">
        <v>766</v>
      </c>
      <c r="F569" s="239" t="s">
        <v>775</v>
      </c>
      <c r="G569" s="290" t="s">
        <v>780</v>
      </c>
      <c r="H569" s="291" t="s">
        <v>152</v>
      </c>
      <c r="I569" s="239" t="s">
        <v>402</v>
      </c>
      <c r="J569" s="424">
        <f t="shared" si="19"/>
        <v>365</v>
      </c>
      <c r="K569" s="425">
        <v>255</v>
      </c>
      <c r="L569" s="425"/>
      <c r="M569" s="425">
        <v>102</v>
      </c>
      <c r="N569" s="425"/>
      <c r="O569" s="425">
        <v>8</v>
      </c>
      <c r="P569" s="425"/>
      <c r="Q569" s="294">
        <v>76.5</v>
      </c>
      <c r="R569" s="295" t="e">
        <f>IF(K569="nio",0,(K569*Q569)/X569)*VLOOKUP(C569,'2-Uren per locatie'!$B$15:$D$74,3,FALSE)</f>
        <v>#DIV/0!</v>
      </c>
      <c r="S569" s="295" t="e">
        <f>IF(K569="nio",0,(L569*Q569)/Y569)*VLOOKUP(C569,'2-Uren per locatie'!$B$15:$D$74,3,FALSE)</f>
        <v>#DIV/0!</v>
      </c>
      <c r="T569" s="295" t="e">
        <f>IF(K569="nio",0,(M569*Q569)/Z569)*VLOOKUP(C569,'2-Uren per locatie'!$B$15:$D$74,3,FALSE)</f>
        <v>#DIV/0!</v>
      </c>
      <c r="U569" s="295" t="e">
        <f>IF(K569="nio",0,(N569*Q569)/AA569)*VLOOKUP(C569,'2-Uren per locatie'!$B$15:$D$74,3,FALSE)</f>
        <v>#DIV/0!</v>
      </c>
      <c r="V569" s="295" t="e">
        <f>IF(K569="nio",0,(O569*Q569)/Z569)*VLOOKUP(C569,'2-Uren per locatie'!$B$15:$D$74,3,FALSE)</f>
        <v>#DIV/0!</v>
      </c>
      <c r="W569" s="295" t="e">
        <f>IF(K569="nio",0,(P569*Q569)/AA569)*VLOOKUP(C569,'2-Uren per locatie'!$B$15:$D$74,3,FALSE)</f>
        <v>#DIV/0!</v>
      </c>
      <c r="X569" s="485">
        <f>IF(K569="nio",0,IF(K569&gt;0,VLOOKUP(H569,'3-Productie normen'!A:F,VLOOKUP(K569,'3-Productie normen'!$B$29:$C$34,2,FALSE),FALSE)))</f>
        <v>0</v>
      </c>
      <c r="Y569" s="485">
        <f>VLOOKUP(H569,'3-Productie normen'!$A$10:$J$24,8,FALSE)*'3-Ruimtestaat'!X569</f>
        <v>0</v>
      </c>
      <c r="Z569" s="485">
        <f>VLOOKUP(H569,'3-Productie normen'!$A$10:$J$24,9,FALSE)*'3-Ruimtestaat'!X569</f>
        <v>0</v>
      </c>
      <c r="AA569" s="485">
        <f>VLOOKUP(H569,'3-Productie normen'!$A$10:$J$24,10,FALSE)*'3-Ruimtestaat'!X569</f>
        <v>0</v>
      </c>
      <c r="AB569" s="292" t="str">
        <f>IF(H569="",0,VLOOKUP(H569,'3-Productie normen'!$A$10:$N$23,14,FALSE))</f>
        <v>V</v>
      </c>
      <c r="AD569" s="296">
        <f t="shared" si="20"/>
        <v>27922.5</v>
      </c>
      <c r="AE569" s="78"/>
      <c r="AF569" s="253"/>
      <c r="AG569" s="253"/>
      <c r="AH569" s="253"/>
      <c r="AI569" s="253"/>
      <c r="AJ569" s="253"/>
      <c r="AK569" s="253"/>
      <c r="AL569" s="253"/>
      <c r="AM569" s="253"/>
      <c r="AN569" s="253"/>
      <c r="AO569" s="253"/>
    </row>
    <row r="570" spans="1:41" ht="15" customHeight="1">
      <c r="A570" s="254">
        <v>570</v>
      </c>
      <c r="B570" s="253">
        <v>605</v>
      </c>
      <c r="C570" s="240" t="s">
        <v>113</v>
      </c>
      <c r="D570" s="288" t="s">
        <v>634</v>
      </c>
      <c r="E570" s="289" t="s">
        <v>766</v>
      </c>
      <c r="F570" s="239" t="s">
        <v>777</v>
      </c>
      <c r="G570" s="290" t="s">
        <v>781</v>
      </c>
      <c r="H570" s="291" t="s">
        <v>152</v>
      </c>
      <c r="I570" s="239" t="s">
        <v>402</v>
      </c>
      <c r="J570" s="424">
        <f t="shared" si="19"/>
        <v>365</v>
      </c>
      <c r="K570" s="425">
        <v>255</v>
      </c>
      <c r="L570" s="425"/>
      <c r="M570" s="425">
        <v>102</v>
      </c>
      <c r="N570" s="425"/>
      <c r="O570" s="425">
        <v>8</v>
      </c>
      <c r="P570" s="425"/>
      <c r="Q570" s="294">
        <v>75</v>
      </c>
      <c r="R570" s="295" t="e">
        <f>IF(K570="nio",0,(K570*Q570)/X570)*VLOOKUP(C570,'2-Uren per locatie'!$B$15:$D$74,3,FALSE)</f>
        <v>#DIV/0!</v>
      </c>
      <c r="S570" s="295" t="e">
        <f>IF(K570="nio",0,(L570*Q570)/Y570)*VLOOKUP(C570,'2-Uren per locatie'!$B$15:$D$74,3,FALSE)</f>
        <v>#DIV/0!</v>
      </c>
      <c r="T570" s="295" t="e">
        <f>IF(K570="nio",0,(M570*Q570)/Z570)*VLOOKUP(C570,'2-Uren per locatie'!$B$15:$D$74,3,FALSE)</f>
        <v>#DIV/0!</v>
      </c>
      <c r="U570" s="295" t="e">
        <f>IF(K570="nio",0,(N570*Q570)/AA570)*VLOOKUP(C570,'2-Uren per locatie'!$B$15:$D$74,3,FALSE)</f>
        <v>#DIV/0!</v>
      </c>
      <c r="V570" s="295" t="e">
        <f>IF(K570="nio",0,(O570*Q570)/Z570)*VLOOKUP(C570,'2-Uren per locatie'!$B$15:$D$74,3,FALSE)</f>
        <v>#DIV/0!</v>
      </c>
      <c r="W570" s="295" t="e">
        <f>IF(K570="nio",0,(P570*Q570)/AA570)*VLOOKUP(C570,'2-Uren per locatie'!$B$15:$D$74,3,FALSE)</f>
        <v>#DIV/0!</v>
      </c>
      <c r="X570" s="485">
        <f>IF(K570="nio",0,IF(K570&gt;0,VLOOKUP(H570,'3-Productie normen'!A:F,VLOOKUP(K570,'3-Productie normen'!$B$29:$C$34,2,FALSE),FALSE)))</f>
        <v>0</v>
      </c>
      <c r="Y570" s="485">
        <f>VLOOKUP(H570,'3-Productie normen'!$A$10:$J$24,8,FALSE)*'3-Ruimtestaat'!X570</f>
        <v>0</v>
      </c>
      <c r="Z570" s="485">
        <f>VLOOKUP(H570,'3-Productie normen'!$A$10:$J$24,9,FALSE)*'3-Ruimtestaat'!X570</f>
        <v>0</v>
      </c>
      <c r="AA570" s="485">
        <f>VLOOKUP(H570,'3-Productie normen'!$A$10:$J$24,10,FALSE)*'3-Ruimtestaat'!X570</f>
        <v>0</v>
      </c>
      <c r="AB570" s="292" t="str">
        <f>IF(H570="",0,VLOOKUP(H570,'3-Productie normen'!$A$10:$N$23,14,FALSE))</f>
        <v>V</v>
      </c>
      <c r="AD570" s="296">
        <f t="shared" si="20"/>
        <v>27375</v>
      </c>
      <c r="AE570" s="78"/>
      <c r="AF570" s="253"/>
      <c r="AG570" s="253"/>
      <c r="AH570" s="253"/>
      <c r="AI570" s="253"/>
      <c r="AJ570" s="253"/>
      <c r="AK570" s="253"/>
      <c r="AL570" s="253"/>
      <c r="AM570" s="253"/>
      <c r="AN570" s="253"/>
      <c r="AO570" s="253"/>
    </row>
    <row r="571" spans="1:41" ht="15" customHeight="1">
      <c r="A571" s="254">
        <v>571</v>
      </c>
      <c r="B571" s="253">
        <v>605</v>
      </c>
      <c r="C571" s="240" t="s">
        <v>113</v>
      </c>
      <c r="D571" s="288" t="s">
        <v>634</v>
      </c>
      <c r="E571" s="289" t="s">
        <v>766</v>
      </c>
      <c r="F571" s="239" t="s">
        <v>753</v>
      </c>
      <c r="G571" s="290" t="s">
        <v>782</v>
      </c>
      <c r="H571" s="291" t="s">
        <v>145</v>
      </c>
      <c r="I571" s="239" t="s">
        <v>637</v>
      </c>
      <c r="J571" s="424">
        <f t="shared" si="19"/>
        <v>365</v>
      </c>
      <c r="K571" s="425">
        <v>255</v>
      </c>
      <c r="L571" s="425"/>
      <c r="M571" s="425">
        <v>102</v>
      </c>
      <c r="N571" s="425"/>
      <c r="O571" s="425">
        <v>8</v>
      </c>
      <c r="P571" s="425"/>
      <c r="Q571" s="294">
        <v>60</v>
      </c>
      <c r="R571" s="295" t="e">
        <f>IF(K571="nio",0,(K571*Q571)/X571)*VLOOKUP(C571,'2-Uren per locatie'!$B$15:$D$74,3,FALSE)</f>
        <v>#DIV/0!</v>
      </c>
      <c r="S571" s="295" t="e">
        <f>IF(K571="nio",0,(L571*Q571)/Y571)*VLOOKUP(C571,'2-Uren per locatie'!$B$15:$D$74,3,FALSE)</f>
        <v>#DIV/0!</v>
      </c>
      <c r="T571" s="295" t="e">
        <f>IF(K571="nio",0,(M571*Q571)/Z571)*VLOOKUP(C571,'2-Uren per locatie'!$B$15:$D$74,3,FALSE)</f>
        <v>#DIV/0!</v>
      </c>
      <c r="U571" s="295" t="e">
        <f>IF(K571="nio",0,(N571*Q571)/AA571)*VLOOKUP(C571,'2-Uren per locatie'!$B$15:$D$74,3,FALSE)</f>
        <v>#DIV/0!</v>
      </c>
      <c r="V571" s="295" t="e">
        <f>IF(K571="nio",0,(O571*Q571)/Z571)*VLOOKUP(C571,'2-Uren per locatie'!$B$15:$D$74,3,FALSE)</f>
        <v>#DIV/0!</v>
      </c>
      <c r="W571" s="295" t="e">
        <f>IF(K571="nio",0,(P571*Q571)/AA571)*VLOOKUP(C571,'2-Uren per locatie'!$B$15:$D$74,3,FALSE)</f>
        <v>#DIV/0!</v>
      </c>
      <c r="X571" s="485">
        <f>IF(K571="nio",0,IF(K571&gt;0,VLOOKUP(H571,'3-Productie normen'!A:F,VLOOKUP(K571,'3-Productie normen'!$B$29:$C$34,2,FALSE),FALSE)))</f>
        <v>0</v>
      </c>
      <c r="Y571" s="485">
        <f>VLOOKUP(H571,'3-Productie normen'!$A$10:$J$24,8,FALSE)*'3-Ruimtestaat'!X571</f>
        <v>0</v>
      </c>
      <c r="Z571" s="485">
        <f>VLOOKUP(H571,'3-Productie normen'!$A$10:$J$24,9,FALSE)*'3-Ruimtestaat'!X571</f>
        <v>0</v>
      </c>
      <c r="AA571" s="485">
        <f>VLOOKUP(H571,'3-Productie normen'!$A$10:$J$24,10,FALSE)*'3-Ruimtestaat'!X571</f>
        <v>0</v>
      </c>
      <c r="AB571" s="292" t="str">
        <f>IF(H571="",0,VLOOKUP(H571,'3-Productie normen'!$A$10:$N$23,14,FALSE))</f>
        <v>V</v>
      </c>
      <c r="AD571" s="296">
        <f t="shared" si="20"/>
        <v>21900</v>
      </c>
      <c r="AE571" s="78"/>
      <c r="AF571" s="253"/>
      <c r="AG571" s="253"/>
      <c r="AH571" s="253"/>
      <c r="AI571" s="253"/>
      <c r="AJ571" s="253"/>
      <c r="AK571" s="253"/>
      <c r="AL571" s="253"/>
      <c r="AM571" s="253"/>
      <c r="AN571" s="253"/>
      <c r="AO571" s="253"/>
    </row>
    <row r="572" spans="1:41" ht="15" customHeight="1">
      <c r="A572" s="254">
        <v>572</v>
      </c>
      <c r="B572" s="253">
        <v>605</v>
      </c>
      <c r="C572" s="240" t="s">
        <v>113</v>
      </c>
      <c r="D572" s="288" t="s">
        <v>634</v>
      </c>
      <c r="E572" s="289" t="s">
        <v>783</v>
      </c>
      <c r="F572" s="239" t="s">
        <v>540</v>
      </c>
      <c r="G572" s="290" t="s">
        <v>784</v>
      </c>
      <c r="H572" s="291" t="s">
        <v>150</v>
      </c>
      <c r="I572" s="239" t="s">
        <v>637</v>
      </c>
      <c r="J572" s="424">
        <f t="shared" si="19"/>
        <v>365</v>
      </c>
      <c r="K572" s="425">
        <v>255</v>
      </c>
      <c r="L572" s="425"/>
      <c r="M572" s="425">
        <v>102</v>
      </c>
      <c r="N572" s="425"/>
      <c r="O572" s="425">
        <v>8</v>
      </c>
      <c r="P572" s="425"/>
      <c r="Q572" s="294">
        <v>22.75</v>
      </c>
      <c r="R572" s="295" t="e">
        <f>IF(K572="nio",0,(K572*Q572)/X572)*VLOOKUP(C572,'2-Uren per locatie'!$B$15:$D$74,3,FALSE)</f>
        <v>#DIV/0!</v>
      </c>
      <c r="S572" s="295" t="e">
        <f>IF(K572="nio",0,(L572*Q572)/Y572)*VLOOKUP(C572,'2-Uren per locatie'!$B$15:$D$74,3,FALSE)</f>
        <v>#DIV/0!</v>
      </c>
      <c r="T572" s="295" t="e">
        <f>IF(K572="nio",0,(M572*Q572)/Z572)*VLOOKUP(C572,'2-Uren per locatie'!$B$15:$D$74,3,FALSE)</f>
        <v>#DIV/0!</v>
      </c>
      <c r="U572" s="295" t="e">
        <f>IF(K572="nio",0,(N572*Q572)/AA572)*VLOOKUP(C572,'2-Uren per locatie'!$B$15:$D$74,3,FALSE)</f>
        <v>#DIV/0!</v>
      </c>
      <c r="V572" s="295" t="e">
        <f>IF(K572="nio",0,(O572*Q572)/Z572)*VLOOKUP(C572,'2-Uren per locatie'!$B$15:$D$74,3,FALSE)</f>
        <v>#DIV/0!</v>
      </c>
      <c r="W572" s="295" t="e">
        <f>IF(K572="nio",0,(P572*Q572)/AA572)*VLOOKUP(C572,'2-Uren per locatie'!$B$15:$D$74,3,FALSE)</f>
        <v>#DIV/0!</v>
      </c>
      <c r="X572" s="485">
        <f>IF(K572="nio",0,IF(K572&gt;0,VLOOKUP(H572,'3-Productie normen'!A:F,VLOOKUP(K572,'3-Productie normen'!$B$29:$C$34,2,FALSE),FALSE)))</f>
        <v>0</v>
      </c>
      <c r="Y572" s="485">
        <f>VLOOKUP(H572,'3-Productie normen'!$A$10:$J$24,8,FALSE)*'3-Ruimtestaat'!X572</f>
        <v>0</v>
      </c>
      <c r="Z572" s="485">
        <f>VLOOKUP(H572,'3-Productie normen'!$A$10:$J$24,9,FALSE)*'3-Ruimtestaat'!X572</f>
        <v>0</v>
      </c>
      <c r="AA572" s="485">
        <f>VLOOKUP(H572,'3-Productie normen'!$A$10:$J$24,10,FALSE)*'3-Ruimtestaat'!X572</f>
        <v>0</v>
      </c>
      <c r="AB572" s="292" t="str">
        <f>IF(H572="",0,VLOOKUP(H572,'3-Productie normen'!$A$10:$N$23,14,FALSE))</f>
        <v>V</v>
      </c>
      <c r="AD572" s="296">
        <f t="shared" si="20"/>
        <v>8303.75</v>
      </c>
      <c r="AE572" s="78"/>
      <c r="AF572" s="253"/>
      <c r="AG572" s="253"/>
      <c r="AH572" s="253"/>
      <c r="AI572" s="253"/>
      <c r="AJ572" s="253"/>
      <c r="AK572" s="253"/>
      <c r="AL572" s="253"/>
      <c r="AM572" s="253"/>
      <c r="AN572" s="253"/>
      <c r="AO572" s="253"/>
    </row>
    <row r="573" spans="1:41" ht="15" customHeight="1">
      <c r="A573" s="254">
        <v>573</v>
      </c>
      <c r="B573" s="253">
        <v>605</v>
      </c>
      <c r="C573" s="240" t="s">
        <v>113</v>
      </c>
      <c r="D573" s="288" t="s">
        <v>634</v>
      </c>
      <c r="E573" s="289" t="s">
        <v>783</v>
      </c>
      <c r="F573" s="239" t="s">
        <v>150</v>
      </c>
      <c r="G573" s="290" t="s">
        <v>785</v>
      </c>
      <c r="H573" s="291" t="s">
        <v>150</v>
      </c>
      <c r="I573" s="239" t="s">
        <v>637</v>
      </c>
      <c r="J573" s="424">
        <f t="shared" si="19"/>
        <v>365</v>
      </c>
      <c r="K573" s="425">
        <v>255</v>
      </c>
      <c r="L573" s="425"/>
      <c r="M573" s="425">
        <v>102</v>
      </c>
      <c r="N573" s="425"/>
      <c r="O573" s="425">
        <v>8</v>
      </c>
      <c r="P573" s="425"/>
      <c r="Q573" s="294">
        <v>10</v>
      </c>
      <c r="R573" s="295" t="e">
        <f>IF(K573="nio",0,(K573*Q573)/X573)*VLOOKUP(C573,'2-Uren per locatie'!$B$15:$D$74,3,FALSE)</f>
        <v>#DIV/0!</v>
      </c>
      <c r="S573" s="295" t="e">
        <f>IF(K573="nio",0,(L573*Q573)/Y573)*VLOOKUP(C573,'2-Uren per locatie'!$B$15:$D$74,3,FALSE)</f>
        <v>#DIV/0!</v>
      </c>
      <c r="T573" s="295" t="e">
        <f>IF(K573="nio",0,(M573*Q573)/Z573)*VLOOKUP(C573,'2-Uren per locatie'!$B$15:$D$74,3,FALSE)</f>
        <v>#DIV/0!</v>
      </c>
      <c r="U573" s="295" t="e">
        <f>IF(K573="nio",0,(N573*Q573)/AA573)*VLOOKUP(C573,'2-Uren per locatie'!$B$15:$D$74,3,FALSE)</f>
        <v>#DIV/0!</v>
      </c>
      <c r="V573" s="295" t="e">
        <f>IF(K573="nio",0,(O573*Q573)/Z573)*VLOOKUP(C573,'2-Uren per locatie'!$B$15:$D$74,3,FALSE)</f>
        <v>#DIV/0!</v>
      </c>
      <c r="W573" s="295" t="e">
        <f>IF(K573="nio",0,(P573*Q573)/AA573)*VLOOKUP(C573,'2-Uren per locatie'!$B$15:$D$74,3,FALSE)</f>
        <v>#DIV/0!</v>
      </c>
      <c r="X573" s="485">
        <f>IF(K573="nio",0,IF(K573&gt;0,VLOOKUP(H573,'3-Productie normen'!A:F,VLOOKUP(K573,'3-Productie normen'!$B$29:$C$34,2,FALSE),FALSE)))</f>
        <v>0</v>
      </c>
      <c r="Y573" s="485">
        <f>VLOOKUP(H573,'3-Productie normen'!$A$10:$J$24,8,FALSE)*'3-Ruimtestaat'!X573</f>
        <v>0</v>
      </c>
      <c r="Z573" s="485">
        <f>VLOOKUP(H573,'3-Productie normen'!$A$10:$J$24,9,FALSE)*'3-Ruimtestaat'!X573</f>
        <v>0</v>
      </c>
      <c r="AA573" s="485">
        <f>VLOOKUP(H573,'3-Productie normen'!$A$10:$J$24,10,FALSE)*'3-Ruimtestaat'!X573</f>
        <v>0</v>
      </c>
      <c r="AB573" s="292" t="str">
        <f>IF(H573="",0,VLOOKUP(H573,'3-Productie normen'!$A$10:$N$23,14,FALSE))</f>
        <v>V</v>
      </c>
      <c r="AD573" s="296">
        <f t="shared" si="20"/>
        <v>3650</v>
      </c>
      <c r="AE573" s="78"/>
      <c r="AF573" s="253"/>
      <c r="AG573" s="253"/>
      <c r="AH573" s="253"/>
      <c r="AI573" s="253"/>
      <c r="AJ573" s="253"/>
      <c r="AK573" s="253"/>
      <c r="AL573" s="253"/>
      <c r="AM573" s="253"/>
      <c r="AN573" s="253"/>
      <c r="AO573" s="253"/>
    </row>
    <row r="574" spans="1:41" ht="15" customHeight="1">
      <c r="A574" s="254">
        <v>574</v>
      </c>
      <c r="B574" s="253">
        <v>605</v>
      </c>
      <c r="C574" s="240" t="s">
        <v>113</v>
      </c>
      <c r="D574" s="288" t="s">
        <v>634</v>
      </c>
      <c r="E574" s="289" t="s">
        <v>783</v>
      </c>
      <c r="F574" s="239" t="s">
        <v>231</v>
      </c>
      <c r="G574" s="290" t="s">
        <v>786</v>
      </c>
      <c r="H574" s="291" t="s">
        <v>153</v>
      </c>
      <c r="I574" s="239" t="s">
        <v>637</v>
      </c>
      <c r="J574" s="424">
        <f t="shared" si="19"/>
        <v>365</v>
      </c>
      <c r="K574" s="425">
        <v>255</v>
      </c>
      <c r="L574" s="425"/>
      <c r="M574" s="425">
        <v>102</v>
      </c>
      <c r="N574" s="425"/>
      <c r="O574" s="425">
        <v>8</v>
      </c>
      <c r="P574" s="425"/>
      <c r="Q574" s="294">
        <v>2</v>
      </c>
      <c r="R574" s="295" t="e">
        <f>IF(K574="nio",0,(K574*Q574)/X574)*VLOOKUP(C574,'2-Uren per locatie'!$B$15:$D$74,3,FALSE)</f>
        <v>#DIV/0!</v>
      </c>
      <c r="S574" s="295" t="e">
        <f>IF(K574="nio",0,(L574*Q574)/Y574)*VLOOKUP(C574,'2-Uren per locatie'!$B$15:$D$74,3,FALSE)</f>
        <v>#DIV/0!</v>
      </c>
      <c r="T574" s="295" t="e">
        <f>IF(K574="nio",0,(M574*Q574)/Z574)*VLOOKUP(C574,'2-Uren per locatie'!$B$15:$D$74,3,FALSE)</f>
        <v>#DIV/0!</v>
      </c>
      <c r="U574" s="295" t="e">
        <f>IF(K574="nio",0,(N574*Q574)/AA574)*VLOOKUP(C574,'2-Uren per locatie'!$B$15:$D$74,3,FALSE)</f>
        <v>#DIV/0!</v>
      </c>
      <c r="V574" s="295" t="e">
        <f>IF(K574="nio",0,(O574*Q574)/Z574)*VLOOKUP(C574,'2-Uren per locatie'!$B$15:$D$74,3,FALSE)</f>
        <v>#DIV/0!</v>
      </c>
      <c r="W574" s="295" t="e">
        <f>IF(K574="nio",0,(P574*Q574)/AA574)*VLOOKUP(C574,'2-Uren per locatie'!$B$15:$D$74,3,FALSE)</f>
        <v>#DIV/0!</v>
      </c>
      <c r="X574" s="485">
        <f>IF(K574="nio",0,IF(K574&gt;0,VLOOKUP(H574,'3-Productie normen'!A:F,VLOOKUP(K574,'3-Productie normen'!$B$29:$C$34,2,FALSE),FALSE)))</f>
        <v>0</v>
      </c>
      <c r="Y574" s="485">
        <f>VLOOKUP(H574,'3-Productie normen'!$A$10:$J$24,8,FALSE)*'3-Ruimtestaat'!X574</f>
        <v>0</v>
      </c>
      <c r="Z574" s="485">
        <f>VLOOKUP(H574,'3-Productie normen'!$A$10:$J$24,9,FALSE)*'3-Ruimtestaat'!X574</f>
        <v>0</v>
      </c>
      <c r="AA574" s="485">
        <f>VLOOKUP(H574,'3-Productie normen'!$A$10:$J$24,10,FALSE)*'3-Ruimtestaat'!X574</f>
        <v>0</v>
      </c>
      <c r="AB574" s="292" t="str">
        <f>IF(H574="",0,VLOOKUP(H574,'3-Productie normen'!$A$10:$N$23,14,FALSE))</f>
        <v>S</v>
      </c>
      <c r="AD574" s="296">
        <f t="shared" si="20"/>
        <v>730</v>
      </c>
      <c r="AE574" s="78"/>
      <c r="AF574" s="253"/>
      <c r="AG574" s="253"/>
      <c r="AH574" s="253"/>
      <c r="AI574" s="253"/>
      <c r="AJ574" s="253"/>
      <c r="AK574" s="253"/>
      <c r="AL574" s="253"/>
      <c r="AM574" s="253"/>
      <c r="AN574" s="253"/>
      <c r="AO574" s="253"/>
    </row>
    <row r="575" spans="1:41" ht="15" customHeight="1">
      <c r="A575" s="254">
        <v>575</v>
      </c>
      <c r="B575" s="253">
        <v>605</v>
      </c>
      <c r="C575" s="240" t="s">
        <v>113</v>
      </c>
      <c r="D575" s="288" t="s">
        <v>634</v>
      </c>
      <c r="E575" s="289" t="s">
        <v>783</v>
      </c>
      <c r="F575" s="239" t="s">
        <v>231</v>
      </c>
      <c r="G575" s="290" t="s">
        <v>787</v>
      </c>
      <c r="H575" s="291" t="s">
        <v>153</v>
      </c>
      <c r="I575" s="239" t="s">
        <v>637</v>
      </c>
      <c r="J575" s="424">
        <f t="shared" si="19"/>
        <v>365</v>
      </c>
      <c r="K575" s="425">
        <v>255</v>
      </c>
      <c r="L575" s="425"/>
      <c r="M575" s="425">
        <v>102</v>
      </c>
      <c r="N575" s="425"/>
      <c r="O575" s="425">
        <v>8</v>
      </c>
      <c r="P575" s="425"/>
      <c r="Q575" s="294">
        <v>2</v>
      </c>
      <c r="R575" s="295" t="e">
        <f>IF(K575="nio",0,(K575*Q575)/X575)*VLOOKUP(C575,'2-Uren per locatie'!$B$15:$D$74,3,FALSE)</f>
        <v>#DIV/0!</v>
      </c>
      <c r="S575" s="295" t="e">
        <f>IF(K575="nio",0,(L575*Q575)/Y575)*VLOOKUP(C575,'2-Uren per locatie'!$B$15:$D$74,3,FALSE)</f>
        <v>#DIV/0!</v>
      </c>
      <c r="T575" s="295" t="e">
        <f>IF(K575="nio",0,(M575*Q575)/Z575)*VLOOKUP(C575,'2-Uren per locatie'!$B$15:$D$74,3,FALSE)</f>
        <v>#DIV/0!</v>
      </c>
      <c r="U575" s="295" t="e">
        <f>IF(K575="nio",0,(N575*Q575)/AA575)*VLOOKUP(C575,'2-Uren per locatie'!$B$15:$D$74,3,FALSE)</f>
        <v>#DIV/0!</v>
      </c>
      <c r="V575" s="295" t="e">
        <f>IF(K575="nio",0,(O575*Q575)/Z575)*VLOOKUP(C575,'2-Uren per locatie'!$B$15:$D$74,3,FALSE)</f>
        <v>#DIV/0!</v>
      </c>
      <c r="W575" s="295" t="e">
        <f>IF(K575="nio",0,(P575*Q575)/AA575)*VLOOKUP(C575,'2-Uren per locatie'!$B$15:$D$74,3,FALSE)</f>
        <v>#DIV/0!</v>
      </c>
      <c r="X575" s="485">
        <f>IF(K575="nio",0,IF(K575&gt;0,VLOOKUP(H575,'3-Productie normen'!A:F,VLOOKUP(K575,'3-Productie normen'!$B$29:$C$34,2,FALSE),FALSE)))</f>
        <v>0</v>
      </c>
      <c r="Y575" s="485">
        <f>VLOOKUP(H575,'3-Productie normen'!$A$10:$J$24,8,FALSE)*'3-Ruimtestaat'!X575</f>
        <v>0</v>
      </c>
      <c r="Z575" s="485">
        <f>VLOOKUP(H575,'3-Productie normen'!$A$10:$J$24,9,FALSE)*'3-Ruimtestaat'!X575</f>
        <v>0</v>
      </c>
      <c r="AA575" s="485">
        <f>VLOOKUP(H575,'3-Productie normen'!$A$10:$J$24,10,FALSE)*'3-Ruimtestaat'!X575</f>
        <v>0</v>
      </c>
      <c r="AB575" s="292" t="str">
        <f>IF(H575="",0,VLOOKUP(H575,'3-Productie normen'!$A$10:$N$23,14,FALSE))</f>
        <v>S</v>
      </c>
      <c r="AD575" s="296">
        <f t="shared" si="20"/>
        <v>730</v>
      </c>
      <c r="AE575" s="78"/>
      <c r="AF575" s="253"/>
      <c r="AG575" s="253"/>
      <c r="AH575" s="253"/>
      <c r="AI575" s="253"/>
      <c r="AJ575" s="253"/>
      <c r="AK575" s="253"/>
      <c r="AL575" s="253"/>
      <c r="AM575" s="253"/>
      <c r="AN575" s="253"/>
      <c r="AO575" s="253"/>
    </row>
    <row r="576" spans="1:41" ht="15" customHeight="1">
      <c r="A576" s="254">
        <v>576</v>
      </c>
      <c r="B576" s="253">
        <v>605</v>
      </c>
      <c r="C576" s="240" t="s">
        <v>113</v>
      </c>
      <c r="D576" s="288" t="s">
        <v>634</v>
      </c>
      <c r="E576" s="289" t="s">
        <v>783</v>
      </c>
      <c r="F576" s="239" t="s">
        <v>788</v>
      </c>
      <c r="G576" s="290" t="s">
        <v>789</v>
      </c>
      <c r="H576" s="291" t="s">
        <v>149</v>
      </c>
      <c r="I576" s="239" t="s">
        <v>325</v>
      </c>
      <c r="J576" s="424">
        <f t="shared" si="19"/>
        <v>365</v>
      </c>
      <c r="K576" s="425">
        <v>255</v>
      </c>
      <c r="L576" s="425"/>
      <c r="M576" s="425">
        <v>102</v>
      </c>
      <c r="N576" s="425"/>
      <c r="O576" s="425">
        <v>8</v>
      </c>
      <c r="P576" s="425"/>
      <c r="Q576" s="294">
        <v>10</v>
      </c>
      <c r="R576" s="295" t="e">
        <f>IF(K576="nio",0,(K576*Q576)/X576)*VLOOKUP(C576,'2-Uren per locatie'!$B$15:$D$74,3,FALSE)</f>
        <v>#DIV/0!</v>
      </c>
      <c r="S576" s="295" t="e">
        <f>IF(K576="nio",0,(L576*Q576)/Y576)*VLOOKUP(C576,'2-Uren per locatie'!$B$15:$D$74,3,FALSE)</f>
        <v>#DIV/0!</v>
      </c>
      <c r="T576" s="295" t="e">
        <f>IF(K576="nio",0,(M576*Q576)/Z576)*VLOOKUP(C576,'2-Uren per locatie'!$B$15:$D$74,3,FALSE)</f>
        <v>#DIV/0!</v>
      </c>
      <c r="U576" s="295" t="e">
        <f>IF(K576="nio",0,(N576*Q576)/AA576)*VLOOKUP(C576,'2-Uren per locatie'!$B$15:$D$74,3,FALSE)</f>
        <v>#DIV/0!</v>
      </c>
      <c r="V576" s="295" t="e">
        <f>IF(K576="nio",0,(O576*Q576)/Z576)*VLOOKUP(C576,'2-Uren per locatie'!$B$15:$D$74,3,FALSE)</f>
        <v>#DIV/0!</v>
      </c>
      <c r="W576" s="295" t="e">
        <f>IF(K576="nio",0,(P576*Q576)/AA576)*VLOOKUP(C576,'2-Uren per locatie'!$B$15:$D$74,3,FALSE)</f>
        <v>#DIV/0!</v>
      </c>
      <c r="X576" s="485">
        <f>IF(K576="nio",0,IF(K576&gt;0,VLOOKUP(H576,'3-Productie normen'!A:F,VLOOKUP(K576,'3-Productie normen'!$B$29:$C$34,2,FALSE),FALSE)))</f>
        <v>0</v>
      </c>
      <c r="Y576" s="485">
        <f>VLOOKUP(H576,'3-Productie normen'!$A$10:$J$24,8,FALSE)*'3-Ruimtestaat'!X576</f>
        <v>0</v>
      </c>
      <c r="Z576" s="485">
        <f>VLOOKUP(H576,'3-Productie normen'!$A$10:$J$24,9,FALSE)*'3-Ruimtestaat'!X576</f>
        <v>0</v>
      </c>
      <c r="AA576" s="485">
        <f>VLOOKUP(H576,'3-Productie normen'!$A$10:$J$24,10,FALSE)*'3-Ruimtestaat'!X576</f>
        <v>0</v>
      </c>
      <c r="AB576" s="292" t="str">
        <f>IF(H576="",0,VLOOKUP(H576,'3-Productie normen'!$A$10:$N$23,14,FALSE))</f>
        <v>V</v>
      </c>
      <c r="AD576" s="296">
        <f t="shared" si="20"/>
        <v>3650</v>
      </c>
      <c r="AE576" s="78"/>
      <c r="AF576" s="253"/>
      <c r="AG576" s="253"/>
      <c r="AH576" s="253"/>
      <c r="AI576" s="253"/>
      <c r="AJ576" s="253"/>
      <c r="AK576" s="253"/>
      <c r="AL576" s="253"/>
      <c r="AM576" s="253"/>
      <c r="AN576" s="253"/>
      <c r="AO576" s="253"/>
    </row>
    <row r="577" spans="1:41" ht="15" customHeight="1">
      <c r="A577" s="254">
        <v>577</v>
      </c>
      <c r="B577" s="253">
        <v>605</v>
      </c>
      <c r="C577" s="240" t="s">
        <v>113</v>
      </c>
      <c r="D577" s="288" t="s">
        <v>634</v>
      </c>
      <c r="E577" s="289" t="s">
        <v>783</v>
      </c>
      <c r="F577" s="239" t="s">
        <v>376</v>
      </c>
      <c r="G577" s="290" t="s">
        <v>676</v>
      </c>
      <c r="H577" s="291" t="s">
        <v>149</v>
      </c>
      <c r="I577" s="239" t="s">
        <v>402</v>
      </c>
      <c r="J577" s="424">
        <f t="shared" ref="J577:J639" si="21">SUM(K577:P577)</f>
        <v>365</v>
      </c>
      <c r="K577" s="425">
        <v>255</v>
      </c>
      <c r="L577" s="425"/>
      <c r="M577" s="425">
        <v>102</v>
      </c>
      <c r="N577" s="425"/>
      <c r="O577" s="425">
        <v>8</v>
      </c>
      <c r="P577" s="425"/>
      <c r="Q577" s="294">
        <v>2</v>
      </c>
      <c r="R577" s="295" t="e">
        <f>IF(K577="nio",0,(K577*Q577)/X577)*VLOOKUP(C577,'2-Uren per locatie'!$B$15:$D$74,3,FALSE)</f>
        <v>#DIV/0!</v>
      </c>
      <c r="S577" s="295" t="e">
        <f>IF(K577="nio",0,(L577*Q577)/Y577)*VLOOKUP(C577,'2-Uren per locatie'!$B$15:$D$74,3,FALSE)</f>
        <v>#DIV/0!</v>
      </c>
      <c r="T577" s="295" t="e">
        <f>IF(K577="nio",0,(M577*Q577)/Z577)*VLOOKUP(C577,'2-Uren per locatie'!$B$15:$D$74,3,FALSE)</f>
        <v>#DIV/0!</v>
      </c>
      <c r="U577" s="295" t="e">
        <f>IF(K577="nio",0,(N577*Q577)/AA577)*VLOOKUP(C577,'2-Uren per locatie'!$B$15:$D$74,3,FALSE)</f>
        <v>#DIV/0!</v>
      </c>
      <c r="V577" s="295" t="e">
        <f>IF(K577="nio",0,(O577*Q577)/Z577)*VLOOKUP(C577,'2-Uren per locatie'!$B$15:$D$74,3,FALSE)</f>
        <v>#DIV/0!</v>
      </c>
      <c r="W577" s="295" t="e">
        <f>IF(K577="nio",0,(P577*Q577)/AA577)*VLOOKUP(C577,'2-Uren per locatie'!$B$15:$D$74,3,FALSE)</f>
        <v>#DIV/0!</v>
      </c>
      <c r="X577" s="485">
        <f>IF(K577="nio",0,IF(K577&gt;0,VLOOKUP(H577,'3-Productie normen'!A:F,VLOOKUP(K577,'3-Productie normen'!$B$29:$C$34,2,FALSE),FALSE)))</f>
        <v>0</v>
      </c>
      <c r="Y577" s="485">
        <f>VLOOKUP(H577,'3-Productie normen'!$A$10:$J$24,8,FALSE)*'3-Ruimtestaat'!X577</f>
        <v>0</v>
      </c>
      <c r="Z577" s="485">
        <f>VLOOKUP(H577,'3-Productie normen'!$A$10:$J$24,9,FALSE)*'3-Ruimtestaat'!X577</f>
        <v>0</v>
      </c>
      <c r="AA577" s="485">
        <f>VLOOKUP(H577,'3-Productie normen'!$A$10:$J$24,10,FALSE)*'3-Ruimtestaat'!X577</f>
        <v>0</v>
      </c>
      <c r="AB577" s="292" t="str">
        <f>IF(H577="",0,VLOOKUP(H577,'3-Productie normen'!$A$10:$N$23,14,FALSE))</f>
        <v>V</v>
      </c>
      <c r="AD577" s="296">
        <f t="shared" si="20"/>
        <v>730</v>
      </c>
      <c r="AE577" s="78"/>
      <c r="AF577" s="253"/>
      <c r="AG577" s="253"/>
      <c r="AH577" s="253"/>
      <c r="AI577" s="253"/>
      <c r="AJ577" s="253"/>
      <c r="AK577" s="253"/>
      <c r="AL577" s="253"/>
      <c r="AM577" s="253"/>
      <c r="AN577" s="253"/>
      <c r="AO577" s="253"/>
    </row>
    <row r="578" spans="1:41" ht="15" customHeight="1">
      <c r="A578" s="254">
        <v>578</v>
      </c>
      <c r="B578" s="253">
        <v>605</v>
      </c>
      <c r="C578" s="240" t="s">
        <v>113</v>
      </c>
      <c r="D578" s="288" t="s">
        <v>634</v>
      </c>
      <c r="E578" s="289" t="s">
        <v>783</v>
      </c>
      <c r="F578" s="239" t="s">
        <v>376</v>
      </c>
      <c r="G578" s="290" t="s">
        <v>674</v>
      </c>
      <c r="H578" s="291" t="s">
        <v>149</v>
      </c>
      <c r="I578" s="239" t="s">
        <v>402</v>
      </c>
      <c r="J578" s="424">
        <f t="shared" si="21"/>
        <v>365</v>
      </c>
      <c r="K578" s="425">
        <v>255</v>
      </c>
      <c r="L578" s="425"/>
      <c r="M578" s="425">
        <v>102</v>
      </c>
      <c r="N578" s="425"/>
      <c r="O578" s="425">
        <v>8</v>
      </c>
      <c r="P578" s="425"/>
      <c r="Q578" s="294">
        <v>2</v>
      </c>
      <c r="R578" s="295" t="e">
        <f>IF(K578="nio",0,(K578*Q578)/X578)*VLOOKUP(C578,'2-Uren per locatie'!$B$15:$D$74,3,FALSE)</f>
        <v>#DIV/0!</v>
      </c>
      <c r="S578" s="295" t="e">
        <f>IF(K578="nio",0,(L578*Q578)/Y578)*VLOOKUP(C578,'2-Uren per locatie'!$B$15:$D$74,3,FALSE)</f>
        <v>#DIV/0!</v>
      </c>
      <c r="T578" s="295" t="e">
        <f>IF(K578="nio",0,(M578*Q578)/Z578)*VLOOKUP(C578,'2-Uren per locatie'!$B$15:$D$74,3,FALSE)</f>
        <v>#DIV/0!</v>
      </c>
      <c r="U578" s="295" t="e">
        <f>IF(K578="nio",0,(N578*Q578)/AA578)*VLOOKUP(C578,'2-Uren per locatie'!$B$15:$D$74,3,FALSE)</f>
        <v>#DIV/0!</v>
      </c>
      <c r="V578" s="295" t="e">
        <f>IF(K578="nio",0,(O578*Q578)/Z578)*VLOOKUP(C578,'2-Uren per locatie'!$B$15:$D$74,3,FALSE)</f>
        <v>#DIV/0!</v>
      </c>
      <c r="W578" s="295" t="e">
        <f>IF(K578="nio",0,(P578*Q578)/AA578)*VLOOKUP(C578,'2-Uren per locatie'!$B$15:$D$74,3,FALSE)</f>
        <v>#DIV/0!</v>
      </c>
      <c r="X578" s="485">
        <f>IF(K578="nio",0,IF(K578&gt;0,VLOOKUP(H578,'3-Productie normen'!A:F,VLOOKUP(K578,'3-Productie normen'!$B$29:$C$34,2,FALSE),FALSE)))</f>
        <v>0</v>
      </c>
      <c r="Y578" s="485">
        <f>VLOOKUP(H578,'3-Productie normen'!$A$10:$J$24,8,FALSE)*'3-Ruimtestaat'!X578</f>
        <v>0</v>
      </c>
      <c r="Z578" s="485">
        <f>VLOOKUP(H578,'3-Productie normen'!$A$10:$J$24,9,FALSE)*'3-Ruimtestaat'!X578</f>
        <v>0</v>
      </c>
      <c r="AA578" s="485">
        <f>VLOOKUP(H578,'3-Productie normen'!$A$10:$J$24,10,FALSE)*'3-Ruimtestaat'!X578</f>
        <v>0</v>
      </c>
      <c r="AB578" s="292" t="str">
        <f>IF(H578="",0,VLOOKUP(H578,'3-Productie normen'!$A$10:$N$23,14,FALSE))</f>
        <v>V</v>
      </c>
      <c r="AD578" s="296">
        <f t="shared" si="20"/>
        <v>730</v>
      </c>
      <c r="AE578" s="78"/>
      <c r="AF578" s="253"/>
      <c r="AG578" s="253"/>
      <c r="AH578" s="253"/>
      <c r="AI578" s="253"/>
      <c r="AJ578" s="253"/>
      <c r="AK578" s="253"/>
      <c r="AL578" s="253"/>
      <c r="AM578" s="253"/>
      <c r="AN578" s="253"/>
      <c r="AO578" s="253"/>
    </row>
    <row r="579" spans="1:41" ht="15" customHeight="1">
      <c r="A579" s="254">
        <v>579</v>
      </c>
      <c r="B579" s="253">
        <v>605</v>
      </c>
      <c r="C579" s="240" t="s">
        <v>113</v>
      </c>
      <c r="D579" s="288" t="s">
        <v>634</v>
      </c>
      <c r="E579" s="289" t="s">
        <v>783</v>
      </c>
      <c r="F579" s="239" t="s">
        <v>210</v>
      </c>
      <c r="G579" s="290" t="s">
        <v>790</v>
      </c>
      <c r="H579" s="291" t="s">
        <v>145</v>
      </c>
      <c r="I579" s="239" t="s">
        <v>637</v>
      </c>
      <c r="J579" s="424">
        <f t="shared" si="21"/>
        <v>365</v>
      </c>
      <c r="K579" s="425">
        <v>255</v>
      </c>
      <c r="L579" s="425"/>
      <c r="M579" s="425">
        <v>102</v>
      </c>
      <c r="N579" s="425"/>
      <c r="O579" s="425">
        <v>8</v>
      </c>
      <c r="P579" s="425"/>
      <c r="Q579" s="294">
        <v>565</v>
      </c>
      <c r="R579" s="295" t="e">
        <f>IF(K579="nio",0,(K579*Q579)/X579)*VLOOKUP(C579,'2-Uren per locatie'!$B$15:$D$74,3,FALSE)</f>
        <v>#DIV/0!</v>
      </c>
      <c r="S579" s="295" t="e">
        <f>IF(K579="nio",0,(L579*Q579)/Y579)*VLOOKUP(C579,'2-Uren per locatie'!$B$15:$D$74,3,FALSE)</f>
        <v>#DIV/0!</v>
      </c>
      <c r="T579" s="295" t="e">
        <f>IF(K579="nio",0,(M579*Q579)/Z579)*VLOOKUP(C579,'2-Uren per locatie'!$B$15:$D$74,3,FALSE)</f>
        <v>#DIV/0!</v>
      </c>
      <c r="U579" s="295" t="e">
        <f>IF(K579="nio",0,(N579*Q579)/AA579)*VLOOKUP(C579,'2-Uren per locatie'!$B$15:$D$74,3,FALSE)</f>
        <v>#DIV/0!</v>
      </c>
      <c r="V579" s="295" t="e">
        <f>IF(K579="nio",0,(O579*Q579)/Z579)*VLOOKUP(C579,'2-Uren per locatie'!$B$15:$D$74,3,FALSE)</f>
        <v>#DIV/0!</v>
      </c>
      <c r="W579" s="295" t="e">
        <f>IF(K579="nio",0,(P579*Q579)/AA579)*VLOOKUP(C579,'2-Uren per locatie'!$B$15:$D$74,3,FALSE)</f>
        <v>#DIV/0!</v>
      </c>
      <c r="X579" s="485">
        <f>IF(K579="nio",0,IF(K579&gt;0,VLOOKUP(H579,'3-Productie normen'!A:F,VLOOKUP(K579,'3-Productie normen'!$B$29:$C$34,2,FALSE),FALSE)))</f>
        <v>0</v>
      </c>
      <c r="Y579" s="485">
        <f>VLOOKUP(H579,'3-Productie normen'!$A$10:$J$24,8,FALSE)*'3-Ruimtestaat'!X579</f>
        <v>0</v>
      </c>
      <c r="Z579" s="485">
        <f>VLOOKUP(H579,'3-Productie normen'!$A$10:$J$24,9,FALSE)*'3-Ruimtestaat'!X579</f>
        <v>0</v>
      </c>
      <c r="AA579" s="485">
        <f>VLOOKUP(H579,'3-Productie normen'!$A$10:$J$24,10,FALSE)*'3-Ruimtestaat'!X579</f>
        <v>0</v>
      </c>
      <c r="AB579" s="292" t="str">
        <f>IF(H579="",0,VLOOKUP(H579,'3-Productie normen'!$A$10:$N$23,14,FALSE))</f>
        <v>V</v>
      </c>
      <c r="AD579" s="296">
        <f t="shared" si="20"/>
        <v>206225</v>
      </c>
      <c r="AE579" s="78"/>
      <c r="AF579" s="253"/>
      <c r="AG579" s="253"/>
      <c r="AH579" s="253"/>
      <c r="AI579" s="253"/>
      <c r="AJ579" s="253"/>
      <c r="AK579" s="253"/>
      <c r="AL579" s="253"/>
      <c r="AM579" s="253"/>
      <c r="AN579" s="253"/>
      <c r="AO579" s="253"/>
    </row>
    <row r="580" spans="1:41" ht="15" customHeight="1">
      <c r="A580" s="254">
        <v>580</v>
      </c>
      <c r="B580" s="253">
        <v>605</v>
      </c>
      <c r="C580" s="240" t="s">
        <v>113</v>
      </c>
      <c r="D580" s="288" t="s">
        <v>634</v>
      </c>
      <c r="E580" s="289" t="s">
        <v>783</v>
      </c>
      <c r="F580" s="239" t="s">
        <v>791</v>
      </c>
      <c r="G580" s="290" t="s">
        <v>792</v>
      </c>
      <c r="H580" s="291" t="s">
        <v>152</v>
      </c>
      <c r="I580" s="239" t="s">
        <v>402</v>
      </c>
      <c r="J580" s="424">
        <f t="shared" si="21"/>
        <v>365</v>
      </c>
      <c r="K580" s="425">
        <v>255</v>
      </c>
      <c r="L580" s="425"/>
      <c r="M580" s="425">
        <v>102</v>
      </c>
      <c r="N580" s="425"/>
      <c r="O580" s="425">
        <v>8</v>
      </c>
      <c r="P580" s="425"/>
      <c r="Q580" s="294">
        <v>67</v>
      </c>
      <c r="R580" s="295" t="e">
        <f>IF(K580="nio",0,(K580*Q580)/X580)*VLOOKUP(C580,'2-Uren per locatie'!$B$15:$D$74,3,FALSE)</f>
        <v>#DIV/0!</v>
      </c>
      <c r="S580" s="295" t="e">
        <f>IF(K580="nio",0,(L580*Q580)/Y580)*VLOOKUP(C580,'2-Uren per locatie'!$B$15:$D$74,3,FALSE)</f>
        <v>#DIV/0!</v>
      </c>
      <c r="T580" s="295" t="e">
        <f>IF(K580="nio",0,(M580*Q580)/Z580)*VLOOKUP(C580,'2-Uren per locatie'!$B$15:$D$74,3,FALSE)</f>
        <v>#DIV/0!</v>
      </c>
      <c r="U580" s="295" t="e">
        <f>IF(K580="nio",0,(N580*Q580)/AA580)*VLOOKUP(C580,'2-Uren per locatie'!$B$15:$D$74,3,FALSE)</f>
        <v>#DIV/0!</v>
      </c>
      <c r="V580" s="295" t="e">
        <f>IF(K580="nio",0,(O580*Q580)/Z580)*VLOOKUP(C580,'2-Uren per locatie'!$B$15:$D$74,3,FALSE)</f>
        <v>#DIV/0!</v>
      </c>
      <c r="W580" s="295" t="e">
        <f>IF(K580="nio",0,(P580*Q580)/AA580)*VLOOKUP(C580,'2-Uren per locatie'!$B$15:$D$74,3,FALSE)</f>
        <v>#DIV/0!</v>
      </c>
      <c r="X580" s="485">
        <f>IF(K580="nio",0,IF(K580&gt;0,VLOOKUP(H580,'3-Productie normen'!A:F,VLOOKUP(K580,'3-Productie normen'!$B$29:$C$34,2,FALSE),FALSE)))</f>
        <v>0</v>
      </c>
      <c r="Y580" s="485">
        <f>VLOOKUP(H580,'3-Productie normen'!$A$10:$J$24,8,FALSE)*'3-Ruimtestaat'!X580</f>
        <v>0</v>
      </c>
      <c r="Z580" s="485">
        <f>VLOOKUP(H580,'3-Productie normen'!$A$10:$J$24,9,FALSE)*'3-Ruimtestaat'!X580</f>
        <v>0</v>
      </c>
      <c r="AA580" s="485">
        <f>VLOOKUP(H580,'3-Productie normen'!$A$10:$J$24,10,FALSE)*'3-Ruimtestaat'!X580</f>
        <v>0</v>
      </c>
      <c r="AB580" s="292" t="str">
        <f>IF(H580="",0,VLOOKUP(H580,'3-Productie normen'!$A$10:$N$23,14,FALSE))</f>
        <v>V</v>
      </c>
      <c r="AD580" s="296">
        <f t="shared" si="20"/>
        <v>24455</v>
      </c>
      <c r="AE580" s="78"/>
      <c r="AF580" s="253"/>
      <c r="AG580" s="253"/>
      <c r="AH580" s="253"/>
      <c r="AI580" s="253"/>
      <c r="AJ580" s="253"/>
      <c r="AK580" s="253"/>
      <c r="AL580" s="253"/>
      <c r="AM580" s="253"/>
      <c r="AN580" s="253"/>
      <c r="AO580" s="253"/>
    </row>
    <row r="581" spans="1:41" ht="15" customHeight="1">
      <c r="A581" s="254">
        <v>581</v>
      </c>
      <c r="B581" s="253">
        <v>605</v>
      </c>
      <c r="C581" s="240" t="s">
        <v>113</v>
      </c>
      <c r="D581" s="288" t="s">
        <v>634</v>
      </c>
      <c r="E581" s="289" t="s">
        <v>783</v>
      </c>
      <c r="F581" s="239" t="s">
        <v>791</v>
      </c>
      <c r="G581" s="290" t="s">
        <v>793</v>
      </c>
      <c r="H581" s="291" t="s">
        <v>152</v>
      </c>
      <c r="I581" s="239" t="s">
        <v>402</v>
      </c>
      <c r="J581" s="424">
        <f t="shared" si="21"/>
        <v>365</v>
      </c>
      <c r="K581" s="425">
        <v>255</v>
      </c>
      <c r="L581" s="425"/>
      <c r="M581" s="425">
        <v>102</v>
      </c>
      <c r="N581" s="425"/>
      <c r="O581" s="425">
        <v>8</v>
      </c>
      <c r="P581" s="425"/>
      <c r="Q581" s="294">
        <v>67</v>
      </c>
      <c r="R581" s="295" t="e">
        <f>IF(K581="nio",0,(K581*Q581)/X581)*VLOOKUP(C581,'2-Uren per locatie'!$B$15:$D$74,3,FALSE)</f>
        <v>#DIV/0!</v>
      </c>
      <c r="S581" s="295" t="e">
        <f>IF(K581="nio",0,(L581*Q581)/Y581)*VLOOKUP(C581,'2-Uren per locatie'!$B$15:$D$74,3,FALSE)</f>
        <v>#DIV/0!</v>
      </c>
      <c r="T581" s="295" t="e">
        <f>IF(K581="nio",0,(M581*Q581)/Z581)*VLOOKUP(C581,'2-Uren per locatie'!$B$15:$D$74,3,FALSE)</f>
        <v>#DIV/0!</v>
      </c>
      <c r="U581" s="295" t="e">
        <f>IF(K581="nio",0,(N581*Q581)/AA581)*VLOOKUP(C581,'2-Uren per locatie'!$B$15:$D$74,3,FALSE)</f>
        <v>#DIV/0!</v>
      </c>
      <c r="V581" s="295" t="e">
        <f>IF(K581="nio",0,(O581*Q581)/Z581)*VLOOKUP(C581,'2-Uren per locatie'!$B$15:$D$74,3,FALSE)</f>
        <v>#DIV/0!</v>
      </c>
      <c r="W581" s="295" t="e">
        <f>IF(K581="nio",0,(P581*Q581)/AA581)*VLOOKUP(C581,'2-Uren per locatie'!$B$15:$D$74,3,FALSE)</f>
        <v>#DIV/0!</v>
      </c>
      <c r="X581" s="485">
        <f>IF(K581="nio",0,IF(K581&gt;0,VLOOKUP(H581,'3-Productie normen'!A:F,VLOOKUP(K581,'3-Productie normen'!$B$29:$C$34,2,FALSE),FALSE)))</f>
        <v>0</v>
      </c>
      <c r="Y581" s="485">
        <f>VLOOKUP(H581,'3-Productie normen'!$A$10:$J$24,8,FALSE)*'3-Ruimtestaat'!X581</f>
        <v>0</v>
      </c>
      <c r="Z581" s="485">
        <f>VLOOKUP(H581,'3-Productie normen'!$A$10:$J$24,9,FALSE)*'3-Ruimtestaat'!X581</f>
        <v>0</v>
      </c>
      <c r="AA581" s="485">
        <f>VLOOKUP(H581,'3-Productie normen'!$A$10:$J$24,10,FALSE)*'3-Ruimtestaat'!X581</f>
        <v>0</v>
      </c>
      <c r="AB581" s="292" t="str">
        <f>IF(H581="",0,VLOOKUP(H581,'3-Productie normen'!$A$10:$N$23,14,FALSE))</f>
        <v>V</v>
      </c>
      <c r="AD581" s="296">
        <f t="shared" si="20"/>
        <v>24455</v>
      </c>
      <c r="AE581" s="78"/>
      <c r="AF581" s="253"/>
      <c r="AG581" s="253"/>
      <c r="AH581" s="253"/>
      <c r="AI581" s="253"/>
      <c r="AJ581" s="253"/>
      <c r="AK581" s="253"/>
      <c r="AL581" s="253"/>
      <c r="AM581" s="253"/>
      <c r="AN581" s="253"/>
      <c r="AO581" s="253"/>
    </row>
    <row r="582" spans="1:41" ht="15" customHeight="1">
      <c r="A582" s="254">
        <v>582</v>
      </c>
      <c r="B582" s="253">
        <v>605</v>
      </c>
      <c r="C582" s="240" t="s">
        <v>113</v>
      </c>
      <c r="D582" s="288" t="s">
        <v>634</v>
      </c>
      <c r="E582" s="289" t="s">
        <v>794</v>
      </c>
      <c r="F582" s="239" t="s">
        <v>795</v>
      </c>
      <c r="G582" s="290" t="s">
        <v>668</v>
      </c>
      <c r="H582" s="291" t="s">
        <v>145</v>
      </c>
      <c r="I582" s="239" t="s">
        <v>637</v>
      </c>
      <c r="J582" s="424">
        <f t="shared" si="21"/>
        <v>365</v>
      </c>
      <c r="K582" s="425">
        <v>255</v>
      </c>
      <c r="L582" s="425"/>
      <c r="M582" s="425">
        <v>102</v>
      </c>
      <c r="N582" s="425"/>
      <c r="O582" s="425">
        <v>8</v>
      </c>
      <c r="P582" s="425"/>
      <c r="Q582" s="294">
        <v>1250</v>
      </c>
      <c r="R582" s="295" t="e">
        <f>IF(K582="nio",0,(K582*Q582)/X582)*VLOOKUP(C582,'2-Uren per locatie'!$B$15:$D$74,3,FALSE)</f>
        <v>#DIV/0!</v>
      </c>
      <c r="S582" s="295" t="e">
        <f>IF(K582="nio",0,(L582*Q582)/Y582)*VLOOKUP(C582,'2-Uren per locatie'!$B$15:$D$74,3,FALSE)</f>
        <v>#DIV/0!</v>
      </c>
      <c r="T582" s="295" t="e">
        <f>IF(K582="nio",0,(M582*Q582)/Z582)*VLOOKUP(C582,'2-Uren per locatie'!$B$15:$D$74,3,FALSE)</f>
        <v>#DIV/0!</v>
      </c>
      <c r="U582" s="295" t="e">
        <f>IF(K582="nio",0,(N582*Q582)/AA582)*VLOOKUP(C582,'2-Uren per locatie'!$B$15:$D$74,3,FALSE)</f>
        <v>#DIV/0!</v>
      </c>
      <c r="V582" s="295" t="e">
        <f>IF(K582="nio",0,(O582*Q582)/Z582)*VLOOKUP(C582,'2-Uren per locatie'!$B$15:$D$74,3,FALSE)</f>
        <v>#DIV/0!</v>
      </c>
      <c r="W582" s="295" t="e">
        <f>IF(K582="nio",0,(P582*Q582)/AA582)*VLOOKUP(C582,'2-Uren per locatie'!$B$15:$D$74,3,FALSE)</f>
        <v>#DIV/0!</v>
      </c>
      <c r="X582" s="485">
        <f>IF(K582="nio",0,IF(K582&gt;0,VLOOKUP(H582,'3-Productie normen'!A:F,VLOOKUP(K582,'3-Productie normen'!$B$29:$C$34,2,FALSE),FALSE)))</f>
        <v>0</v>
      </c>
      <c r="Y582" s="485">
        <f>VLOOKUP(H582,'3-Productie normen'!$A$10:$J$24,8,FALSE)*'3-Ruimtestaat'!X582</f>
        <v>0</v>
      </c>
      <c r="Z582" s="485">
        <f>VLOOKUP(H582,'3-Productie normen'!$A$10:$J$24,9,FALSE)*'3-Ruimtestaat'!X582</f>
        <v>0</v>
      </c>
      <c r="AA582" s="485">
        <f>VLOOKUP(H582,'3-Productie normen'!$A$10:$J$24,10,FALSE)*'3-Ruimtestaat'!X582</f>
        <v>0</v>
      </c>
      <c r="AB582" s="292" t="str">
        <f>IF(H582="",0,VLOOKUP(H582,'3-Productie normen'!$A$10:$N$23,14,FALSE))</f>
        <v>V</v>
      </c>
      <c r="AD582" s="296">
        <f t="shared" si="20"/>
        <v>456250</v>
      </c>
      <c r="AE582" s="78"/>
      <c r="AF582" s="253"/>
      <c r="AG582" s="253"/>
      <c r="AH582" s="253"/>
      <c r="AI582" s="253"/>
      <c r="AJ582" s="253"/>
      <c r="AK582" s="253"/>
      <c r="AL582" s="253"/>
      <c r="AM582" s="253"/>
      <c r="AN582" s="253"/>
      <c r="AO582" s="253"/>
    </row>
    <row r="583" spans="1:41" ht="15" customHeight="1">
      <c r="A583" s="254">
        <v>583</v>
      </c>
      <c r="B583" s="253">
        <v>605</v>
      </c>
      <c r="C583" s="240" t="s">
        <v>113</v>
      </c>
      <c r="D583" s="288" t="s">
        <v>634</v>
      </c>
      <c r="E583" s="289" t="s">
        <v>794</v>
      </c>
      <c r="F583" s="239" t="s">
        <v>796</v>
      </c>
      <c r="G583" s="290" t="s">
        <v>797</v>
      </c>
      <c r="H583" s="291" t="s">
        <v>152</v>
      </c>
      <c r="I583" s="239" t="s">
        <v>402</v>
      </c>
      <c r="J583" s="424">
        <f t="shared" si="21"/>
        <v>365</v>
      </c>
      <c r="K583" s="425">
        <v>255</v>
      </c>
      <c r="L583" s="425"/>
      <c r="M583" s="425">
        <v>102</v>
      </c>
      <c r="N583" s="425"/>
      <c r="O583" s="425">
        <v>8</v>
      </c>
      <c r="P583" s="425"/>
      <c r="Q583" s="294">
        <v>76</v>
      </c>
      <c r="R583" s="295" t="e">
        <f>IF(K583="nio",0,(K583*Q583)/X583)*VLOOKUP(C583,'2-Uren per locatie'!$B$15:$D$74,3,FALSE)</f>
        <v>#DIV/0!</v>
      </c>
      <c r="S583" s="295" t="e">
        <f>IF(K583="nio",0,(L583*Q583)/Y583)*VLOOKUP(C583,'2-Uren per locatie'!$B$15:$D$74,3,FALSE)</f>
        <v>#DIV/0!</v>
      </c>
      <c r="T583" s="295" t="e">
        <f>IF(K583="nio",0,(M583*Q583)/Z583)*VLOOKUP(C583,'2-Uren per locatie'!$B$15:$D$74,3,FALSE)</f>
        <v>#DIV/0!</v>
      </c>
      <c r="U583" s="295" t="e">
        <f>IF(K583="nio",0,(N583*Q583)/AA583)*VLOOKUP(C583,'2-Uren per locatie'!$B$15:$D$74,3,FALSE)</f>
        <v>#DIV/0!</v>
      </c>
      <c r="V583" s="295" t="e">
        <f>IF(K583="nio",0,(O583*Q583)/Z583)*VLOOKUP(C583,'2-Uren per locatie'!$B$15:$D$74,3,FALSE)</f>
        <v>#DIV/0!</v>
      </c>
      <c r="W583" s="295" t="e">
        <f>IF(K583="nio",0,(P583*Q583)/AA583)*VLOOKUP(C583,'2-Uren per locatie'!$B$15:$D$74,3,FALSE)</f>
        <v>#DIV/0!</v>
      </c>
      <c r="X583" s="485">
        <f>IF(K583="nio",0,IF(K583&gt;0,VLOOKUP(H583,'3-Productie normen'!A:F,VLOOKUP(K583,'3-Productie normen'!$B$29:$C$34,2,FALSE),FALSE)))</f>
        <v>0</v>
      </c>
      <c r="Y583" s="485">
        <f>VLOOKUP(H583,'3-Productie normen'!$A$10:$J$24,8,FALSE)*'3-Ruimtestaat'!X583</f>
        <v>0</v>
      </c>
      <c r="Z583" s="485">
        <f>VLOOKUP(H583,'3-Productie normen'!$A$10:$J$24,9,FALSE)*'3-Ruimtestaat'!X583</f>
        <v>0</v>
      </c>
      <c r="AA583" s="485">
        <f>VLOOKUP(H583,'3-Productie normen'!$A$10:$J$24,10,FALSE)*'3-Ruimtestaat'!X583</f>
        <v>0</v>
      </c>
      <c r="AB583" s="292" t="str">
        <f>IF(H583="",0,VLOOKUP(H583,'3-Productie normen'!$A$10:$N$23,14,FALSE))</f>
        <v>V</v>
      </c>
      <c r="AD583" s="296">
        <f t="shared" si="20"/>
        <v>27740</v>
      </c>
      <c r="AE583" s="78"/>
      <c r="AF583" s="253"/>
      <c r="AG583" s="253"/>
      <c r="AH583" s="253"/>
      <c r="AI583" s="253"/>
      <c r="AJ583" s="253"/>
      <c r="AK583" s="253"/>
      <c r="AL583" s="253"/>
      <c r="AM583" s="253"/>
      <c r="AN583" s="253"/>
      <c r="AO583" s="253"/>
    </row>
    <row r="584" spans="1:41" ht="15" customHeight="1">
      <c r="A584" s="254">
        <v>584</v>
      </c>
      <c r="B584" s="253">
        <v>605</v>
      </c>
      <c r="C584" s="240" t="s">
        <v>113</v>
      </c>
      <c r="D584" s="288" t="s">
        <v>634</v>
      </c>
      <c r="E584" s="289" t="s">
        <v>794</v>
      </c>
      <c r="F584" s="239" t="s">
        <v>796</v>
      </c>
      <c r="G584" s="290" t="s">
        <v>798</v>
      </c>
      <c r="H584" s="291" t="s">
        <v>152</v>
      </c>
      <c r="I584" s="239" t="s">
        <v>402</v>
      </c>
      <c r="J584" s="424">
        <f t="shared" si="21"/>
        <v>365</v>
      </c>
      <c r="K584" s="425">
        <v>255</v>
      </c>
      <c r="L584" s="425"/>
      <c r="M584" s="425">
        <v>102</v>
      </c>
      <c r="N584" s="425"/>
      <c r="O584" s="425">
        <v>8</v>
      </c>
      <c r="P584" s="425"/>
      <c r="Q584" s="294">
        <v>76</v>
      </c>
      <c r="R584" s="295" t="e">
        <f>IF(K584="nio",0,(K584*Q584)/X584)*VLOOKUP(C584,'2-Uren per locatie'!$B$15:$D$74,3,FALSE)</f>
        <v>#DIV/0!</v>
      </c>
      <c r="S584" s="295" t="e">
        <f>IF(K584="nio",0,(L584*Q584)/Y584)*VLOOKUP(C584,'2-Uren per locatie'!$B$15:$D$74,3,FALSE)</f>
        <v>#DIV/0!</v>
      </c>
      <c r="T584" s="295" t="e">
        <f>IF(K584="nio",0,(M584*Q584)/Z584)*VLOOKUP(C584,'2-Uren per locatie'!$B$15:$D$74,3,FALSE)</f>
        <v>#DIV/0!</v>
      </c>
      <c r="U584" s="295" t="e">
        <f>IF(K584="nio",0,(N584*Q584)/AA584)*VLOOKUP(C584,'2-Uren per locatie'!$B$15:$D$74,3,FALSE)</f>
        <v>#DIV/0!</v>
      </c>
      <c r="V584" s="295" t="e">
        <f>IF(K584="nio",0,(O584*Q584)/Z584)*VLOOKUP(C584,'2-Uren per locatie'!$B$15:$D$74,3,FALSE)</f>
        <v>#DIV/0!</v>
      </c>
      <c r="W584" s="295" t="e">
        <f>IF(K584="nio",0,(P584*Q584)/AA584)*VLOOKUP(C584,'2-Uren per locatie'!$B$15:$D$74,3,FALSE)</f>
        <v>#DIV/0!</v>
      </c>
      <c r="X584" s="485">
        <f>IF(K584="nio",0,IF(K584&gt;0,VLOOKUP(H584,'3-Productie normen'!A:F,VLOOKUP(K584,'3-Productie normen'!$B$29:$C$34,2,FALSE),FALSE)))</f>
        <v>0</v>
      </c>
      <c r="Y584" s="485">
        <f>VLOOKUP(H584,'3-Productie normen'!$A$10:$J$24,8,FALSE)*'3-Ruimtestaat'!X584</f>
        <v>0</v>
      </c>
      <c r="Z584" s="485">
        <f>VLOOKUP(H584,'3-Productie normen'!$A$10:$J$24,9,FALSE)*'3-Ruimtestaat'!X584</f>
        <v>0</v>
      </c>
      <c r="AA584" s="485">
        <f>VLOOKUP(H584,'3-Productie normen'!$A$10:$J$24,10,FALSE)*'3-Ruimtestaat'!X584</f>
        <v>0</v>
      </c>
      <c r="AB584" s="292" t="str">
        <f>IF(H584="",0,VLOOKUP(H584,'3-Productie normen'!$A$10:$N$23,14,FALSE))</f>
        <v>V</v>
      </c>
      <c r="AD584" s="296">
        <f t="shared" si="20"/>
        <v>27740</v>
      </c>
      <c r="AE584" s="78"/>
      <c r="AF584" s="253"/>
      <c r="AG584" s="253"/>
      <c r="AH584" s="253"/>
      <c r="AI584" s="253"/>
      <c r="AJ584" s="253"/>
      <c r="AK584" s="253"/>
      <c r="AL584" s="253"/>
      <c r="AM584" s="253"/>
      <c r="AN584" s="253"/>
      <c r="AO584" s="253"/>
    </row>
    <row r="585" spans="1:41" ht="15" customHeight="1">
      <c r="A585" s="254">
        <v>585</v>
      </c>
      <c r="B585" s="253">
        <v>605</v>
      </c>
      <c r="C585" s="240" t="s">
        <v>113</v>
      </c>
      <c r="D585" s="288" t="s">
        <v>634</v>
      </c>
      <c r="E585" s="289" t="s">
        <v>794</v>
      </c>
      <c r="F585" s="239" t="s">
        <v>799</v>
      </c>
      <c r="G585" s="290" t="s">
        <v>800</v>
      </c>
      <c r="H585" s="291" t="s">
        <v>145</v>
      </c>
      <c r="I585" s="239" t="s">
        <v>637</v>
      </c>
      <c r="J585" s="424">
        <f t="shared" si="21"/>
        <v>365</v>
      </c>
      <c r="K585" s="425">
        <v>255</v>
      </c>
      <c r="L585" s="425"/>
      <c r="M585" s="425">
        <v>102</v>
      </c>
      <c r="N585" s="425"/>
      <c r="O585" s="425">
        <v>8</v>
      </c>
      <c r="P585" s="425"/>
      <c r="Q585" s="294">
        <v>532</v>
      </c>
      <c r="R585" s="295" t="e">
        <f>IF(K585="nio",0,(K585*Q585)/X585)*VLOOKUP(C585,'2-Uren per locatie'!$B$15:$D$74,3,FALSE)</f>
        <v>#DIV/0!</v>
      </c>
      <c r="S585" s="295" t="e">
        <f>IF(K585="nio",0,(L585*Q585)/Y585)*VLOOKUP(C585,'2-Uren per locatie'!$B$15:$D$74,3,FALSE)</f>
        <v>#DIV/0!</v>
      </c>
      <c r="T585" s="295" t="e">
        <f>IF(K585="nio",0,(M585*Q585)/Z585)*VLOOKUP(C585,'2-Uren per locatie'!$B$15:$D$74,3,FALSE)</f>
        <v>#DIV/0!</v>
      </c>
      <c r="U585" s="295" t="e">
        <f>IF(K585="nio",0,(N585*Q585)/AA585)*VLOOKUP(C585,'2-Uren per locatie'!$B$15:$D$74,3,FALSE)</f>
        <v>#DIV/0!</v>
      </c>
      <c r="V585" s="295" t="e">
        <f>IF(K585="nio",0,(O585*Q585)/Z585)*VLOOKUP(C585,'2-Uren per locatie'!$B$15:$D$74,3,FALSE)</f>
        <v>#DIV/0!</v>
      </c>
      <c r="W585" s="295" t="e">
        <f>IF(K585="nio",0,(P585*Q585)/AA585)*VLOOKUP(C585,'2-Uren per locatie'!$B$15:$D$74,3,FALSE)</f>
        <v>#DIV/0!</v>
      </c>
      <c r="X585" s="485">
        <f>IF(K585="nio",0,IF(K585&gt;0,VLOOKUP(H585,'3-Productie normen'!A:F,VLOOKUP(K585,'3-Productie normen'!$B$29:$C$34,2,FALSE),FALSE)))</f>
        <v>0</v>
      </c>
      <c r="Y585" s="485">
        <f>VLOOKUP(H585,'3-Productie normen'!$A$10:$J$24,8,FALSE)*'3-Ruimtestaat'!X585</f>
        <v>0</v>
      </c>
      <c r="Z585" s="485">
        <f>VLOOKUP(H585,'3-Productie normen'!$A$10:$J$24,9,FALSE)*'3-Ruimtestaat'!X585</f>
        <v>0</v>
      </c>
      <c r="AA585" s="485">
        <f>VLOOKUP(H585,'3-Productie normen'!$A$10:$J$24,10,FALSE)*'3-Ruimtestaat'!X585</f>
        <v>0</v>
      </c>
      <c r="AB585" s="292" t="str">
        <f>IF(H585="",0,VLOOKUP(H585,'3-Productie normen'!$A$10:$N$23,14,FALSE))</f>
        <v>V</v>
      </c>
      <c r="AD585" s="296">
        <f t="shared" si="20"/>
        <v>194180</v>
      </c>
      <c r="AE585" s="78"/>
      <c r="AF585" s="253"/>
      <c r="AG585" s="253"/>
      <c r="AH585" s="253"/>
      <c r="AI585" s="253"/>
      <c r="AJ585" s="253"/>
      <c r="AK585" s="253"/>
      <c r="AL585" s="253"/>
      <c r="AM585" s="253"/>
      <c r="AN585" s="253"/>
      <c r="AO585" s="253"/>
    </row>
    <row r="586" spans="1:41" ht="15" customHeight="1">
      <c r="A586" s="254">
        <v>586</v>
      </c>
      <c r="B586" s="253">
        <v>605</v>
      </c>
      <c r="C586" s="240" t="s">
        <v>113</v>
      </c>
      <c r="D586" s="288" t="s">
        <v>634</v>
      </c>
      <c r="E586" s="289" t="s">
        <v>801</v>
      </c>
      <c r="F586" s="239" t="s">
        <v>802</v>
      </c>
      <c r="G586" s="290" t="s">
        <v>803</v>
      </c>
      <c r="H586" s="291" t="s">
        <v>145</v>
      </c>
      <c r="I586" s="239" t="s">
        <v>637</v>
      </c>
      <c r="J586" s="424">
        <f t="shared" si="21"/>
        <v>365</v>
      </c>
      <c r="K586" s="425">
        <v>255</v>
      </c>
      <c r="L586" s="425"/>
      <c r="M586" s="425">
        <v>102</v>
      </c>
      <c r="N586" s="425"/>
      <c r="O586" s="425">
        <v>8</v>
      </c>
      <c r="P586" s="425"/>
      <c r="Q586" s="294">
        <v>300</v>
      </c>
      <c r="R586" s="295" t="e">
        <f>IF(K586="nio",0,(K586*Q586)/X586)*VLOOKUP(C586,'2-Uren per locatie'!$B$15:$D$74,3,FALSE)</f>
        <v>#DIV/0!</v>
      </c>
      <c r="S586" s="295" t="e">
        <f>IF(K586="nio",0,(L586*Q586)/Y586)*VLOOKUP(C586,'2-Uren per locatie'!$B$15:$D$74,3,FALSE)</f>
        <v>#DIV/0!</v>
      </c>
      <c r="T586" s="295" t="e">
        <f>IF(K586="nio",0,(M586*Q586)/Z586)*VLOOKUP(C586,'2-Uren per locatie'!$B$15:$D$74,3,FALSE)</f>
        <v>#DIV/0!</v>
      </c>
      <c r="U586" s="295" t="e">
        <f>IF(K586="nio",0,(N586*Q586)/AA586)*VLOOKUP(C586,'2-Uren per locatie'!$B$15:$D$74,3,FALSE)</f>
        <v>#DIV/0!</v>
      </c>
      <c r="V586" s="295" t="e">
        <f>IF(K586="nio",0,(O586*Q586)/Z586)*VLOOKUP(C586,'2-Uren per locatie'!$B$15:$D$74,3,FALSE)</f>
        <v>#DIV/0!</v>
      </c>
      <c r="W586" s="295" t="e">
        <f>IF(K586="nio",0,(P586*Q586)/AA586)*VLOOKUP(C586,'2-Uren per locatie'!$B$15:$D$74,3,FALSE)</f>
        <v>#DIV/0!</v>
      </c>
      <c r="X586" s="485">
        <f>IF(K586="nio",0,IF(K586&gt;0,VLOOKUP(H586,'3-Productie normen'!A:F,VLOOKUP(K586,'3-Productie normen'!$B$29:$C$34,2,FALSE),FALSE)))</f>
        <v>0</v>
      </c>
      <c r="Y586" s="485">
        <f>VLOOKUP(H586,'3-Productie normen'!$A$10:$J$24,8,FALSE)*'3-Ruimtestaat'!X586</f>
        <v>0</v>
      </c>
      <c r="Z586" s="485">
        <f>VLOOKUP(H586,'3-Productie normen'!$A$10:$J$24,9,FALSE)*'3-Ruimtestaat'!X586</f>
        <v>0</v>
      </c>
      <c r="AA586" s="485">
        <f>VLOOKUP(H586,'3-Productie normen'!$A$10:$J$24,10,FALSE)*'3-Ruimtestaat'!X586</f>
        <v>0</v>
      </c>
      <c r="AB586" s="292" t="str">
        <f>IF(H586="",0,VLOOKUP(H586,'3-Productie normen'!$A$10:$N$23,14,FALSE))</f>
        <v>V</v>
      </c>
      <c r="AD586" s="296">
        <f t="shared" si="20"/>
        <v>109500</v>
      </c>
      <c r="AE586" s="78"/>
      <c r="AF586" s="253"/>
      <c r="AG586" s="253"/>
      <c r="AH586" s="253"/>
      <c r="AI586" s="253"/>
      <c r="AJ586" s="253"/>
      <c r="AK586" s="253"/>
      <c r="AL586" s="253"/>
      <c r="AM586" s="253"/>
      <c r="AN586" s="253"/>
      <c r="AO586" s="253"/>
    </row>
    <row r="587" spans="1:41" ht="15" customHeight="1">
      <c r="A587" s="254">
        <v>587</v>
      </c>
      <c r="B587" s="253">
        <v>605</v>
      </c>
      <c r="C587" s="240" t="s">
        <v>113</v>
      </c>
      <c r="D587" s="288" t="s">
        <v>634</v>
      </c>
      <c r="E587" s="289" t="s">
        <v>801</v>
      </c>
      <c r="F587" s="239" t="s">
        <v>804</v>
      </c>
      <c r="G587" s="290" t="s">
        <v>805</v>
      </c>
      <c r="H587" s="291" t="s">
        <v>145</v>
      </c>
      <c r="I587" s="239" t="s">
        <v>637</v>
      </c>
      <c r="J587" s="424">
        <f t="shared" si="21"/>
        <v>365</v>
      </c>
      <c r="K587" s="425">
        <v>255</v>
      </c>
      <c r="L587" s="425"/>
      <c r="M587" s="425">
        <v>102</v>
      </c>
      <c r="N587" s="425"/>
      <c r="O587" s="425">
        <v>8</v>
      </c>
      <c r="P587" s="425"/>
      <c r="Q587" s="294">
        <v>381</v>
      </c>
      <c r="R587" s="295" t="e">
        <f>IF(K587="nio",0,(K587*Q587)/X587)*VLOOKUP(C587,'2-Uren per locatie'!$B$15:$D$74,3,FALSE)</f>
        <v>#DIV/0!</v>
      </c>
      <c r="S587" s="295" t="e">
        <f>IF(K587="nio",0,(L587*Q587)/Y587)*VLOOKUP(C587,'2-Uren per locatie'!$B$15:$D$74,3,FALSE)</f>
        <v>#DIV/0!</v>
      </c>
      <c r="T587" s="295" t="e">
        <f>IF(K587="nio",0,(M587*Q587)/Z587)*VLOOKUP(C587,'2-Uren per locatie'!$B$15:$D$74,3,FALSE)</f>
        <v>#DIV/0!</v>
      </c>
      <c r="U587" s="295" t="e">
        <f>IF(K587="nio",0,(N587*Q587)/AA587)*VLOOKUP(C587,'2-Uren per locatie'!$B$15:$D$74,3,FALSE)</f>
        <v>#DIV/0!</v>
      </c>
      <c r="V587" s="295" t="e">
        <f>IF(K587="nio",0,(O587*Q587)/Z587)*VLOOKUP(C587,'2-Uren per locatie'!$B$15:$D$74,3,FALSE)</f>
        <v>#DIV/0!</v>
      </c>
      <c r="W587" s="295" t="e">
        <f>IF(K587="nio",0,(P587*Q587)/AA587)*VLOOKUP(C587,'2-Uren per locatie'!$B$15:$D$74,3,FALSE)</f>
        <v>#DIV/0!</v>
      </c>
      <c r="X587" s="485">
        <f>IF(K587="nio",0,IF(K587&gt;0,VLOOKUP(H587,'3-Productie normen'!A:F,VLOOKUP(K587,'3-Productie normen'!$B$29:$C$34,2,FALSE),FALSE)))</f>
        <v>0</v>
      </c>
      <c r="Y587" s="485">
        <f>VLOOKUP(H587,'3-Productie normen'!$A$10:$J$24,8,FALSE)*'3-Ruimtestaat'!X587</f>
        <v>0</v>
      </c>
      <c r="Z587" s="485">
        <f>VLOOKUP(H587,'3-Productie normen'!$A$10:$J$24,9,FALSE)*'3-Ruimtestaat'!X587</f>
        <v>0</v>
      </c>
      <c r="AA587" s="485">
        <f>VLOOKUP(H587,'3-Productie normen'!$A$10:$J$24,10,FALSE)*'3-Ruimtestaat'!X587</f>
        <v>0</v>
      </c>
      <c r="AB587" s="292" t="str">
        <f>IF(H587="",0,VLOOKUP(H587,'3-Productie normen'!$A$10:$N$23,14,FALSE))</f>
        <v>V</v>
      </c>
      <c r="AD587" s="296">
        <f t="shared" si="20"/>
        <v>139065</v>
      </c>
      <c r="AE587" s="78"/>
      <c r="AF587" s="253"/>
      <c r="AG587" s="253"/>
      <c r="AH587" s="253"/>
      <c r="AI587" s="253"/>
      <c r="AJ587" s="253"/>
      <c r="AK587" s="253"/>
      <c r="AL587" s="253"/>
      <c r="AM587" s="253"/>
      <c r="AN587" s="253"/>
      <c r="AO587" s="253"/>
    </row>
    <row r="588" spans="1:41" ht="15" customHeight="1">
      <c r="A588" s="254">
        <v>588</v>
      </c>
      <c r="B588" s="253">
        <v>605</v>
      </c>
      <c r="C588" s="240" t="s">
        <v>113</v>
      </c>
      <c r="D588" s="288" t="s">
        <v>634</v>
      </c>
      <c r="E588" s="289" t="s">
        <v>701</v>
      </c>
      <c r="F588" s="239" t="s">
        <v>249</v>
      </c>
      <c r="G588" s="290" t="s">
        <v>668</v>
      </c>
      <c r="H588" s="291" t="s">
        <v>151</v>
      </c>
      <c r="I588" s="239" t="s">
        <v>637</v>
      </c>
      <c r="J588" s="424">
        <f t="shared" si="21"/>
        <v>365</v>
      </c>
      <c r="K588" s="425">
        <v>255</v>
      </c>
      <c r="L588" s="425"/>
      <c r="M588" s="425">
        <v>102</v>
      </c>
      <c r="N588" s="425"/>
      <c r="O588" s="425">
        <v>8</v>
      </c>
      <c r="P588" s="425"/>
      <c r="Q588" s="294">
        <v>1770</v>
      </c>
      <c r="R588" s="295" t="e">
        <f>IF(K588="nio",0,(K588*Q588)/X588)*VLOOKUP(C588,'2-Uren per locatie'!$B$15:$D$74,3,FALSE)</f>
        <v>#DIV/0!</v>
      </c>
      <c r="S588" s="295" t="e">
        <f>IF(K588="nio",0,(L588*Q588)/Y588)*VLOOKUP(C588,'2-Uren per locatie'!$B$15:$D$74,3,FALSE)</f>
        <v>#DIV/0!</v>
      </c>
      <c r="T588" s="295" t="e">
        <f>IF(K588="nio",0,(M588*Q588)/Z588)*VLOOKUP(C588,'2-Uren per locatie'!$B$15:$D$74,3,FALSE)</f>
        <v>#DIV/0!</v>
      </c>
      <c r="U588" s="295" t="e">
        <f>IF(K588="nio",0,(N588*Q588)/AA588)*VLOOKUP(C588,'2-Uren per locatie'!$B$15:$D$74,3,FALSE)</f>
        <v>#DIV/0!</v>
      </c>
      <c r="V588" s="295" t="e">
        <f>IF(K588="nio",0,(O588*Q588)/Z588)*VLOOKUP(C588,'2-Uren per locatie'!$B$15:$D$74,3,FALSE)</f>
        <v>#DIV/0!</v>
      </c>
      <c r="W588" s="295" t="e">
        <f>IF(K588="nio",0,(P588*Q588)/AA588)*VLOOKUP(C588,'2-Uren per locatie'!$B$15:$D$74,3,FALSE)</f>
        <v>#DIV/0!</v>
      </c>
      <c r="X588" s="485">
        <f>IF(K588="nio",0,IF(K588&gt;0,VLOOKUP(H588,'3-Productie normen'!A:F,VLOOKUP(K588,'3-Productie normen'!$B$29:$C$34,2,FALSE),FALSE)))</f>
        <v>0</v>
      </c>
      <c r="Y588" s="485">
        <f>VLOOKUP(H588,'3-Productie normen'!$A$10:$J$24,8,FALSE)*'3-Ruimtestaat'!X588</f>
        <v>0</v>
      </c>
      <c r="Z588" s="485">
        <f>VLOOKUP(H588,'3-Productie normen'!$A$10:$J$24,9,FALSE)*'3-Ruimtestaat'!X588</f>
        <v>0</v>
      </c>
      <c r="AA588" s="485">
        <f>VLOOKUP(H588,'3-Productie normen'!$A$10:$J$24,10,FALSE)*'3-Ruimtestaat'!X588</f>
        <v>0</v>
      </c>
      <c r="AB588" s="292" t="str">
        <f>IF(H588="",0,VLOOKUP(H588,'3-Productie normen'!$A$10:$N$23,14,FALSE))</f>
        <v>V</v>
      </c>
      <c r="AD588" s="296">
        <f t="shared" ref="AD588:AD651" si="22">Q588*J588</f>
        <v>646050</v>
      </c>
      <c r="AE588" s="78"/>
      <c r="AF588" s="253"/>
      <c r="AG588" s="253"/>
      <c r="AH588" s="253"/>
      <c r="AI588" s="253"/>
      <c r="AJ588" s="253"/>
      <c r="AK588" s="253"/>
      <c r="AL588" s="253"/>
      <c r="AM588" s="253"/>
      <c r="AN588" s="253"/>
      <c r="AO588" s="253"/>
    </row>
    <row r="589" spans="1:41" ht="15" customHeight="1">
      <c r="A589" s="254">
        <v>589</v>
      </c>
      <c r="B589" s="253">
        <v>605</v>
      </c>
      <c r="C589" s="240" t="s">
        <v>113</v>
      </c>
      <c r="D589" s="288" t="s">
        <v>634</v>
      </c>
      <c r="E589" s="289" t="s">
        <v>806</v>
      </c>
      <c r="F589" s="239" t="s">
        <v>540</v>
      </c>
      <c r="G589" s="290" t="s">
        <v>807</v>
      </c>
      <c r="H589" s="291" t="s">
        <v>150</v>
      </c>
      <c r="I589" s="239" t="s">
        <v>808</v>
      </c>
      <c r="J589" s="424">
        <f t="shared" si="21"/>
        <v>365</v>
      </c>
      <c r="K589" s="425">
        <v>255</v>
      </c>
      <c r="L589" s="425"/>
      <c r="M589" s="425">
        <v>102</v>
      </c>
      <c r="N589" s="425"/>
      <c r="O589" s="425">
        <v>8</v>
      </c>
      <c r="P589" s="425"/>
      <c r="Q589" s="294">
        <v>43.552530864197536</v>
      </c>
      <c r="R589" s="295" t="e">
        <f>IF(K589="nio",0,(K589*Q589)/X589)*VLOOKUP(C589,'2-Uren per locatie'!$B$15:$D$74,3,FALSE)</f>
        <v>#DIV/0!</v>
      </c>
      <c r="S589" s="295" t="e">
        <f>IF(K589="nio",0,(L589*Q589)/Y589)*VLOOKUP(C589,'2-Uren per locatie'!$B$15:$D$74,3,FALSE)</f>
        <v>#DIV/0!</v>
      </c>
      <c r="T589" s="295" t="e">
        <f>IF(K589="nio",0,(M589*Q589)/Z589)*VLOOKUP(C589,'2-Uren per locatie'!$B$15:$D$74,3,FALSE)</f>
        <v>#DIV/0!</v>
      </c>
      <c r="U589" s="295" t="e">
        <f>IF(K589="nio",0,(N589*Q589)/AA589)*VLOOKUP(C589,'2-Uren per locatie'!$B$15:$D$74,3,FALSE)</f>
        <v>#DIV/0!</v>
      </c>
      <c r="V589" s="295" t="e">
        <f>IF(K589="nio",0,(O589*Q589)/Z589)*VLOOKUP(C589,'2-Uren per locatie'!$B$15:$D$74,3,FALSE)</f>
        <v>#DIV/0!</v>
      </c>
      <c r="W589" s="295" t="e">
        <f>IF(K589="nio",0,(P589*Q589)/AA589)*VLOOKUP(C589,'2-Uren per locatie'!$B$15:$D$74,3,FALSE)</f>
        <v>#DIV/0!</v>
      </c>
      <c r="X589" s="485">
        <f>IF(K589="nio",0,IF(K589&gt;0,VLOOKUP(H589,'3-Productie normen'!A:F,VLOOKUP(K589,'3-Productie normen'!$B$29:$C$34,2,FALSE),FALSE)))</f>
        <v>0</v>
      </c>
      <c r="Y589" s="485">
        <f>VLOOKUP(H589,'3-Productie normen'!$A$10:$J$24,8,FALSE)*'3-Ruimtestaat'!X589</f>
        <v>0</v>
      </c>
      <c r="Z589" s="485">
        <f>VLOOKUP(H589,'3-Productie normen'!$A$10:$J$24,9,FALSE)*'3-Ruimtestaat'!X589</f>
        <v>0</v>
      </c>
      <c r="AA589" s="485">
        <f>VLOOKUP(H589,'3-Productie normen'!$A$10:$J$24,10,FALSE)*'3-Ruimtestaat'!X589</f>
        <v>0</v>
      </c>
      <c r="AB589" s="292" t="str">
        <f>IF(H589="",0,VLOOKUP(H589,'3-Productie normen'!$A$10:$N$23,14,FALSE))</f>
        <v>V</v>
      </c>
      <c r="AD589" s="296">
        <f t="shared" si="22"/>
        <v>15896.6737654321</v>
      </c>
      <c r="AE589" s="78"/>
      <c r="AF589" s="253"/>
      <c r="AG589" s="253"/>
      <c r="AH589" s="253"/>
      <c r="AI589" s="253"/>
      <c r="AJ589" s="253"/>
      <c r="AK589" s="253"/>
      <c r="AL589" s="253"/>
      <c r="AM589" s="253"/>
      <c r="AN589" s="253"/>
      <c r="AO589" s="253"/>
    </row>
    <row r="590" spans="1:41" ht="15" customHeight="1">
      <c r="A590" s="254">
        <v>590</v>
      </c>
      <c r="B590" s="253">
        <v>605</v>
      </c>
      <c r="C590" s="240" t="s">
        <v>113</v>
      </c>
      <c r="D590" s="288" t="s">
        <v>634</v>
      </c>
      <c r="E590" s="289" t="s">
        <v>806</v>
      </c>
      <c r="F590" s="239" t="s">
        <v>469</v>
      </c>
      <c r="G590" s="290" t="s">
        <v>809</v>
      </c>
      <c r="H590" s="291" t="s">
        <v>144</v>
      </c>
      <c r="I590" s="239" t="s">
        <v>808</v>
      </c>
      <c r="J590" s="424">
        <f t="shared" si="21"/>
        <v>365</v>
      </c>
      <c r="K590" s="425">
        <v>255</v>
      </c>
      <c r="L590" s="425"/>
      <c r="M590" s="425">
        <v>102</v>
      </c>
      <c r="N590" s="425"/>
      <c r="O590" s="425">
        <v>8</v>
      </c>
      <c r="P590" s="425"/>
      <c r="Q590" s="294">
        <v>22.295967901234576</v>
      </c>
      <c r="R590" s="295" t="e">
        <f>IF(K590="nio",0,(K590*Q590)/X590)*VLOOKUP(C590,'2-Uren per locatie'!$B$15:$D$74,3,FALSE)</f>
        <v>#DIV/0!</v>
      </c>
      <c r="S590" s="295" t="e">
        <f>IF(K590="nio",0,(L590*Q590)/Y590)*VLOOKUP(C590,'2-Uren per locatie'!$B$15:$D$74,3,FALSE)</f>
        <v>#DIV/0!</v>
      </c>
      <c r="T590" s="295" t="e">
        <f>IF(K590="nio",0,(M590*Q590)/Z590)*VLOOKUP(C590,'2-Uren per locatie'!$B$15:$D$74,3,FALSE)</f>
        <v>#DIV/0!</v>
      </c>
      <c r="U590" s="295" t="e">
        <f>IF(K590="nio",0,(N590*Q590)/AA590)*VLOOKUP(C590,'2-Uren per locatie'!$B$15:$D$74,3,FALSE)</f>
        <v>#DIV/0!</v>
      </c>
      <c r="V590" s="295" t="e">
        <f>IF(K590="nio",0,(O590*Q590)/Z590)*VLOOKUP(C590,'2-Uren per locatie'!$B$15:$D$74,3,FALSE)</f>
        <v>#DIV/0!</v>
      </c>
      <c r="W590" s="295" t="e">
        <f>IF(K590="nio",0,(P590*Q590)/AA590)*VLOOKUP(C590,'2-Uren per locatie'!$B$15:$D$74,3,FALSE)</f>
        <v>#DIV/0!</v>
      </c>
      <c r="X590" s="485">
        <f>IF(K590="nio",0,IF(K590&gt;0,VLOOKUP(H590,'3-Productie normen'!A:F,VLOOKUP(K590,'3-Productie normen'!$B$29:$C$34,2,FALSE),FALSE)))</f>
        <v>0</v>
      </c>
      <c r="Y590" s="485">
        <f>VLOOKUP(H590,'3-Productie normen'!$A$10:$J$24,8,FALSE)*'3-Ruimtestaat'!X590</f>
        <v>0</v>
      </c>
      <c r="Z590" s="485">
        <f>VLOOKUP(H590,'3-Productie normen'!$A$10:$J$24,9,FALSE)*'3-Ruimtestaat'!X590</f>
        <v>0</v>
      </c>
      <c r="AA590" s="485">
        <f>VLOOKUP(H590,'3-Productie normen'!$A$10:$J$24,10,FALSE)*'3-Ruimtestaat'!X590</f>
        <v>0</v>
      </c>
      <c r="AB590" s="292" t="str">
        <f>IF(H590="",0,VLOOKUP(H590,'3-Productie normen'!$A$10:$N$23,14,FALSE))</f>
        <v>V</v>
      </c>
      <c r="AD590" s="296">
        <f t="shared" si="22"/>
        <v>8138.0282839506199</v>
      </c>
      <c r="AE590" s="78"/>
      <c r="AF590" s="253"/>
      <c r="AG590" s="253"/>
      <c r="AH590" s="253"/>
      <c r="AI590" s="253"/>
      <c r="AJ590" s="253"/>
      <c r="AK590" s="253"/>
      <c r="AL590" s="253"/>
      <c r="AM590" s="253"/>
      <c r="AN590" s="253"/>
      <c r="AO590" s="253"/>
    </row>
    <row r="591" spans="1:41" ht="15" customHeight="1">
      <c r="A591" s="254">
        <v>591</v>
      </c>
      <c r="B591" s="253">
        <v>605</v>
      </c>
      <c r="C591" s="240" t="s">
        <v>113</v>
      </c>
      <c r="D591" s="288" t="s">
        <v>634</v>
      </c>
      <c r="E591" s="289" t="s">
        <v>806</v>
      </c>
      <c r="F591" s="239" t="s">
        <v>508</v>
      </c>
      <c r="G591" s="290" t="s">
        <v>810</v>
      </c>
      <c r="H591" s="291" t="s">
        <v>153</v>
      </c>
      <c r="I591" s="239" t="s">
        <v>392</v>
      </c>
      <c r="J591" s="424">
        <f t="shared" si="21"/>
        <v>365</v>
      </c>
      <c r="K591" s="425">
        <v>255</v>
      </c>
      <c r="L591" s="425"/>
      <c r="M591" s="425">
        <v>102</v>
      </c>
      <c r="N591" s="425"/>
      <c r="O591" s="425">
        <v>8</v>
      </c>
      <c r="P591" s="425"/>
      <c r="Q591" s="294">
        <v>6.8512888888888899</v>
      </c>
      <c r="R591" s="295" t="e">
        <f>IF(K591="nio",0,(K591*Q591)/X591)*VLOOKUP(C591,'2-Uren per locatie'!$B$15:$D$74,3,FALSE)</f>
        <v>#DIV/0!</v>
      </c>
      <c r="S591" s="295" t="e">
        <f>IF(K591="nio",0,(L591*Q591)/Y591)*VLOOKUP(C591,'2-Uren per locatie'!$B$15:$D$74,3,FALSE)</f>
        <v>#DIV/0!</v>
      </c>
      <c r="T591" s="295" t="e">
        <f>IF(K591="nio",0,(M591*Q591)/Z591)*VLOOKUP(C591,'2-Uren per locatie'!$B$15:$D$74,3,FALSE)</f>
        <v>#DIV/0!</v>
      </c>
      <c r="U591" s="295" t="e">
        <f>IF(K591="nio",0,(N591*Q591)/AA591)*VLOOKUP(C591,'2-Uren per locatie'!$B$15:$D$74,3,FALSE)</f>
        <v>#DIV/0!</v>
      </c>
      <c r="V591" s="295" t="e">
        <f>IF(K591="nio",0,(O591*Q591)/Z591)*VLOOKUP(C591,'2-Uren per locatie'!$B$15:$D$74,3,FALSE)</f>
        <v>#DIV/0!</v>
      </c>
      <c r="W591" s="295" t="e">
        <f>IF(K591="nio",0,(P591*Q591)/AA591)*VLOOKUP(C591,'2-Uren per locatie'!$B$15:$D$74,3,FALSE)</f>
        <v>#DIV/0!</v>
      </c>
      <c r="X591" s="485">
        <f>IF(K591="nio",0,IF(K591&gt;0,VLOOKUP(H591,'3-Productie normen'!A:F,VLOOKUP(K591,'3-Productie normen'!$B$29:$C$34,2,FALSE),FALSE)))</f>
        <v>0</v>
      </c>
      <c r="Y591" s="485">
        <f>VLOOKUP(H591,'3-Productie normen'!$A$10:$J$24,8,FALSE)*'3-Ruimtestaat'!X591</f>
        <v>0</v>
      </c>
      <c r="Z591" s="485">
        <f>VLOOKUP(H591,'3-Productie normen'!$A$10:$J$24,9,FALSE)*'3-Ruimtestaat'!X591</f>
        <v>0</v>
      </c>
      <c r="AA591" s="485">
        <f>VLOOKUP(H591,'3-Productie normen'!$A$10:$J$24,10,FALSE)*'3-Ruimtestaat'!X591</f>
        <v>0</v>
      </c>
      <c r="AB591" s="292" t="str">
        <f>IF(H591="",0,VLOOKUP(H591,'3-Productie normen'!$A$10:$N$23,14,FALSE))</f>
        <v>S</v>
      </c>
      <c r="AD591" s="296">
        <f t="shared" si="22"/>
        <v>2500.7204444444446</v>
      </c>
      <c r="AE591" s="78"/>
      <c r="AF591" s="253"/>
      <c r="AG591" s="253"/>
      <c r="AH591" s="253"/>
      <c r="AI591" s="253"/>
      <c r="AJ591" s="253"/>
      <c r="AK591" s="253"/>
      <c r="AL591" s="253"/>
      <c r="AM591" s="253"/>
      <c r="AN591" s="253"/>
      <c r="AO591" s="253"/>
    </row>
    <row r="592" spans="1:41" ht="15" customHeight="1">
      <c r="A592" s="254">
        <v>592</v>
      </c>
      <c r="B592" s="253">
        <v>605</v>
      </c>
      <c r="C592" s="240" t="s">
        <v>113</v>
      </c>
      <c r="D592" s="288" t="s">
        <v>634</v>
      </c>
      <c r="E592" s="289" t="s">
        <v>806</v>
      </c>
      <c r="F592" s="239" t="s">
        <v>510</v>
      </c>
      <c r="G592" s="290" t="s">
        <v>810</v>
      </c>
      <c r="H592" s="291" t="s">
        <v>153</v>
      </c>
      <c r="I592" s="239" t="s">
        <v>392</v>
      </c>
      <c r="J592" s="424">
        <f t="shared" si="21"/>
        <v>365</v>
      </c>
      <c r="K592" s="425">
        <v>255</v>
      </c>
      <c r="L592" s="425"/>
      <c r="M592" s="425">
        <v>102</v>
      </c>
      <c r="N592" s="425"/>
      <c r="O592" s="425">
        <v>8</v>
      </c>
      <c r="P592" s="425"/>
      <c r="Q592" s="294">
        <v>6.8512888888888899</v>
      </c>
      <c r="R592" s="295" t="e">
        <f>IF(K592="nio",0,(K592*Q592)/X592)*VLOOKUP(C592,'2-Uren per locatie'!$B$15:$D$74,3,FALSE)</f>
        <v>#DIV/0!</v>
      </c>
      <c r="S592" s="295" t="e">
        <f>IF(K592="nio",0,(L592*Q592)/Y592)*VLOOKUP(C592,'2-Uren per locatie'!$B$15:$D$74,3,FALSE)</f>
        <v>#DIV/0!</v>
      </c>
      <c r="T592" s="295" t="e">
        <f>IF(K592="nio",0,(M592*Q592)/Z592)*VLOOKUP(C592,'2-Uren per locatie'!$B$15:$D$74,3,FALSE)</f>
        <v>#DIV/0!</v>
      </c>
      <c r="U592" s="295" t="e">
        <f>IF(K592="nio",0,(N592*Q592)/AA592)*VLOOKUP(C592,'2-Uren per locatie'!$B$15:$D$74,3,FALSE)</f>
        <v>#DIV/0!</v>
      </c>
      <c r="V592" s="295" t="e">
        <f>IF(K592="nio",0,(O592*Q592)/Z592)*VLOOKUP(C592,'2-Uren per locatie'!$B$15:$D$74,3,FALSE)</f>
        <v>#DIV/0!</v>
      </c>
      <c r="W592" s="295" t="e">
        <f>IF(K592="nio",0,(P592*Q592)/AA592)*VLOOKUP(C592,'2-Uren per locatie'!$B$15:$D$74,3,FALSE)</f>
        <v>#DIV/0!</v>
      </c>
      <c r="X592" s="485">
        <f>IF(K592="nio",0,IF(K592&gt;0,VLOOKUP(H592,'3-Productie normen'!A:F,VLOOKUP(K592,'3-Productie normen'!$B$29:$C$34,2,FALSE),FALSE)))</f>
        <v>0</v>
      </c>
      <c r="Y592" s="485">
        <f>VLOOKUP(H592,'3-Productie normen'!$A$10:$J$24,8,FALSE)*'3-Ruimtestaat'!X592</f>
        <v>0</v>
      </c>
      <c r="Z592" s="485">
        <f>VLOOKUP(H592,'3-Productie normen'!$A$10:$J$24,9,FALSE)*'3-Ruimtestaat'!X592</f>
        <v>0</v>
      </c>
      <c r="AA592" s="485">
        <f>VLOOKUP(H592,'3-Productie normen'!$A$10:$J$24,10,FALSE)*'3-Ruimtestaat'!X592</f>
        <v>0</v>
      </c>
      <c r="AB592" s="292" t="str">
        <f>IF(H592="",0,VLOOKUP(H592,'3-Productie normen'!$A$10:$N$23,14,FALSE))</f>
        <v>S</v>
      </c>
      <c r="AD592" s="296">
        <f t="shared" si="22"/>
        <v>2500.7204444444446</v>
      </c>
      <c r="AE592" s="78"/>
      <c r="AF592" s="253"/>
      <c r="AG592" s="253"/>
      <c r="AH592" s="253"/>
      <c r="AI592" s="253"/>
      <c r="AJ592" s="253"/>
      <c r="AK592" s="253"/>
      <c r="AL592" s="253"/>
      <c r="AM592" s="253"/>
      <c r="AN592" s="253"/>
      <c r="AO592" s="253"/>
    </row>
    <row r="593" spans="1:41" ht="15" customHeight="1">
      <c r="A593" s="254">
        <v>593</v>
      </c>
      <c r="B593" s="253">
        <v>605</v>
      </c>
      <c r="C593" s="240" t="s">
        <v>113</v>
      </c>
      <c r="D593" s="288" t="s">
        <v>634</v>
      </c>
      <c r="E593" s="289" t="s">
        <v>806</v>
      </c>
      <c r="F593" s="239" t="s">
        <v>811</v>
      </c>
      <c r="G593" s="290" t="s">
        <v>812</v>
      </c>
      <c r="H593" s="291" t="s">
        <v>148</v>
      </c>
      <c r="I593" s="239" t="s">
        <v>808</v>
      </c>
      <c r="J593" s="424">
        <f t="shared" si="21"/>
        <v>365</v>
      </c>
      <c r="K593" s="425">
        <v>255</v>
      </c>
      <c r="L593" s="425"/>
      <c r="M593" s="425">
        <v>102</v>
      </c>
      <c r="N593" s="425"/>
      <c r="O593" s="425">
        <v>8</v>
      </c>
      <c r="P593" s="425"/>
      <c r="Q593" s="294">
        <v>11.126024691358026</v>
      </c>
      <c r="R593" s="295" t="e">
        <f>IF(K593="nio",0,(K593*Q593)/X593)*VLOOKUP(C593,'2-Uren per locatie'!$B$15:$D$74,3,FALSE)</f>
        <v>#DIV/0!</v>
      </c>
      <c r="S593" s="295" t="e">
        <f>IF(K593="nio",0,(L593*Q593)/Y593)*VLOOKUP(C593,'2-Uren per locatie'!$B$15:$D$74,3,FALSE)</f>
        <v>#DIV/0!</v>
      </c>
      <c r="T593" s="295" t="e">
        <f>IF(K593="nio",0,(M593*Q593)/Z593)*VLOOKUP(C593,'2-Uren per locatie'!$B$15:$D$74,3,FALSE)</f>
        <v>#DIV/0!</v>
      </c>
      <c r="U593" s="295" t="e">
        <f>IF(K593="nio",0,(N593*Q593)/AA593)*VLOOKUP(C593,'2-Uren per locatie'!$B$15:$D$74,3,FALSE)</f>
        <v>#DIV/0!</v>
      </c>
      <c r="V593" s="295" t="e">
        <f>IF(K593="nio",0,(O593*Q593)/Z593)*VLOOKUP(C593,'2-Uren per locatie'!$B$15:$D$74,3,FALSE)</f>
        <v>#DIV/0!</v>
      </c>
      <c r="W593" s="295" t="e">
        <f>IF(K593="nio",0,(P593*Q593)/AA593)*VLOOKUP(C593,'2-Uren per locatie'!$B$15:$D$74,3,FALSE)</f>
        <v>#DIV/0!</v>
      </c>
      <c r="X593" s="485">
        <f>IF(K593="nio",0,IF(K593&gt;0,VLOOKUP(H593,'3-Productie normen'!A:F,VLOOKUP(K593,'3-Productie normen'!$B$29:$C$34,2,FALSE),FALSE)))</f>
        <v>0</v>
      </c>
      <c r="Y593" s="485">
        <f>VLOOKUP(H593,'3-Productie normen'!$A$10:$J$24,8,FALSE)*'3-Ruimtestaat'!X593</f>
        <v>0</v>
      </c>
      <c r="Z593" s="485">
        <f>VLOOKUP(H593,'3-Productie normen'!$A$10:$J$24,9,FALSE)*'3-Ruimtestaat'!X593</f>
        <v>0</v>
      </c>
      <c r="AA593" s="485">
        <f>VLOOKUP(H593,'3-Productie normen'!$A$10:$J$24,10,FALSE)*'3-Ruimtestaat'!X593</f>
        <v>0</v>
      </c>
      <c r="AB593" s="292" t="str">
        <f>IF(H593="",0,VLOOKUP(H593,'3-Productie normen'!$A$10:$N$23,14,FALSE))</f>
        <v>V</v>
      </c>
      <c r="AD593" s="296">
        <f t="shared" si="22"/>
        <v>4060.9990123456796</v>
      </c>
      <c r="AE593" s="78"/>
      <c r="AF593" s="253"/>
      <c r="AG593" s="253"/>
      <c r="AH593" s="253"/>
      <c r="AI593" s="253"/>
      <c r="AJ593" s="253"/>
      <c r="AK593" s="253"/>
      <c r="AL593" s="253"/>
      <c r="AM593" s="253"/>
      <c r="AN593" s="253"/>
      <c r="AO593" s="253"/>
    </row>
    <row r="594" spans="1:41" ht="15" customHeight="1">
      <c r="A594" s="254">
        <v>594</v>
      </c>
      <c r="B594" s="253">
        <v>605</v>
      </c>
      <c r="C594" s="240" t="s">
        <v>113</v>
      </c>
      <c r="D594" s="288" t="s">
        <v>634</v>
      </c>
      <c r="E594" s="289" t="s">
        <v>806</v>
      </c>
      <c r="F594" s="239" t="s">
        <v>813</v>
      </c>
      <c r="G594" s="290" t="s">
        <v>814</v>
      </c>
      <c r="H594" s="291" t="s">
        <v>148</v>
      </c>
      <c r="I594" s="239" t="s">
        <v>808</v>
      </c>
      <c r="J594" s="424">
        <f t="shared" si="21"/>
        <v>365</v>
      </c>
      <c r="K594" s="425">
        <v>255</v>
      </c>
      <c r="L594" s="425"/>
      <c r="M594" s="425">
        <v>102</v>
      </c>
      <c r="N594" s="425"/>
      <c r="O594" s="425">
        <v>8</v>
      </c>
      <c r="P594" s="425"/>
      <c r="Q594" s="294">
        <v>12.238627160493829</v>
      </c>
      <c r="R594" s="295" t="e">
        <f>IF(K594="nio",0,(K594*Q594)/X594)*VLOOKUP(C594,'2-Uren per locatie'!$B$15:$D$74,3,FALSE)</f>
        <v>#DIV/0!</v>
      </c>
      <c r="S594" s="295" t="e">
        <f>IF(K594="nio",0,(L594*Q594)/Y594)*VLOOKUP(C594,'2-Uren per locatie'!$B$15:$D$74,3,FALSE)</f>
        <v>#DIV/0!</v>
      </c>
      <c r="T594" s="295" t="e">
        <f>IF(K594="nio",0,(M594*Q594)/Z594)*VLOOKUP(C594,'2-Uren per locatie'!$B$15:$D$74,3,FALSE)</f>
        <v>#DIV/0!</v>
      </c>
      <c r="U594" s="295" t="e">
        <f>IF(K594="nio",0,(N594*Q594)/AA594)*VLOOKUP(C594,'2-Uren per locatie'!$B$15:$D$74,3,FALSE)</f>
        <v>#DIV/0!</v>
      </c>
      <c r="V594" s="295" t="e">
        <f>IF(K594="nio",0,(O594*Q594)/Z594)*VLOOKUP(C594,'2-Uren per locatie'!$B$15:$D$74,3,FALSE)</f>
        <v>#DIV/0!</v>
      </c>
      <c r="W594" s="295" t="e">
        <f>IF(K594="nio",0,(P594*Q594)/AA594)*VLOOKUP(C594,'2-Uren per locatie'!$B$15:$D$74,3,FALSE)</f>
        <v>#DIV/0!</v>
      </c>
      <c r="X594" s="485">
        <f>IF(K594="nio",0,IF(K594&gt;0,VLOOKUP(H594,'3-Productie normen'!A:F,VLOOKUP(K594,'3-Productie normen'!$B$29:$C$34,2,FALSE),FALSE)))</f>
        <v>0</v>
      </c>
      <c r="Y594" s="485">
        <f>VLOOKUP(H594,'3-Productie normen'!$A$10:$J$24,8,FALSE)*'3-Ruimtestaat'!X594</f>
        <v>0</v>
      </c>
      <c r="Z594" s="485">
        <f>VLOOKUP(H594,'3-Productie normen'!$A$10:$J$24,9,FALSE)*'3-Ruimtestaat'!X594</f>
        <v>0</v>
      </c>
      <c r="AA594" s="485">
        <f>VLOOKUP(H594,'3-Productie normen'!$A$10:$J$24,10,FALSE)*'3-Ruimtestaat'!X594</f>
        <v>0</v>
      </c>
      <c r="AB594" s="292" t="str">
        <f>IF(H594="",0,VLOOKUP(H594,'3-Productie normen'!$A$10:$N$23,14,FALSE))</f>
        <v>V</v>
      </c>
      <c r="AD594" s="296">
        <f t="shared" si="22"/>
        <v>4467.0989135802474</v>
      </c>
      <c r="AE594" s="78"/>
      <c r="AF594" s="253"/>
      <c r="AG594" s="253"/>
      <c r="AH594" s="253"/>
      <c r="AI594" s="253"/>
      <c r="AJ594" s="253"/>
      <c r="AK594" s="253"/>
      <c r="AL594" s="253"/>
      <c r="AM594" s="253"/>
      <c r="AN594" s="253"/>
      <c r="AO594" s="253"/>
    </row>
    <row r="595" spans="1:41" ht="15" customHeight="1">
      <c r="A595" s="254">
        <v>595</v>
      </c>
      <c r="B595" s="253">
        <v>605</v>
      </c>
      <c r="C595" s="240" t="s">
        <v>113</v>
      </c>
      <c r="D595" s="288" t="s">
        <v>634</v>
      </c>
      <c r="E595" s="289" t="s">
        <v>806</v>
      </c>
      <c r="F595" s="239" t="s">
        <v>815</v>
      </c>
      <c r="G595" s="290" t="s">
        <v>816</v>
      </c>
      <c r="H595" s="291" t="s">
        <v>146</v>
      </c>
      <c r="I595" s="239" t="s">
        <v>808</v>
      </c>
      <c r="J595" s="424">
        <f t="shared" si="21"/>
        <v>365</v>
      </c>
      <c r="K595" s="425">
        <v>255</v>
      </c>
      <c r="L595" s="425"/>
      <c r="M595" s="425">
        <v>102</v>
      </c>
      <c r="N595" s="425"/>
      <c r="O595" s="425">
        <v>8</v>
      </c>
      <c r="P595" s="425"/>
      <c r="Q595" s="294">
        <v>16.36696790123457</v>
      </c>
      <c r="R595" s="295" t="e">
        <f>IF(K595="nio",0,(K595*Q595)/X595)*VLOOKUP(C595,'2-Uren per locatie'!$B$15:$D$74,3,FALSE)</f>
        <v>#DIV/0!</v>
      </c>
      <c r="S595" s="295" t="e">
        <f>IF(K595="nio",0,(L595*Q595)/Y595)*VLOOKUP(C595,'2-Uren per locatie'!$B$15:$D$74,3,FALSE)</f>
        <v>#DIV/0!</v>
      </c>
      <c r="T595" s="295" t="e">
        <f>IF(K595="nio",0,(M595*Q595)/Z595)*VLOOKUP(C595,'2-Uren per locatie'!$B$15:$D$74,3,FALSE)</f>
        <v>#DIV/0!</v>
      </c>
      <c r="U595" s="295" t="e">
        <f>IF(K595="nio",0,(N595*Q595)/AA595)*VLOOKUP(C595,'2-Uren per locatie'!$B$15:$D$74,3,FALSE)</f>
        <v>#DIV/0!</v>
      </c>
      <c r="V595" s="295" t="e">
        <f>IF(K595="nio",0,(O595*Q595)/Z595)*VLOOKUP(C595,'2-Uren per locatie'!$B$15:$D$74,3,FALSE)</f>
        <v>#DIV/0!</v>
      </c>
      <c r="W595" s="295" t="e">
        <f>IF(K595="nio",0,(P595*Q595)/AA595)*VLOOKUP(C595,'2-Uren per locatie'!$B$15:$D$74,3,FALSE)</f>
        <v>#DIV/0!</v>
      </c>
      <c r="X595" s="485">
        <f>IF(K595="nio",0,IF(K595&gt;0,VLOOKUP(H595,'3-Productie normen'!A:F,VLOOKUP(K595,'3-Productie normen'!$B$29:$C$34,2,FALSE),FALSE)))</f>
        <v>0</v>
      </c>
      <c r="Y595" s="485">
        <f>VLOOKUP(H595,'3-Productie normen'!$A$10:$J$24,8,FALSE)*'3-Ruimtestaat'!X595</f>
        <v>0</v>
      </c>
      <c r="Z595" s="485">
        <f>VLOOKUP(H595,'3-Productie normen'!$A$10:$J$24,9,FALSE)*'3-Ruimtestaat'!X595</f>
        <v>0</v>
      </c>
      <c r="AA595" s="485">
        <f>VLOOKUP(H595,'3-Productie normen'!$A$10:$J$24,10,FALSE)*'3-Ruimtestaat'!X595</f>
        <v>0</v>
      </c>
      <c r="AB595" s="292" t="str">
        <f>IF(H595="",0,VLOOKUP(H595,'3-Productie normen'!$A$10:$N$23,14,FALSE))</f>
        <v>B</v>
      </c>
      <c r="AD595" s="296">
        <f t="shared" si="22"/>
        <v>5973.943283950618</v>
      </c>
      <c r="AE595" s="78"/>
      <c r="AF595" s="253"/>
      <c r="AG595" s="253"/>
      <c r="AH595" s="253"/>
      <c r="AI595" s="253"/>
      <c r="AJ595" s="253"/>
      <c r="AK595" s="253"/>
      <c r="AL595" s="253"/>
      <c r="AM595" s="253"/>
      <c r="AN595" s="253"/>
      <c r="AO595" s="253"/>
    </row>
    <row r="596" spans="1:41" ht="15" customHeight="1">
      <c r="A596" s="254">
        <v>596</v>
      </c>
      <c r="B596" s="253">
        <v>605</v>
      </c>
      <c r="C596" s="240" t="s">
        <v>113</v>
      </c>
      <c r="D596" s="288" t="s">
        <v>634</v>
      </c>
      <c r="E596" s="289" t="s">
        <v>806</v>
      </c>
      <c r="F596" s="239" t="s">
        <v>815</v>
      </c>
      <c r="G596" s="290" t="s">
        <v>816</v>
      </c>
      <c r="H596" s="291" t="s">
        <v>146</v>
      </c>
      <c r="I596" s="239" t="s">
        <v>808</v>
      </c>
      <c r="J596" s="424">
        <f t="shared" si="21"/>
        <v>365</v>
      </c>
      <c r="K596" s="425">
        <v>255</v>
      </c>
      <c r="L596" s="425"/>
      <c r="M596" s="425">
        <v>102</v>
      </c>
      <c r="N596" s="425"/>
      <c r="O596" s="425">
        <v>8</v>
      </c>
      <c r="P596" s="425"/>
      <c r="Q596" s="294">
        <v>15.298283950617286</v>
      </c>
      <c r="R596" s="295" t="e">
        <f>IF(K596="nio",0,(K596*Q596)/X596)*VLOOKUP(C596,'2-Uren per locatie'!$B$15:$D$74,3,FALSE)</f>
        <v>#DIV/0!</v>
      </c>
      <c r="S596" s="295" t="e">
        <f>IF(K596="nio",0,(L596*Q596)/Y596)*VLOOKUP(C596,'2-Uren per locatie'!$B$15:$D$74,3,FALSE)</f>
        <v>#DIV/0!</v>
      </c>
      <c r="T596" s="295" t="e">
        <f>IF(K596="nio",0,(M596*Q596)/Z596)*VLOOKUP(C596,'2-Uren per locatie'!$B$15:$D$74,3,FALSE)</f>
        <v>#DIV/0!</v>
      </c>
      <c r="U596" s="295" t="e">
        <f>IF(K596="nio",0,(N596*Q596)/AA596)*VLOOKUP(C596,'2-Uren per locatie'!$B$15:$D$74,3,FALSE)</f>
        <v>#DIV/0!</v>
      </c>
      <c r="V596" s="295" t="e">
        <f>IF(K596="nio",0,(O596*Q596)/Z596)*VLOOKUP(C596,'2-Uren per locatie'!$B$15:$D$74,3,FALSE)</f>
        <v>#DIV/0!</v>
      </c>
      <c r="W596" s="295" t="e">
        <f>IF(K596="nio",0,(P596*Q596)/AA596)*VLOOKUP(C596,'2-Uren per locatie'!$B$15:$D$74,3,FALSE)</f>
        <v>#DIV/0!</v>
      </c>
      <c r="X596" s="485">
        <f>IF(K596="nio",0,IF(K596&gt;0,VLOOKUP(H596,'3-Productie normen'!A:F,VLOOKUP(K596,'3-Productie normen'!$B$29:$C$34,2,FALSE),FALSE)))</f>
        <v>0</v>
      </c>
      <c r="Y596" s="485">
        <f>VLOOKUP(H596,'3-Productie normen'!$A$10:$J$24,8,FALSE)*'3-Ruimtestaat'!X596</f>
        <v>0</v>
      </c>
      <c r="Z596" s="485">
        <f>VLOOKUP(H596,'3-Productie normen'!$A$10:$J$24,9,FALSE)*'3-Ruimtestaat'!X596</f>
        <v>0</v>
      </c>
      <c r="AA596" s="485">
        <f>VLOOKUP(H596,'3-Productie normen'!$A$10:$J$24,10,FALSE)*'3-Ruimtestaat'!X596</f>
        <v>0</v>
      </c>
      <c r="AB596" s="292" t="str">
        <f>IF(H596="",0,VLOOKUP(H596,'3-Productie normen'!$A$10:$N$23,14,FALSE))</f>
        <v>B</v>
      </c>
      <c r="AD596" s="296">
        <f t="shared" si="22"/>
        <v>5583.8736419753095</v>
      </c>
      <c r="AE596" s="78"/>
      <c r="AF596" s="253"/>
      <c r="AG596" s="253"/>
      <c r="AH596" s="253"/>
      <c r="AI596" s="253"/>
      <c r="AJ596" s="253"/>
      <c r="AK596" s="253"/>
      <c r="AL596" s="253"/>
      <c r="AM596" s="253"/>
      <c r="AN596" s="253"/>
      <c r="AO596" s="253"/>
    </row>
    <row r="597" spans="1:41" ht="15" customHeight="1">
      <c r="A597" s="254">
        <v>597</v>
      </c>
      <c r="B597" s="253">
        <v>605</v>
      </c>
      <c r="C597" s="240" t="s">
        <v>113</v>
      </c>
      <c r="D597" s="288" t="s">
        <v>634</v>
      </c>
      <c r="E597" s="289" t="s">
        <v>817</v>
      </c>
      <c r="F597" s="239" t="s">
        <v>467</v>
      </c>
      <c r="G597" s="290" t="s">
        <v>668</v>
      </c>
      <c r="H597" s="291" t="s">
        <v>152</v>
      </c>
      <c r="I597" s="239" t="s">
        <v>265</v>
      </c>
      <c r="J597" s="424">
        <f t="shared" si="21"/>
        <v>365</v>
      </c>
      <c r="K597" s="425">
        <v>255</v>
      </c>
      <c r="L597" s="425"/>
      <c r="M597" s="425">
        <v>102</v>
      </c>
      <c r="N597" s="425"/>
      <c r="O597" s="425">
        <v>8</v>
      </c>
      <c r="P597" s="425"/>
      <c r="Q597" s="294">
        <v>13</v>
      </c>
      <c r="R597" s="295" t="e">
        <f>IF(K597="nio",0,(K597*Q597)/X597)*VLOOKUP(C597,'2-Uren per locatie'!$B$15:$D$74,3,FALSE)</f>
        <v>#DIV/0!</v>
      </c>
      <c r="S597" s="295" t="e">
        <f>IF(K597="nio",0,(L597*Q597)/Y597)*VLOOKUP(C597,'2-Uren per locatie'!$B$15:$D$74,3,FALSE)</f>
        <v>#DIV/0!</v>
      </c>
      <c r="T597" s="295" t="e">
        <f>IF(K597="nio",0,(M597*Q597)/Z597)*VLOOKUP(C597,'2-Uren per locatie'!$B$15:$D$74,3,FALSE)</f>
        <v>#DIV/0!</v>
      </c>
      <c r="U597" s="295" t="e">
        <f>IF(K597="nio",0,(N597*Q597)/AA597)*VLOOKUP(C597,'2-Uren per locatie'!$B$15:$D$74,3,FALSE)</f>
        <v>#DIV/0!</v>
      </c>
      <c r="V597" s="295" t="e">
        <f>IF(K597="nio",0,(O597*Q597)/Z597)*VLOOKUP(C597,'2-Uren per locatie'!$B$15:$D$74,3,FALSE)</f>
        <v>#DIV/0!</v>
      </c>
      <c r="W597" s="295" t="e">
        <f>IF(K597="nio",0,(P597*Q597)/AA597)*VLOOKUP(C597,'2-Uren per locatie'!$B$15:$D$74,3,FALSE)</f>
        <v>#DIV/0!</v>
      </c>
      <c r="X597" s="485">
        <f>IF(K597="nio",0,IF(K597&gt;0,VLOOKUP(H597,'3-Productie normen'!A:F,VLOOKUP(K597,'3-Productie normen'!$B$29:$C$34,2,FALSE),FALSE)))</f>
        <v>0</v>
      </c>
      <c r="Y597" s="485">
        <f>VLOOKUP(H597,'3-Productie normen'!$A$10:$J$24,8,FALSE)*'3-Ruimtestaat'!X597</f>
        <v>0</v>
      </c>
      <c r="Z597" s="485">
        <f>VLOOKUP(H597,'3-Productie normen'!$A$10:$J$24,9,FALSE)*'3-Ruimtestaat'!X597</f>
        <v>0</v>
      </c>
      <c r="AA597" s="485">
        <f>VLOOKUP(H597,'3-Productie normen'!$A$10:$J$24,10,FALSE)*'3-Ruimtestaat'!X597</f>
        <v>0</v>
      </c>
      <c r="AB597" s="292" t="str">
        <f>IF(H597="",0,VLOOKUP(H597,'3-Productie normen'!$A$10:$N$23,14,FALSE))</f>
        <v>V</v>
      </c>
      <c r="AD597" s="296">
        <f t="shared" si="22"/>
        <v>4745</v>
      </c>
      <c r="AE597" s="78"/>
      <c r="AF597" s="253"/>
      <c r="AG597" s="253"/>
      <c r="AH597" s="253"/>
      <c r="AI597" s="253"/>
      <c r="AJ597" s="253"/>
      <c r="AK597" s="253"/>
      <c r="AL597" s="253"/>
      <c r="AM597" s="253"/>
      <c r="AN597" s="253"/>
      <c r="AO597" s="253"/>
    </row>
    <row r="598" spans="1:41" ht="15" customHeight="1">
      <c r="A598" s="254">
        <v>598</v>
      </c>
      <c r="B598" s="253">
        <v>605</v>
      </c>
      <c r="C598" s="240" t="s">
        <v>113</v>
      </c>
      <c r="D598" s="288" t="s">
        <v>634</v>
      </c>
      <c r="E598" s="289" t="s">
        <v>817</v>
      </c>
      <c r="F598" s="239" t="s">
        <v>390</v>
      </c>
      <c r="G598" s="290" t="s">
        <v>668</v>
      </c>
      <c r="H598" s="291" t="s">
        <v>155</v>
      </c>
      <c r="I598" s="239" t="s">
        <v>392</v>
      </c>
      <c r="J598" s="424">
        <f t="shared" si="21"/>
        <v>365</v>
      </c>
      <c r="K598" s="425">
        <v>255</v>
      </c>
      <c r="L598" s="425"/>
      <c r="M598" s="425">
        <v>102</v>
      </c>
      <c r="N598" s="425"/>
      <c r="O598" s="425">
        <v>8</v>
      </c>
      <c r="P598" s="425"/>
      <c r="Q598" s="294">
        <v>64</v>
      </c>
      <c r="R598" s="295" t="e">
        <f>IF(K598="nio",0,(K598*Q598)/X598)*VLOOKUP(C598,'2-Uren per locatie'!$B$15:$D$74,3,FALSE)</f>
        <v>#DIV/0!</v>
      </c>
      <c r="S598" s="295" t="e">
        <f>IF(K598="nio",0,(L598*Q598)/Y598)*VLOOKUP(C598,'2-Uren per locatie'!$B$15:$D$74,3,FALSE)</f>
        <v>#DIV/0!</v>
      </c>
      <c r="T598" s="295" t="e">
        <f>IF(K598="nio",0,(M598*Q598)/Z598)*VLOOKUP(C598,'2-Uren per locatie'!$B$15:$D$74,3,FALSE)</f>
        <v>#DIV/0!</v>
      </c>
      <c r="U598" s="295" t="e">
        <f>IF(K598="nio",0,(N598*Q598)/AA598)*VLOOKUP(C598,'2-Uren per locatie'!$B$15:$D$74,3,FALSE)</f>
        <v>#DIV/0!</v>
      </c>
      <c r="V598" s="295" t="e">
        <f>IF(K598="nio",0,(O598*Q598)/Z598)*VLOOKUP(C598,'2-Uren per locatie'!$B$15:$D$74,3,FALSE)</f>
        <v>#DIV/0!</v>
      </c>
      <c r="W598" s="295" t="e">
        <f>IF(K598="nio",0,(P598*Q598)/AA598)*VLOOKUP(C598,'2-Uren per locatie'!$B$15:$D$74,3,FALSE)</f>
        <v>#DIV/0!</v>
      </c>
      <c r="X598" s="485">
        <f>IF(K598="nio",0,IF(K598&gt;0,VLOOKUP(H598,'3-Productie normen'!A:F,VLOOKUP(K598,'3-Productie normen'!$B$29:$C$34,2,FALSE),FALSE)))</f>
        <v>0</v>
      </c>
      <c r="Y598" s="485">
        <f>VLOOKUP(H598,'3-Productie normen'!$A$10:$J$24,8,FALSE)*'3-Ruimtestaat'!X598</f>
        <v>0</v>
      </c>
      <c r="Z598" s="485">
        <f>VLOOKUP(H598,'3-Productie normen'!$A$10:$J$24,9,FALSE)*'3-Ruimtestaat'!X598</f>
        <v>0</v>
      </c>
      <c r="AA598" s="485">
        <f>VLOOKUP(H598,'3-Productie normen'!$A$10:$J$24,10,FALSE)*'3-Ruimtestaat'!X598</f>
        <v>0</v>
      </c>
      <c r="AB598" s="292" t="str">
        <f>IF(H598="",0,VLOOKUP(H598,'3-Productie normen'!$A$10:$N$23,14,FALSE))</f>
        <v>V</v>
      </c>
      <c r="AD598" s="296">
        <f t="shared" si="22"/>
        <v>23360</v>
      </c>
      <c r="AE598" s="78"/>
      <c r="AF598" s="253"/>
      <c r="AG598" s="253"/>
      <c r="AH598" s="253"/>
      <c r="AI598" s="253"/>
      <c r="AJ598" s="253"/>
      <c r="AK598" s="253"/>
      <c r="AL598" s="253"/>
      <c r="AM598" s="253"/>
      <c r="AN598" s="253"/>
      <c r="AO598" s="253"/>
    </row>
    <row r="599" spans="1:41" ht="15" customHeight="1">
      <c r="A599" s="254">
        <v>599</v>
      </c>
      <c r="B599" s="253">
        <v>605</v>
      </c>
      <c r="C599" s="240" t="s">
        <v>113</v>
      </c>
      <c r="D599" s="288" t="s">
        <v>634</v>
      </c>
      <c r="E599" s="289" t="s">
        <v>817</v>
      </c>
      <c r="F599" s="239" t="s">
        <v>395</v>
      </c>
      <c r="G599" s="290" t="s">
        <v>668</v>
      </c>
      <c r="H599" s="291" t="s">
        <v>145</v>
      </c>
      <c r="I599" s="239" t="s">
        <v>392</v>
      </c>
      <c r="J599" s="424">
        <f t="shared" si="21"/>
        <v>365</v>
      </c>
      <c r="K599" s="425">
        <v>255</v>
      </c>
      <c r="L599" s="425"/>
      <c r="M599" s="425">
        <v>102</v>
      </c>
      <c r="N599" s="425"/>
      <c r="O599" s="425">
        <v>8</v>
      </c>
      <c r="P599" s="425"/>
      <c r="Q599" s="294">
        <v>64</v>
      </c>
      <c r="R599" s="295" t="e">
        <f>IF(K599="nio",0,(K599*Q599)/X599)*VLOOKUP(C599,'2-Uren per locatie'!$B$15:$D$74,3,FALSE)</f>
        <v>#DIV/0!</v>
      </c>
      <c r="S599" s="295" t="e">
        <f>IF(K599="nio",0,(L599*Q599)/Y599)*VLOOKUP(C599,'2-Uren per locatie'!$B$15:$D$74,3,FALSE)</f>
        <v>#DIV/0!</v>
      </c>
      <c r="T599" s="295" t="e">
        <f>IF(K599="nio",0,(M599*Q599)/Z599)*VLOOKUP(C599,'2-Uren per locatie'!$B$15:$D$74,3,FALSE)</f>
        <v>#DIV/0!</v>
      </c>
      <c r="U599" s="295" t="e">
        <f>IF(K599="nio",0,(N599*Q599)/AA599)*VLOOKUP(C599,'2-Uren per locatie'!$B$15:$D$74,3,FALSE)</f>
        <v>#DIV/0!</v>
      </c>
      <c r="V599" s="295" t="e">
        <f>IF(K599="nio",0,(O599*Q599)/Z599)*VLOOKUP(C599,'2-Uren per locatie'!$B$15:$D$74,3,FALSE)</f>
        <v>#DIV/0!</v>
      </c>
      <c r="W599" s="295" t="e">
        <f>IF(K599="nio",0,(P599*Q599)/AA599)*VLOOKUP(C599,'2-Uren per locatie'!$B$15:$D$74,3,FALSE)</f>
        <v>#DIV/0!</v>
      </c>
      <c r="X599" s="485">
        <f>IF(K599="nio",0,IF(K599&gt;0,VLOOKUP(H599,'3-Productie normen'!A:F,VLOOKUP(K599,'3-Productie normen'!$B$29:$C$34,2,FALSE),FALSE)))</f>
        <v>0</v>
      </c>
      <c r="Y599" s="485">
        <f>VLOOKUP(H599,'3-Productie normen'!$A$10:$J$24,8,FALSE)*'3-Ruimtestaat'!X599</f>
        <v>0</v>
      </c>
      <c r="Z599" s="485">
        <f>VLOOKUP(H599,'3-Productie normen'!$A$10:$J$24,9,FALSE)*'3-Ruimtestaat'!X599</f>
        <v>0</v>
      </c>
      <c r="AA599" s="485">
        <f>VLOOKUP(H599,'3-Productie normen'!$A$10:$J$24,10,FALSE)*'3-Ruimtestaat'!X599</f>
        <v>0</v>
      </c>
      <c r="AB599" s="292" t="str">
        <f>IF(H599="",0,VLOOKUP(H599,'3-Productie normen'!$A$10:$N$23,14,FALSE))</f>
        <v>V</v>
      </c>
      <c r="AD599" s="296">
        <f t="shared" si="22"/>
        <v>23360</v>
      </c>
      <c r="AE599" s="78"/>
      <c r="AF599" s="253"/>
      <c r="AG599" s="253"/>
      <c r="AH599" s="253"/>
      <c r="AI599" s="253"/>
      <c r="AJ599" s="253"/>
      <c r="AK599" s="253"/>
      <c r="AL599" s="253"/>
      <c r="AM599" s="253"/>
      <c r="AN599" s="253"/>
      <c r="AO599" s="253"/>
    </row>
    <row r="600" spans="1:41" ht="15" customHeight="1">
      <c r="A600" s="254">
        <v>600</v>
      </c>
      <c r="B600" s="253">
        <v>607</v>
      </c>
      <c r="C600" s="240" t="s">
        <v>114</v>
      </c>
      <c r="D600" s="288" t="s">
        <v>634</v>
      </c>
      <c r="E600" s="289" t="s">
        <v>404</v>
      </c>
      <c r="F600" s="239" t="s">
        <v>249</v>
      </c>
      <c r="G600" s="290" t="s">
        <v>668</v>
      </c>
      <c r="H600" s="291" t="s">
        <v>151</v>
      </c>
      <c r="I600" s="239" t="s">
        <v>637</v>
      </c>
      <c r="J600" s="424">
        <f t="shared" si="21"/>
        <v>365</v>
      </c>
      <c r="K600" s="425">
        <v>127</v>
      </c>
      <c r="L600" s="425">
        <v>126</v>
      </c>
      <c r="M600" s="425">
        <v>52</v>
      </c>
      <c r="N600" s="425">
        <v>52</v>
      </c>
      <c r="O600" s="425">
        <v>4</v>
      </c>
      <c r="P600" s="425">
        <v>4</v>
      </c>
      <c r="Q600" s="294">
        <v>1500</v>
      </c>
      <c r="R600" s="295" t="e">
        <f>IF(K600="nio",0,(K600*Q600)/X600)*VLOOKUP(C600,'2-Uren per locatie'!$B$15:$D$74,3,FALSE)</f>
        <v>#DIV/0!</v>
      </c>
      <c r="S600" s="295" t="e">
        <f>IF(K600="nio",0,(L600*Q600)/Y600)*VLOOKUP(C600,'2-Uren per locatie'!$B$15:$D$74,3,FALSE)</f>
        <v>#DIV/0!</v>
      </c>
      <c r="T600" s="295" t="e">
        <f>IF(K600="nio",0,(M600*Q600)/Z600)*VLOOKUP(C600,'2-Uren per locatie'!$B$15:$D$74,3,FALSE)</f>
        <v>#DIV/0!</v>
      </c>
      <c r="U600" s="295" t="e">
        <f>IF(K600="nio",0,(N600*Q600)/AA600)*VLOOKUP(C600,'2-Uren per locatie'!$B$15:$D$74,3,FALSE)</f>
        <v>#DIV/0!</v>
      </c>
      <c r="V600" s="295" t="e">
        <f>IF(K600="nio",0,(O600*Q600)/Z600)*VLOOKUP(C600,'2-Uren per locatie'!$B$15:$D$74,3,FALSE)</f>
        <v>#DIV/0!</v>
      </c>
      <c r="W600" s="295" t="e">
        <f>IF(K600="nio",0,(P600*Q600)/AA600)*VLOOKUP(C600,'2-Uren per locatie'!$B$15:$D$74,3,FALSE)</f>
        <v>#DIV/0!</v>
      </c>
      <c r="X600" s="485">
        <f>IF(K600="nio",0,IF(K600&gt;0,VLOOKUP(H600,'3-Productie normen'!A:F,VLOOKUP(K600,'3-Productie normen'!$B$29:$C$34,2,FALSE),FALSE)))</f>
        <v>0</v>
      </c>
      <c r="Y600" s="485">
        <f>VLOOKUP(H600,'3-Productie normen'!$A$10:$J$24,8,FALSE)*'3-Ruimtestaat'!X600</f>
        <v>0</v>
      </c>
      <c r="Z600" s="485">
        <f>VLOOKUP(H600,'3-Productie normen'!$A$10:$J$24,9,FALSE)*'3-Ruimtestaat'!X600</f>
        <v>0</v>
      </c>
      <c r="AA600" s="485">
        <f>VLOOKUP(H600,'3-Productie normen'!$A$10:$J$24,10,FALSE)*'3-Ruimtestaat'!X600</f>
        <v>0</v>
      </c>
      <c r="AB600" s="292" t="str">
        <f>IF(H600="",0,VLOOKUP(H600,'3-Productie normen'!$A$10:$N$23,14,FALSE))</f>
        <v>V</v>
      </c>
      <c r="AD600" s="296">
        <f t="shared" si="22"/>
        <v>547500</v>
      </c>
      <c r="AE600" s="78"/>
      <c r="AF600" s="253"/>
      <c r="AG600" s="253"/>
      <c r="AH600" s="253"/>
      <c r="AI600" s="253"/>
      <c r="AJ600" s="253"/>
      <c r="AK600" s="253"/>
      <c r="AL600" s="253"/>
      <c r="AM600" s="253"/>
      <c r="AN600" s="253"/>
      <c r="AO600" s="253"/>
    </row>
    <row r="601" spans="1:41" ht="15" customHeight="1">
      <c r="A601" s="254">
        <v>601</v>
      </c>
      <c r="B601" s="253">
        <v>607</v>
      </c>
      <c r="C601" s="240" t="s">
        <v>114</v>
      </c>
      <c r="D601" s="288" t="s">
        <v>634</v>
      </c>
      <c r="E601" s="289" t="s">
        <v>404</v>
      </c>
      <c r="F601" s="239" t="s">
        <v>231</v>
      </c>
      <c r="G601" s="290" t="s">
        <v>818</v>
      </c>
      <c r="H601" s="291" t="s">
        <v>153</v>
      </c>
      <c r="I601" s="239" t="s">
        <v>637</v>
      </c>
      <c r="J601" s="424">
        <f t="shared" si="21"/>
        <v>365</v>
      </c>
      <c r="K601" s="425">
        <v>127</v>
      </c>
      <c r="L601" s="425">
        <v>126</v>
      </c>
      <c r="M601" s="425">
        <v>52</v>
      </c>
      <c r="N601" s="425">
        <v>52</v>
      </c>
      <c r="O601" s="425">
        <v>4</v>
      </c>
      <c r="P601" s="425">
        <v>4</v>
      </c>
      <c r="Q601" s="294">
        <v>2</v>
      </c>
      <c r="R601" s="295" t="e">
        <f>IF(K601="nio",0,(K601*Q601)/X601)*VLOOKUP(C601,'2-Uren per locatie'!$B$15:$D$74,3,FALSE)</f>
        <v>#DIV/0!</v>
      </c>
      <c r="S601" s="295" t="e">
        <f>IF(K601="nio",0,(L601*Q601)/Y601)*VLOOKUP(C601,'2-Uren per locatie'!$B$15:$D$74,3,FALSE)</f>
        <v>#DIV/0!</v>
      </c>
      <c r="T601" s="295" t="e">
        <f>IF(K601="nio",0,(M601*Q601)/Z601)*VLOOKUP(C601,'2-Uren per locatie'!$B$15:$D$74,3,FALSE)</f>
        <v>#DIV/0!</v>
      </c>
      <c r="U601" s="295" t="e">
        <f>IF(K601="nio",0,(N601*Q601)/AA601)*VLOOKUP(C601,'2-Uren per locatie'!$B$15:$D$74,3,FALSE)</f>
        <v>#DIV/0!</v>
      </c>
      <c r="V601" s="295" t="e">
        <f>IF(K601="nio",0,(O601*Q601)/Z601)*VLOOKUP(C601,'2-Uren per locatie'!$B$15:$D$74,3,FALSE)</f>
        <v>#DIV/0!</v>
      </c>
      <c r="W601" s="295" t="e">
        <f>IF(K601="nio",0,(P601*Q601)/AA601)*VLOOKUP(C601,'2-Uren per locatie'!$B$15:$D$74,3,FALSE)</f>
        <v>#DIV/0!</v>
      </c>
      <c r="X601" s="485">
        <f>IF(K601="nio",0,IF(K601&gt;0,VLOOKUP(H601,'3-Productie normen'!A:F,VLOOKUP(K601,'3-Productie normen'!$B$29:$C$34,2,FALSE),FALSE)))</f>
        <v>0</v>
      </c>
      <c r="Y601" s="485">
        <f>VLOOKUP(H601,'3-Productie normen'!$A$10:$J$24,8,FALSE)*'3-Ruimtestaat'!X601</f>
        <v>0</v>
      </c>
      <c r="Z601" s="485">
        <f>VLOOKUP(H601,'3-Productie normen'!$A$10:$J$24,9,FALSE)*'3-Ruimtestaat'!X601</f>
        <v>0</v>
      </c>
      <c r="AA601" s="485">
        <f>VLOOKUP(H601,'3-Productie normen'!$A$10:$J$24,10,FALSE)*'3-Ruimtestaat'!X601</f>
        <v>0</v>
      </c>
      <c r="AB601" s="292" t="str">
        <f>IF(H601="",0,VLOOKUP(H601,'3-Productie normen'!$A$10:$N$23,14,FALSE))</f>
        <v>S</v>
      </c>
      <c r="AD601" s="296">
        <f t="shared" si="22"/>
        <v>730</v>
      </c>
      <c r="AE601" s="78"/>
      <c r="AF601" s="253"/>
      <c r="AG601" s="253"/>
      <c r="AH601" s="253"/>
      <c r="AI601" s="253"/>
      <c r="AJ601" s="253"/>
      <c r="AK601" s="253"/>
      <c r="AL601" s="253"/>
      <c r="AM601" s="253"/>
      <c r="AN601" s="253"/>
      <c r="AO601" s="253"/>
    </row>
    <row r="602" spans="1:41" ht="15" customHeight="1">
      <c r="A602" s="254">
        <v>602</v>
      </c>
      <c r="B602" s="253">
        <v>607</v>
      </c>
      <c r="C602" s="240" t="s">
        <v>114</v>
      </c>
      <c r="D602" s="288" t="s">
        <v>634</v>
      </c>
      <c r="E602" s="289" t="s">
        <v>404</v>
      </c>
      <c r="F602" s="239" t="s">
        <v>150</v>
      </c>
      <c r="G602" s="290" t="s">
        <v>819</v>
      </c>
      <c r="H602" s="291" t="s">
        <v>150</v>
      </c>
      <c r="I602" s="239" t="s">
        <v>637</v>
      </c>
      <c r="J602" s="424">
        <f t="shared" si="21"/>
        <v>365</v>
      </c>
      <c r="K602" s="425">
        <v>127</v>
      </c>
      <c r="L602" s="425">
        <v>126</v>
      </c>
      <c r="M602" s="425">
        <v>52</v>
      </c>
      <c r="N602" s="425">
        <v>52</v>
      </c>
      <c r="O602" s="425">
        <v>4</v>
      </c>
      <c r="P602" s="425">
        <v>4</v>
      </c>
      <c r="Q602" s="294">
        <v>4</v>
      </c>
      <c r="R602" s="295" t="e">
        <f>IF(K602="nio",0,(K602*Q602)/X602)*VLOOKUP(C602,'2-Uren per locatie'!$B$15:$D$74,3,FALSE)</f>
        <v>#DIV/0!</v>
      </c>
      <c r="S602" s="295" t="e">
        <f>IF(K602="nio",0,(L602*Q602)/Y602)*VLOOKUP(C602,'2-Uren per locatie'!$B$15:$D$74,3,FALSE)</f>
        <v>#DIV/0!</v>
      </c>
      <c r="T602" s="295" t="e">
        <f>IF(K602="nio",0,(M602*Q602)/Z602)*VLOOKUP(C602,'2-Uren per locatie'!$B$15:$D$74,3,FALSE)</f>
        <v>#DIV/0!</v>
      </c>
      <c r="U602" s="295" t="e">
        <f>IF(K602="nio",0,(N602*Q602)/AA602)*VLOOKUP(C602,'2-Uren per locatie'!$B$15:$D$74,3,FALSE)</f>
        <v>#DIV/0!</v>
      </c>
      <c r="V602" s="295" t="e">
        <f>IF(K602="nio",0,(O602*Q602)/Z602)*VLOOKUP(C602,'2-Uren per locatie'!$B$15:$D$74,3,FALSE)</f>
        <v>#DIV/0!</v>
      </c>
      <c r="W602" s="295" t="e">
        <f>IF(K602="nio",0,(P602*Q602)/AA602)*VLOOKUP(C602,'2-Uren per locatie'!$B$15:$D$74,3,FALSE)</f>
        <v>#DIV/0!</v>
      </c>
      <c r="X602" s="485">
        <f>IF(K602="nio",0,IF(K602&gt;0,VLOOKUP(H602,'3-Productie normen'!A:F,VLOOKUP(K602,'3-Productie normen'!$B$29:$C$34,2,FALSE),FALSE)))</f>
        <v>0</v>
      </c>
      <c r="Y602" s="485">
        <f>VLOOKUP(H602,'3-Productie normen'!$A$10:$J$24,8,FALSE)*'3-Ruimtestaat'!X602</f>
        <v>0</v>
      </c>
      <c r="Z602" s="485">
        <f>VLOOKUP(H602,'3-Productie normen'!$A$10:$J$24,9,FALSE)*'3-Ruimtestaat'!X602</f>
        <v>0</v>
      </c>
      <c r="AA602" s="485">
        <f>VLOOKUP(H602,'3-Productie normen'!$A$10:$J$24,10,FALSE)*'3-Ruimtestaat'!X602</f>
        <v>0</v>
      </c>
      <c r="AB602" s="292" t="str">
        <f>IF(H602="",0,VLOOKUP(H602,'3-Productie normen'!$A$10:$N$23,14,FALSE))</f>
        <v>V</v>
      </c>
      <c r="AD602" s="296">
        <f t="shared" si="22"/>
        <v>1460</v>
      </c>
      <c r="AE602" s="78"/>
      <c r="AF602" s="253"/>
      <c r="AG602" s="253"/>
      <c r="AH602" s="253"/>
      <c r="AI602" s="253"/>
      <c r="AJ602" s="253"/>
      <c r="AK602" s="253"/>
      <c r="AL602" s="253"/>
      <c r="AM602" s="253"/>
      <c r="AN602" s="253"/>
      <c r="AO602" s="253"/>
    </row>
    <row r="603" spans="1:41" ht="15" customHeight="1">
      <c r="A603" s="254">
        <v>603</v>
      </c>
      <c r="B603" s="253">
        <v>607</v>
      </c>
      <c r="C603" s="240" t="s">
        <v>114</v>
      </c>
      <c r="D603" s="288" t="s">
        <v>634</v>
      </c>
      <c r="E603" s="289" t="s">
        <v>820</v>
      </c>
      <c r="F603" s="239" t="s">
        <v>376</v>
      </c>
      <c r="G603" s="290" t="s">
        <v>645</v>
      </c>
      <c r="H603" s="291" t="s">
        <v>149</v>
      </c>
      <c r="I603" s="239" t="s">
        <v>402</v>
      </c>
      <c r="J603" s="424">
        <f t="shared" si="21"/>
        <v>365</v>
      </c>
      <c r="K603" s="425">
        <v>127</v>
      </c>
      <c r="L603" s="425">
        <v>126</v>
      </c>
      <c r="M603" s="425">
        <v>52</v>
      </c>
      <c r="N603" s="425">
        <v>52</v>
      </c>
      <c r="O603" s="425">
        <v>4</v>
      </c>
      <c r="P603" s="425">
        <v>4</v>
      </c>
      <c r="Q603" s="294">
        <v>2</v>
      </c>
      <c r="R603" s="295" t="e">
        <f>IF(K603="nio",0,(K603*Q603)/X603)*VLOOKUP(C603,'2-Uren per locatie'!$B$15:$D$74,3,FALSE)</f>
        <v>#DIV/0!</v>
      </c>
      <c r="S603" s="295" t="e">
        <f>IF(K603="nio",0,(L603*Q603)/Y603)*VLOOKUP(C603,'2-Uren per locatie'!$B$15:$D$74,3,FALSE)</f>
        <v>#DIV/0!</v>
      </c>
      <c r="T603" s="295" t="e">
        <f>IF(K603="nio",0,(M603*Q603)/Z603)*VLOOKUP(C603,'2-Uren per locatie'!$B$15:$D$74,3,FALSE)</f>
        <v>#DIV/0!</v>
      </c>
      <c r="U603" s="295" t="e">
        <f>IF(K603="nio",0,(N603*Q603)/AA603)*VLOOKUP(C603,'2-Uren per locatie'!$B$15:$D$74,3,FALSE)</f>
        <v>#DIV/0!</v>
      </c>
      <c r="V603" s="295" t="e">
        <f>IF(K603="nio",0,(O603*Q603)/Z603)*VLOOKUP(C603,'2-Uren per locatie'!$B$15:$D$74,3,FALSE)</f>
        <v>#DIV/0!</v>
      </c>
      <c r="W603" s="295" t="e">
        <f>IF(K603="nio",0,(P603*Q603)/AA603)*VLOOKUP(C603,'2-Uren per locatie'!$B$15:$D$74,3,FALSE)</f>
        <v>#DIV/0!</v>
      </c>
      <c r="X603" s="485">
        <f>IF(K603="nio",0,IF(K603&gt;0,VLOOKUP(H603,'3-Productie normen'!A:F,VLOOKUP(K603,'3-Productie normen'!$B$29:$C$34,2,FALSE),FALSE)))</f>
        <v>0</v>
      </c>
      <c r="Y603" s="485">
        <f>VLOOKUP(H603,'3-Productie normen'!$A$10:$J$24,8,FALSE)*'3-Ruimtestaat'!X603</f>
        <v>0</v>
      </c>
      <c r="Z603" s="485">
        <f>VLOOKUP(H603,'3-Productie normen'!$A$10:$J$24,9,FALSE)*'3-Ruimtestaat'!X603</f>
        <v>0</v>
      </c>
      <c r="AA603" s="485">
        <f>VLOOKUP(H603,'3-Productie normen'!$A$10:$J$24,10,FALSE)*'3-Ruimtestaat'!X603</f>
        <v>0</v>
      </c>
      <c r="AB603" s="292" t="str">
        <f>IF(H603="",0,VLOOKUP(H603,'3-Productie normen'!$A$10:$N$23,14,FALSE))</f>
        <v>V</v>
      </c>
      <c r="AD603" s="296">
        <f t="shared" si="22"/>
        <v>730</v>
      </c>
      <c r="AE603" s="78"/>
      <c r="AF603" s="253"/>
      <c r="AG603" s="253"/>
      <c r="AH603" s="253"/>
      <c r="AI603" s="253"/>
      <c r="AJ603" s="253"/>
      <c r="AK603" s="253"/>
      <c r="AL603" s="253"/>
      <c r="AM603" s="253"/>
      <c r="AN603" s="253"/>
      <c r="AO603" s="253"/>
    </row>
    <row r="604" spans="1:41" ht="15" customHeight="1">
      <c r="A604" s="254">
        <v>604</v>
      </c>
      <c r="B604" s="253">
        <v>607</v>
      </c>
      <c r="C604" s="240" t="s">
        <v>114</v>
      </c>
      <c r="D604" s="288" t="s">
        <v>634</v>
      </c>
      <c r="E604" s="289" t="s">
        <v>820</v>
      </c>
      <c r="F604" s="239" t="s">
        <v>821</v>
      </c>
      <c r="G604" s="290" t="s">
        <v>822</v>
      </c>
      <c r="H604" s="291" t="s">
        <v>155</v>
      </c>
      <c r="I604" s="239" t="s">
        <v>325</v>
      </c>
      <c r="J604" s="424">
        <f t="shared" si="21"/>
        <v>365</v>
      </c>
      <c r="K604" s="425">
        <v>127</v>
      </c>
      <c r="L604" s="425">
        <v>126</v>
      </c>
      <c r="M604" s="425">
        <v>52</v>
      </c>
      <c r="N604" s="425">
        <v>52</v>
      </c>
      <c r="O604" s="425">
        <v>4</v>
      </c>
      <c r="P604" s="425">
        <v>4</v>
      </c>
      <c r="Q604" s="294">
        <v>56</v>
      </c>
      <c r="R604" s="295" t="e">
        <f>IF(K604="nio",0,(K604*Q604)/X604)*VLOOKUP(C604,'2-Uren per locatie'!$B$15:$D$74,3,FALSE)</f>
        <v>#DIV/0!</v>
      </c>
      <c r="S604" s="295" t="e">
        <f>IF(K604="nio",0,(L604*Q604)/Y604)*VLOOKUP(C604,'2-Uren per locatie'!$B$15:$D$74,3,FALSE)</f>
        <v>#DIV/0!</v>
      </c>
      <c r="T604" s="295" t="e">
        <f>IF(K604="nio",0,(M604*Q604)/Z604)*VLOOKUP(C604,'2-Uren per locatie'!$B$15:$D$74,3,FALSE)</f>
        <v>#DIV/0!</v>
      </c>
      <c r="U604" s="295" t="e">
        <f>IF(K604="nio",0,(N604*Q604)/AA604)*VLOOKUP(C604,'2-Uren per locatie'!$B$15:$D$74,3,FALSE)</f>
        <v>#DIV/0!</v>
      </c>
      <c r="V604" s="295" t="e">
        <f>IF(K604="nio",0,(O604*Q604)/Z604)*VLOOKUP(C604,'2-Uren per locatie'!$B$15:$D$74,3,FALSE)</f>
        <v>#DIV/0!</v>
      </c>
      <c r="W604" s="295" t="e">
        <f>IF(K604="nio",0,(P604*Q604)/AA604)*VLOOKUP(C604,'2-Uren per locatie'!$B$15:$D$74,3,FALSE)</f>
        <v>#DIV/0!</v>
      </c>
      <c r="X604" s="485">
        <f>IF(K604="nio",0,IF(K604&gt;0,VLOOKUP(H604,'3-Productie normen'!A:F,VLOOKUP(K604,'3-Productie normen'!$B$29:$C$34,2,FALSE),FALSE)))</f>
        <v>0</v>
      </c>
      <c r="Y604" s="485">
        <f>VLOOKUP(H604,'3-Productie normen'!$A$10:$J$24,8,FALSE)*'3-Ruimtestaat'!X604</f>
        <v>0</v>
      </c>
      <c r="Z604" s="485">
        <f>VLOOKUP(H604,'3-Productie normen'!$A$10:$J$24,9,FALSE)*'3-Ruimtestaat'!X604</f>
        <v>0</v>
      </c>
      <c r="AA604" s="485">
        <f>VLOOKUP(H604,'3-Productie normen'!$A$10:$J$24,10,FALSE)*'3-Ruimtestaat'!X604</f>
        <v>0</v>
      </c>
      <c r="AB604" s="292" t="str">
        <f>IF(H604="",0,VLOOKUP(H604,'3-Productie normen'!$A$10:$N$23,14,FALSE))</f>
        <v>V</v>
      </c>
      <c r="AD604" s="296">
        <f t="shared" si="22"/>
        <v>20440</v>
      </c>
      <c r="AE604" s="78"/>
      <c r="AF604" s="253"/>
      <c r="AG604" s="253"/>
      <c r="AH604" s="253"/>
      <c r="AI604" s="253"/>
      <c r="AJ604" s="253"/>
      <c r="AK604" s="253"/>
      <c r="AL604" s="253"/>
      <c r="AM604" s="253"/>
      <c r="AN604" s="253"/>
      <c r="AO604" s="253"/>
    </row>
    <row r="605" spans="1:41" ht="15" customHeight="1">
      <c r="A605" s="254">
        <v>605</v>
      </c>
      <c r="B605" s="253">
        <v>607</v>
      </c>
      <c r="C605" s="240" t="s">
        <v>114</v>
      </c>
      <c r="D605" s="288" t="s">
        <v>634</v>
      </c>
      <c r="E605" s="289" t="s">
        <v>820</v>
      </c>
      <c r="F605" s="239" t="s">
        <v>823</v>
      </c>
      <c r="G605" s="290" t="s">
        <v>682</v>
      </c>
      <c r="H605" s="291" t="s">
        <v>152</v>
      </c>
      <c r="I605" s="239" t="s">
        <v>402</v>
      </c>
      <c r="J605" s="424">
        <f t="shared" si="21"/>
        <v>365</v>
      </c>
      <c r="K605" s="425">
        <v>127</v>
      </c>
      <c r="L605" s="425">
        <v>126</v>
      </c>
      <c r="M605" s="425">
        <v>52</v>
      </c>
      <c r="N605" s="425">
        <v>52</v>
      </c>
      <c r="O605" s="425">
        <v>4</v>
      </c>
      <c r="P605" s="425">
        <v>4</v>
      </c>
      <c r="Q605" s="294">
        <v>28.5</v>
      </c>
      <c r="R605" s="295" t="e">
        <f>IF(K605="nio",0,(K605*Q605)/X605)*VLOOKUP(C605,'2-Uren per locatie'!$B$15:$D$74,3,FALSE)</f>
        <v>#DIV/0!</v>
      </c>
      <c r="S605" s="295" t="e">
        <f>IF(K605="nio",0,(L605*Q605)/Y605)*VLOOKUP(C605,'2-Uren per locatie'!$B$15:$D$74,3,FALSE)</f>
        <v>#DIV/0!</v>
      </c>
      <c r="T605" s="295" t="e">
        <f>IF(K605="nio",0,(M605*Q605)/Z605)*VLOOKUP(C605,'2-Uren per locatie'!$B$15:$D$74,3,FALSE)</f>
        <v>#DIV/0!</v>
      </c>
      <c r="U605" s="295" t="e">
        <f>IF(K605="nio",0,(N605*Q605)/AA605)*VLOOKUP(C605,'2-Uren per locatie'!$B$15:$D$74,3,FALSE)</f>
        <v>#DIV/0!</v>
      </c>
      <c r="V605" s="295" t="e">
        <f>IF(K605="nio",0,(O605*Q605)/Z605)*VLOOKUP(C605,'2-Uren per locatie'!$B$15:$D$74,3,FALSE)</f>
        <v>#DIV/0!</v>
      </c>
      <c r="W605" s="295" t="e">
        <f>IF(K605="nio",0,(P605*Q605)/AA605)*VLOOKUP(C605,'2-Uren per locatie'!$B$15:$D$74,3,FALSE)</f>
        <v>#DIV/0!</v>
      </c>
      <c r="X605" s="485">
        <f>IF(K605="nio",0,IF(K605&gt;0,VLOOKUP(H605,'3-Productie normen'!A:F,VLOOKUP(K605,'3-Productie normen'!$B$29:$C$34,2,FALSE),FALSE)))</f>
        <v>0</v>
      </c>
      <c r="Y605" s="485">
        <f>VLOOKUP(H605,'3-Productie normen'!$A$10:$J$24,8,FALSE)*'3-Ruimtestaat'!X605</f>
        <v>0</v>
      </c>
      <c r="Z605" s="485">
        <f>VLOOKUP(H605,'3-Productie normen'!$A$10:$J$24,9,FALSE)*'3-Ruimtestaat'!X605</f>
        <v>0</v>
      </c>
      <c r="AA605" s="485">
        <f>VLOOKUP(H605,'3-Productie normen'!$A$10:$J$24,10,FALSE)*'3-Ruimtestaat'!X605</f>
        <v>0</v>
      </c>
      <c r="AB605" s="292" t="str">
        <f>IF(H605="",0,VLOOKUP(H605,'3-Productie normen'!$A$10:$N$23,14,FALSE))</f>
        <v>V</v>
      </c>
      <c r="AD605" s="296">
        <f t="shared" si="22"/>
        <v>10402.5</v>
      </c>
      <c r="AE605" s="78"/>
      <c r="AF605" s="253"/>
      <c r="AG605" s="253"/>
      <c r="AH605" s="253"/>
      <c r="AI605" s="253"/>
      <c r="AJ605" s="253"/>
      <c r="AK605" s="253"/>
      <c r="AL605" s="253"/>
      <c r="AM605" s="253"/>
      <c r="AN605" s="253"/>
      <c r="AO605" s="253"/>
    </row>
    <row r="606" spans="1:41" ht="15" customHeight="1">
      <c r="A606" s="254">
        <v>606</v>
      </c>
      <c r="B606" s="253">
        <v>607</v>
      </c>
      <c r="C606" s="240" t="s">
        <v>114</v>
      </c>
      <c r="D606" s="288" t="s">
        <v>634</v>
      </c>
      <c r="E606" s="289" t="s">
        <v>820</v>
      </c>
      <c r="F606" s="239" t="s">
        <v>824</v>
      </c>
      <c r="G606" s="290" t="s">
        <v>668</v>
      </c>
      <c r="H606" s="291" t="s">
        <v>145</v>
      </c>
      <c r="I606" s="239" t="s">
        <v>637</v>
      </c>
      <c r="J606" s="424">
        <f t="shared" si="21"/>
        <v>365</v>
      </c>
      <c r="K606" s="425">
        <v>127</v>
      </c>
      <c r="L606" s="425">
        <v>126</v>
      </c>
      <c r="M606" s="425">
        <v>52</v>
      </c>
      <c r="N606" s="425">
        <v>52</v>
      </c>
      <c r="O606" s="425">
        <v>4</v>
      </c>
      <c r="P606" s="425">
        <v>4</v>
      </c>
      <c r="Q606" s="294">
        <v>450</v>
      </c>
      <c r="R606" s="295" t="e">
        <f>IF(K606="nio",0,(K606*Q606)/X606)*VLOOKUP(C606,'2-Uren per locatie'!$B$15:$D$74,3,FALSE)</f>
        <v>#DIV/0!</v>
      </c>
      <c r="S606" s="295" t="e">
        <f>IF(K606="nio",0,(L606*Q606)/Y606)*VLOOKUP(C606,'2-Uren per locatie'!$B$15:$D$74,3,FALSE)</f>
        <v>#DIV/0!</v>
      </c>
      <c r="T606" s="295" t="e">
        <f>IF(K606="nio",0,(M606*Q606)/Z606)*VLOOKUP(C606,'2-Uren per locatie'!$B$15:$D$74,3,FALSE)</f>
        <v>#DIV/0!</v>
      </c>
      <c r="U606" s="295" t="e">
        <f>IF(K606="nio",0,(N606*Q606)/AA606)*VLOOKUP(C606,'2-Uren per locatie'!$B$15:$D$74,3,FALSE)</f>
        <v>#DIV/0!</v>
      </c>
      <c r="V606" s="295" t="e">
        <f>IF(K606="nio",0,(O606*Q606)/Z606)*VLOOKUP(C606,'2-Uren per locatie'!$B$15:$D$74,3,FALSE)</f>
        <v>#DIV/0!</v>
      </c>
      <c r="W606" s="295" t="e">
        <f>IF(K606="nio",0,(P606*Q606)/AA606)*VLOOKUP(C606,'2-Uren per locatie'!$B$15:$D$74,3,FALSE)</f>
        <v>#DIV/0!</v>
      </c>
      <c r="X606" s="485">
        <f>IF(K606="nio",0,IF(K606&gt;0,VLOOKUP(H606,'3-Productie normen'!A:F,VLOOKUP(K606,'3-Productie normen'!$B$29:$C$34,2,FALSE),FALSE)))</f>
        <v>0</v>
      </c>
      <c r="Y606" s="485">
        <f>VLOOKUP(H606,'3-Productie normen'!$A$10:$J$24,8,FALSE)*'3-Ruimtestaat'!X606</f>
        <v>0</v>
      </c>
      <c r="Z606" s="485">
        <f>VLOOKUP(H606,'3-Productie normen'!$A$10:$J$24,9,FALSE)*'3-Ruimtestaat'!X606</f>
        <v>0</v>
      </c>
      <c r="AA606" s="485">
        <f>VLOOKUP(H606,'3-Productie normen'!$A$10:$J$24,10,FALSE)*'3-Ruimtestaat'!X606</f>
        <v>0</v>
      </c>
      <c r="AB606" s="292" t="str">
        <f>IF(H606="",0,VLOOKUP(H606,'3-Productie normen'!$A$10:$N$23,14,FALSE))</f>
        <v>V</v>
      </c>
      <c r="AD606" s="296">
        <f t="shared" si="22"/>
        <v>164250</v>
      </c>
      <c r="AE606" s="78"/>
      <c r="AF606" s="253"/>
      <c r="AG606" s="253"/>
      <c r="AH606" s="253"/>
      <c r="AI606" s="253"/>
      <c r="AJ606" s="253"/>
      <c r="AK606" s="253"/>
      <c r="AL606" s="253"/>
      <c r="AM606" s="253"/>
      <c r="AN606" s="253"/>
      <c r="AO606" s="253"/>
    </row>
    <row r="607" spans="1:41" ht="15" customHeight="1">
      <c r="A607" s="254">
        <v>607</v>
      </c>
      <c r="B607" s="253">
        <v>608</v>
      </c>
      <c r="C607" s="240" t="s">
        <v>115</v>
      </c>
      <c r="D607" s="288" t="s">
        <v>634</v>
      </c>
      <c r="E607" s="289" t="s">
        <v>825</v>
      </c>
      <c r="F607" s="239" t="s">
        <v>826</v>
      </c>
      <c r="G607" s="290" t="s">
        <v>827</v>
      </c>
      <c r="H607" s="291" t="s">
        <v>145</v>
      </c>
      <c r="I607" s="239" t="s">
        <v>637</v>
      </c>
      <c r="J607" s="424">
        <f t="shared" si="21"/>
        <v>365</v>
      </c>
      <c r="K607" s="425">
        <v>255</v>
      </c>
      <c r="L607" s="425"/>
      <c r="M607" s="425">
        <v>102</v>
      </c>
      <c r="N607" s="425"/>
      <c r="O607" s="425">
        <v>8</v>
      </c>
      <c r="P607" s="425"/>
      <c r="Q607" s="294">
        <v>1160</v>
      </c>
      <c r="R607" s="295" t="e">
        <f>IF(K607="nio",0,(K607*Q607)/X607)*VLOOKUP(C607,'2-Uren per locatie'!$B$15:$D$74,3,FALSE)</f>
        <v>#DIV/0!</v>
      </c>
      <c r="S607" s="295" t="e">
        <f>IF(K607="nio",0,(L607*Q607)/Y607)*VLOOKUP(C607,'2-Uren per locatie'!$B$15:$D$74,3,FALSE)</f>
        <v>#DIV/0!</v>
      </c>
      <c r="T607" s="295" t="e">
        <f>IF(K607="nio",0,(M607*Q607)/Z607)*VLOOKUP(C607,'2-Uren per locatie'!$B$15:$D$74,3,FALSE)</f>
        <v>#DIV/0!</v>
      </c>
      <c r="U607" s="295" t="e">
        <f>IF(K607="nio",0,(N607*Q607)/AA607)*VLOOKUP(C607,'2-Uren per locatie'!$B$15:$D$74,3,FALSE)</f>
        <v>#DIV/0!</v>
      </c>
      <c r="V607" s="295" t="e">
        <f>IF(K607="nio",0,(O607*Q607)/Z607)*VLOOKUP(C607,'2-Uren per locatie'!$B$15:$D$74,3,FALSE)</f>
        <v>#DIV/0!</v>
      </c>
      <c r="W607" s="295" t="e">
        <f>IF(K607="nio",0,(P607*Q607)/AA607)*VLOOKUP(C607,'2-Uren per locatie'!$B$15:$D$74,3,FALSE)</f>
        <v>#DIV/0!</v>
      </c>
      <c r="X607" s="485">
        <f>IF(K607="nio",0,IF(K607&gt;0,VLOOKUP(H607,'3-Productie normen'!A:F,VLOOKUP(K607,'3-Productie normen'!$B$29:$C$34,2,FALSE),FALSE)))</f>
        <v>0</v>
      </c>
      <c r="Y607" s="485">
        <f>VLOOKUP(H607,'3-Productie normen'!$A$10:$J$24,8,FALSE)*'3-Ruimtestaat'!X607</f>
        <v>0</v>
      </c>
      <c r="Z607" s="485">
        <f>VLOOKUP(H607,'3-Productie normen'!$A$10:$J$24,9,FALSE)*'3-Ruimtestaat'!X607</f>
        <v>0</v>
      </c>
      <c r="AA607" s="485">
        <f>VLOOKUP(H607,'3-Productie normen'!$A$10:$J$24,10,FALSE)*'3-Ruimtestaat'!X607</f>
        <v>0</v>
      </c>
      <c r="AB607" s="292" t="str">
        <f>IF(H607="",0,VLOOKUP(H607,'3-Productie normen'!$A$10:$N$23,14,FALSE))</f>
        <v>V</v>
      </c>
      <c r="AD607" s="296">
        <f t="shared" si="22"/>
        <v>423400</v>
      </c>
      <c r="AE607" s="78"/>
      <c r="AF607" s="253"/>
      <c r="AG607" s="253"/>
      <c r="AH607" s="253"/>
      <c r="AI607" s="253"/>
      <c r="AJ607" s="253"/>
      <c r="AK607" s="253"/>
      <c r="AL607" s="253"/>
      <c r="AM607" s="253"/>
      <c r="AN607" s="253"/>
      <c r="AO607" s="253"/>
    </row>
    <row r="608" spans="1:41" ht="15" customHeight="1">
      <c r="A608" s="254">
        <v>608</v>
      </c>
      <c r="B608" s="253">
        <v>608</v>
      </c>
      <c r="C608" s="240" t="s">
        <v>115</v>
      </c>
      <c r="D608" s="288" t="s">
        <v>634</v>
      </c>
      <c r="E608" s="289" t="s">
        <v>825</v>
      </c>
      <c r="F608" s="239" t="s">
        <v>828</v>
      </c>
      <c r="G608" s="290" t="s">
        <v>668</v>
      </c>
      <c r="H608" s="291" t="s">
        <v>149</v>
      </c>
      <c r="I608" s="239" t="s">
        <v>402</v>
      </c>
      <c r="J608" s="424">
        <f t="shared" si="21"/>
        <v>365</v>
      </c>
      <c r="K608" s="425">
        <v>255</v>
      </c>
      <c r="L608" s="425"/>
      <c r="M608" s="425">
        <v>102</v>
      </c>
      <c r="N608" s="425"/>
      <c r="O608" s="425">
        <v>8</v>
      </c>
      <c r="P608" s="425"/>
      <c r="Q608" s="294">
        <v>2.4</v>
      </c>
      <c r="R608" s="295" t="e">
        <f>IF(K608="nio",0,(K608*Q608)/X608)*VLOOKUP(C608,'2-Uren per locatie'!$B$15:$D$74,3,FALSE)</f>
        <v>#DIV/0!</v>
      </c>
      <c r="S608" s="295" t="e">
        <f>IF(K608="nio",0,(L608*Q608)/Y608)*VLOOKUP(C608,'2-Uren per locatie'!$B$15:$D$74,3,FALSE)</f>
        <v>#DIV/0!</v>
      </c>
      <c r="T608" s="295" t="e">
        <f>IF(K608="nio",0,(M608*Q608)/Z608)*VLOOKUP(C608,'2-Uren per locatie'!$B$15:$D$74,3,FALSE)</f>
        <v>#DIV/0!</v>
      </c>
      <c r="U608" s="295" t="e">
        <f>IF(K608="nio",0,(N608*Q608)/AA608)*VLOOKUP(C608,'2-Uren per locatie'!$B$15:$D$74,3,FALSE)</f>
        <v>#DIV/0!</v>
      </c>
      <c r="V608" s="295" t="e">
        <f>IF(K608="nio",0,(O608*Q608)/Z608)*VLOOKUP(C608,'2-Uren per locatie'!$B$15:$D$74,3,FALSE)</f>
        <v>#DIV/0!</v>
      </c>
      <c r="W608" s="295" t="e">
        <f>IF(K608="nio",0,(P608*Q608)/AA608)*VLOOKUP(C608,'2-Uren per locatie'!$B$15:$D$74,3,FALSE)</f>
        <v>#DIV/0!</v>
      </c>
      <c r="X608" s="485">
        <f>IF(K608="nio",0,IF(K608&gt;0,VLOOKUP(H608,'3-Productie normen'!A:F,VLOOKUP(K608,'3-Productie normen'!$B$29:$C$34,2,FALSE),FALSE)))</f>
        <v>0</v>
      </c>
      <c r="Y608" s="485">
        <f>VLOOKUP(H608,'3-Productie normen'!$A$10:$J$24,8,FALSE)*'3-Ruimtestaat'!X608</f>
        <v>0</v>
      </c>
      <c r="Z608" s="485">
        <f>VLOOKUP(H608,'3-Productie normen'!$A$10:$J$24,9,FALSE)*'3-Ruimtestaat'!X608</f>
        <v>0</v>
      </c>
      <c r="AA608" s="485">
        <f>VLOOKUP(H608,'3-Productie normen'!$A$10:$J$24,10,FALSE)*'3-Ruimtestaat'!X608</f>
        <v>0</v>
      </c>
      <c r="AB608" s="292" t="str">
        <f>IF(H608="",0,VLOOKUP(H608,'3-Productie normen'!$A$10:$N$23,14,FALSE))</f>
        <v>V</v>
      </c>
      <c r="AD608" s="296">
        <f t="shared" si="22"/>
        <v>876</v>
      </c>
      <c r="AE608" s="78"/>
      <c r="AF608" s="253"/>
      <c r="AG608" s="253"/>
      <c r="AH608" s="253"/>
      <c r="AI608" s="253"/>
      <c r="AJ608" s="253"/>
      <c r="AK608" s="253"/>
      <c r="AL608" s="253"/>
      <c r="AM608" s="253"/>
      <c r="AN608" s="253"/>
      <c r="AO608" s="253"/>
    </row>
    <row r="609" spans="1:41" ht="15" customHeight="1">
      <c r="A609" s="254">
        <v>609</v>
      </c>
      <c r="B609" s="253">
        <v>608</v>
      </c>
      <c r="C609" s="240" t="s">
        <v>115</v>
      </c>
      <c r="D609" s="288" t="s">
        <v>634</v>
      </c>
      <c r="E609" s="289" t="s">
        <v>825</v>
      </c>
      <c r="F609" s="239" t="s">
        <v>829</v>
      </c>
      <c r="G609" s="290" t="s">
        <v>830</v>
      </c>
      <c r="H609" s="291" t="s">
        <v>155</v>
      </c>
      <c r="I609" s="239" t="s">
        <v>325</v>
      </c>
      <c r="J609" s="424">
        <f t="shared" si="21"/>
        <v>365</v>
      </c>
      <c r="K609" s="425">
        <v>255</v>
      </c>
      <c r="L609" s="425"/>
      <c r="M609" s="425">
        <v>102</v>
      </c>
      <c r="N609" s="425"/>
      <c r="O609" s="425">
        <v>8</v>
      </c>
      <c r="P609" s="425"/>
      <c r="Q609" s="294">
        <v>56</v>
      </c>
      <c r="R609" s="295" t="e">
        <f>IF(K609="nio",0,(K609*Q609)/X609)*VLOOKUP(C609,'2-Uren per locatie'!$B$15:$D$74,3,FALSE)</f>
        <v>#DIV/0!</v>
      </c>
      <c r="S609" s="295" t="e">
        <f>IF(K609="nio",0,(L609*Q609)/Y609)*VLOOKUP(C609,'2-Uren per locatie'!$B$15:$D$74,3,FALSE)</f>
        <v>#DIV/0!</v>
      </c>
      <c r="T609" s="295" t="e">
        <f>IF(K609="nio",0,(M609*Q609)/Z609)*VLOOKUP(C609,'2-Uren per locatie'!$B$15:$D$74,3,FALSE)</f>
        <v>#DIV/0!</v>
      </c>
      <c r="U609" s="295" t="e">
        <f>IF(K609="nio",0,(N609*Q609)/AA609)*VLOOKUP(C609,'2-Uren per locatie'!$B$15:$D$74,3,FALSE)</f>
        <v>#DIV/0!</v>
      </c>
      <c r="V609" s="295" t="e">
        <f>IF(K609="nio",0,(O609*Q609)/Z609)*VLOOKUP(C609,'2-Uren per locatie'!$B$15:$D$74,3,FALSE)</f>
        <v>#DIV/0!</v>
      </c>
      <c r="W609" s="295" t="e">
        <f>IF(K609="nio",0,(P609*Q609)/AA609)*VLOOKUP(C609,'2-Uren per locatie'!$B$15:$D$74,3,FALSE)</f>
        <v>#DIV/0!</v>
      </c>
      <c r="X609" s="485">
        <f>IF(K609="nio",0,IF(K609&gt;0,VLOOKUP(H609,'3-Productie normen'!A:F,VLOOKUP(K609,'3-Productie normen'!$B$29:$C$34,2,FALSE),FALSE)))</f>
        <v>0</v>
      </c>
      <c r="Y609" s="485">
        <f>VLOOKUP(H609,'3-Productie normen'!$A$10:$J$24,8,FALSE)*'3-Ruimtestaat'!X609</f>
        <v>0</v>
      </c>
      <c r="Z609" s="485">
        <f>VLOOKUP(H609,'3-Productie normen'!$A$10:$J$24,9,FALSE)*'3-Ruimtestaat'!X609</f>
        <v>0</v>
      </c>
      <c r="AA609" s="485">
        <f>VLOOKUP(H609,'3-Productie normen'!$A$10:$J$24,10,FALSE)*'3-Ruimtestaat'!X609</f>
        <v>0</v>
      </c>
      <c r="AB609" s="292" t="str">
        <f>IF(H609="",0,VLOOKUP(H609,'3-Productie normen'!$A$10:$N$23,14,FALSE))</f>
        <v>V</v>
      </c>
      <c r="AD609" s="296">
        <f t="shared" si="22"/>
        <v>20440</v>
      </c>
      <c r="AE609" s="78"/>
      <c r="AF609" s="253"/>
      <c r="AG609" s="253"/>
      <c r="AH609" s="253"/>
      <c r="AI609" s="253"/>
      <c r="AJ609" s="253"/>
      <c r="AK609" s="253"/>
      <c r="AL609" s="253"/>
      <c r="AM609" s="253"/>
      <c r="AN609" s="253"/>
      <c r="AO609" s="253"/>
    </row>
    <row r="610" spans="1:41" ht="15" customHeight="1">
      <c r="A610" s="254">
        <v>610</v>
      </c>
      <c r="B610" s="253">
        <v>608</v>
      </c>
      <c r="C610" s="240" t="s">
        <v>115</v>
      </c>
      <c r="D610" s="288" t="s">
        <v>634</v>
      </c>
      <c r="E610" s="289" t="s">
        <v>825</v>
      </c>
      <c r="F610" s="239" t="s">
        <v>831</v>
      </c>
      <c r="G610" s="290" t="s">
        <v>832</v>
      </c>
      <c r="H610" s="291" t="s">
        <v>153</v>
      </c>
      <c r="I610" s="239" t="s">
        <v>637</v>
      </c>
      <c r="J610" s="424">
        <f t="shared" si="21"/>
        <v>365</v>
      </c>
      <c r="K610" s="425">
        <v>255</v>
      </c>
      <c r="L610" s="425"/>
      <c r="M610" s="425">
        <v>102</v>
      </c>
      <c r="N610" s="425"/>
      <c r="O610" s="425">
        <v>8</v>
      </c>
      <c r="P610" s="425"/>
      <c r="Q610" s="294">
        <v>15</v>
      </c>
      <c r="R610" s="295" t="e">
        <f>IF(K610="nio",0,(K610*Q610)/X610)*VLOOKUP(C610,'2-Uren per locatie'!$B$15:$D$74,3,FALSE)</f>
        <v>#DIV/0!</v>
      </c>
      <c r="S610" s="295" t="e">
        <f>IF(K610="nio",0,(L610*Q610)/Y610)*VLOOKUP(C610,'2-Uren per locatie'!$B$15:$D$74,3,FALSE)</f>
        <v>#DIV/0!</v>
      </c>
      <c r="T610" s="295" t="e">
        <f>IF(K610="nio",0,(M610*Q610)/Z610)*VLOOKUP(C610,'2-Uren per locatie'!$B$15:$D$74,3,FALSE)</f>
        <v>#DIV/0!</v>
      </c>
      <c r="U610" s="295" t="e">
        <f>IF(K610="nio",0,(N610*Q610)/AA610)*VLOOKUP(C610,'2-Uren per locatie'!$B$15:$D$74,3,FALSE)</f>
        <v>#DIV/0!</v>
      </c>
      <c r="V610" s="295" t="e">
        <f>IF(K610="nio",0,(O610*Q610)/Z610)*VLOOKUP(C610,'2-Uren per locatie'!$B$15:$D$74,3,FALSE)</f>
        <v>#DIV/0!</v>
      </c>
      <c r="W610" s="295" t="e">
        <f>IF(K610="nio",0,(P610*Q610)/AA610)*VLOOKUP(C610,'2-Uren per locatie'!$B$15:$D$74,3,FALSE)</f>
        <v>#DIV/0!</v>
      </c>
      <c r="X610" s="485">
        <f>IF(K610="nio",0,IF(K610&gt;0,VLOOKUP(H610,'3-Productie normen'!A:F,VLOOKUP(K610,'3-Productie normen'!$B$29:$C$34,2,FALSE),FALSE)))</f>
        <v>0</v>
      </c>
      <c r="Y610" s="485">
        <f>VLOOKUP(H610,'3-Productie normen'!$A$10:$J$24,8,FALSE)*'3-Ruimtestaat'!X610</f>
        <v>0</v>
      </c>
      <c r="Z610" s="485">
        <f>VLOOKUP(H610,'3-Productie normen'!$A$10:$J$24,9,FALSE)*'3-Ruimtestaat'!X610</f>
        <v>0</v>
      </c>
      <c r="AA610" s="485">
        <f>VLOOKUP(H610,'3-Productie normen'!$A$10:$J$24,10,FALSE)*'3-Ruimtestaat'!X610</f>
        <v>0</v>
      </c>
      <c r="AB610" s="292" t="str">
        <f>IF(H610="",0,VLOOKUP(H610,'3-Productie normen'!$A$10:$N$23,14,FALSE))</f>
        <v>S</v>
      </c>
      <c r="AD610" s="296">
        <f t="shared" si="22"/>
        <v>5475</v>
      </c>
      <c r="AE610" s="78"/>
      <c r="AF610" s="253"/>
      <c r="AG610" s="253"/>
      <c r="AH610" s="253"/>
      <c r="AI610" s="253"/>
      <c r="AJ610" s="253"/>
      <c r="AK610" s="253"/>
      <c r="AL610" s="253"/>
      <c r="AM610" s="253"/>
      <c r="AN610" s="253"/>
      <c r="AO610" s="253"/>
    </row>
    <row r="611" spans="1:41" ht="15" customHeight="1">
      <c r="A611" s="254">
        <v>611</v>
      </c>
      <c r="B611" s="253">
        <v>608</v>
      </c>
      <c r="C611" s="240" t="s">
        <v>115</v>
      </c>
      <c r="D611" s="288" t="s">
        <v>634</v>
      </c>
      <c r="E611" s="289" t="s">
        <v>825</v>
      </c>
      <c r="F611" s="239" t="s">
        <v>833</v>
      </c>
      <c r="G611" s="290" t="s">
        <v>834</v>
      </c>
      <c r="H611" s="291" t="s">
        <v>153</v>
      </c>
      <c r="I611" s="239" t="s">
        <v>637</v>
      </c>
      <c r="J611" s="424">
        <f t="shared" si="21"/>
        <v>365</v>
      </c>
      <c r="K611" s="425">
        <v>255</v>
      </c>
      <c r="L611" s="425"/>
      <c r="M611" s="425">
        <v>102</v>
      </c>
      <c r="N611" s="425"/>
      <c r="O611" s="425">
        <v>8</v>
      </c>
      <c r="P611" s="425"/>
      <c r="Q611" s="294">
        <v>13</v>
      </c>
      <c r="R611" s="295" t="e">
        <f>IF(K611="nio",0,(K611*Q611)/X611)*VLOOKUP(C611,'2-Uren per locatie'!$B$15:$D$74,3,FALSE)</f>
        <v>#DIV/0!</v>
      </c>
      <c r="S611" s="295" t="e">
        <f>IF(K611="nio",0,(L611*Q611)/Y611)*VLOOKUP(C611,'2-Uren per locatie'!$B$15:$D$74,3,FALSE)</f>
        <v>#DIV/0!</v>
      </c>
      <c r="T611" s="295" t="e">
        <f>IF(K611="nio",0,(M611*Q611)/Z611)*VLOOKUP(C611,'2-Uren per locatie'!$B$15:$D$74,3,FALSE)</f>
        <v>#DIV/0!</v>
      </c>
      <c r="U611" s="295" t="e">
        <f>IF(K611="nio",0,(N611*Q611)/AA611)*VLOOKUP(C611,'2-Uren per locatie'!$B$15:$D$74,3,FALSE)</f>
        <v>#DIV/0!</v>
      </c>
      <c r="V611" s="295" t="e">
        <f>IF(K611="nio",0,(O611*Q611)/Z611)*VLOOKUP(C611,'2-Uren per locatie'!$B$15:$D$74,3,FALSE)</f>
        <v>#DIV/0!</v>
      </c>
      <c r="W611" s="295" t="e">
        <f>IF(K611="nio",0,(P611*Q611)/AA611)*VLOOKUP(C611,'2-Uren per locatie'!$B$15:$D$74,3,FALSE)</f>
        <v>#DIV/0!</v>
      </c>
      <c r="X611" s="485">
        <f>IF(K611="nio",0,IF(K611&gt;0,VLOOKUP(H611,'3-Productie normen'!A:F,VLOOKUP(K611,'3-Productie normen'!$B$29:$C$34,2,FALSE),FALSE)))</f>
        <v>0</v>
      </c>
      <c r="Y611" s="485">
        <f>VLOOKUP(H611,'3-Productie normen'!$A$10:$J$24,8,FALSE)*'3-Ruimtestaat'!X611</f>
        <v>0</v>
      </c>
      <c r="Z611" s="485">
        <f>VLOOKUP(H611,'3-Productie normen'!$A$10:$J$24,9,FALSE)*'3-Ruimtestaat'!X611</f>
        <v>0</v>
      </c>
      <c r="AA611" s="485">
        <f>VLOOKUP(H611,'3-Productie normen'!$A$10:$J$24,10,FALSE)*'3-Ruimtestaat'!X611</f>
        <v>0</v>
      </c>
      <c r="AB611" s="292" t="str">
        <f>IF(H611="",0,VLOOKUP(H611,'3-Productie normen'!$A$10:$N$23,14,FALSE))</f>
        <v>S</v>
      </c>
      <c r="AD611" s="296">
        <f t="shared" si="22"/>
        <v>4745</v>
      </c>
      <c r="AE611" s="78"/>
      <c r="AF611" s="253"/>
      <c r="AG611" s="253"/>
      <c r="AH611" s="253"/>
      <c r="AI611" s="253"/>
      <c r="AJ611" s="253"/>
      <c r="AK611" s="253"/>
      <c r="AL611" s="253"/>
      <c r="AM611" s="253"/>
      <c r="AN611" s="253"/>
      <c r="AO611" s="253"/>
    </row>
    <row r="612" spans="1:41" ht="15" customHeight="1">
      <c r="A612" s="254">
        <v>612</v>
      </c>
      <c r="B612" s="253">
        <v>608</v>
      </c>
      <c r="C612" s="240" t="s">
        <v>115</v>
      </c>
      <c r="D612" s="288" t="s">
        <v>634</v>
      </c>
      <c r="E612" s="289" t="s">
        <v>825</v>
      </c>
      <c r="F612" s="239" t="s">
        <v>835</v>
      </c>
      <c r="G612" s="290" t="s">
        <v>836</v>
      </c>
      <c r="H612" s="291" t="s">
        <v>153</v>
      </c>
      <c r="I612" s="239" t="s">
        <v>637</v>
      </c>
      <c r="J612" s="424">
        <f t="shared" si="21"/>
        <v>365</v>
      </c>
      <c r="K612" s="425">
        <v>255</v>
      </c>
      <c r="L612" s="425"/>
      <c r="M612" s="425">
        <v>102</v>
      </c>
      <c r="N612" s="425"/>
      <c r="O612" s="425">
        <v>8</v>
      </c>
      <c r="P612" s="425"/>
      <c r="Q612" s="294">
        <v>12.5</v>
      </c>
      <c r="R612" s="295" t="e">
        <f>IF(K612="nio",0,(K612*Q612)/X612)*VLOOKUP(C612,'2-Uren per locatie'!$B$15:$D$74,3,FALSE)</f>
        <v>#DIV/0!</v>
      </c>
      <c r="S612" s="295" t="e">
        <f>IF(K612="nio",0,(L612*Q612)/Y612)*VLOOKUP(C612,'2-Uren per locatie'!$B$15:$D$74,3,FALSE)</f>
        <v>#DIV/0!</v>
      </c>
      <c r="T612" s="295" t="e">
        <f>IF(K612="nio",0,(M612*Q612)/Z612)*VLOOKUP(C612,'2-Uren per locatie'!$B$15:$D$74,3,FALSE)</f>
        <v>#DIV/0!</v>
      </c>
      <c r="U612" s="295" t="e">
        <f>IF(K612="nio",0,(N612*Q612)/AA612)*VLOOKUP(C612,'2-Uren per locatie'!$B$15:$D$74,3,FALSE)</f>
        <v>#DIV/0!</v>
      </c>
      <c r="V612" s="295" t="e">
        <f>IF(K612="nio",0,(O612*Q612)/Z612)*VLOOKUP(C612,'2-Uren per locatie'!$B$15:$D$74,3,FALSE)</f>
        <v>#DIV/0!</v>
      </c>
      <c r="W612" s="295" t="e">
        <f>IF(K612="nio",0,(P612*Q612)/AA612)*VLOOKUP(C612,'2-Uren per locatie'!$B$15:$D$74,3,FALSE)</f>
        <v>#DIV/0!</v>
      </c>
      <c r="X612" s="485">
        <f>IF(K612="nio",0,IF(K612&gt;0,VLOOKUP(H612,'3-Productie normen'!A:F,VLOOKUP(K612,'3-Productie normen'!$B$29:$C$34,2,FALSE),FALSE)))</f>
        <v>0</v>
      </c>
      <c r="Y612" s="485">
        <f>VLOOKUP(H612,'3-Productie normen'!$A$10:$J$24,8,FALSE)*'3-Ruimtestaat'!X612</f>
        <v>0</v>
      </c>
      <c r="Z612" s="485">
        <f>VLOOKUP(H612,'3-Productie normen'!$A$10:$J$24,9,FALSE)*'3-Ruimtestaat'!X612</f>
        <v>0</v>
      </c>
      <c r="AA612" s="485">
        <f>VLOOKUP(H612,'3-Productie normen'!$A$10:$J$24,10,FALSE)*'3-Ruimtestaat'!X612</f>
        <v>0</v>
      </c>
      <c r="AB612" s="292" t="str">
        <f>IF(H612="",0,VLOOKUP(H612,'3-Productie normen'!$A$10:$N$23,14,FALSE))</f>
        <v>S</v>
      </c>
      <c r="AD612" s="296">
        <f t="shared" si="22"/>
        <v>4562.5</v>
      </c>
      <c r="AE612" s="78"/>
      <c r="AF612" s="301"/>
      <c r="AG612" s="301"/>
      <c r="AH612" s="301"/>
      <c r="AI612" s="301"/>
      <c r="AJ612" s="301"/>
      <c r="AK612" s="301"/>
      <c r="AL612" s="301"/>
      <c r="AM612" s="301"/>
      <c r="AN612" s="301"/>
      <c r="AO612" s="301"/>
    </row>
    <row r="613" spans="1:41" ht="15" customHeight="1">
      <c r="A613" s="254">
        <v>613</v>
      </c>
      <c r="B613" s="253">
        <v>608</v>
      </c>
      <c r="C613" s="240" t="s">
        <v>115</v>
      </c>
      <c r="D613" s="288" t="s">
        <v>634</v>
      </c>
      <c r="E613" s="289" t="s">
        <v>825</v>
      </c>
      <c r="F613" s="239" t="s">
        <v>837</v>
      </c>
      <c r="G613" s="290" t="s">
        <v>838</v>
      </c>
      <c r="H613" s="291" t="s">
        <v>146</v>
      </c>
      <c r="I613" s="239" t="s">
        <v>325</v>
      </c>
      <c r="J613" s="424">
        <f t="shared" si="21"/>
        <v>365</v>
      </c>
      <c r="K613" s="425">
        <v>255</v>
      </c>
      <c r="L613" s="425"/>
      <c r="M613" s="425">
        <v>102</v>
      </c>
      <c r="N613" s="425"/>
      <c r="O613" s="425">
        <v>8</v>
      </c>
      <c r="P613" s="425"/>
      <c r="Q613" s="294">
        <v>15</v>
      </c>
      <c r="R613" s="295" t="e">
        <f>IF(K613="nio",0,(K613*Q613)/X613)*VLOOKUP(C613,'2-Uren per locatie'!$B$15:$D$74,3,FALSE)</f>
        <v>#DIV/0!</v>
      </c>
      <c r="S613" s="295" t="e">
        <f>IF(K613="nio",0,(L613*Q613)/Y613)*VLOOKUP(C613,'2-Uren per locatie'!$B$15:$D$74,3,FALSE)</f>
        <v>#DIV/0!</v>
      </c>
      <c r="T613" s="295" t="e">
        <f>IF(K613="nio",0,(M613*Q613)/Z613)*VLOOKUP(C613,'2-Uren per locatie'!$B$15:$D$74,3,FALSE)</f>
        <v>#DIV/0!</v>
      </c>
      <c r="U613" s="295" t="e">
        <f>IF(K613="nio",0,(N613*Q613)/AA613)*VLOOKUP(C613,'2-Uren per locatie'!$B$15:$D$74,3,FALSE)</f>
        <v>#DIV/0!</v>
      </c>
      <c r="V613" s="295" t="e">
        <f>IF(K613="nio",0,(O613*Q613)/Z613)*VLOOKUP(C613,'2-Uren per locatie'!$B$15:$D$74,3,FALSE)</f>
        <v>#DIV/0!</v>
      </c>
      <c r="W613" s="295" t="e">
        <f>IF(K613="nio",0,(P613*Q613)/AA613)*VLOOKUP(C613,'2-Uren per locatie'!$B$15:$D$74,3,FALSE)</f>
        <v>#DIV/0!</v>
      </c>
      <c r="X613" s="485">
        <f>IF(K613="nio",0,IF(K613&gt;0,VLOOKUP(H613,'3-Productie normen'!A:F,VLOOKUP(K613,'3-Productie normen'!$B$29:$C$34,2,FALSE),FALSE)))</f>
        <v>0</v>
      </c>
      <c r="Y613" s="485">
        <f>VLOOKUP(H613,'3-Productie normen'!$A$10:$J$24,8,FALSE)*'3-Ruimtestaat'!X613</f>
        <v>0</v>
      </c>
      <c r="Z613" s="485">
        <f>VLOOKUP(H613,'3-Productie normen'!$A$10:$J$24,9,FALSE)*'3-Ruimtestaat'!X613</f>
        <v>0</v>
      </c>
      <c r="AA613" s="485">
        <f>VLOOKUP(H613,'3-Productie normen'!$A$10:$J$24,10,FALSE)*'3-Ruimtestaat'!X613</f>
        <v>0</v>
      </c>
      <c r="AB613" s="292" t="str">
        <f>IF(H613="",0,VLOOKUP(H613,'3-Productie normen'!$A$10:$N$23,14,FALSE))</f>
        <v>B</v>
      </c>
      <c r="AD613" s="296">
        <f t="shared" si="22"/>
        <v>5475</v>
      </c>
      <c r="AE613" s="78"/>
      <c r="AF613" s="301"/>
      <c r="AG613" s="301"/>
      <c r="AH613" s="301"/>
      <c r="AI613" s="301"/>
      <c r="AJ613" s="301"/>
      <c r="AK613" s="301"/>
      <c r="AL613" s="301"/>
      <c r="AM613" s="301"/>
      <c r="AN613" s="301"/>
      <c r="AO613" s="301"/>
    </row>
    <row r="614" spans="1:41" ht="15" customHeight="1">
      <c r="A614" s="254">
        <v>614</v>
      </c>
      <c r="B614" s="253">
        <v>608</v>
      </c>
      <c r="C614" s="240" t="s">
        <v>115</v>
      </c>
      <c r="D614" s="288" t="s">
        <v>634</v>
      </c>
      <c r="E614" s="289" t="s">
        <v>825</v>
      </c>
      <c r="F614" s="239" t="s">
        <v>418</v>
      </c>
      <c r="G614" s="290" t="s">
        <v>839</v>
      </c>
      <c r="H614" s="291" t="s">
        <v>150</v>
      </c>
      <c r="I614" s="239" t="s">
        <v>325</v>
      </c>
      <c r="J614" s="424">
        <f t="shared" si="21"/>
        <v>365</v>
      </c>
      <c r="K614" s="425">
        <v>255</v>
      </c>
      <c r="L614" s="425"/>
      <c r="M614" s="425">
        <v>102</v>
      </c>
      <c r="N614" s="425"/>
      <c r="O614" s="425">
        <v>8</v>
      </c>
      <c r="P614" s="425"/>
      <c r="Q614" s="294">
        <v>27</v>
      </c>
      <c r="R614" s="295" t="e">
        <f>IF(K614="nio",0,(K614*Q614)/X614)*VLOOKUP(C614,'2-Uren per locatie'!$B$15:$D$74,3,FALSE)</f>
        <v>#DIV/0!</v>
      </c>
      <c r="S614" s="295" t="e">
        <f>IF(K614="nio",0,(L614*Q614)/Y614)*VLOOKUP(C614,'2-Uren per locatie'!$B$15:$D$74,3,FALSE)</f>
        <v>#DIV/0!</v>
      </c>
      <c r="T614" s="295" t="e">
        <f>IF(K614="nio",0,(M614*Q614)/Z614)*VLOOKUP(C614,'2-Uren per locatie'!$B$15:$D$74,3,FALSE)</f>
        <v>#DIV/0!</v>
      </c>
      <c r="U614" s="295" t="e">
        <f>IF(K614="nio",0,(N614*Q614)/AA614)*VLOOKUP(C614,'2-Uren per locatie'!$B$15:$D$74,3,FALSE)</f>
        <v>#DIV/0!</v>
      </c>
      <c r="V614" s="295" t="e">
        <f>IF(K614="nio",0,(O614*Q614)/Z614)*VLOOKUP(C614,'2-Uren per locatie'!$B$15:$D$74,3,FALSE)</f>
        <v>#DIV/0!</v>
      </c>
      <c r="W614" s="295" t="e">
        <f>IF(K614="nio",0,(P614*Q614)/AA614)*VLOOKUP(C614,'2-Uren per locatie'!$B$15:$D$74,3,FALSE)</f>
        <v>#DIV/0!</v>
      </c>
      <c r="X614" s="485">
        <f>IF(K614="nio",0,IF(K614&gt;0,VLOOKUP(H614,'3-Productie normen'!A:F,VLOOKUP(K614,'3-Productie normen'!$B$29:$C$34,2,FALSE),FALSE)))</f>
        <v>0</v>
      </c>
      <c r="Y614" s="485">
        <f>VLOOKUP(H614,'3-Productie normen'!$A$10:$J$24,8,FALSE)*'3-Ruimtestaat'!X614</f>
        <v>0</v>
      </c>
      <c r="Z614" s="485">
        <f>VLOOKUP(H614,'3-Productie normen'!$A$10:$J$24,9,FALSE)*'3-Ruimtestaat'!X614</f>
        <v>0</v>
      </c>
      <c r="AA614" s="485">
        <f>VLOOKUP(H614,'3-Productie normen'!$A$10:$J$24,10,FALSE)*'3-Ruimtestaat'!X614</f>
        <v>0</v>
      </c>
      <c r="AB614" s="292" t="str">
        <f>IF(H614="",0,VLOOKUP(H614,'3-Productie normen'!$A$10:$N$23,14,FALSE))</f>
        <v>V</v>
      </c>
      <c r="AD614" s="296">
        <f t="shared" si="22"/>
        <v>9855</v>
      </c>
      <c r="AE614" s="78"/>
      <c r="AF614" s="301"/>
      <c r="AG614" s="301"/>
      <c r="AH614" s="301"/>
      <c r="AI614" s="301"/>
      <c r="AJ614" s="301"/>
      <c r="AK614" s="301"/>
      <c r="AL614" s="301"/>
      <c r="AM614" s="301"/>
      <c r="AN614" s="301"/>
      <c r="AO614" s="301"/>
    </row>
    <row r="615" spans="1:41" ht="15" customHeight="1">
      <c r="A615" s="254">
        <v>615</v>
      </c>
      <c r="B615" s="253">
        <v>608</v>
      </c>
      <c r="C615" s="240" t="s">
        <v>115</v>
      </c>
      <c r="D615" s="288" t="s">
        <v>634</v>
      </c>
      <c r="E615" s="289" t="s">
        <v>825</v>
      </c>
      <c r="F615" s="239" t="s">
        <v>835</v>
      </c>
      <c r="G615" s="290" t="s">
        <v>840</v>
      </c>
      <c r="H615" s="291" t="s">
        <v>153</v>
      </c>
      <c r="I615" s="239" t="s">
        <v>325</v>
      </c>
      <c r="J615" s="424">
        <f t="shared" si="21"/>
        <v>365</v>
      </c>
      <c r="K615" s="425">
        <v>255</v>
      </c>
      <c r="L615" s="425"/>
      <c r="M615" s="425">
        <v>102</v>
      </c>
      <c r="N615" s="425"/>
      <c r="O615" s="425">
        <v>8</v>
      </c>
      <c r="P615" s="425"/>
      <c r="Q615" s="294">
        <v>13</v>
      </c>
      <c r="R615" s="295" t="e">
        <f>IF(K615="nio",0,(K615*Q615)/X615)*VLOOKUP(C615,'2-Uren per locatie'!$B$15:$D$74,3,FALSE)</f>
        <v>#DIV/0!</v>
      </c>
      <c r="S615" s="295" t="e">
        <f>IF(K615="nio",0,(L615*Q615)/Y615)*VLOOKUP(C615,'2-Uren per locatie'!$B$15:$D$74,3,FALSE)</f>
        <v>#DIV/0!</v>
      </c>
      <c r="T615" s="295" t="e">
        <f>IF(K615="nio",0,(M615*Q615)/Z615)*VLOOKUP(C615,'2-Uren per locatie'!$B$15:$D$74,3,FALSE)</f>
        <v>#DIV/0!</v>
      </c>
      <c r="U615" s="295" t="e">
        <f>IF(K615="nio",0,(N615*Q615)/AA615)*VLOOKUP(C615,'2-Uren per locatie'!$B$15:$D$74,3,FALSE)</f>
        <v>#DIV/0!</v>
      </c>
      <c r="V615" s="295" t="e">
        <f>IF(K615="nio",0,(O615*Q615)/Z615)*VLOOKUP(C615,'2-Uren per locatie'!$B$15:$D$74,3,FALSE)</f>
        <v>#DIV/0!</v>
      </c>
      <c r="W615" s="295" t="e">
        <f>IF(K615="nio",0,(P615*Q615)/AA615)*VLOOKUP(C615,'2-Uren per locatie'!$B$15:$D$74,3,FALSE)</f>
        <v>#DIV/0!</v>
      </c>
      <c r="X615" s="485">
        <f>IF(K615="nio",0,IF(K615&gt;0,VLOOKUP(H615,'3-Productie normen'!A:F,VLOOKUP(K615,'3-Productie normen'!$B$29:$C$34,2,FALSE),FALSE)))</f>
        <v>0</v>
      </c>
      <c r="Y615" s="485">
        <f>VLOOKUP(H615,'3-Productie normen'!$A$10:$J$24,8,FALSE)*'3-Ruimtestaat'!X615</f>
        <v>0</v>
      </c>
      <c r="Z615" s="485">
        <f>VLOOKUP(H615,'3-Productie normen'!$A$10:$J$24,9,FALSE)*'3-Ruimtestaat'!X615</f>
        <v>0</v>
      </c>
      <c r="AA615" s="485">
        <f>VLOOKUP(H615,'3-Productie normen'!$A$10:$J$24,10,FALSE)*'3-Ruimtestaat'!X615</f>
        <v>0</v>
      </c>
      <c r="AB615" s="292" t="str">
        <f>IF(H615="",0,VLOOKUP(H615,'3-Productie normen'!$A$10:$N$23,14,FALSE))</f>
        <v>S</v>
      </c>
      <c r="AD615" s="296">
        <f t="shared" si="22"/>
        <v>4745</v>
      </c>
      <c r="AE615" s="78"/>
      <c r="AF615" s="253"/>
      <c r="AG615" s="253"/>
      <c r="AH615" s="253"/>
      <c r="AI615" s="253"/>
      <c r="AJ615" s="253"/>
      <c r="AK615" s="253"/>
      <c r="AL615" s="253"/>
      <c r="AM615" s="253"/>
      <c r="AN615" s="253"/>
      <c r="AO615" s="253"/>
    </row>
    <row r="616" spans="1:41" ht="15" customHeight="1">
      <c r="A616" s="254">
        <v>616</v>
      </c>
      <c r="B616" s="253">
        <v>608</v>
      </c>
      <c r="C616" s="240" t="s">
        <v>115</v>
      </c>
      <c r="D616" s="288" t="s">
        <v>634</v>
      </c>
      <c r="E616" s="289" t="s">
        <v>825</v>
      </c>
      <c r="F616" s="239" t="s">
        <v>833</v>
      </c>
      <c r="G616" s="290" t="s">
        <v>841</v>
      </c>
      <c r="H616" s="291" t="s">
        <v>153</v>
      </c>
      <c r="I616" s="239" t="s">
        <v>637</v>
      </c>
      <c r="J616" s="424">
        <f t="shared" si="21"/>
        <v>365</v>
      </c>
      <c r="K616" s="425">
        <v>255</v>
      </c>
      <c r="L616" s="425"/>
      <c r="M616" s="425">
        <v>102</v>
      </c>
      <c r="N616" s="425"/>
      <c r="O616" s="425">
        <v>8</v>
      </c>
      <c r="P616" s="425"/>
      <c r="Q616" s="294">
        <v>7</v>
      </c>
      <c r="R616" s="295" t="e">
        <f>IF(K616="nio",0,(K616*Q616)/X616)*VLOOKUP(C616,'2-Uren per locatie'!$B$15:$D$74,3,FALSE)</f>
        <v>#DIV/0!</v>
      </c>
      <c r="S616" s="295" t="e">
        <f>IF(K616="nio",0,(L616*Q616)/Y616)*VLOOKUP(C616,'2-Uren per locatie'!$B$15:$D$74,3,FALSE)</f>
        <v>#DIV/0!</v>
      </c>
      <c r="T616" s="295" t="e">
        <f>IF(K616="nio",0,(M616*Q616)/Z616)*VLOOKUP(C616,'2-Uren per locatie'!$B$15:$D$74,3,FALSE)</f>
        <v>#DIV/0!</v>
      </c>
      <c r="U616" s="295" t="e">
        <f>IF(K616="nio",0,(N616*Q616)/AA616)*VLOOKUP(C616,'2-Uren per locatie'!$B$15:$D$74,3,FALSE)</f>
        <v>#DIV/0!</v>
      </c>
      <c r="V616" s="295" t="e">
        <f>IF(K616="nio",0,(O616*Q616)/Z616)*VLOOKUP(C616,'2-Uren per locatie'!$B$15:$D$74,3,FALSE)</f>
        <v>#DIV/0!</v>
      </c>
      <c r="W616" s="295" t="e">
        <f>IF(K616="nio",0,(P616*Q616)/AA616)*VLOOKUP(C616,'2-Uren per locatie'!$B$15:$D$74,3,FALSE)</f>
        <v>#DIV/0!</v>
      </c>
      <c r="X616" s="485">
        <f>IF(K616="nio",0,IF(K616&gt;0,VLOOKUP(H616,'3-Productie normen'!A:F,VLOOKUP(K616,'3-Productie normen'!$B$29:$C$34,2,FALSE),FALSE)))</f>
        <v>0</v>
      </c>
      <c r="Y616" s="485">
        <f>VLOOKUP(H616,'3-Productie normen'!$A$10:$J$24,8,FALSE)*'3-Ruimtestaat'!X616</f>
        <v>0</v>
      </c>
      <c r="Z616" s="485">
        <f>VLOOKUP(H616,'3-Productie normen'!$A$10:$J$24,9,FALSE)*'3-Ruimtestaat'!X616</f>
        <v>0</v>
      </c>
      <c r="AA616" s="485">
        <f>VLOOKUP(H616,'3-Productie normen'!$A$10:$J$24,10,FALSE)*'3-Ruimtestaat'!X616</f>
        <v>0</v>
      </c>
      <c r="AB616" s="292" t="str">
        <f>IF(H616="",0,VLOOKUP(H616,'3-Productie normen'!$A$10:$N$23,14,FALSE))</f>
        <v>S</v>
      </c>
      <c r="AD616" s="296">
        <f t="shared" si="22"/>
        <v>2555</v>
      </c>
      <c r="AE616" s="78"/>
      <c r="AF616" s="253"/>
      <c r="AG616" s="253"/>
      <c r="AH616" s="253"/>
      <c r="AI616" s="253"/>
      <c r="AJ616" s="253"/>
      <c r="AK616" s="253"/>
      <c r="AL616" s="253"/>
      <c r="AM616" s="253"/>
      <c r="AN616" s="253"/>
      <c r="AO616" s="253"/>
    </row>
    <row r="617" spans="1:41" ht="15" customHeight="1">
      <c r="A617" s="254">
        <v>617</v>
      </c>
      <c r="B617" s="253">
        <v>608</v>
      </c>
      <c r="C617" s="240" t="s">
        <v>115</v>
      </c>
      <c r="D617" s="288" t="s">
        <v>634</v>
      </c>
      <c r="E617" s="289" t="s">
        <v>825</v>
      </c>
      <c r="F617" s="239" t="s">
        <v>831</v>
      </c>
      <c r="G617" s="290" t="s">
        <v>842</v>
      </c>
      <c r="H617" s="291" t="s">
        <v>153</v>
      </c>
      <c r="I617" s="239" t="s">
        <v>637</v>
      </c>
      <c r="J617" s="424">
        <f t="shared" si="21"/>
        <v>365</v>
      </c>
      <c r="K617" s="425">
        <v>255</v>
      </c>
      <c r="L617" s="425"/>
      <c r="M617" s="425">
        <v>102</v>
      </c>
      <c r="N617" s="425"/>
      <c r="O617" s="425">
        <v>8</v>
      </c>
      <c r="P617" s="425"/>
      <c r="Q617" s="294">
        <v>14.4</v>
      </c>
      <c r="R617" s="295" t="e">
        <f>IF(K617="nio",0,(K617*Q617)/X617)*VLOOKUP(C617,'2-Uren per locatie'!$B$15:$D$74,3,FALSE)</f>
        <v>#DIV/0!</v>
      </c>
      <c r="S617" s="295" t="e">
        <f>IF(K617="nio",0,(L617*Q617)/Y617)*VLOOKUP(C617,'2-Uren per locatie'!$B$15:$D$74,3,FALSE)</f>
        <v>#DIV/0!</v>
      </c>
      <c r="T617" s="295" t="e">
        <f>IF(K617="nio",0,(M617*Q617)/Z617)*VLOOKUP(C617,'2-Uren per locatie'!$B$15:$D$74,3,FALSE)</f>
        <v>#DIV/0!</v>
      </c>
      <c r="U617" s="295" t="e">
        <f>IF(K617="nio",0,(N617*Q617)/AA617)*VLOOKUP(C617,'2-Uren per locatie'!$B$15:$D$74,3,FALSE)</f>
        <v>#DIV/0!</v>
      </c>
      <c r="V617" s="295" t="e">
        <f>IF(K617="nio",0,(O617*Q617)/Z617)*VLOOKUP(C617,'2-Uren per locatie'!$B$15:$D$74,3,FALSE)</f>
        <v>#DIV/0!</v>
      </c>
      <c r="W617" s="295" t="e">
        <f>IF(K617="nio",0,(P617*Q617)/AA617)*VLOOKUP(C617,'2-Uren per locatie'!$B$15:$D$74,3,FALSE)</f>
        <v>#DIV/0!</v>
      </c>
      <c r="X617" s="485">
        <f>IF(K617="nio",0,IF(K617&gt;0,VLOOKUP(H617,'3-Productie normen'!A:F,VLOOKUP(K617,'3-Productie normen'!$B$29:$C$34,2,FALSE),FALSE)))</f>
        <v>0</v>
      </c>
      <c r="Y617" s="485">
        <f>VLOOKUP(H617,'3-Productie normen'!$A$10:$J$24,8,FALSE)*'3-Ruimtestaat'!X617</f>
        <v>0</v>
      </c>
      <c r="Z617" s="485">
        <f>VLOOKUP(H617,'3-Productie normen'!$A$10:$J$24,9,FALSE)*'3-Ruimtestaat'!X617</f>
        <v>0</v>
      </c>
      <c r="AA617" s="485">
        <f>VLOOKUP(H617,'3-Productie normen'!$A$10:$J$24,10,FALSE)*'3-Ruimtestaat'!X617</f>
        <v>0</v>
      </c>
      <c r="AB617" s="292" t="str">
        <f>IF(H617="",0,VLOOKUP(H617,'3-Productie normen'!$A$10:$N$23,14,FALSE))</f>
        <v>S</v>
      </c>
      <c r="AD617" s="296">
        <f t="shared" si="22"/>
        <v>5256</v>
      </c>
      <c r="AE617" s="78"/>
      <c r="AF617" s="253"/>
      <c r="AG617" s="253"/>
      <c r="AH617" s="253"/>
      <c r="AI617" s="253"/>
      <c r="AJ617" s="253"/>
      <c r="AK617" s="253"/>
      <c r="AL617" s="253"/>
      <c r="AM617" s="253"/>
      <c r="AN617" s="253"/>
      <c r="AO617" s="253"/>
    </row>
    <row r="618" spans="1:41" ht="15" customHeight="1">
      <c r="A618" s="254">
        <v>618</v>
      </c>
      <c r="B618" s="253">
        <v>608</v>
      </c>
      <c r="C618" s="240" t="s">
        <v>115</v>
      </c>
      <c r="D618" s="288" t="s">
        <v>634</v>
      </c>
      <c r="E618" s="289" t="s">
        <v>825</v>
      </c>
      <c r="F618" s="239" t="s">
        <v>843</v>
      </c>
      <c r="G618" s="290" t="s">
        <v>844</v>
      </c>
      <c r="H618" s="291" t="s">
        <v>146</v>
      </c>
      <c r="I618" s="239" t="s">
        <v>637</v>
      </c>
      <c r="J618" s="424">
        <f t="shared" si="21"/>
        <v>183</v>
      </c>
      <c r="K618" s="425">
        <v>127</v>
      </c>
      <c r="L618" s="425"/>
      <c r="M618" s="425">
        <v>52</v>
      </c>
      <c r="N618" s="425"/>
      <c r="O618" s="425">
        <v>4</v>
      </c>
      <c r="P618" s="425"/>
      <c r="Q618" s="294">
        <v>27</v>
      </c>
      <c r="R618" s="295" t="e">
        <f>IF(K618="nio",0,(K618*Q618)/X618)*VLOOKUP(C618,'2-Uren per locatie'!$B$15:$D$74,3,FALSE)</f>
        <v>#DIV/0!</v>
      </c>
      <c r="S618" s="295" t="e">
        <f>IF(K618="nio",0,(L618*Q618)/Y618)*VLOOKUP(C618,'2-Uren per locatie'!$B$15:$D$74,3,FALSE)</f>
        <v>#DIV/0!</v>
      </c>
      <c r="T618" s="295" t="e">
        <f>IF(K618="nio",0,(M618*Q618)/Z618)*VLOOKUP(C618,'2-Uren per locatie'!$B$15:$D$74,3,FALSE)</f>
        <v>#DIV/0!</v>
      </c>
      <c r="U618" s="295" t="e">
        <f>IF(K618="nio",0,(N618*Q618)/AA618)*VLOOKUP(C618,'2-Uren per locatie'!$B$15:$D$74,3,FALSE)</f>
        <v>#DIV/0!</v>
      </c>
      <c r="V618" s="295" t="e">
        <f>IF(K618="nio",0,(O618*Q618)/Z618)*VLOOKUP(C618,'2-Uren per locatie'!$B$15:$D$74,3,FALSE)</f>
        <v>#DIV/0!</v>
      </c>
      <c r="W618" s="295" t="e">
        <f>IF(K618="nio",0,(P618*Q618)/AA618)*VLOOKUP(C618,'2-Uren per locatie'!$B$15:$D$74,3,FALSE)</f>
        <v>#DIV/0!</v>
      </c>
      <c r="X618" s="485">
        <f>IF(K618="nio",0,IF(K618&gt;0,VLOOKUP(H618,'3-Productie normen'!A:F,VLOOKUP(K618,'3-Productie normen'!$B$29:$C$34,2,FALSE),FALSE)))</f>
        <v>0</v>
      </c>
      <c r="Y618" s="485">
        <f>VLOOKUP(H618,'3-Productie normen'!$A$10:$J$24,8,FALSE)*'3-Ruimtestaat'!X618</f>
        <v>0</v>
      </c>
      <c r="Z618" s="485">
        <f>VLOOKUP(H618,'3-Productie normen'!$A$10:$J$24,9,FALSE)*'3-Ruimtestaat'!X618</f>
        <v>0</v>
      </c>
      <c r="AA618" s="485">
        <f>VLOOKUP(H618,'3-Productie normen'!$A$10:$J$24,10,FALSE)*'3-Ruimtestaat'!X618</f>
        <v>0</v>
      </c>
      <c r="AB618" s="292" t="str">
        <f>IF(H618="",0,VLOOKUP(H618,'3-Productie normen'!$A$10:$N$23,14,FALSE))</f>
        <v>B</v>
      </c>
      <c r="AD618" s="296">
        <f t="shared" si="22"/>
        <v>4941</v>
      </c>
      <c r="AE618" s="78"/>
      <c r="AF618" s="253"/>
      <c r="AG618" s="253"/>
      <c r="AH618" s="253"/>
      <c r="AI618" s="253"/>
      <c r="AJ618" s="253"/>
      <c r="AK618" s="253"/>
      <c r="AL618" s="253"/>
      <c r="AM618" s="253"/>
      <c r="AN618" s="253"/>
      <c r="AO618" s="253"/>
    </row>
    <row r="619" spans="1:41" ht="15" customHeight="1">
      <c r="A619" s="254">
        <v>619</v>
      </c>
      <c r="B619" s="253">
        <v>608</v>
      </c>
      <c r="C619" s="240" t="s">
        <v>115</v>
      </c>
      <c r="D619" s="288" t="s">
        <v>634</v>
      </c>
      <c r="E619" s="289" t="s">
        <v>825</v>
      </c>
      <c r="F619" s="239" t="s">
        <v>845</v>
      </c>
      <c r="G619" s="290" t="s">
        <v>668</v>
      </c>
      <c r="H619" s="291" t="s">
        <v>149</v>
      </c>
      <c r="I619" s="239" t="s">
        <v>402</v>
      </c>
      <c r="J619" s="424">
        <f t="shared" si="21"/>
        <v>365</v>
      </c>
      <c r="K619" s="425">
        <v>255</v>
      </c>
      <c r="L619" s="425"/>
      <c r="M619" s="425">
        <v>102</v>
      </c>
      <c r="N619" s="425"/>
      <c r="O619" s="425">
        <v>8</v>
      </c>
      <c r="P619" s="425"/>
      <c r="Q619" s="294">
        <v>2.4</v>
      </c>
      <c r="R619" s="295" t="e">
        <f>IF(K619="nio",0,(K619*Q619)/X619)*VLOOKUP(C619,'2-Uren per locatie'!$B$15:$D$74,3,FALSE)</f>
        <v>#DIV/0!</v>
      </c>
      <c r="S619" s="295" t="e">
        <f>IF(K619="nio",0,(L619*Q619)/Y619)*VLOOKUP(C619,'2-Uren per locatie'!$B$15:$D$74,3,FALSE)</f>
        <v>#DIV/0!</v>
      </c>
      <c r="T619" s="295" t="e">
        <f>IF(K619="nio",0,(M619*Q619)/Z619)*VLOOKUP(C619,'2-Uren per locatie'!$B$15:$D$74,3,FALSE)</f>
        <v>#DIV/0!</v>
      </c>
      <c r="U619" s="295" t="e">
        <f>IF(K619="nio",0,(N619*Q619)/AA619)*VLOOKUP(C619,'2-Uren per locatie'!$B$15:$D$74,3,FALSE)</f>
        <v>#DIV/0!</v>
      </c>
      <c r="V619" s="295" t="e">
        <f>IF(K619="nio",0,(O619*Q619)/Z619)*VLOOKUP(C619,'2-Uren per locatie'!$B$15:$D$74,3,FALSE)</f>
        <v>#DIV/0!</v>
      </c>
      <c r="W619" s="295" t="e">
        <f>IF(K619="nio",0,(P619*Q619)/AA619)*VLOOKUP(C619,'2-Uren per locatie'!$B$15:$D$74,3,FALSE)</f>
        <v>#DIV/0!</v>
      </c>
      <c r="X619" s="485">
        <f>IF(K619="nio",0,IF(K619&gt;0,VLOOKUP(H619,'3-Productie normen'!A:F,VLOOKUP(K619,'3-Productie normen'!$B$29:$C$34,2,FALSE),FALSE)))</f>
        <v>0</v>
      </c>
      <c r="Y619" s="485">
        <f>VLOOKUP(H619,'3-Productie normen'!$A$10:$J$24,8,FALSE)*'3-Ruimtestaat'!X619</f>
        <v>0</v>
      </c>
      <c r="Z619" s="485">
        <f>VLOOKUP(H619,'3-Productie normen'!$A$10:$J$24,9,FALSE)*'3-Ruimtestaat'!X619</f>
        <v>0</v>
      </c>
      <c r="AA619" s="485">
        <f>VLOOKUP(H619,'3-Productie normen'!$A$10:$J$24,10,FALSE)*'3-Ruimtestaat'!X619</f>
        <v>0</v>
      </c>
      <c r="AB619" s="292" t="str">
        <f>IF(H619="",0,VLOOKUP(H619,'3-Productie normen'!$A$10:$N$23,14,FALSE))</f>
        <v>V</v>
      </c>
      <c r="AD619" s="296">
        <f t="shared" si="22"/>
        <v>876</v>
      </c>
      <c r="AE619" s="78"/>
      <c r="AF619" s="253"/>
      <c r="AG619" s="253"/>
      <c r="AH619" s="253"/>
      <c r="AI619" s="253"/>
      <c r="AJ619" s="253"/>
      <c r="AK619" s="253"/>
      <c r="AL619" s="253"/>
      <c r="AM619" s="253"/>
      <c r="AN619" s="253"/>
      <c r="AO619" s="253"/>
    </row>
    <row r="620" spans="1:41" ht="15" customHeight="1">
      <c r="A620" s="254">
        <v>620</v>
      </c>
      <c r="B620" s="253">
        <v>608</v>
      </c>
      <c r="C620" s="240" t="s">
        <v>115</v>
      </c>
      <c r="D620" s="288" t="s">
        <v>634</v>
      </c>
      <c r="E620" s="289" t="s">
        <v>825</v>
      </c>
      <c r="F620" s="239" t="s">
        <v>846</v>
      </c>
      <c r="G620" s="290" t="s">
        <v>668</v>
      </c>
      <c r="H620" s="291" t="s">
        <v>152</v>
      </c>
      <c r="I620" s="239" t="s">
        <v>402</v>
      </c>
      <c r="J620" s="424">
        <f t="shared" si="21"/>
        <v>365</v>
      </c>
      <c r="K620" s="425">
        <v>255</v>
      </c>
      <c r="L620" s="425"/>
      <c r="M620" s="425">
        <v>102</v>
      </c>
      <c r="N620" s="425"/>
      <c r="O620" s="425">
        <v>8</v>
      </c>
      <c r="P620" s="425"/>
      <c r="Q620" s="294">
        <v>19.5</v>
      </c>
      <c r="R620" s="295" t="e">
        <f>IF(K620="nio",0,(K620*Q620)/X620)*VLOOKUP(C620,'2-Uren per locatie'!$B$15:$D$74,3,FALSE)</f>
        <v>#DIV/0!</v>
      </c>
      <c r="S620" s="295" t="e">
        <f>IF(K620="nio",0,(L620*Q620)/Y620)*VLOOKUP(C620,'2-Uren per locatie'!$B$15:$D$74,3,FALSE)</f>
        <v>#DIV/0!</v>
      </c>
      <c r="T620" s="295" t="e">
        <f>IF(K620="nio",0,(M620*Q620)/Z620)*VLOOKUP(C620,'2-Uren per locatie'!$B$15:$D$74,3,FALSE)</f>
        <v>#DIV/0!</v>
      </c>
      <c r="U620" s="295" t="e">
        <f>IF(K620="nio",0,(N620*Q620)/AA620)*VLOOKUP(C620,'2-Uren per locatie'!$B$15:$D$74,3,FALSE)</f>
        <v>#DIV/0!</v>
      </c>
      <c r="V620" s="295" t="e">
        <f>IF(K620="nio",0,(O620*Q620)/Z620)*VLOOKUP(C620,'2-Uren per locatie'!$B$15:$D$74,3,FALSE)</f>
        <v>#DIV/0!</v>
      </c>
      <c r="W620" s="295" t="e">
        <f>IF(K620="nio",0,(P620*Q620)/AA620)*VLOOKUP(C620,'2-Uren per locatie'!$B$15:$D$74,3,FALSE)</f>
        <v>#DIV/0!</v>
      </c>
      <c r="X620" s="485">
        <f>IF(K620="nio",0,IF(K620&gt;0,VLOOKUP(H620,'3-Productie normen'!A:F,VLOOKUP(K620,'3-Productie normen'!$B$29:$C$34,2,FALSE),FALSE)))</f>
        <v>0</v>
      </c>
      <c r="Y620" s="485">
        <f>VLOOKUP(H620,'3-Productie normen'!$A$10:$J$24,8,FALSE)*'3-Ruimtestaat'!X620</f>
        <v>0</v>
      </c>
      <c r="Z620" s="485">
        <f>VLOOKUP(H620,'3-Productie normen'!$A$10:$J$24,9,FALSE)*'3-Ruimtestaat'!X620</f>
        <v>0</v>
      </c>
      <c r="AA620" s="485">
        <f>VLOOKUP(H620,'3-Productie normen'!$A$10:$J$24,10,FALSE)*'3-Ruimtestaat'!X620</f>
        <v>0</v>
      </c>
      <c r="AB620" s="292" t="str">
        <f>IF(H620="",0,VLOOKUP(H620,'3-Productie normen'!$A$10:$N$23,14,FALSE))</f>
        <v>V</v>
      </c>
      <c r="AD620" s="296">
        <f t="shared" si="22"/>
        <v>7117.5</v>
      </c>
      <c r="AE620" s="78"/>
      <c r="AF620" s="253"/>
      <c r="AG620" s="253"/>
      <c r="AH620" s="253"/>
      <c r="AI620" s="253"/>
      <c r="AJ620" s="253"/>
      <c r="AK620" s="253"/>
      <c r="AL620" s="253"/>
      <c r="AM620" s="253"/>
      <c r="AN620" s="253"/>
      <c r="AO620" s="253"/>
    </row>
    <row r="621" spans="1:41" ht="15" customHeight="1">
      <c r="A621" s="254">
        <v>621</v>
      </c>
      <c r="B621" s="253">
        <v>608</v>
      </c>
      <c r="C621" s="240" t="s">
        <v>115</v>
      </c>
      <c r="D621" s="288" t="s">
        <v>634</v>
      </c>
      <c r="E621" s="289" t="s">
        <v>825</v>
      </c>
      <c r="F621" s="239" t="s">
        <v>847</v>
      </c>
      <c r="G621" s="290" t="s">
        <v>668</v>
      </c>
      <c r="H621" s="291" t="s">
        <v>155</v>
      </c>
      <c r="I621" s="239" t="s">
        <v>402</v>
      </c>
      <c r="J621" s="424">
        <f t="shared" si="21"/>
        <v>365</v>
      </c>
      <c r="K621" s="425">
        <v>255</v>
      </c>
      <c r="L621" s="425"/>
      <c r="M621" s="425">
        <v>102</v>
      </c>
      <c r="N621" s="425"/>
      <c r="O621" s="425">
        <v>8</v>
      </c>
      <c r="P621" s="425"/>
      <c r="Q621" s="294">
        <v>42</v>
      </c>
      <c r="R621" s="295" t="e">
        <f>IF(K621="nio",0,(K621*Q621)/X621)*VLOOKUP(C621,'2-Uren per locatie'!$B$15:$D$74,3,FALSE)</f>
        <v>#DIV/0!</v>
      </c>
      <c r="S621" s="295" t="e">
        <f>IF(K621="nio",0,(L621*Q621)/Y621)*VLOOKUP(C621,'2-Uren per locatie'!$B$15:$D$74,3,FALSE)</f>
        <v>#DIV/0!</v>
      </c>
      <c r="T621" s="295" t="e">
        <f>IF(K621="nio",0,(M621*Q621)/Z621)*VLOOKUP(C621,'2-Uren per locatie'!$B$15:$D$74,3,FALSE)</f>
        <v>#DIV/0!</v>
      </c>
      <c r="U621" s="295" t="e">
        <f>IF(K621="nio",0,(N621*Q621)/AA621)*VLOOKUP(C621,'2-Uren per locatie'!$B$15:$D$74,3,FALSE)</f>
        <v>#DIV/0!</v>
      </c>
      <c r="V621" s="295" t="e">
        <f>IF(K621="nio",0,(O621*Q621)/Z621)*VLOOKUP(C621,'2-Uren per locatie'!$B$15:$D$74,3,FALSE)</f>
        <v>#DIV/0!</v>
      </c>
      <c r="W621" s="295" t="e">
        <f>IF(K621="nio",0,(P621*Q621)/AA621)*VLOOKUP(C621,'2-Uren per locatie'!$B$15:$D$74,3,FALSE)</f>
        <v>#DIV/0!</v>
      </c>
      <c r="X621" s="485">
        <f>IF(K621="nio",0,IF(K621&gt;0,VLOOKUP(H621,'3-Productie normen'!A:F,VLOOKUP(K621,'3-Productie normen'!$B$29:$C$34,2,FALSE),FALSE)))</f>
        <v>0</v>
      </c>
      <c r="Y621" s="485">
        <f>VLOOKUP(H621,'3-Productie normen'!$A$10:$J$24,8,FALSE)*'3-Ruimtestaat'!X621</f>
        <v>0</v>
      </c>
      <c r="Z621" s="485">
        <f>VLOOKUP(H621,'3-Productie normen'!$A$10:$J$24,9,FALSE)*'3-Ruimtestaat'!X621</f>
        <v>0</v>
      </c>
      <c r="AA621" s="485">
        <f>VLOOKUP(H621,'3-Productie normen'!$A$10:$J$24,10,FALSE)*'3-Ruimtestaat'!X621</f>
        <v>0</v>
      </c>
      <c r="AB621" s="292" t="str">
        <f>IF(H621="",0,VLOOKUP(H621,'3-Productie normen'!$A$10:$N$23,14,FALSE))</f>
        <v>V</v>
      </c>
      <c r="AD621" s="296">
        <f t="shared" si="22"/>
        <v>15330</v>
      </c>
      <c r="AE621" s="78"/>
      <c r="AF621" s="253"/>
      <c r="AG621" s="253"/>
      <c r="AH621" s="253"/>
      <c r="AI621" s="253"/>
      <c r="AJ621" s="253"/>
      <c r="AK621" s="253"/>
      <c r="AL621" s="253"/>
      <c r="AM621" s="253"/>
      <c r="AN621" s="253"/>
      <c r="AO621" s="253"/>
    </row>
    <row r="622" spans="1:41" ht="15" customHeight="1">
      <c r="A622" s="254">
        <v>622</v>
      </c>
      <c r="B622" s="253">
        <v>608</v>
      </c>
      <c r="C622" s="240" t="s">
        <v>115</v>
      </c>
      <c r="D622" s="288" t="s">
        <v>634</v>
      </c>
      <c r="E622" s="289" t="s">
        <v>825</v>
      </c>
      <c r="F622" s="239" t="s">
        <v>376</v>
      </c>
      <c r="G622" s="290" t="s">
        <v>647</v>
      </c>
      <c r="H622" s="291" t="s">
        <v>149</v>
      </c>
      <c r="I622" s="239" t="s">
        <v>402</v>
      </c>
      <c r="J622" s="424">
        <f t="shared" si="21"/>
        <v>365</v>
      </c>
      <c r="K622" s="425">
        <v>255</v>
      </c>
      <c r="L622" s="425"/>
      <c r="M622" s="425">
        <v>102</v>
      </c>
      <c r="N622" s="425"/>
      <c r="O622" s="425">
        <v>8</v>
      </c>
      <c r="P622" s="425"/>
      <c r="Q622" s="294">
        <v>2</v>
      </c>
      <c r="R622" s="295" t="e">
        <f>IF(K622="nio",0,(K622*Q622)/X622)*VLOOKUP(C622,'2-Uren per locatie'!$B$15:$D$74,3,FALSE)</f>
        <v>#DIV/0!</v>
      </c>
      <c r="S622" s="295" t="e">
        <f>IF(K622="nio",0,(L622*Q622)/Y622)*VLOOKUP(C622,'2-Uren per locatie'!$B$15:$D$74,3,FALSE)</f>
        <v>#DIV/0!</v>
      </c>
      <c r="T622" s="295" t="e">
        <f>IF(K622="nio",0,(M622*Q622)/Z622)*VLOOKUP(C622,'2-Uren per locatie'!$B$15:$D$74,3,FALSE)</f>
        <v>#DIV/0!</v>
      </c>
      <c r="U622" s="295" t="e">
        <f>IF(K622="nio",0,(N622*Q622)/AA622)*VLOOKUP(C622,'2-Uren per locatie'!$B$15:$D$74,3,FALSE)</f>
        <v>#DIV/0!</v>
      </c>
      <c r="V622" s="295" t="e">
        <f>IF(K622="nio",0,(O622*Q622)/Z622)*VLOOKUP(C622,'2-Uren per locatie'!$B$15:$D$74,3,FALSE)</f>
        <v>#DIV/0!</v>
      </c>
      <c r="W622" s="295" t="e">
        <f>IF(K622="nio",0,(P622*Q622)/AA622)*VLOOKUP(C622,'2-Uren per locatie'!$B$15:$D$74,3,FALSE)</f>
        <v>#DIV/0!</v>
      </c>
      <c r="X622" s="485">
        <f>IF(K622="nio",0,IF(K622&gt;0,VLOOKUP(H622,'3-Productie normen'!A:F,VLOOKUP(K622,'3-Productie normen'!$B$29:$C$34,2,FALSE),FALSE)))</f>
        <v>0</v>
      </c>
      <c r="Y622" s="485">
        <f>VLOOKUP(H622,'3-Productie normen'!$A$10:$J$24,8,FALSE)*'3-Ruimtestaat'!X622</f>
        <v>0</v>
      </c>
      <c r="Z622" s="485">
        <f>VLOOKUP(H622,'3-Productie normen'!$A$10:$J$24,9,FALSE)*'3-Ruimtestaat'!X622</f>
        <v>0</v>
      </c>
      <c r="AA622" s="485">
        <f>VLOOKUP(H622,'3-Productie normen'!$A$10:$J$24,10,FALSE)*'3-Ruimtestaat'!X622</f>
        <v>0</v>
      </c>
      <c r="AB622" s="292" t="str">
        <f>IF(H622="",0,VLOOKUP(H622,'3-Productie normen'!$A$10:$N$23,14,FALSE))</f>
        <v>V</v>
      </c>
      <c r="AD622" s="296">
        <f t="shared" si="22"/>
        <v>730</v>
      </c>
      <c r="AE622" s="78"/>
      <c r="AF622" s="253"/>
      <c r="AG622" s="253"/>
      <c r="AH622" s="253"/>
      <c r="AI622" s="253"/>
      <c r="AJ622" s="253"/>
      <c r="AK622" s="253"/>
      <c r="AL622" s="253"/>
      <c r="AM622" s="253"/>
      <c r="AN622" s="253"/>
      <c r="AO622" s="253"/>
    </row>
    <row r="623" spans="1:41" ht="15" customHeight="1">
      <c r="A623" s="254">
        <v>623</v>
      </c>
      <c r="B623" s="253">
        <v>608</v>
      </c>
      <c r="C623" s="240" t="s">
        <v>115</v>
      </c>
      <c r="D623" s="288" t="s">
        <v>634</v>
      </c>
      <c r="E623" s="289" t="s">
        <v>848</v>
      </c>
      <c r="F623" s="239" t="s">
        <v>376</v>
      </c>
      <c r="G623" s="290" t="s">
        <v>645</v>
      </c>
      <c r="H623" s="291" t="s">
        <v>149</v>
      </c>
      <c r="I623" s="239" t="s">
        <v>402</v>
      </c>
      <c r="J623" s="424">
        <f t="shared" si="21"/>
        <v>365</v>
      </c>
      <c r="K623" s="425">
        <v>255</v>
      </c>
      <c r="L623" s="425"/>
      <c r="M623" s="425">
        <v>102</v>
      </c>
      <c r="N623" s="425"/>
      <c r="O623" s="425">
        <v>8</v>
      </c>
      <c r="P623" s="425"/>
      <c r="Q623" s="294">
        <v>2</v>
      </c>
      <c r="R623" s="295" t="e">
        <f>IF(K623="nio",0,(K623*Q623)/X623)*VLOOKUP(C623,'2-Uren per locatie'!$B$15:$D$74,3,FALSE)</f>
        <v>#DIV/0!</v>
      </c>
      <c r="S623" s="295" t="e">
        <f>IF(K623="nio",0,(L623*Q623)/Y623)*VLOOKUP(C623,'2-Uren per locatie'!$B$15:$D$74,3,FALSE)</f>
        <v>#DIV/0!</v>
      </c>
      <c r="T623" s="295" t="e">
        <f>IF(K623="nio",0,(M623*Q623)/Z623)*VLOOKUP(C623,'2-Uren per locatie'!$B$15:$D$74,3,FALSE)</f>
        <v>#DIV/0!</v>
      </c>
      <c r="U623" s="295" t="e">
        <f>IF(K623="nio",0,(N623*Q623)/AA623)*VLOOKUP(C623,'2-Uren per locatie'!$B$15:$D$74,3,FALSE)</f>
        <v>#DIV/0!</v>
      </c>
      <c r="V623" s="295" t="e">
        <f>IF(K623="nio",0,(O623*Q623)/Z623)*VLOOKUP(C623,'2-Uren per locatie'!$B$15:$D$74,3,FALSE)</f>
        <v>#DIV/0!</v>
      </c>
      <c r="W623" s="295" t="e">
        <f>IF(K623="nio",0,(P623*Q623)/AA623)*VLOOKUP(C623,'2-Uren per locatie'!$B$15:$D$74,3,FALSE)</f>
        <v>#DIV/0!</v>
      </c>
      <c r="X623" s="485">
        <f>IF(K623="nio",0,IF(K623&gt;0,VLOOKUP(H623,'3-Productie normen'!A:F,VLOOKUP(K623,'3-Productie normen'!$B$29:$C$34,2,FALSE),FALSE)))</f>
        <v>0</v>
      </c>
      <c r="Y623" s="485">
        <f>VLOOKUP(H623,'3-Productie normen'!$A$10:$J$24,8,FALSE)*'3-Ruimtestaat'!X623</f>
        <v>0</v>
      </c>
      <c r="Z623" s="485">
        <f>VLOOKUP(H623,'3-Productie normen'!$A$10:$J$24,9,FALSE)*'3-Ruimtestaat'!X623</f>
        <v>0</v>
      </c>
      <c r="AA623" s="485">
        <f>VLOOKUP(H623,'3-Productie normen'!$A$10:$J$24,10,FALSE)*'3-Ruimtestaat'!X623</f>
        <v>0</v>
      </c>
      <c r="AB623" s="292" t="str">
        <f>IF(H623="",0,VLOOKUP(H623,'3-Productie normen'!$A$10:$N$23,14,FALSE))</f>
        <v>V</v>
      </c>
      <c r="AD623" s="296">
        <f t="shared" si="22"/>
        <v>730</v>
      </c>
      <c r="AE623" s="78"/>
      <c r="AF623" s="253"/>
      <c r="AG623" s="253"/>
      <c r="AH623" s="253"/>
      <c r="AI623" s="253"/>
      <c r="AJ623" s="253"/>
      <c r="AK623" s="253"/>
      <c r="AL623" s="253"/>
      <c r="AM623" s="253"/>
      <c r="AN623" s="253"/>
      <c r="AO623" s="253"/>
    </row>
    <row r="624" spans="1:41" ht="15" customHeight="1">
      <c r="A624" s="254">
        <v>624</v>
      </c>
      <c r="B624" s="253">
        <v>608</v>
      </c>
      <c r="C624" s="240" t="s">
        <v>115</v>
      </c>
      <c r="D624" s="288" t="s">
        <v>634</v>
      </c>
      <c r="E624" s="289" t="s">
        <v>848</v>
      </c>
      <c r="F624" s="239" t="s">
        <v>849</v>
      </c>
      <c r="G624" s="290" t="s">
        <v>822</v>
      </c>
      <c r="H624" s="291" t="s">
        <v>155</v>
      </c>
      <c r="I624" s="239" t="s">
        <v>637</v>
      </c>
      <c r="J624" s="424">
        <f t="shared" si="21"/>
        <v>365</v>
      </c>
      <c r="K624" s="425">
        <v>255</v>
      </c>
      <c r="L624" s="425"/>
      <c r="M624" s="425">
        <v>102</v>
      </c>
      <c r="N624" s="425"/>
      <c r="O624" s="425">
        <v>8</v>
      </c>
      <c r="P624" s="425"/>
      <c r="Q624" s="294">
        <v>92.4</v>
      </c>
      <c r="R624" s="295" t="e">
        <f>IF(K624="nio",0,(K624*Q624)/X624)*VLOOKUP(C624,'2-Uren per locatie'!$B$15:$D$74,3,FALSE)</f>
        <v>#DIV/0!</v>
      </c>
      <c r="S624" s="295" t="e">
        <f>IF(K624="nio",0,(L624*Q624)/Y624)*VLOOKUP(C624,'2-Uren per locatie'!$B$15:$D$74,3,FALSE)</f>
        <v>#DIV/0!</v>
      </c>
      <c r="T624" s="295" t="e">
        <f>IF(K624="nio",0,(M624*Q624)/Z624)*VLOOKUP(C624,'2-Uren per locatie'!$B$15:$D$74,3,FALSE)</f>
        <v>#DIV/0!</v>
      </c>
      <c r="U624" s="295" t="e">
        <f>IF(K624="nio",0,(N624*Q624)/AA624)*VLOOKUP(C624,'2-Uren per locatie'!$B$15:$D$74,3,FALSE)</f>
        <v>#DIV/0!</v>
      </c>
      <c r="V624" s="295" t="e">
        <f>IF(K624="nio",0,(O624*Q624)/Z624)*VLOOKUP(C624,'2-Uren per locatie'!$B$15:$D$74,3,FALSE)</f>
        <v>#DIV/0!</v>
      </c>
      <c r="W624" s="295" t="e">
        <f>IF(K624="nio",0,(P624*Q624)/AA624)*VLOOKUP(C624,'2-Uren per locatie'!$B$15:$D$74,3,FALSE)</f>
        <v>#DIV/0!</v>
      </c>
      <c r="X624" s="485">
        <f>IF(K624="nio",0,IF(K624&gt;0,VLOOKUP(H624,'3-Productie normen'!A:F,VLOOKUP(K624,'3-Productie normen'!$B$29:$C$34,2,FALSE),FALSE)))</f>
        <v>0</v>
      </c>
      <c r="Y624" s="485">
        <f>VLOOKUP(H624,'3-Productie normen'!$A$10:$J$24,8,FALSE)*'3-Ruimtestaat'!X624</f>
        <v>0</v>
      </c>
      <c r="Z624" s="485">
        <f>VLOOKUP(H624,'3-Productie normen'!$A$10:$J$24,9,FALSE)*'3-Ruimtestaat'!X624</f>
        <v>0</v>
      </c>
      <c r="AA624" s="485">
        <f>VLOOKUP(H624,'3-Productie normen'!$A$10:$J$24,10,FALSE)*'3-Ruimtestaat'!X624</f>
        <v>0</v>
      </c>
      <c r="AB624" s="292" t="str">
        <f>IF(H624="",0,VLOOKUP(H624,'3-Productie normen'!$A$10:$N$23,14,FALSE))</f>
        <v>V</v>
      </c>
      <c r="AD624" s="296">
        <f t="shared" si="22"/>
        <v>33726</v>
      </c>
      <c r="AE624" s="78"/>
      <c r="AF624" s="253"/>
      <c r="AG624" s="253"/>
      <c r="AH624" s="253"/>
      <c r="AI624" s="253"/>
      <c r="AJ624" s="253"/>
      <c r="AK624" s="253"/>
      <c r="AL624" s="253"/>
      <c r="AM624" s="253"/>
      <c r="AN624" s="253"/>
      <c r="AO624" s="253"/>
    </row>
    <row r="625" spans="1:41" ht="15" customHeight="1">
      <c r="A625" s="254">
        <v>625</v>
      </c>
      <c r="B625" s="253">
        <v>608</v>
      </c>
      <c r="C625" s="240" t="s">
        <v>115</v>
      </c>
      <c r="D625" s="288" t="s">
        <v>634</v>
      </c>
      <c r="E625" s="289" t="s">
        <v>848</v>
      </c>
      <c r="F625" s="239" t="s">
        <v>850</v>
      </c>
      <c r="G625" s="290" t="s">
        <v>682</v>
      </c>
      <c r="H625" s="291" t="s">
        <v>152</v>
      </c>
      <c r="I625" s="239" t="s">
        <v>402</v>
      </c>
      <c r="J625" s="424">
        <f t="shared" si="21"/>
        <v>365</v>
      </c>
      <c r="K625" s="425">
        <v>255</v>
      </c>
      <c r="L625" s="425"/>
      <c r="M625" s="425">
        <v>102</v>
      </c>
      <c r="N625" s="425"/>
      <c r="O625" s="425">
        <v>8</v>
      </c>
      <c r="P625" s="425"/>
      <c r="Q625" s="294">
        <v>38.5</v>
      </c>
      <c r="R625" s="295" t="e">
        <f>IF(K625="nio",0,(K625*Q625)/X625)*VLOOKUP(C625,'2-Uren per locatie'!$B$15:$D$74,3,FALSE)</f>
        <v>#DIV/0!</v>
      </c>
      <c r="S625" s="295" t="e">
        <f>IF(K625="nio",0,(L625*Q625)/Y625)*VLOOKUP(C625,'2-Uren per locatie'!$B$15:$D$74,3,FALSE)</f>
        <v>#DIV/0!</v>
      </c>
      <c r="T625" s="295" t="e">
        <f>IF(K625="nio",0,(M625*Q625)/Z625)*VLOOKUP(C625,'2-Uren per locatie'!$B$15:$D$74,3,FALSE)</f>
        <v>#DIV/0!</v>
      </c>
      <c r="U625" s="295" t="e">
        <f>IF(K625="nio",0,(N625*Q625)/AA625)*VLOOKUP(C625,'2-Uren per locatie'!$B$15:$D$74,3,FALSE)</f>
        <v>#DIV/0!</v>
      </c>
      <c r="V625" s="295" t="e">
        <f>IF(K625="nio",0,(O625*Q625)/Z625)*VLOOKUP(C625,'2-Uren per locatie'!$B$15:$D$74,3,FALSE)</f>
        <v>#DIV/0!</v>
      </c>
      <c r="W625" s="295" t="e">
        <f>IF(K625="nio",0,(P625*Q625)/AA625)*VLOOKUP(C625,'2-Uren per locatie'!$B$15:$D$74,3,FALSE)</f>
        <v>#DIV/0!</v>
      </c>
      <c r="X625" s="485">
        <f>IF(K625="nio",0,IF(K625&gt;0,VLOOKUP(H625,'3-Productie normen'!A:F,VLOOKUP(K625,'3-Productie normen'!$B$29:$C$34,2,FALSE),FALSE)))</f>
        <v>0</v>
      </c>
      <c r="Y625" s="485">
        <f>VLOOKUP(H625,'3-Productie normen'!$A$10:$J$24,8,FALSE)*'3-Ruimtestaat'!X625</f>
        <v>0</v>
      </c>
      <c r="Z625" s="485">
        <f>VLOOKUP(H625,'3-Productie normen'!$A$10:$J$24,9,FALSE)*'3-Ruimtestaat'!X625</f>
        <v>0</v>
      </c>
      <c r="AA625" s="485">
        <f>VLOOKUP(H625,'3-Productie normen'!$A$10:$J$24,10,FALSE)*'3-Ruimtestaat'!X625</f>
        <v>0</v>
      </c>
      <c r="AB625" s="292" t="str">
        <f>IF(H625="",0,VLOOKUP(H625,'3-Productie normen'!$A$10:$N$23,14,FALSE))</f>
        <v>V</v>
      </c>
      <c r="AD625" s="296">
        <f t="shared" si="22"/>
        <v>14052.5</v>
      </c>
      <c r="AE625" s="78"/>
      <c r="AF625" s="253"/>
      <c r="AG625" s="253"/>
      <c r="AH625" s="253"/>
      <c r="AI625" s="253"/>
      <c r="AJ625" s="253"/>
      <c r="AK625" s="253"/>
      <c r="AL625" s="253"/>
      <c r="AM625" s="253"/>
      <c r="AN625" s="253"/>
      <c r="AO625" s="253"/>
    </row>
    <row r="626" spans="1:41" ht="15" customHeight="1">
      <c r="A626" s="254">
        <v>626</v>
      </c>
      <c r="B626" s="253">
        <v>608</v>
      </c>
      <c r="C626" s="240" t="s">
        <v>115</v>
      </c>
      <c r="D626" s="288" t="s">
        <v>634</v>
      </c>
      <c r="E626" s="289" t="s">
        <v>848</v>
      </c>
      <c r="F626" s="239" t="s">
        <v>529</v>
      </c>
      <c r="G626" s="290" t="s">
        <v>668</v>
      </c>
      <c r="H626" s="291" t="s">
        <v>153</v>
      </c>
      <c r="I626" s="239" t="s">
        <v>637</v>
      </c>
      <c r="J626" s="424">
        <f t="shared" si="21"/>
        <v>365</v>
      </c>
      <c r="K626" s="425">
        <v>255</v>
      </c>
      <c r="L626" s="425"/>
      <c r="M626" s="425">
        <v>102</v>
      </c>
      <c r="N626" s="425"/>
      <c r="O626" s="425">
        <v>8</v>
      </c>
      <c r="P626" s="425"/>
      <c r="Q626" s="294">
        <v>4</v>
      </c>
      <c r="R626" s="295" t="e">
        <f>IF(K626="nio",0,(K626*Q626)/X626)*VLOOKUP(C626,'2-Uren per locatie'!$B$15:$D$74,3,FALSE)</f>
        <v>#DIV/0!</v>
      </c>
      <c r="S626" s="295" t="e">
        <f>IF(K626="nio",0,(L626*Q626)/Y626)*VLOOKUP(C626,'2-Uren per locatie'!$B$15:$D$74,3,FALSE)</f>
        <v>#DIV/0!</v>
      </c>
      <c r="T626" s="295" t="e">
        <f>IF(K626="nio",0,(M626*Q626)/Z626)*VLOOKUP(C626,'2-Uren per locatie'!$B$15:$D$74,3,FALSE)</f>
        <v>#DIV/0!</v>
      </c>
      <c r="U626" s="295" t="e">
        <f>IF(K626="nio",0,(N626*Q626)/AA626)*VLOOKUP(C626,'2-Uren per locatie'!$B$15:$D$74,3,FALSE)</f>
        <v>#DIV/0!</v>
      </c>
      <c r="V626" s="295" t="e">
        <f>IF(K626="nio",0,(O626*Q626)/Z626)*VLOOKUP(C626,'2-Uren per locatie'!$B$15:$D$74,3,FALSE)</f>
        <v>#DIV/0!</v>
      </c>
      <c r="W626" s="295" t="e">
        <f>IF(K626="nio",0,(P626*Q626)/AA626)*VLOOKUP(C626,'2-Uren per locatie'!$B$15:$D$74,3,FALSE)</f>
        <v>#DIV/0!</v>
      </c>
      <c r="X626" s="485">
        <f>IF(K626="nio",0,IF(K626&gt;0,VLOOKUP(H626,'3-Productie normen'!A:F,VLOOKUP(K626,'3-Productie normen'!$B$29:$C$34,2,FALSE),FALSE)))</f>
        <v>0</v>
      </c>
      <c r="Y626" s="485">
        <f>VLOOKUP(H626,'3-Productie normen'!$A$10:$J$24,8,FALSE)*'3-Ruimtestaat'!X626</f>
        <v>0</v>
      </c>
      <c r="Z626" s="485">
        <f>VLOOKUP(H626,'3-Productie normen'!$A$10:$J$24,9,FALSE)*'3-Ruimtestaat'!X626</f>
        <v>0</v>
      </c>
      <c r="AA626" s="485">
        <f>VLOOKUP(H626,'3-Productie normen'!$A$10:$J$24,10,FALSE)*'3-Ruimtestaat'!X626</f>
        <v>0</v>
      </c>
      <c r="AB626" s="292" t="str">
        <f>IF(H626="",0,VLOOKUP(H626,'3-Productie normen'!$A$10:$N$23,14,FALSE))</f>
        <v>S</v>
      </c>
      <c r="AD626" s="296">
        <f t="shared" si="22"/>
        <v>1460</v>
      </c>
      <c r="AE626" s="78"/>
      <c r="AF626" s="253"/>
      <c r="AG626" s="253"/>
      <c r="AH626" s="253"/>
      <c r="AI626" s="253"/>
      <c r="AJ626" s="253"/>
      <c r="AK626" s="253"/>
      <c r="AL626" s="253"/>
      <c r="AM626" s="253"/>
      <c r="AN626" s="253"/>
      <c r="AO626" s="253"/>
    </row>
    <row r="627" spans="1:41" ht="15" customHeight="1">
      <c r="A627" s="254">
        <v>627</v>
      </c>
      <c r="B627" s="253">
        <v>608</v>
      </c>
      <c r="C627" s="240" t="s">
        <v>115</v>
      </c>
      <c r="D627" s="288" t="s">
        <v>634</v>
      </c>
      <c r="E627" s="289" t="s">
        <v>820</v>
      </c>
      <c r="F627" s="239" t="s">
        <v>210</v>
      </c>
      <c r="G627" s="290" t="s">
        <v>851</v>
      </c>
      <c r="H627" s="291" t="s">
        <v>145</v>
      </c>
      <c r="I627" s="239" t="s">
        <v>637</v>
      </c>
      <c r="J627" s="424">
        <f t="shared" si="21"/>
        <v>365</v>
      </c>
      <c r="K627" s="425">
        <v>255</v>
      </c>
      <c r="L627" s="425"/>
      <c r="M627" s="425">
        <v>102</v>
      </c>
      <c r="N627" s="425"/>
      <c r="O627" s="425">
        <v>8</v>
      </c>
      <c r="P627" s="425"/>
      <c r="Q627" s="294">
        <v>1750</v>
      </c>
      <c r="R627" s="295" t="e">
        <f>IF(K627="nio",0,(K627*Q627)/X627)*VLOOKUP(C627,'2-Uren per locatie'!$B$15:$D$74,3,FALSE)</f>
        <v>#DIV/0!</v>
      </c>
      <c r="S627" s="295" t="e">
        <f>IF(K627="nio",0,(L627*Q627)/Y627)*VLOOKUP(C627,'2-Uren per locatie'!$B$15:$D$74,3,FALSE)</f>
        <v>#DIV/0!</v>
      </c>
      <c r="T627" s="295" t="e">
        <f>IF(K627="nio",0,(M627*Q627)/Z627)*VLOOKUP(C627,'2-Uren per locatie'!$B$15:$D$74,3,FALSE)</f>
        <v>#DIV/0!</v>
      </c>
      <c r="U627" s="295" t="e">
        <f>IF(K627="nio",0,(N627*Q627)/AA627)*VLOOKUP(C627,'2-Uren per locatie'!$B$15:$D$74,3,FALSE)</f>
        <v>#DIV/0!</v>
      </c>
      <c r="V627" s="295" t="e">
        <f>IF(K627="nio",0,(O627*Q627)/Z627)*VLOOKUP(C627,'2-Uren per locatie'!$B$15:$D$74,3,FALSE)</f>
        <v>#DIV/0!</v>
      </c>
      <c r="W627" s="295" t="e">
        <f>IF(K627="nio",0,(P627*Q627)/AA627)*VLOOKUP(C627,'2-Uren per locatie'!$B$15:$D$74,3,FALSE)</f>
        <v>#DIV/0!</v>
      </c>
      <c r="X627" s="485">
        <f>IF(K627="nio",0,IF(K627&gt;0,VLOOKUP(H627,'3-Productie normen'!A:F,VLOOKUP(K627,'3-Productie normen'!$B$29:$C$34,2,FALSE),FALSE)))</f>
        <v>0</v>
      </c>
      <c r="Y627" s="485">
        <f>VLOOKUP(H627,'3-Productie normen'!$A$10:$J$24,8,FALSE)*'3-Ruimtestaat'!X627</f>
        <v>0</v>
      </c>
      <c r="Z627" s="485">
        <f>VLOOKUP(H627,'3-Productie normen'!$A$10:$J$24,9,FALSE)*'3-Ruimtestaat'!X627</f>
        <v>0</v>
      </c>
      <c r="AA627" s="485">
        <f>VLOOKUP(H627,'3-Productie normen'!$A$10:$J$24,10,FALSE)*'3-Ruimtestaat'!X627</f>
        <v>0</v>
      </c>
      <c r="AB627" s="292" t="str">
        <f>IF(H627="",0,VLOOKUP(H627,'3-Productie normen'!$A$10:$N$23,14,FALSE))</f>
        <v>V</v>
      </c>
      <c r="AD627" s="296">
        <f t="shared" si="22"/>
        <v>638750</v>
      </c>
      <c r="AE627" s="78"/>
      <c r="AF627" s="253"/>
      <c r="AG627" s="253"/>
      <c r="AH627" s="253"/>
      <c r="AI627" s="253"/>
      <c r="AJ627" s="253"/>
      <c r="AK627" s="253"/>
      <c r="AL627" s="253"/>
      <c r="AM627" s="253"/>
      <c r="AN627" s="253"/>
      <c r="AO627" s="253"/>
    </row>
    <row r="628" spans="1:41" ht="15" customHeight="1">
      <c r="A628" s="254">
        <v>628</v>
      </c>
      <c r="B628" s="253">
        <v>608</v>
      </c>
      <c r="C628" s="240" t="s">
        <v>115</v>
      </c>
      <c r="D628" s="288" t="s">
        <v>634</v>
      </c>
      <c r="E628" s="289" t="s">
        <v>820</v>
      </c>
      <c r="F628" s="239" t="s">
        <v>852</v>
      </c>
      <c r="G628" s="290" t="s">
        <v>853</v>
      </c>
      <c r="H628" s="291" t="s">
        <v>152</v>
      </c>
      <c r="I628" s="239" t="s">
        <v>402</v>
      </c>
      <c r="J628" s="424">
        <f t="shared" si="21"/>
        <v>365</v>
      </c>
      <c r="K628" s="425">
        <v>255</v>
      </c>
      <c r="L628" s="425"/>
      <c r="M628" s="425">
        <v>102</v>
      </c>
      <c r="N628" s="425"/>
      <c r="O628" s="425">
        <v>8</v>
      </c>
      <c r="P628" s="425"/>
      <c r="Q628" s="294">
        <v>52.5</v>
      </c>
      <c r="R628" s="295" t="e">
        <f>IF(K628="nio",0,(K628*Q628)/X628)*VLOOKUP(C628,'2-Uren per locatie'!$B$15:$D$74,3,FALSE)</f>
        <v>#DIV/0!</v>
      </c>
      <c r="S628" s="295" t="e">
        <f>IF(K628="nio",0,(L628*Q628)/Y628)*VLOOKUP(C628,'2-Uren per locatie'!$B$15:$D$74,3,FALSE)</f>
        <v>#DIV/0!</v>
      </c>
      <c r="T628" s="295" t="e">
        <f>IF(K628="nio",0,(M628*Q628)/Z628)*VLOOKUP(C628,'2-Uren per locatie'!$B$15:$D$74,3,FALSE)</f>
        <v>#DIV/0!</v>
      </c>
      <c r="U628" s="295" t="e">
        <f>IF(K628="nio",0,(N628*Q628)/AA628)*VLOOKUP(C628,'2-Uren per locatie'!$B$15:$D$74,3,FALSE)</f>
        <v>#DIV/0!</v>
      </c>
      <c r="V628" s="295" t="e">
        <f>IF(K628="nio",0,(O628*Q628)/Z628)*VLOOKUP(C628,'2-Uren per locatie'!$B$15:$D$74,3,FALSE)</f>
        <v>#DIV/0!</v>
      </c>
      <c r="W628" s="295" t="e">
        <f>IF(K628="nio",0,(P628*Q628)/AA628)*VLOOKUP(C628,'2-Uren per locatie'!$B$15:$D$74,3,FALSE)</f>
        <v>#DIV/0!</v>
      </c>
      <c r="X628" s="485">
        <f>IF(K628="nio",0,IF(K628&gt;0,VLOOKUP(H628,'3-Productie normen'!A:F,VLOOKUP(K628,'3-Productie normen'!$B$29:$C$34,2,FALSE),FALSE)))</f>
        <v>0</v>
      </c>
      <c r="Y628" s="485">
        <f>VLOOKUP(H628,'3-Productie normen'!$A$10:$J$24,8,FALSE)*'3-Ruimtestaat'!X628</f>
        <v>0</v>
      </c>
      <c r="Z628" s="485">
        <f>VLOOKUP(H628,'3-Productie normen'!$A$10:$J$24,9,FALSE)*'3-Ruimtestaat'!X628</f>
        <v>0</v>
      </c>
      <c r="AA628" s="485">
        <f>VLOOKUP(H628,'3-Productie normen'!$A$10:$J$24,10,FALSE)*'3-Ruimtestaat'!X628</f>
        <v>0</v>
      </c>
      <c r="AB628" s="292" t="str">
        <f>IF(H628="",0,VLOOKUP(H628,'3-Productie normen'!$A$10:$N$23,14,FALSE))</f>
        <v>V</v>
      </c>
      <c r="AD628" s="296">
        <f t="shared" si="22"/>
        <v>19162.5</v>
      </c>
      <c r="AE628" s="78"/>
      <c r="AF628" s="253"/>
      <c r="AG628" s="253"/>
      <c r="AH628" s="253"/>
      <c r="AI628" s="253"/>
      <c r="AJ628" s="253"/>
      <c r="AK628" s="253"/>
      <c r="AL628" s="253"/>
      <c r="AM628" s="253"/>
      <c r="AN628" s="253"/>
      <c r="AO628" s="253"/>
    </row>
    <row r="629" spans="1:41" ht="15" customHeight="1">
      <c r="A629" s="254">
        <v>629</v>
      </c>
      <c r="B629" s="253">
        <v>608</v>
      </c>
      <c r="C629" s="240" t="s">
        <v>115</v>
      </c>
      <c r="D629" s="288" t="s">
        <v>634</v>
      </c>
      <c r="E629" s="289" t="s">
        <v>820</v>
      </c>
      <c r="F629" s="239" t="s">
        <v>854</v>
      </c>
      <c r="G629" s="290" t="s">
        <v>855</v>
      </c>
      <c r="H629" s="291" t="s">
        <v>155</v>
      </c>
      <c r="I629" s="239" t="s">
        <v>402</v>
      </c>
      <c r="J629" s="424">
        <f t="shared" si="21"/>
        <v>365</v>
      </c>
      <c r="K629" s="425">
        <v>255</v>
      </c>
      <c r="L629" s="425"/>
      <c r="M629" s="425">
        <v>102</v>
      </c>
      <c r="N629" s="425"/>
      <c r="O629" s="425">
        <v>8</v>
      </c>
      <c r="P629" s="425"/>
      <c r="Q629" s="294">
        <v>120</v>
      </c>
      <c r="R629" s="295" t="e">
        <f>IF(K629="nio",0,(K629*Q629)/X629)*VLOOKUP(C629,'2-Uren per locatie'!$B$15:$D$74,3,FALSE)</f>
        <v>#DIV/0!</v>
      </c>
      <c r="S629" s="295" t="e">
        <f>IF(K629="nio",0,(L629*Q629)/Y629)*VLOOKUP(C629,'2-Uren per locatie'!$B$15:$D$74,3,FALSE)</f>
        <v>#DIV/0!</v>
      </c>
      <c r="T629" s="295" t="e">
        <f>IF(K629="nio",0,(M629*Q629)/Z629)*VLOOKUP(C629,'2-Uren per locatie'!$B$15:$D$74,3,FALSE)</f>
        <v>#DIV/0!</v>
      </c>
      <c r="U629" s="295" t="e">
        <f>IF(K629="nio",0,(N629*Q629)/AA629)*VLOOKUP(C629,'2-Uren per locatie'!$B$15:$D$74,3,FALSE)</f>
        <v>#DIV/0!</v>
      </c>
      <c r="V629" s="295" t="e">
        <f>IF(K629="nio",0,(O629*Q629)/Z629)*VLOOKUP(C629,'2-Uren per locatie'!$B$15:$D$74,3,FALSE)</f>
        <v>#DIV/0!</v>
      </c>
      <c r="W629" s="295" t="e">
        <f>IF(K629="nio",0,(P629*Q629)/AA629)*VLOOKUP(C629,'2-Uren per locatie'!$B$15:$D$74,3,FALSE)</f>
        <v>#DIV/0!</v>
      </c>
      <c r="X629" s="485">
        <f>IF(K629="nio",0,IF(K629&gt;0,VLOOKUP(H629,'3-Productie normen'!A:F,VLOOKUP(K629,'3-Productie normen'!$B$29:$C$34,2,FALSE),FALSE)))</f>
        <v>0</v>
      </c>
      <c r="Y629" s="485">
        <f>VLOOKUP(H629,'3-Productie normen'!$A$10:$J$24,8,FALSE)*'3-Ruimtestaat'!X629</f>
        <v>0</v>
      </c>
      <c r="Z629" s="485">
        <f>VLOOKUP(H629,'3-Productie normen'!$A$10:$J$24,9,FALSE)*'3-Ruimtestaat'!X629</f>
        <v>0</v>
      </c>
      <c r="AA629" s="485">
        <f>VLOOKUP(H629,'3-Productie normen'!$A$10:$J$24,10,FALSE)*'3-Ruimtestaat'!X629</f>
        <v>0</v>
      </c>
      <c r="AB629" s="292" t="str">
        <f>IF(H629="",0,VLOOKUP(H629,'3-Productie normen'!$A$10:$N$23,14,FALSE))</f>
        <v>V</v>
      </c>
      <c r="AD629" s="296">
        <f t="shared" si="22"/>
        <v>43800</v>
      </c>
      <c r="AE629" s="78"/>
      <c r="AF629" s="253"/>
      <c r="AG629" s="253"/>
      <c r="AH629" s="253"/>
      <c r="AI629" s="253"/>
      <c r="AJ629" s="253"/>
      <c r="AK629" s="253"/>
      <c r="AL629" s="253"/>
      <c r="AM629" s="253"/>
      <c r="AN629" s="253"/>
      <c r="AO629" s="253"/>
    </row>
    <row r="630" spans="1:41" ht="15" customHeight="1">
      <c r="A630" s="254">
        <v>630</v>
      </c>
      <c r="B630" s="253">
        <v>608</v>
      </c>
      <c r="C630" s="240" t="s">
        <v>115</v>
      </c>
      <c r="D630" s="288" t="s">
        <v>634</v>
      </c>
      <c r="E630" s="289" t="s">
        <v>820</v>
      </c>
      <c r="F630" s="239" t="s">
        <v>450</v>
      </c>
      <c r="G630" s="290" t="s">
        <v>856</v>
      </c>
      <c r="H630" s="291" t="s">
        <v>150</v>
      </c>
      <c r="I630" s="239" t="s">
        <v>637</v>
      </c>
      <c r="J630" s="424">
        <f t="shared" si="21"/>
        <v>365</v>
      </c>
      <c r="K630" s="425">
        <v>255</v>
      </c>
      <c r="L630" s="425"/>
      <c r="M630" s="425">
        <v>102</v>
      </c>
      <c r="N630" s="425"/>
      <c r="O630" s="425">
        <v>8</v>
      </c>
      <c r="P630" s="425"/>
      <c r="Q630" s="294">
        <v>73</v>
      </c>
      <c r="R630" s="295" t="e">
        <f>IF(K630="nio",0,(K630*Q630)/X630)*VLOOKUP(C630,'2-Uren per locatie'!$B$15:$D$74,3,FALSE)</f>
        <v>#DIV/0!</v>
      </c>
      <c r="S630" s="295" t="e">
        <f>IF(K630="nio",0,(L630*Q630)/Y630)*VLOOKUP(C630,'2-Uren per locatie'!$B$15:$D$74,3,FALSE)</f>
        <v>#DIV/0!</v>
      </c>
      <c r="T630" s="295" t="e">
        <f>IF(K630="nio",0,(M630*Q630)/Z630)*VLOOKUP(C630,'2-Uren per locatie'!$B$15:$D$74,3,FALSE)</f>
        <v>#DIV/0!</v>
      </c>
      <c r="U630" s="295" t="e">
        <f>IF(K630="nio",0,(N630*Q630)/AA630)*VLOOKUP(C630,'2-Uren per locatie'!$B$15:$D$74,3,FALSE)</f>
        <v>#DIV/0!</v>
      </c>
      <c r="V630" s="295" t="e">
        <f>IF(K630="nio",0,(O630*Q630)/Z630)*VLOOKUP(C630,'2-Uren per locatie'!$B$15:$D$74,3,FALSE)</f>
        <v>#DIV/0!</v>
      </c>
      <c r="W630" s="295" t="e">
        <f>IF(K630="nio",0,(P630*Q630)/AA630)*VLOOKUP(C630,'2-Uren per locatie'!$B$15:$D$74,3,FALSE)</f>
        <v>#DIV/0!</v>
      </c>
      <c r="X630" s="485">
        <f>IF(K630="nio",0,IF(K630&gt;0,VLOOKUP(H630,'3-Productie normen'!A:F,VLOOKUP(K630,'3-Productie normen'!$B$29:$C$34,2,FALSE),FALSE)))</f>
        <v>0</v>
      </c>
      <c r="Y630" s="485">
        <f>VLOOKUP(H630,'3-Productie normen'!$A$10:$J$24,8,FALSE)*'3-Ruimtestaat'!X630</f>
        <v>0</v>
      </c>
      <c r="Z630" s="485">
        <f>VLOOKUP(H630,'3-Productie normen'!$A$10:$J$24,9,FALSE)*'3-Ruimtestaat'!X630</f>
        <v>0</v>
      </c>
      <c r="AA630" s="485">
        <f>VLOOKUP(H630,'3-Productie normen'!$A$10:$J$24,10,FALSE)*'3-Ruimtestaat'!X630</f>
        <v>0</v>
      </c>
      <c r="AB630" s="292" t="str">
        <f>IF(H630="",0,VLOOKUP(H630,'3-Productie normen'!$A$10:$N$23,14,FALSE))</f>
        <v>V</v>
      </c>
      <c r="AD630" s="296">
        <f t="shared" si="22"/>
        <v>26645</v>
      </c>
      <c r="AE630" s="78"/>
      <c r="AF630" s="253"/>
      <c r="AG630" s="253"/>
      <c r="AH630" s="253"/>
      <c r="AI630" s="253"/>
      <c r="AJ630" s="253"/>
      <c r="AK630" s="253"/>
      <c r="AL630" s="253"/>
      <c r="AM630" s="253"/>
      <c r="AN630" s="253"/>
      <c r="AO630" s="253"/>
    </row>
    <row r="631" spans="1:41" ht="15" customHeight="1">
      <c r="A631" s="254">
        <v>631</v>
      </c>
      <c r="B631" s="253">
        <v>608</v>
      </c>
      <c r="C631" s="240" t="s">
        <v>115</v>
      </c>
      <c r="D631" s="288" t="s">
        <v>634</v>
      </c>
      <c r="E631" s="289" t="s">
        <v>820</v>
      </c>
      <c r="F631" s="239" t="s">
        <v>309</v>
      </c>
      <c r="G631" s="290" t="s">
        <v>856</v>
      </c>
      <c r="H631" s="291" t="s">
        <v>146</v>
      </c>
      <c r="I631" s="239" t="s">
        <v>637</v>
      </c>
      <c r="J631" s="424">
        <f t="shared" si="21"/>
        <v>183</v>
      </c>
      <c r="K631" s="425">
        <v>127</v>
      </c>
      <c r="L631" s="425"/>
      <c r="M631" s="425">
        <v>52</v>
      </c>
      <c r="N631" s="425"/>
      <c r="O631" s="425">
        <v>4</v>
      </c>
      <c r="P631" s="425"/>
      <c r="Q631" s="294">
        <v>73</v>
      </c>
      <c r="R631" s="295" t="e">
        <f>IF(K631="nio",0,(K631*Q631)/X631)*VLOOKUP(C631,'2-Uren per locatie'!$B$15:$D$74,3,FALSE)</f>
        <v>#DIV/0!</v>
      </c>
      <c r="S631" s="295" t="e">
        <f>IF(K631="nio",0,(L631*Q631)/Y631)*VLOOKUP(C631,'2-Uren per locatie'!$B$15:$D$74,3,FALSE)</f>
        <v>#DIV/0!</v>
      </c>
      <c r="T631" s="295" t="e">
        <f>IF(K631="nio",0,(M631*Q631)/Z631)*VLOOKUP(C631,'2-Uren per locatie'!$B$15:$D$74,3,FALSE)</f>
        <v>#DIV/0!</v>
      </c>
      <c r="U631" s="295" t="e">
        <f>IF(K631="nio",0,(N631*Q631)/AA631)*VLOOKUP(C631,'2-Uren per locatie'!$B$15:$D$74,3,FALSE)</f>
        <v>#DIV/0!</v>
      </c>
      <c r="V631" s="295" t="e">
        <f>IF(K631="nio",0,(O631*Q631)/Z631)*VLOOKUP(C631,'2-Uren per locatie'!$B$15:$D$74,3,FALSE)</f>
        <v>#DIV/0!</v>
      </c>
      <c r="W631" s="295" t="e">
        <f>IF(K631="nio",0,(P631*Q631)/AA631)*VLOOKUP(C631,'2-Uren per locatie'!$B$15:$D$74,3,FALSE)</f>
        <v>#DIV/0!</v>
      </c>
      <c r="X631" s="485">
        <f>IF(K631="nio",0,IF(K631&gt;0,VLOOKUP(H631,'3-Productie normen'!A:F,VLOOKUP(K631,'3-Productie normen'!$B$29:$C$34,2,FALSE),FALSE)))</f>
        <v>0</v>
      </c>
      <c r="Y631" s="485">
        <f>VLOOKUP(H631,'3-Productie normen'!$A$10:$J$24,8,FALSE)*'3-Ruimtestaat'!X631</f>
        <v>0</v>
      </c>
      <c r="Z631" s="485">
        <f>VLOOKUP(H631,'3-Productie normen'!$A$10:$J$24,9,FALSE)*'3-Ruimtestaat'!X631</f>
        <v>0</v>
      </c>
      <c r="AA631" s="485">
        <f>VLOOKUP(H631,'3-Productie normen'!$A$10:$J$24,10,FALSE)*'3-Ruimtestaat'!X631</f>
        <v>0</v>
      </c>
      <c r="AB631" s="292" t="str">
        <f>IF(H631="",0,VLOOKUP(H631,'3-Productie normen'!$A$10:$N$23,14,FALSE))</f>
        <v>B</v>
      </c>
      <c r="AD631" s="296">
        <f t="shared" si="22"/>
        <v>13359</v>
      </c>
      <c r="AE631" s="78"/>
      <c r="AF631" s="253"/>
      <c r="AG631" s="253"/>
      <c r="AH631" s="253"/>
      <c r="AI631" s="253"/>
      <c r="AJ631" s="253"/>
      <c r="AK631" s="253"/>
      <c r="AL631" s="253"/>
      <c r="AM631" s="253"/>
      <c r="AN631" s="253"/>
      <c r="AO631" s="253"/>
    </row>
    <row r="632" spans="1:41" ht="15" customHeight="1">
      <c r="A632" s="254">
        <v>632</v>
      </c>
      <c r="B632" s="253">
        <v>608</v>
      </c>
      <c r="C632" s="240" t="s">
        <v>115</v>
      </c>
      <c r="D632" s="288" t="s">
        <v>634</v>
      </c>
      <c r="E632" s="289" t="s">
        <v>820</v>
      </c>
      <c r="F632" s="239" t="s">
        <v>857</v>
      </c>
      <c r="G632" s="290" t="s">
        <v>856</v>
      </c>
      <c r="H632" s="291" t="s">
        <v>146</v>
      </c>
      <c r="I632" s="239" t="s">
        <v>637</v>
      </c>
      <c r="J632" s="424">
        <f t="shared" si="21"/>
        <v>183</v>
      </c>
      <c r="K632" s="425">
        <v>127</v>
      </c>
      <c r="L632" s="425"/>
      <c r="M632" s="425">
        <v>52</v>
      </c>
      <c r="N632" s="425"/>
      <c r="O632" s="425">
        <v>4</v>
      </c>
      <c r="P632" s="425"/>
      <c r="Q632" s="294">
        <v>73</v>
      </c>
      <c r="R632" s="295" t="e">
        <f>IF(K632="nio",0,(K632*Q632)/X632)*VLOOKUP(C632,'2-Uren per locatie'!$B$15:$D$74,3,FALSE)</f>
        <v>#DIV/0!</v>
      </c>
      <c r="S632" s="295" t="e">
        <f>IF(K632="nio",0,(L632*Q632)/Y632)*VLOOKUP(C632,'2-Uren per locatie'!$B$15:$D$74,3,FALSE)</f>
        <v>#DIV/0!</v>
      </c>
      <c r="T632" s="295" t="e">
        <f>IF(K632="nio",0,(M632*Q632)/Z632)*VLOOKUP(C632,'2-Uren per locatie'!$B$15:$D$74,3,FALSE)</f>
        <v>#DIV/0!</v>
      </c>
      <c r="U632" s="295" t="e">
        <f>IF(K632="nio",0,(N632*Q632)/AA632)*VLOOKUP(C632,'2-Uren per locatie'!$B$15:$D$74,3,FALSE)</f>
        <v>#DIV/0!</v>
      </c>
      <c r="V632" s="295" t="e">
        <f>IF(K632="nio",0,(O632*Q632)/Z632)*VLOOKUP(C632,'2-Uren per locatie'!$B$15:$D$74,3,FALSE)</f>
        <v>#DIV/0!</v>
      </c>
      <c r="W632" s="295" t="e">
        <f>IF(K632="nio",0,(P632*Q632)/AA632)*VLOOKUP(C632,'2-Uren per locatie'!$B$15:$D$74,3,FALSE)</f>
        <v>#DIV/0!</v>
      </c>
      <c r="X632" s="485">
        <f>IF(K632="nio",0,IF(K632&gt;0,VLOOKUP(H632,'3-Productie normen'!A:F,VLOOKUP(K632,'3-Productie normen'!$B$29:$C$34,2,FALSE),FALSE)))</f>
        <v>0</v>
      </c>
      <c r="Y632" s="485">
        <f>VLOOKUP(H632,'3-Productie normen'!$A$10:$J$24,8,FALSE)*'3-Ruimtestaat'!X632</f>
        <v>0</v>
      </c>
      <c r="Z632" s="485">
        <f>VLOOKUP(H632,'3-Productie normen'!$A$10:$J$24,9,FALSE)*'3-Ruimtestaat'!X632</f>
        <v>0</v>
      </c>
      <c r="AA632" s="485">
        <f>VLOOKUP(H632,'3-Productie normen'!$A$10:$J$24,10,FALSE)*'3-Ruimtestaat'!X632</f>
        <v>0</v>
      </c>
      <c r="AB632" s="292" t="str">
        <f>IF(H632="",0,VLOOKUP(H632,'3-Productie normen'!$A$10:$N$23,14,FALSE))</f>
        <v>B</v>
      </c>
      <c r="AD632" s="296">
        <f t="shared" si="22"/>
        <v>13359</v>
      </c>
      <c r="AE632" s="78"/>
      <c r="AF632" s="253"/>
      <c r="AG632" s="253"/>
      <c r="AH632" s="253"/>
      <c r="AI632" s="253"/>
      <c r="AJ632" s="253"/>
      <c r="AK632" s="253"/>
      <c r="AL632" s="253"/>
      <c r="AM632" s="253"/>
      <c r="AN632" s="253"/>
      <c r="AO632" s="253"/>
    </row>
    <row r="633" spans="1:41" ht="15" customHeight="1">
      <c r="A633" s="254">
        <v>633</v>
      </c>
      <c r="B633" s="253">
        <v>608</v>
      </c>
      <c r="C633" s="240" t="s">
        <v>115</v>
      </c>
      <c r="D633" s="288" t="s">
        <v>634</v>
      </c>
      <c r="E633" s="289" t="s">
        <v>820</v>
      </c>
      <c r="F633" s="239" t="s">
        <v>858</v>
      </c>
      <c r="G633" s="290" t="s">
        <v>859</v>
      </c>
      <c r="H633" s="291" t="s">
        <v>150</v>
      </c>
      <c r="I633" s="239" t="s">
        <v>637</v>
      </c>
      <c r="J633" s="424">
        <f t="shared" si="21"/>
        <v>365</v>
      </c>
      <c r="K633" s="425">
        <v>255</v>
      </c>
      <c r="L633" s="425"/>
      <c r="M633" s="425">
        <v>102</v>
      </c>
      <c r="N633" s="425"/>
      <c r="O633" s="425">
        <v>8</v>
      </c>
      <c r="P633" s="425"/>
      <c r="Q633" s="294">
        <v>51</v>
      </c>
      <c r="R633" s="295" t="e">
        <f>IF(K633="nio",0,(K633*Q633)/X633)*VLOOKUP(C633,'2-Uren per locatie'!$B$15:$D$74,3,FALSE)</f>
        <v>#DIV/0!</v>
      </c>
      <c r="S633" s="295" t="e">
        <f>IF(K633="nio",0,(L633*Q633)/Y633)*VLOOKUP(C633,'2-Uren per locatie'!$B$15:$D$74,3,FALSE)</f>
        <v>#DIV/0!</v>
      </c>
      <c r="T633" s="295" t="e">
        <f>IF(K633="nio",0,(M633*Q633)/Z633)*VLOOKUP(C633,'2-Uren per locatie'!$B$15:$D$74,3,FALSE)</f>
        <v>#DIV/0!</v>
      </c>
      <c r="U633" s="295" t="e">
        <f>IF(K633="nio",0,(N633*Q633)/AA633)*VLOOKUP(C633,'2-Uren per locatie'!$B$15:$D$74,3,FALSE)</f>
        <v>#DIV/0!</v>
      </c>
      <c r="V633" s="295" t="e">
        <f>IF(K633="nio",0,(O633*Q633)/Z633)*VLOOKUP(C633,'2-Uren per locatie'!$B$15:$D$74,3,FALSE)</f>
        <v>#DIV/0!</v>
      </c>
      <c r="W633" s="295" t="e">
        <f>IF(K633="nio",0,(P633*Q633)/AA633)*VLOOKUP(C633,'2-Uren per locatie'!$B$15:$D$74,3,FALSE)</f>
        <v>#DIV/0!</v>
      </c>
      <c r="X633" s="485">
        <f>IF(K633="nio",0,IF(K633&gt;0,VLOOKUP(H633,'3-Productie normen'!A:F,VLOOKUP(K633,'3-Productie normen'!$B$29:$C$34,2,FALSE),FALSE)))</f>
        <v>0</v>
      </c>
      <c r="Y633" s="485">
        <f>VLOOKUP(H633,'3-Productie normen'!$A$10:$J$24,8,FALSE)*'3-Ruimtestaat'!X633</f>
        <v>0</v>
      </c>
      <c r="Z633" s="485">
        <f>VLOOKUP(H633,'3-Productie normen'!$A$10:$J$24,9,FALSE)*'3-Ruimtestaat'!X633</f>
        <v>0</v>
      </c>
      <c r="AA633" s="485">
        <f>VLOOKUP(H633,'3-Productie normen'!$A$10:$J$24,10,FALSE)*'3-Ruimtestaat'!X633</f>
        <v>0</v>
      </c>
      <c r="AB633" s="292" t="str">
        <f>IF(H633="",0,VLOOKUP(H633,'3-Productie normen'!$A$10:$N$23,14,FALSE))</f>
        <v>V</v>
      </c>
      <c r="AD633" s="296">
        <f t="shared" si="22"/>
        <v>18615</v>
      </c>
      <c r="AE633" s="78"/>
      <c r="AF633" s="253"/>
      <c r="AG633" s="253"/>
      <c r="AH633" s="253"/>
      <c r="AI633" s="253"/>
      <c r="AJ633" s="253"/>
      <c r="AK633" s="253"/>
      <c r="AL633" s="253"/>
      <c r="AM633" s="253"/>
      <c r="AN633" s="253"/>
      <c r="AO633" s="253"/>
    </row>
    <row r="634" spans="1:41" ht="15" customHeight="1">
      <c r="A634" s="254">
        <v>634</v>
      </c>
      <c r="B634" s="253">
        <v>608</v>
      </c>
      <c r="C634" s="240" t="s">
        <v>115</v>
      </c>
      <c r="D634" s="288" t="s">
        <v>634</v>
      </c>
      <c r="E634" s="289" t="s">
        <v>820</v>
      </c>
      <c r="F634" s="239" t="s">
        <v>833</v>
      </c>
      <c r="G634" s="290" t="s">
        <v>860</v>
      </c>
      <c r="H634" s="291" t="s">
        <v>153</v>
      </c>
      <c r="I634" s="239" t="s">
        <v>637</v>
      </c>
      <c r="J634" s="424">
        <f t="shared" si="21"/>
        <v>365</v>
      </c>
      <c r="K634" s="425">
        <v>255</v>
      </c>
      <c r="L634" s="425"/>
      <c r="M634" s="425">
        <v>102</v>
      </c>
      <c r="N634" s="425"/>
      <c r="O634" s="425">
        <v>8</v>
      </c>
      <c r="P634" s="425"/>
      <c r="Q634" s="294">
        <v>10</v>
      </c>
      <c r="R634" s="295" t="e">
        <f>IF(K634="nio",0,(K634*Q634)/X634)*VLOOKUP(C634,'2-Uren per locatie'!$B$15:$D$74,3,FALSE)</f>
        <v>#DIV/0!</v>
      </c>
      <c r="S634" s="295" t="e">
        <f>IF(K634="nio",0,(L634*Q634)/Y634)*VLOOKUP(C634,'2-Uren per locatie'!$B$15:$D$74,3,FALSE)</f>
        <v>#DIV/0!</v>
      </c>
      <c r="T634" s="295" t="e">
        <f>IF(K634="nio",0,(M634*Q634)/Z634)*VLOOKUP(C634,'2-Uren per locatie'!$B$15:$D$74,3,FALSE)</f>
        <v>#DIV/0!</v>
      </c>
      <c r="U634" s="295" t="e">
        <f>IF(K634="nio",0,(N634*Q634)/AA634)*VLOOKUP(C634,'2-Uren per locatie'!$B$15:$D$74,3,FALSE)</f>
        <v>#DIV/0!</v>
      </c>
      <c r="V634" s="295" t="e">
        <f>IF(K634="nio",0,(O634*Q634)/Z634)*VLOOKUP(C634,'2-Uren per locatie'!$B$15:$D$74,3,FALSE)</f>
        <v>#DIV/0!</v>
      </c>
      <c r="W634" s="295" t="e">
        <f>IF(K634="nio",0,(P634*Q634)/AA634)*VLOOKUP(C634,'2-Uren per locatie'!$B$15:$D$74,3,FALSE)</f>
        <v>#DIV/0!</v>
      </c>
      <c r="X634" s="485">
        <f>IF(K634="nio",0,IF(K634&gt;0,VLOOKUP(H634,'3-Productie normen'!A:F,VLOOKUP(K634,'3-Productie normen'!$B$29:$C$34,2,FALSE),FALSE)))</f>
        <v>0</v>
      </c>
      <c r="Y634" s="485">
        <f>VLOOKUP(H634,'3-Productie normen'!$A$10:$J$24,8,FALSE)*'3-Ruimtestaat'!X634</f>
        <v>0</v>
      </c>
      <c r="Z634" s="485">
        <f>VLOOKUP(H634,'3-Productie normen'!$A$10:$J$24,9,FALSE)*'3-Ruimtestaat'!X634</f>
        <v>0</v>
      </c>
      <c r="AA634" s="485">
        <f>VLOOKUP(H634,'3-Productie normen'!$A$10:$J$24,10,FALSE)*'3-Ruimtestaat'!X634</f>
        <v>0</v>
      </c>
      <c r="AB634" s="292" t="str">
        <f>IF(H634="",0,VLOOKUP(H634,'3-Productie normen'!$A$10:$N$23,14,FALSE))</f>
        <v>S</v>
      </c>
      <c r="AD634" s="296">
        <f t="shared" si="22"/>
        <v>3650</v>
      </c>
      <c r="AE634" s="78"/>
      <c r="AF634" s="253"/>
      <c r="AG634" s="253"/>
      <c r="AH634" s="253"/>
      <c r="AI634" s="253"/>
      <c r="AJ634" s="253"/>
      <c r="AK634" s="253"/>
      <c r="AL634" s="253"/>
      <c r="AM634" s="253"/>
      <c r="AN634" s="253"/>
      <c r="AO634" s="253"/>
    </row>
    <row r="635" spans="1:41" ht="15" customHeight="1">
      <c r="A635" s="254">
        <v>635</v>
      </c>
      <c r="B635" s="253">
        <v>608</v>
      </c>
      <c r="C635" s="240" t="s">
        <v>115</v>
      </c>
      <c r="D635" s="288" t="s">
        <v>634</v>
      </c>
      <c r="E635" s="289" t="s">
        <v>820</v>
      </c>
      <c r="F635" s="239" t="s">
        <v>469</v>
      </c>
      <c r="G635" s="290" t="s">
        <v>861</v>
      </c>
      <c r="H635" s="291" t="s">
        <v>145</v>
      </c>
      <c r="I635" s="239" t="s">
        <v>637</v>
      </c>
      <c r="J635" s="424">
        <f t="shared" si="21"/>
        <v>365</v>
      </c>
      <c r="K635" s="425">
        <v>255</v>
      </c>
      <c r="L635" s="425"/>
      <c r="M635" s="425">
        <v>102</v>
      </c>
      <c r="N635" s="425"/>
      <c r="O635" s="425">
        <v>8</v>
      </c>
      <c r="P635" s="425"/>
      <c r="Q635" s="294">
        <v>39</v>
      </c>
      <c r="R635" s="295" t="e">
        <f>IF(K635="nio",0,(K635*Q635)/X635)*VLOOKUP(C635,'2-Uren per locatie'!$B$15:$D$74,3,FALSE)</f>
        <v>#DIV/0!</v>
      </c>
      <c r="S635" s="295" t="e">
        <f>IF(K635="nio",0,(L635*Q635)/Y635)*VLOOKUP(C635,'2-Uren per locatie'!$B$15:$D$74,3,FALSE)</f>
        <v>#DIV/0!</v>
      </c>
      <c r="T635" s="295" t="e">
        <f>IF(K635="nio",0,(M635*Q635)/Z635)*VLOOKUP(C635,'2-Uren per locatie'!$B$15:$D$74,3,FALSE)</f>
        <v>#DIV/0!</v>
      </c>
      <c r="U635" s="295" t="e">
        <f>IF(K635="nio",0,(N635*Q635)/AA635)*VLOOKUP(C635,'2-Uren per locatie'!$B$15:$D$74,3,FALSE)</f>
        <v>#DIV/0!</v>
      </c>
      <c r="V635" s="295" t="e">
        <f>IF(K635="nio",0,(O635*Q635)/Z635)*VLOOKUP(C635,'2-Uren per locatie'!$B$15:$D$74,3,FALSE)</f>
        <v>#DIV/0!</v>
      </c>
      <c r="W635" s="295" t="e">
        <f>IF(K635="nio",0,(P635*Q635)/AA635)*VLOOKUP(C635,'2-Uren per locatie'!$B$15:$D$74,3,FALSE)</f>
        <v>#DIV/0!</v>
      </c>
      <c r="X635" s="485">
        <f>IF(K635="nio",0,IF(K635&gt;0,VLOOKUP(H635,'3-Productie normen'!A:F,VLOOKUP(K635,'3-Productie normen'!$B$29:$C$34,2,FALSE),FALSE)))</f>
        <v>0</v>
      </c>
      <c r="Y635" s="485">
        <f>VLOOKUP(H635,'3-Productie normen'!$A$10:$J$24,8,FALSE)*'3-Ruimtestaat'!X635</f>
        <v>0</v>
      </c>
      <c r="Z635" s="485">
        <f>VLOOKUP(H635,'3-Productie normen'!$A$10:$J$24,9,FALSE)*'3-Ruimtestaat'!X635</f>
        <v>0</v>
      </c>
      <c r="AA635" s="485">
        <f>VLOOKUP(H635,'3-Productie normen'!$A$10:$J$24,10,FALSE)*'3-Ruimtestaat'!X635</f>
        <v>0</v>
      </c>
      <c r="AB635" s="292" t="str">
        <f>IF(H635="",0,VLOOKUP(H635,'3-Productie normen'!$A$10:$N$23,14,FALSE))</f>
        <v>V</v>
      </c>
      <c r="AD635" s="296">
        <f t="shared" si="22"/>
        <v>14235</v>
      </c>
      <c r="AE635" s="78"/>
      <c r="AF635" s="253"/>
      <c r="AG635" s="253"/>
      <c r="AH635" s="253"/>
      <c r="AI635" s="253"/>
      <c r="AJ635" s="253"/>
      <c r="AK635" s="253"/>
      <c r="AL635" s="253"/>
      <c r="AM635" s="253"/>
      <c r="AN635" s="253"/>
      <c r="AO635" s="253"/>
    </row>
    <row r="636" spans="1:41" ht="15" customHeight="1">
      <c r="A636" s="254">
        <v>636</v>
      </c>
      <c r="B636" s="253">
        <v>608</v>
      </c>
      <c r="C636" s="240" t="s">
        <v>115</v>
      </c>
      <c r="D636" s="288" t="s">
        <v>634</v>
      </c>
      <c r="E636" s="289" t="s">
        <v>820</v>
      </c>
      <c r="F636" s="239" t="s">
        <v>487</v>
      </c>
      <c r="G636" s="290" t="s">
        <v>862</v>
      </c>
      <c r="H636" s="291" t="s">
        <v>146</v>
      </c>
      <c r="I636" s="239" t="s">
        <v>325</v>
      </c>
      <c r="J636" s="424">
        <f t="shared" si="21"/>
        <v>183</v>
      </c>
      <c r="K636" s="425">
        <v>127</v>
      </c>
      <c r="L636" s="425"/>
      <c r="M636" s="425">
        <v>52</v>
      </c>
      <c r="N636" s="425"/>
      <c r="O636" s="425">
        <v>4</v>
      </c>
      <c r="P636" s="425"/>
      <c r="Q636" s="294">
        <v>4</v>
      </c>
      <c r="R636" s="295" t="e">
        <f>IF(K636="nio",0,(K636*Q636)/X636)*VLOOKUP(C636,'2-Uren per locatie'!$B$15:$D$74,3,FALSE)</f>
        <v>#DIV/0!</v>
      </c>
      <c r="S636" s="295" t="e">
        <f>IF(K636="nio",0,(L636*Q636)/Y636)*VLOOKUP(C636,'2-Uren per locatie'!$B$15:$D$74,3,FALSE)</f>
        <v>#DIV/0!</v>
      </c>
      <c r="T636" s="295" t="e">
        <f>IF(K636="nio",0,(M636*Q636)/Z636)*VLOOKUP(C636,'2-Uren per locatie'!$B$15:$D$74,3,FALSE)</f>
        <v>#DIV/0!</v>
      </c>
      <c r="U636" s="295" t="e">
        <f>IF(K636="nio",0,(N636*Q636)/AA636)*VLOOKUP(C636,'2-Uren per locatie'!$B$15:$D$74,3,FALSE)</f>
        <v>#DIV/0!</v>
      </c>
      <c r="V636" s="295" t="e">
        <f>IF(K636="nio",0,(O636*Q636)/Z636)*VLOOKUP(C636,'2-Uren per locatie'!$B$15:$D$74,3,FALSE)</f>
        <v>#DIV/0!</v>
      </c>
      <c r="W636" s="295" t="e">
        <f>IF(K636="nio",0,(P636*Q636)/AA636)*VLOOKUP(C636,'2-Uren per locatie'!$B$15:$D$74,3,FALSE)</f>
        <v>#DIV/0!</v>
      </c>
      <c r="X636" s="485">
        <f>IF(K636="nio",0,IF(K636&gt;0,VLOOKUP(H636,'3-Productie normen'!A:F,VLOOKUP(K636,'3-Productie normen'!$B$29:$C$34,2,FALSE),FALSE)))</f>
        <v>0</v>
      </c>
      <c r="Y636" s="485">
        <f>VLOOKUP(H636,'3-Productie normen'!$A$10:$J$24,8,FALSE)*'3-Ruimtestaat'!X636</f>
        <v>0</v>
      </c>
      <c r="Z636" s="485">
        <f>VLOOKUP(H636,'3-Productie normen'!$A$10:$J$24,9,FALSE)*'3-Ruimtestaat'!X636</f>
        <v>0</v>
      </c>
      <c r="AA636" s="485">
        <f>VLOOKUP(H636,'3-Productie normen'!$A$10:$J$24,10,FALSE)*'3-Ruimtestaat'!X636</f>
        <v>0</v>
      </c>
      <c r="AB636" s="292" t="str">
        <f>IF(H636="",0,VLOOKUP(H636,'3-Productie normen'!$A$10:$N$23,14,FALSE))</f>
        <v>B</v>
      </c>
      <c r="AD636" s="296">
        <f t="shared" si="22"/>
        <v>732</v>
      </c>
      <c r="AE636" s="78"/>
      <c r="AF636" s="253"/>
      <c r="AG636" s="253"/>
      <c r="AH636" s="253"/>
      <c r="AI636" s="253"/>
      <c r="AJ636" s="253"/>
      <c r="AK636" s="253"/>
      <c r="AL636" s="253"/>
      <c r="AM636" s="253"/>
      <c r="AN636" s="253"/>
      <c r="AO636" s="253"/>
    </row>
    <row r="637" spans="1:41" ht="15" customHeight="1">
      <c r="A637" s="254">
        <v>637</v>
      </c>
      <c r="B637" s="253">
        <v>608</v>
      </c>
      <c r="C637" s="240" t="s">
        <v>115</v>
      </c>
      <c r="D637" s="288" t="s">
        <v>634</v>
      </c>
      <c r="E637" s="289" t="s">
        <v>863</v>
      </c>
      <c r="F637" s="239" t="s">
        <v>249</v>
      </c>
      <c r="G637" s="290" t="s">
        <v>668</v>
      </c>
      <c r="H637" s="291" t="s">
        <v>151</v>
      </c>
      <c r="I637" s="239" t="s">
        <v>637</v>
      </c>
      <c r="J637" s="424">
        <f t="shared" si="21"/>
        <v>365</v>
      </c>
      <c r="K637" s="425">
        <v>255</v>
      </c>
      <c r="L637" s="425"/>
      <c r="M637" s="425">
        <v>102</v>
      </c>
      <c r="N637" s="425"/>
      <c r="O637" s="425">
        <v>8</v>
      </c>
      <c r="P637" s="425"/>
      <c r="Q637" s="294">
        <v>1140</v>
      </c>
      <c r="R637" s="295" t="e">
        <f>IF(K637="nio",0,(K637*Q637)/X637)*VLOOKUP(C637,'2-Uren per locatie'!$B$15:$D$74,3,FALSE)</f>
        <v>#DIV/0!</v>
      </c>
      <c r="S637" s="295" t="e">
        <f>IF(K637="nio",0,(L637*Q637)/Y637)*VLOOKUP(C637,'2-Uren per locatie'!$B$15:$D$74,3,FALSE)</f>
        <v>#DIV/0!</v>
      </c>
      <c r="T637" s="295" t="e">
        <f>IF(K637="nio",0,(M637*Q637)/Z637)*VLOOKUP(C637,'2-Uren per locatie'!$B$15:$D$74,3,FALSE)</f>
        <v>#DIV/0!</v>
      </c>
      <c r="U637" s="295" t="e">
        <f>IF(K637="nio",0,(N637*Q637)/AA637)*VLOOKUP(C637,'2-Uren per locatie'!$B$15:$D$74,3,FALSE)</f>
        <v>#DIV/0!</v>
      </c>
      <c r="V637" s="295" t="e">
        <f>IF(K637="nio",0,(O637*Q637)/Z637)*VLOOKUP(C637,'2-Uren per locatie'!$B$15:$D$74,3,FALSE)</f>
        <v>#DIV/0!</v>
      </c>
      <c r="W637" s="295" t="e">
        <f>IF(K637="nio",0,(P637*Q637)/AA637)*VLOOKUP(C637,'2-Uren per locatie'!$B$15:$D$74,3,FALSE)</f>
        <v>#DIV/0!</v>
      </c>
      <c r="X637" s="485">
        <f>IF(K637="nio",0,IF(K637&gt;0,VLOOKUP(H637,'3-Productie normen'!A:F,VLOOKUP(K637,'3-Productie normen'!$B$29:$C$34,2,FALSE),FALSE)))</f>
        <v>0</v>
      </c>
      <c r="Y637" s="485">
        <f>VLOOKUP(H637,'3-Productie normen'!$A$10:$J$24,8,FALSE)*'3-Ruimtestaat'!X637</f>
        <v>0</v>
      </c>
      <c r="Z637" s="485">
        <f>VLOOKUP(H637,'3-Productie normen'!$A$10:$J$24,9,FALSE)*'3-Ruimtestaat'!X637</f>
        <v>0</v>
      </c>
      <c r="AA637" s="485">
        <f>VLOOKUP(H637,'3-Productie normen'!$A$10:$J$24,10,FALSE)*'3-Ruimtestaat'!X637</f>
        <v>0</v>
      </c>
      <c r="AB637" s="292" t="str">
        <f>IF(H637="",0,VLOOKUP(H637,'3-Productie normen'!$A$10:$N$23,14,FALSE))</f>
        <v>V</v>
      </c>
      <c r="AD637" s="296">
        <f t="shared" si="22"/>
        <v>416100</v>
      </c>
      <c r="AE637" s="78"/>
      <c r="AF637" s="253"/>
      <c r="AG637" s="253"/>
      <c r="AH637" s="253"/>
      <c r="AI637" s="253"/>
      <c r="AJ637" s="253"/>
      <c r="AK637" s="253"/>
      <c r="AL637" s="253"/>
      <c r="AM637" s="253"/>
      <c r="AN637" s="253"/>
      <c r="AO637" s="253"/>
    </row>
    <row r="638" spans="1:41" ht="15" customHeight="1">
      <c r="A638" s="254">
        <v>638</v>
      </c>
      <c r="B638" s="253">
        <v>1001</v>
      </c>
      <c r="C638" s="240" t="s">
        <v>116</v>
      </c>
      <c r="D638" s="288" t="s">
        <v>117</v>
      </c>
      <c r="E638" s="289"/>
      <c r="F638" s="239" t="s">
        <v>530</v>
      </c>
      <c r="G638" s="290"/>
      <c r="H638" s="291" t="s">
        <v>149</v>
      </c>
      <c r="I638" s="239" t="s">
        <v>401</v>
      </c>
      <c r="J638" s="424">
        <f t="shared" si="21"/>
        <v>365</v>
      </c>
      <c r="K638" s="425">
        <v>102</v>
      </c>
      <c r="L638" s="425">
        <v>153</v>
      </c>
      <c r="M638" s="425"/>
      <c r="N638" s="425">
        <v>102</v>
      </c>
      <c r="O638" s="425"/>
      <c r="P638" s="425">
        <v>8</v>
      </c>
      <c r="Q638" s="294">
        <v>5</v>
      </c>
      <c r="R638" s="295" t="e">
        <f>IF(K638="nio",0,(K638*Q638)/X638)*VLOOKUP(C638,'2-Uren per locatie'!$B$15:$D$74,3,FALSE)</f>
        <v>#DIV/0!</v>
      </c>
      <c r="S638" s="295" t="e">
        <f>IF(K638="nio",0,(L638*Q638)/Y638)*VLOOKUP(C638,'2-Uren per locatie'!$B$15:$D$74,3,FALSE)</f>
        <v>#DIV/0!</v>
      </c>
      <c r="T638" s="295" t="e">
        <f>IF(K638="nio",0,(M638*Q638)/Z638)*VLOOKUP(C638,'2-Uren per locatie'!$B$15:$D$74,3,FALSE)</f>
        <v>#DIV/0!</v>
      </c>
      <c r="U638" s="295" t="e">
        <f>IF(K638="nio",0,(N638*Q638)/AA638)*VLOOKUP(C638,'2-Uren per locatie'!$B$15:$D$74,3,FALSE)</f>
        <v>#DIV/0!</v>
      </c>
      <c r="V638" s="295" t="e">
        <f>IF(K638="nio",0,(O638*Q638)/Z638)*VLOOKUP(C638,'2-Uren per locatie'!$B$15:$D$74,3,FALSE)</f>
        <v>#DIV/0!</v>
      </c>
      <c r="W638" s="295" t="e">
        <f>IF(K638="nio",0,(P638*Q638)/AA638)*VLOOKUP(C638,'2-Uren per locatie'!$B$15:$D$74,3,FALSE)</f>
        <v>#DIV/0!</v>
      </c>
      <c r="X638" s="485">
        <f>IF(K638="nio",0,IF(K638&gt;0,VLOOKUP(H638,'3-Productie normen'!A:F,VLOOKUP(K638,'3-Productie normen'!$B$29:$C$34,2,FALSE),FALSE)))</f>
        <v>0</v>
      </c>
      <c r="Y638" s="485">
        <f>VLOOKUP(H638,'3-Productie normen'!$A$10:$J$24,8,FALSE)*'3-Ruimtestaat'!X638</f>
        <v>0</v>
      </c>
      <c r="Z638" s="485">
        <f>VLOOKUP(H638,'3-Productie normen'!$A$10:$J$24,9,FALSE)*'3-Ruimtestaat'!X638</f>
        <v>0</v>
      </c>
      <c r="AA638" s="485">
        <f>VLOOKUP(H638,'3-Productie normen'!$A$10:$J$24,10,FALSE)*'3-Ruimtestaat'!X638</f>
        <v>0</v>
      </c>
      <c r="AB638" s="292" t="str">
        <f>IF(H638="",0,VLOOKUP(H638,'3-Productie normen'!$A$10:$N$23,14,FALSE))</f>
        <v>V</v>
      </c>
      <c r="AD638" s="296">
        <f t="shared" si="22"/>
        <v>1825</v>
      </c>
      <c r="AE638" s="78"/>
      <c r="AF638" s="297"/>
      <c r="AG638" s="297"/>
      <c r="AH638" s="297"/>
      <c r="AI638" s="297"/>
      <c r="AJ638" s="297"/>
      <c r="AK638" s="298"/>
      <c r="AL638" s="298"/>
      <c r="AM638" s="298"/>
      <c r="AN638" s="298"/>
      <c r="AO638" s="299"/>
    </row>
    <row r="639" spans="1:41" ht="15" customHeight="1">
      <c r="A639" s="254">
        <v>639</v>
      </c>
      <c r="B639" s="253">
        <v>1001</v>
      </c>
      <c r="C639" s="240" t="s">
        <v>116</v>
      </c>
      <c r="D639" s="288" t="s">
        <v>117</v>
      </c>
      <c r="E639" s="289"/>
      <c r="F639" s="239" t="s">
        <v>864</v>
      </c>
      <c r="G639" s="290"/>
      <c r="H639" s="291" t="s">
        <v>151</v>
      </c>
      <c r="I639" s="239" t="s">
        <v>637</v>
      </c>
      <c r="J639" s="424">
        <f t="shared" si="21"/>
        <v>365</v>
      </c>
      <c r="K639" s="425">
        <v>102</v>
      </c>
      <c r="L639" s="425">
        <v>153</v>
      </c>
      <c r="M639" s="425"/>
      <c r="N639" s="425">
        <v>102</v>
      </c>
      <c r="O639" s="425"/>
      <c r="P639" s="425">
        <v>8</v>
      </c>
      <c r="Q639" s="294">
        <v>420</v>
      </c>
      <c r="R639" s="295" t="e">
        <f>IF(K639="nio",0,(K639*Q639)/X639)*VLOOKUP(C639,'2-Uren per locatie'!$B$15:$D$74,3,FALSE)</f>
        <v>#DIV/0!</v>
      </c>
      <c r="S639" s="295" t="e">
        <f>IF(K639="nio",0,(L639*Q639)/Y639)*VLOOKUP(C639,'2-Uren per locatie'!$B$15:$D$74,3,FALSE)</f>
        <v>#DIV/0!</v>
      </c>
      <c r="T639" s="295" t="e">
        <f>IF(K639="nio",0,(M639*Q639)/Z639)*VLOOKUP(C639,'2-Uren per locatie'!$B$15:$D$74,3,FALSE)</f>
        <v>#DIV/0!</v>
      </c>
      <c r="U639" s="295" t="e">
        <f>IF(K639="nio",0,(N639*Q639)/AA639)*VLOOKUP(C639,'2-Uren per locatie'!$B$15:$D$74,3,FALSE)</f>
        <v>#DIV/0!</v>
      </c>
      <c r="V639" s="295" t="e">
        <f>IF(K639="nio",0,(O639*Q639)/Z639)*VLOOKUP(C639,'2-Uren per locatie'!$B$15:$D$74,3,FALSE)</f>
        <v>#DIV/0!</v>
      </c>
      <c r="W639" s="295" t="e">
        <f>IF(K639="nio",0,(P639*Q639)/AA639)*VLOOKUP(C639,'2-Uren per locatie'!$B$15:$D$74,3,FALSE)</f>
        <v>#DIV/0!</v>
      </c>
      <c r="X639" s="485">
        <f>IF(K639="nio",0,IF(K639&gt;0,VLOOKUP(H639,'3-Productie normen'!A:F,VLOOKUP(K639,'3-Productie normen'!$B$29:$C$34,2,FALSE),FALSE)))</f>
        <v>0</v>
      </c>
      <c r="Y639" s="485">
        <f>VLOOKUP(H639,'3-Productie normen'!$A$10:$J$24,8,FALSE)*'3-Ruimtestaat'!X639</f>
        <v>0</v>
      </c>
      <c r="Z639" s="485">
        <f>VLOOKUP(H639,'3-Productie normen'!$A$10:$J$24,9,FALSE)*'3-Ruimtestaat'!X639</f>
        <v>0</v>
      </c>
      <c r="AA639" s="485">
        <f>VLOOKUP(H639,'3-Productie normen'!$A$10:$J$24,10,FALSE)*'3-Ruimtestaat'!X639</f>
        <v>0</v>
      </c>
      <c r="AB639" s="292" t="str">
        <f>IF(H639="",0,VLOOKUP(H639,'3-Productie normen'!$A$10:$N$23,14,FALSE))</f>
        <v>V</v>
      </c>
      <c r="AD639" s="296">
        <f t="shared" si="22"/>
        <v>153300</v>
      </c>
      <c r="AE639" s="78"/>
      <c r="AF639" s="297"/>
      <c r="AG639" s="297"/>
      <c r="AH639" s="297"/>
      <c r="AI639" s="297"/>
      <c r="AJ639" s="297"/>
      <c r="AK639" s="298"/>
      <c r="AL639" s="298"/>
      <c r="AM639" s="298"/>
      <c r="AN639" s="298"/>
      <c r="AO639" s="299"/>
    </row>
    <row r="640" spans="1:41" ht="15" customHeight="1">
      <c r="A640" s="254">
        <v>640</v>
      </c>
      <c r="B640" s="253">
        <v>1001</v>
      </c>
      <c r="C640" s="240" t="s">
        <v>116</v>
      </c>
      <c r="D640" s="288" t="s">
        <v>117</v>
      </c>
      <c r="E640" s="289"/>
      <c r="F640" s="239" t="s">
        <v>155</v>
      </c>
      <c r="G640" s="290"/>
      <c r="H640" s="291" t="s">
        <v>155</v>
      </c>
      <c r="I640" s="239" t="s">
        <v>865</v>
      </c>
      <c r="J640" s="424">
        <f t="shared" ref="J640:J654" si="23">SUM(K640:P640)</f>
        <v>365</v>
      </c>
      <c r="K640" s="425">
        <v>102</v>
      </c>
      <c r="L640" s="425">
        <v>153</v>
      </c>
      <c r="M640" s="425"/>
      <c r="N640" s="425">
        <v>102</v>
      </c>
      <c r="O640" s="425"/>
      <c r="P640" s="425">
        <v>8</v>
      </c>
      <c r="Q640" s="294">
        <v>27</v>
      </c>
      <c r="R640" s="295" t="e">
        <f>IF(K640="nio",0,(K640*Q640)/X640)*VLOOKUP(C640,'2-Uren per locatie'!$B$15:$D$74,3,FALSE)</f>
        <v>#DIV/0!</v>
      </c>
      <c r="S640" s="295" t="e">
        <f>IF(K640="nio",0,(L640*Q640)/Y640)*VLOOKUP(C640,'2-Uren per locatie'!$B$15:$D$74,3,FALSE)</f>
        <v>#DIV/0!</v>
      </c>
      <c r="T640" s="295" t="e">
        <f>IF(K640="nio",0,(M640*Q640)/Z640)*VLOOKUP(C640,'2-Uren per locatie'!$B$15:$D$74,3,FALSE)</f>
        <v>#DIV/0!</v>
      </c>
      <c r="U640" s="295" t="e">
        <f>IF(K640="nio",0,(N640*Q640)/AA640)*VLOOKUP(C640,'2-Uren per locatie'!$B$15:$D$74,3,FALSE)</f>
        <v>#DIV/0!</v>
      </c>
      <c r="V640" s="295" t="e">
        <f>IF(K640="nio",0,(O640*Q640)/Z640)*VLOOKUP(C640,'2-Uren per locatie'!$B$15:$D$74,3,FALSE)</f>
        <v>#DIV/0!</v>
      </c>
      <c r="W640" s="295" t="e">
        <f>IF(K640="nio",0,(P640*Q640)/AA640)*VLOOKUP(C640,'2-Uren per locatie'!$B$15:$D$74,3,FALSE)</f>
        <v>#DIV/0!</v>
      </c>
      <c r="X640" s="485">
        <f>IF(K640="nio",0,IF(K640&gt;0,VLOOKUP(H640,'3-Productie normen'!A:F,VLOOKUP(K640,'3-Productie normen'!$B$29:$C$34,2,FALSE),FALSE)))</f>
        <v>0</v>
      </c>
      <c r="Y640" s="485">
        <f>VLOOKUP(H640,'3-Productie normen'!$A$10:$J$24,8,FALSE)*'3-Ruimtestaat'!X640</f>
        <v>0</v>
      </c>
      <c r="Z640" s="485">
        <f>VLOOKUP(H640,'3-Productie normen'!$A$10:$J$24,9,FALSE)*'3-Ruimtestaat'!X640</f>
        <v>0</v>
      </c>
      <c r="AA640" s="485">
        <f>VLOOKUP(H640,'3-Productie normen'!$A$10:$J$24,10,FALSE)*'3-Ruimtestaat'!X640</f>
        <v>0</v>
      </c>
      <c r="AB640" s="292" t="str">
        <f>IF(H640="",0,VLOOKUP(H640,'3-Productie normen'!$A$10:$N$23,14,FALSE))</f>
        <v>V</v>
      </c>
      <c r="AD640" s="296">
        <f t="shared" si="22"/>
        <v>9855</v>
      </c>
      <c r="AE640" s="78"/>
      <c r="AF640" s="297"/>
      <c r="AG640" s="297"/>
      <c r="AH640" s="297"/>
      <c r="AI640" s="297"/>
      <c r="AJ640" s="297"/>
      <c r="AK640" s="298"/>
      <c r="AL640" s="298"/>
      <c r="AM640" s="298"/>
      <c r="AN640" s="298"/>
      <c r="AO640" s="299"/>
    </row>
    <row r="641" spans="1:41" ht="15" customHeight="1">
      <c r="A641" s="254">
        <v>641</v>
      </c>
      <c r="B641" s="253">
        <v>1002</v>
      </c>
      <c r="C641" s="240" t="s">
        <v>118</v>
      </c>
      <c r="D641" s="288" t="s">
        <v>117</v>
      </c>
      <c r="E641" s="289"/>
      <c r="F641" s="239" t="s">
        <v>529</v>
      </c>
      <c r="G641" s="290" t="s">
        <v>866</v>
      </c>
      <c r="H641" s="291" t="s">
        <v>153</v>
      </c>
      <c r="I641" s="239" t="s">
        <v>203</v>
      </c>
      <c r="J641" s="424">
        <f t="shared" si="23"/>
        <v>365</v>
      </c>
      <c r="K641" s="425">
        <v>255</v>
      </c>
      <c r="L641" s="425"/>
      <c r="M641" s="425">
        <v>102</v>
      </c>
      <c r="N641" s="425"/>
      <c r="O641" s="425">
        <v>8</v>
      </c>
      <c r="P641" s="425"/>
      <c r="Q641" s="294">
        <v>2.52</v>
      </c>
      <c r="R641" s="295" t="e">
        <f>IF(K641="nio",0,(K641*Q641)/X641)*VLOOKUP(C641,'2-Uren per locatie'!$B$15:$D$74,3,FALSE)</f>
        <v>#DIV/0!</v>
      </c>
      <c r="S641" s="295" t="e">
        <f>IF(K641="nio",0,(L641*Q641)/Y641)*VLOOKUP(C641,'2-Uren per locatie'!$B$15:$D$74,3,FALSE)</f>
        <v>#DIV/0!</v>
      </c>
      <c r="T641" s="295" t="e">
        <f>IF(K641="nio",0,(M641*Q641)/Z641)*VLOOKUP(C641,'2-Uren per locatie'!$B$15:$D$74,3,FALSE)</f>
        <v>#DIV/0!</v>
      </c>
      <c r="U641" s="295" t="e">
        <f>IF(K641="nio",0,(N641*Q641)/AA641)*VLOOKUP(C641,'2-Uren per locatie'!$B$15:$D$74,3,FALSE)</f>
        <v>#DIV/0!</v>
      </c>
      <c r="V641" s="295" t="e">
        <f>IF(K641="nio",0,(O641*Q641)/Z641)*VLOOKUP(C641,'2-Uren per locatie'!$B$15:$D$74,3,FALSE)</f>
        <v>#DIV/0!</v>
      </c>
      <c r="W641" s="295" t="e">
        <f>IF(K641="nio",0,(P641*Q641)/AA641)*VLOOKUP(C641,'2-Uren per locatie'!$B$15:$D$74,3,FALSE)</f>
        <v>#DIV/0!</v>
      </c>
      <c r="X641" s="485">
        <f>IF(K641="nio",0,IF(K641&gt;0,VLOOKUP(H641,'3-Productie normen'!A:F,VLOOKUP(K641,'3-Productie normen'!$B$29:$C$34,2,FALSE),FALSE)))</f>
        <v>0</v>
      </c>
      <c r="Y641" s="485">
        <f>VLOOKUP(H641,'3-Productie normen'!$A$10:$J$24,8,FALSE)*'3-Ruimtestaat'!X641</f>
        <v>0</v>
      </c>
      <c r="Z641" s="485">
        <f>VLOOKUP(H641,'3-Productie normen'!$A$10:$J$24,9,FALSE)*'3-Ruimtestaat'!X641</f>
        <v>0</v>
      </c>
      <c r="AA641" s="485">
        <f>VLOOKUP(H641,'3-Productie normen'!$A$10:$J$24,10,FALSE)*'3-Ruimtestaat'!X641</f>
        <v>0</v>
      </c>
      <c r="AB641" s="292" t="str">
        <f>IF(H641="",0,VLOOKUP(H641,'3-Productie normen'!$A$10:$N$23,14,FALSE))</f>
        <v>S</v>
      </c>
      <c r="AD641" s="296">
        <f t="shared" si="22"/>
        <v>919.8</v>
      </c>
      <c r="AE641" s="78"/>
      <c r="AF641" s="297">
        <v>11.5</v>
      </c>
      <c r="AG641" s="297"/>
      <c r="AH641" s="297"/>
      <c r="AI641" s="297"/>
      <c r="AJ641" s="297"/>
      <c r="AK641" s="298"/>
      <c r="AL641" s="298">
        <v>2.7</v>
      </c>
      <c r="AM641" s="298"/>
      <c r="AN641" s="298"/>
      <c r="AO641" s="299"/>
    </row>
    <row r="642" spans="1:41" ht="15" customHeight="1">
      <c r="A642" s="254">
        <v>642</v>
      </c>
      <c r="B642" s="253">
        <v>1002</v>
      </c>
      <c r="C642" s="240" t="s">
        <v>118</v>
      </c>
      <c r="D642" s="288" t="s">
        <v>117</v>
      </c>
      <c r="E642" s="289"/>
      <c r="F642" s="239" t="s">
        <v>864</v>
      </c>
      <c r="G642" s="290"/>
      <c r="H642" s="291" t="s">
        <v>151</v>
      </c>
      <c r="I642" s="239" t="s">
        <v>392</v>
      </c>
      <c r="J642" s="424">
        <f t="shared" si="23"/>
        <v>365</v>
      </c>
      <c r="K642" s="425">
        <v>102</v>
      </c>
      <c r="L642" s="425">
        <v>153</v>
      </c>
      <c r="M642" s="425"/>
      <c r="N642" s="425">
        <v>102</v>
      </c>
      <c r="O642" s="425"/>
      <c r="P642" s="425">
        <v>8</v>
      </c>
      <c r="Q642" s="294">
        <v>495</v>
      </c>
      <c r="R642" s="295" t="e">
        <f>IF(K642="nio",0,(K642*Q642)/X642)*VLOOKUP(C642,'2-Uren per locatie'!$B$15:$D$74,3,FALSE)</f>
        <v>#DIV/0!</v>
      </c>
      <c r="S642" s="295" t="e">
        <f>IF(K642="nio",0,(L642*Q642)/Y642)*VLOOKUP(C642,'2-Uren per locatie'!$B$15:$D$74,3,FALSE)</f>
        <v>#DIV/0!</v>
      </c>
      <c r="T642" s="295" t="e">
        <f>IF(K642="nio",0,(M642*Q642)/Z642)*VLOOKUP(C642,'2-Uren per locatie'!$B$15:$D$74,3,FALSE)</f>
        <v>#DIV/0!</v>
      </c>
      <c r="U642" s="295" t="e">
        <f>IF(K642="nio",0,(N642*Q642)/AA642)*VLOOKUP(C642,'2-Uren per locatie'!$B$15:$D$74,3,FALSE)</f>
        <v>#DIV/0!</v>
      </c>
      <c r="V642" s="295" t="e">
        <f>IF(K642="nio",0,(O642*Q642)/Z642)*VLOOKUP(C642,'2-Uren per locatie'!$B$15:$D$74,3,FALSE)</f>
        <v>#DIV/0!</v>
      </c>
      <c r="W642" s="295" t="e">
        <f>IF(K642="nio",0,(P642*Q642)/AA642)*VLOOKUP(C642,'2-Uren per locatie'!$B$15:$D$74,3,FALSE)</f>
        <v>#DIV/0!</v>
      </c>
      <c r="X642" s="485">
        <f>IF(K642="nio",0,IF(K642&gt;0,VLOOKUP(H642,'3-Productie normen'!A:F,VLOOKUP(K642,'3-Productie normen'!$B$29:$C$34,2,FALSE),FALSE)))</f>
        <v>0</v>
      </c>
      <c r="Y642" s="485">
        <f>VLOOKUP(H642,'3-Productie normen'!$A$10:$J$24,8,FALSE)*'3-Ruimtestaat'!X642</f>
        <v>0</v>
      </c>
      <c r="Z642" s="485">
        <f>VLOOKUP(H642,'3-Productie normen'!$A$10:$J$24,9,FALSE)*'3-Ruimtestaat'!X642</f>
        <v>0</v>
      </c>
      <c r="AA642" s="485">
        <f>VLOOKUP(H642,'3-Productie normen'!$A$10:$J$24,10,FALSE)*'3-Ruimtestaat'!X642</f>
        <v>0</v>
      </c>
      <c r="AB642" s="292" t="str">
        <f>IF(H642="",0,VLOOKUP(H642,'3-Productie normen'!$A$10:$N$23,14,FALSE))</f>
        <v>V</v>
      </c>
      <c r="AD642" s="296">
        <f t="shared" si="22"/>
        <v>180675</v>
      </c>
      <c r="AE642" s="78"/>
      <c r="AF642" s="297"/>
      <c r="AG642" s="297"/>
      <c r="AH642" s="297"/>
      <c r="AI642" s="297"/>
      <c r="AJ642" s="297"/>
      <c r="AK642" s="298"/>
      <c r="AL642" s="298"/>
      <c r="AM642" s="298"/>
      <c r="AN642" s="298"/>
      <c r="AO642" s="299"/>
    </row>
    <row r="643" spans="1:41" ht="15" customHeight="1">
      <c r="A643" s="254">
        <v>643</v>
      </c>
      <c r="B643" s="253">
        <v>1002</v>
      </c>
      <c r="C643" s="240" t="s">
        <v>118</v>
      </c>
      <c r="D643" s="288" t="s">
        <v>117</v>
      </c>
      <c r="E643" s="289"/>
      <c r="F643" s="239" t="s">
        <v>867</v>
      </c>
      <c r="G643" s="290"/>
      <c r="H643" s="291" t="s">
        <v>151</v>
      </c>
      <c r="I643" s="239" t="s">
        <v>392</v>
      </c>
      <c r="J643" s="424">
        <f t="shared" si="23"/>
        <v>365</v>
      </c>
      <c r="K643" s="425">
        <v>102</v>
      </c>
      <c r="L643" s="425">
        <v>153</v>
      </c>
      <c r="M643" s="425"/>
      <c r="N643" s="425">
        <v>102</v>
      </c>
      <c r="O643" s="425"/>
      <c r="P643" s="425">
        <v>8</v>
      </c>
      <c r="Q643" s="294">
        <v>1044</v>
      </c>
      <c r="R643" s="295" t="e">
        <f>IF(K643="nio",0,(K643*Q643)/X643)*VLOOKUP(C643,'2-Uren per locatie'!$B$15:$D$74,3,FALSE)</f>
        <v>#DIV/0!</v>
      </c>
      <c r="S643" s="295" t="e">
        <f>IF(K643="nio",0,(L643*Q643)/Y643)*VLOOKUP(C643,'2-Uren per locatie'!$B$15:$D$74,3,FALSE)</f>
        <v>#DIV/0!</v>
      </c>
      <c r="T643" s="295" t="e">
        <f>IF(K643="nio",0,(M643*Q643)/Z643)*VLOOKUP(C643,'2-Uren per locatie'!$B$15:$D$74,3,FALSE)</f>
        <v>#DIV/0!</v>
      </c>
      <c r="U643" s="295" t="e">
        <f>IF(K643="nio",0,(N643*Q643)/AA643)*VLOOKUP(C643,'2-Uren per locatie'!$B$15:$D$74,3,FALSE)</f>
        <v>#DIV/0!</v>
      </c>
      <c r="V643" s="295" t="e">
        <f>IF(K643="nio",0,(O643*Q643)/Z643)*VLOOKUP(C643,'2-Uren per locatie'!$B$15:$D$74,3,FALSE)</f>
        <v>#DIV/0!</v>
      </c>
      <c r="W643" s="295" t="e">
        <f>IF(K643="nio",0,(P643*Q643)/AA643)*VLOOKUP(C643,'2-Uren per locatie'!$B$15:$D$74,3,FALSE)</f>
        <v>#DIV/0!</v>
      </c>
      <c r="X643" s="485">
        <f>IF(K643="nio",0,IF(K643&gt;0,VLOOKUP(H643,'3-Productie normen'!A:F,VLOOKUP(K643,'3-Productie normen'!$B$29:$C$34,2,FALSE),FALSE)))</f>
        <v>0</v>
      </c>
      <c r="Y643" s="485">
        <f>VLOOKUP(H643,'3-Productie normen'!$A$10:$J$24,8,FALSE)*'3-Ruimtestaat'!X643</f>
        <v>0</v>
      </c>
      <c r="Z643" s="485">
        <f>VLOOKUP(H643,'3-Productie normen'!$A$10:$J$24,9,FALSE)*'3-Ruimtestaat'!X643</f>
        <v>0</v>
      </c>
      <c r="AA643" s="485">
        <f>VLOOKUP(H643,'3-Productie normen'!$A$10:$J$24,10,FALSE)*'3-Ruimtestaat'!X643</f>
        <v>0</v>
      </c>
      <c r="AB643" s="292" t="str">
        <f>IF(H643="",0,VLOOKUP(H643,'3-Productie normen'!$A$10:$N$23,14,FALSE))</f>
        <v>V</v>
      </c>
      <c r="AD643" s="296">
        <f t="shared" si="22"/>
        <v>381060</v>
      </c>
      <c r="AE643" s="78"/>
      <c r="AF643" s="297"/>
      <c r="AG643" s="297"/>
      <c r="AH643" s="297"/>
      <c r="AI643" s="297"/>
      <c r="AJ643" s="297"/>
      <c r="AK643" s="298"/>
      <c r="AL643" s="298"/>
      <c r="AM643" s="298"/>
      <c r="AN643" s="298"/>
      <c r="AO643" s="299"/>
    </row>
    <row r="644" spans="1:41" ht="15" customHeight="1">
      <c r="A644" s="254">
        <v>644</v>
      </c>
      <c r="B644" s="253">
        <v>1002</v>
      </c>
      <c r="C644" s="240" t="s">
        <v>118</v>
      </c>
      <c r="D644" s="288" t="s">
        <v>117</v>
      </c>
      <c r="E644" s="289"/>
      <c r="F644" s="239" t="s">
        <v>376</v>
      </c>
      <c r="G644" s="290"/>
      <c r="H644" s="291" t="s">
        <v>149</v>
      </c>
      <c r="I644" s="239" t="s">
        <v>865</v>
      </c>
      <c r="J644" s="424">
        <f t="shared" si="23"/>
        <v>365</v>
      </c>
      <c r="K644" s="425">
        <v>102</v>
      </c>
      <c r="L644" s="425">
        <v>153</v>
      </c>
      <c r="M644" s="425"/>
      <c r="N644" s="425">
        <v>102</v>
      </c>
      <c r="O644" s="425"/>
      <c r="P644" s="425">
        <v>8</v>
      </c>
      <c r="Q644" s="294">
        <v>3</v>
      </c>
      <c r="R644" s="295" t="e">
        <f>IF(K644="nio",0,(K644*Q644)/X644)*VLOOKUP(C644,'2-Uren per locatie'!$B$15:$D$74,3,FALSE)</f>
        <v>#DIV/0!</v>
      </c>
      <c r="S644" s="295" t="e">
        <f>IF(K644="nio",0,(L644*Q644)/Y644)*VLOOKUP(C644,'2-Uren per locatie'!$B$15:$D$74,3,FALSE)</f>
        <v>#DIV/0!</v>
      </c>
      <c r="T644" s="295" t="e">
        <f>IF(K644="nio",0,(M644*Q644)/Z644)*VLOOKUP(C644,'2-Uren per locatie'!$B$15:$D$74,3,FALSE)</f>
        <v>#DIV/0!</v>
      </c>
      <c r="U644" s="295" t="e">
        <f>IF(K644="nio",0,(N644*Q644)/AA644)*VLOOKUP(C644,'2-Uren per locatie'!$B$15:$D$74,3,FALSE)</f>
        <v>#DIV/0!</v>
      </c>
      <c r="V644" s="295" t="e">
        <f>IF(K644="nio",0,(O644*Q644)/Z644)*VLOOKUP(C644,'2-Uren per locatie'!$B$15:$D$74,3,FALSE)</f>
        <v>#DIV/0!</v>
      </c>
      <c r="W644" s="295" t="e">
        <f>IF(K644="nio",0,(P644*Q644)/AA644)*VLOOKUP(C644,'2-Uren per locatie'!$B$15:$D$74,3,FALSE)</f>
        <v>#DIV/0!</v>
      </c>
      <c r="X644" s="485">
        <f>IF(K644="nio",0,IF(K644&gt;0,VLOOKUP(H644,'3-Productie normen'!A:F,VLOOKUP(K644,'3-Productie normen'!$B$29:$C$34,2,FALSE),FALSE)))</f>
        <v>0</v>
      </c>
      <c r="Y644" s="485">
        <f>VLOOKUP(H644,'3-Productie normen'!$A$10:$J$24,8,FALSE)*'3-Ruimtestaat'!X644</f>
        <v>0</v>
      </c>
      <c r="Z644" s="485">
        <f>VLOOKUP(H644,'3-Productie normen'!$A$10:$J$24,9,FALSE)*'3-Ruimtestaat'!X644</f>
        <v>0</v>
      </c>
      <c r="AA644" s="485">
        <f>VLOOKUP(H644,'3-Productie normen'!$A$10:$J$24,10,FALSE)*'3-Ruimtestaat'!X644</f>
        <v>0</v>
      </c>
      <c r="AB644" s="292" t="str">
        <f>IF(H644="",0,VLOOKUP(H644,'3-Productie normen'!$A$10:$N$23,14,FALSE))</f>
        <v>V</v>
      </c>
      <c r="AD644" s="296">
        <f t="shared" si="22"/>
        <v>1095</v>
      </c>
      <c r="AE644" s="78"/>
      <c r="AF644" s="297"/>
      <c r="AG644" s="297"/>
      <c r="AH644" s="297"/>
      <c r="AI644" s="297"/>
      <c r="AJ644" s="297"/>
      <c r="AK644" s="298"/>
      <c r="AL644" s="298"/>
      <c r="AM644" s="298"/>
      <c r="AN644" s="298"/>
      <c r="AO644" s="299"/>
    </row>
    <row r="645" spans="1:41" ht="15" customHeight="1">
      <c r="A645" s="254">
        <v>645</v>
      </c>
      <c r="B645" s="253">
        <v>1002</v>
      </c>
      <c r="C645" s="240" t="s">
        <v>118</v>
      </c>
      <c r="D645" s="288" t="s">
        <v>117</v>
      </c>
      <c r="E645" s="289"/>
      <c r="F645" s="239" t="s">
        <v>376</v>
      </c>
      <c r="G645" s="290"/>
      <c r="H645" s="291" t="s">
        <v>149</v>
      </c>
      <c r="I645" s="239" t="s">
        <v>865</v>
      </c>
      <c r="J645" s="424">
        <f t="shared" si="23"/>
        <v>365</v>
      </c>
      <c r="K645" s="425">
        <v>102</v>
      </c>
      <c r="L645" s="425">
        <v>153</v>
      </c>
      <c r="M645" s="425"/>
      <c r="N645" s="425">
        <v>102</v>
      </c>
      <c r="O645" s="425"/>
      <c r="P645" s="425">
        <v>8</v>
      </c>
      <c r="Q645" s="294">
        <v>3</v>
      </c>
      <c r="R645" s="295" t="e">
        <f>IF(K645="nio",0,(K645*Q645)/X645)*VLOOKUP(C645,'2-Uren per locatie'!$B$15:$D$74,3,FALSE)</f>
        <v>#DIV/0!</v>
      </c>
      <c r="S645" s="295" t="e">
        <f>IF(K645="nio",0,(L645*Q645)/Y645)*VLOOKUP(C645,'2-Uren per locatie'!$B$15:$D$74,3,FALSE)</f>
        <v>#DIV/0!</v>
      </c>
      <c r="T645" s="295" t="e">
        <f>IF(K645="nio",0,(M645*Q645)/Z645)*VLOOKUP(C645,'2-Uren per locatie'!$B$15:$D$74,3,FALSE)</f>
        <v>#DIV/0!</v>
      </c>
      <c r="U645" s="295" t="e">
        <f>IF(K645="nio",0,(N645*Q645)/AA645)*VLOOKUP(C645,'2-Uren per locatie'!$B$15:$D$74,3,FALSE)</f>
        <v>#DIV/0!</v>
      </c>
      <c r="V645" s="295" t="e">
        <f>IF(K645="nio",0,(O645*Q645)/Z645)*VLOOKUP(C645,'2-Uren per locatie'!$B$15:$D$74,3,FALSE)</f>
        <v>#DIV/0!</v>
      </c>
      <c r="W645" s="295" t="e">
        <f>IF(K645="nio",0,(P645*Q645)/AA645)*VLOOKUP(C645,'2-Uren per locatie'!$B$15:$D$74,3,FALSE)</f>
        <v>#DIV/0!</v>
      </c>
      <c r="X645" s="485">
        <f>IF(K645="nio",0,IF(K645&gt;0,VLOOKUP(H645,'3-Productie normen'!A:F,VLOOKUP(K645,'3-Productie normen'!$B$29:$C$34,2,FALSE),FALSE)))</f>
        <v>0</v>
      </c>
      <c r="Y645" s="485">
        <f>VLOOKUP(H645,'3-Productie normen'!$A$10:$J$24,8,FALSE)*'3-Ruimtestaat'!X645</f>
        <v>0</v>
      </c>
      <c r="Z645" s="485">
        <f>VLOOKUP(H645,'3-Productie normen'!$A$10:$J$24,9,FALSE)*'3-Ruimtestaat'!X645</f>
        <v>0</v>
      </c>
      <c r="AA645" s="485">
        <f>VLOOKUP(H645,'3-Productie normen'!$A$10:$J$24,10,FALSE)*'3-Ruimtestaat'!X645</f>
        <v>0</v>
      </c>
      <c r="AB645" s="292" t="str">
        <f>IF(H645="",0,VLOOKUP(H645,'3-Productie normen'!$A$10:$N$23,14,FALSE))</f>
        <v>V</v>
      </c>
      <c r="AD645" s="296">
        <f t="shared" si="22"/>
        <v>1095</v>
      </c>
      <c r="AE645" s="78"/>
      <c r="AF645" s="297"/>
      <c r="AG645" s="297"/>
      <c r="AH645" s="297"/>
      <c r="AI645" s="297"/>
      <c r="AJ645" s="297"/>
      <c r="AK645" s="298"/>
      <c r="AL645" s="298"/>
      <c r="AM645" s="298"/>
      <c r="AN645" s="298"/>
      <c r="AO645" s="299"/>
    </row>
    <row r="646" spans="1:41" ht="15" customHeight="1">
      <c r="A646" s="254">
        <v>646</v>
      </c>
      <c r="B646" s="253">
        <v>1002</v>
      </c>
      <c r="C646" s="240" t="s">
        <v>118</v>
      </c>
      <c r="D646" s="288" t="s">
        <v>117</v>
      </c>
      <c r="E646" s="289"/>
      <c r="F646" s="239" t="s">
        <v>868</v>
      </c>
      <c r="G646" s="290"/>
      <c r="H646" s="291" t="s">
        <v>155</v>
      </c>
      <c r="I646" s="239" t="s">
        <v>869</v>
      </c>
      <c r="J646" s="424">
        <f t="shared" si="23"/>
        <v>365</v>
      </c>
      <c r="K646" s="425">
        <v>102</v>
      </c>
      <c r="L646" s="425">
        <v>153</v>
      </c>
      <c r="M646" s="425"/>
      <c r="N646" s="425">
        <v>102</v>
      </c>
      <c r="O646" s="425"/>
      <c r="P646" s="425">
        <v>8</v>
      </c>
      <c r="Q646" s="294">
        <v>5</v>
      </c>
      <c r="R646" s="295" t="e">
        <f>IF(K646="nio",0,(K646*Q646)/X646)*VLOOKUP(C646,'2-Uren per locatie'!$B$15:$D$74,3,FALSE)</f>
        <v>#DIV/0!</v>
      </c>
      <c r="S646" s="295" t="e">
        <f>IF(K646="nio",0,(L646*Q646)/Y646)*VLOOKUP(C646,'2-Uren per locatie'!$B$15:$D$74,3,FALSE)</f>
        <v>#DIV/0!</v>
      </c>
      <c r="T646" s="295" t="e">
        <f>IF(K646="nio",0,(M646*Q646)/Z646)*VLOOKUP(C646,'2-Uren per locatie'!$B$15:$D$74,3,FALSE)</f>
        <v>#DIV/0!</v>
      </c>
      <c r="U646" s="295" t="e">
        <f>IF(K646="nio",0,(N646*Q646)/AA646)*VLOOKUP(C646,'2-Uren per locatie'!$B$15:$D$74,3,FALSE)</f>
        <v>#DIV/0!</v>
      </c>
      <c r="V646" s="295" t="e">
        <f>IF(K646="nio",0,(O646*Q646)/Z646)*VLOOKUP(C646,'2-Uren per locatie'!$B$15:$D$74,3,FALSE)</f>
        <v>#DIV/0!</v>
      </c>
      <c r="W646" s="295" t="e">
        <f>IF(K646="nio",0,(P646*Q646)/AA646)*VLOOKUP(C646,'2-Uren per locatie'!$B$15:$D$74,3,FALSE)</f>
        <v>#DIV/0!</v>
      </c>
      <c r="X646" s="485">
        <f>IF(K646="nio",0,IF(K646&gt;0,VLOOKUP(H646,'3-Productie normen'!A:F,VLOOKUP(K646,'3-Productie normen'!$B$29:$C$34,2,FALSE),FALSE)))</f>
        <v>0</v>
      </c>
      <c r="Y646" s="485">
        <f>VLOOKUP(H646,'3-Productie normen'!$A$10:$J$24,8,FALSE)*'3-Ruimtestaat'!X646</f>
        <v>0</v>
      </c>
      <c r="Z646" s="485">
        <f>VLOOKUP(H646,'3-Productie normen'!$A$10:$J$24,9,FALSE)*'3-Ruimtestaat'!X646</f>
        <v>0</v>
      </c>
      <c r="AA646" s="485">
        <f>VLOOKUP(H646,'3-Productie normen'!$A$10:$J$24,10,FALSE)*'3-Ruimtestaat'!X646</f>
        <v>0</v>
      </c>
      <c r="AB646" s="292" t="str">
        <f>IF(H646="",0,VLOOKUP(H646,'3-Productie normen'!$A$10:$N$23,14,FALSE))</f>
        <v>V</v>
      </c>
      <c r="AD646" s="296">
        <f t="shared" si="22"/>
        <v>1825</v>
      </c>
      <c r="AE646" s="78"/>
      <c r="AF646" s="297"/>
      <c r="AG646" s="297"/>
      <c r="AH646" s="297"/>
      <c r="AI646" s="297"/>
      <c r="AJ646" s="297"/>
      <c r="AK646" s="298"/>
      <c r="AL646" s="298"/>
      <c r="AM646" s="298"/>
      <c r="AN646" s="298"/>
      <c r="AO646" s="299"/>
    </row>
    <row r="647" spans="1:41" ht="15" customHeight="1">
      <c r="A647" s="254">
        <v>647</v>
      </c>
      <c r="B647" s="253">
        <v>1002</v>
      </c>
      <c r="C647" s="240" t="s">
        <v>118</v>
      </c>
      <c r="D647" s="288" t="s">
        <v>117</v>
      </c>
      <c r="E647" s="289"/>
      <c r="F647" s="239" t="s">
        <v>868</v>
      </c>
      <c r="G647" s="290"/>
      <c r="H647" s="291" t="s">
        <v>155</v>
      </c>
      <c r="I647" s="239" t="s">
        <v>392</v>
      </c>
      <c r="J647" s="424">
        <f t="shared" si="23"/>
        <v>365</v>
      </c>
      <c r="K647" s="425">
        <v>102</v>
      </c>
      <c r="L647" s="425">
        <v>153</v>
      </c>
      <c r="M647" s="425"/>
      <c r="N647" s="425">
        <v>102</v>
      </c>
      <c r="O647" s="425"/>
      <c r="P647" s="425">
        <v>8</v>
      </c>
      <c r="Q647" s="294">
        <v>110</v>
      </c>
      <c r="R647" s="295" t="e">
        <f>IF(K647="nio",0,(K647*Q647)/X647)*VLOOKUP(C647,'2-Uren per locatie'!$B$15:$D$74,3,FALSE)</f>
        <v>#DIV/0!</v>
      </c>
      <c r="S647" s="295" t="e">
        <f>IF(K647="nio",0,(L647*Q647)/Y647)*VLOOKUP(C647,'2-Uren per locatie'!$B$15:$D$74,3,FALSE)</f>
        <v>#DIV/0!</v>
      </c>
      <c r="T647" s="295" t="e">
        <f>IF(K647="nio",0,(M647*Q647)/Z647)*VLOOKUP(C647,'2-Uren per locatie'!$B$15:$D$74,3,FALSE)</f>
        <v>#DIV/0!</v>
      </c>
      <c r="U647" s="295" t="e">
        <f>IF(K647="nio",0,(N647*Q647)/AA647)*VLOOKUP(C647,'2-Uren per locatie'!$B$15:$D$74,3,FALSE)</f>
        <v>#DIV/0!</v>
      </c>
      <c r="V647" s="295" t="e">
        <f>IF(K647="nio",0,(O647*Q647)/Z647)*VLOOKUP(C647,'2-Uren per locatie'!$B$15:$D$74,3,FALSE)</f>
        <v>#DIV/0!</v>
      </c>
      <c r="W647" s="295" t="e">
        <f>IF(K647="nio",0,(P647*Q647)/AA647)*VLOOKUP(C647,'2-Uren per locatie'!$B$15:$D$74,3,FALSE)</f>
        <v>#DIV/0!</v>
      </c>
      <c r="X647" s="485">
        <f>IF(K647="nio",0,IF(K647&gt;0,VLOOKUP(H647,'3-Productie normen'!A:F,VLOOKUP(K647,'3-Productie normen'!$B$29:$C$34,2,FALSE),FALSE)))</f>
        <v>0</v>
      </c>
      <c r="Y647" s="485">
        <f>VLOOKUP(H647,'3-Productie normen'!$A$10:$J$24,8,FALSE)*'3-Ruimtestaat'!X647</f>
        <v>0</v>
      </c>
      <c r="Z647" s="485">
        <f>VLOOKUP(H647,'3-Productie normen'!$A$10:$J$24,9,FALSE)*'3-Ruimtestaat'!X647</f>
        <v>0</v>
      </c>
      <c r="AA647" s="485">
        <f>VLOOKUP(H647,'3-Productie normen'!$A$10:$J$24,10,FALSE)*'3-Ruimtestaat'!X647</f>
        <v>0</v>
      </c>
      <c r="AB647" s="292" t="str">
        <f>IF(H647="",0,VLOOKUP(H647,'3-Productie normen'!$A$10:$N$23,14,FALSE))</f>
        <v>V</v>
      </c>
      <c r="AD647" s="296">
        <f t="shared" si="22"/>
        <v>40150</v>
      </c>
      <c r="AE647" s="78"/>
      <c r="AF647" s="297"/>
      <c r="AG647" s="297"/>
      <c r="AH647" s="297"/>
      <c r="AI647" s="297"/>
      <c r="AJ647" s="297"/>
      <c r="AK647" s="298"/>
      <c r="AL647" s="298"/>
      <c r="AM647" s="298"/>
      <c r="AN647" s="298"/>
      <c r="AO647" s="299"/>
    </row>
    <row r="648" spans="1:41" ht="15" customHeight="1">
      <c r="A648" s="254">
        <v>648</v>
      </c>
      <c r="B648" s="253">
        <v>1002</v>
      </c>
      <c r="C648" s="240" t="s">
        <v>118</v>
      </c>
      <c r="D648" s="288" t="s">
        <v>117</v>
      </c>
      <c r="E648" s="289"/>
      <c r="F648" s="239" t="s">
        <v>868</v>
      </c>
      <c r="G648" s="290"/>
      <c r="H648" s="291" t="s">
        <v>155</v>
      </c>
      <c r="I648" s="239" t="s">
        <v>392</v>
      </c>
      <c r="J648" s="424">
        <f t="shared" si="23"/>
        <v>365</v>
      </c>
      <c r="K648" s="425">
        <v>102</v>
      </c>
      <c r="L648" s="425">
        <v>153</v>
      </c>
      <c r="M648" s="425"/>
      <c r="N648" s="425">
        <v>102</v>
      </c>
      <c r="O648" s="425"/>
      <c r="P648" s="425">
        <v>8</v>
      </c>
      <c r="Q648" s="294">
        <v>110</v>
      </c>
      <c r="R648" s="295" t="e">
        <f>IF(K648="nio",0,(K648*Q648)/X648)*VLOOKUP(C648,'2-Uren per locatie'!$B$15:$D$74,3,FALSE)</f>
        <v>#DIV/0!</v>
      </c>
      <c r="S648" s="295" t="e">
        <f>IF(K648="nio",0,(L648*Q648)/Y648)*VLOOKUP(C648,'2-Uren per locatie'!$B$15:$D$74,3,FALSE)</f>
        <v>#DIV/0!</v>
      </c>
      <c r="T648" s="295" t="e">
        <f>IF(K648="nio",0,(M648*Q648)/Z648)*VLOOKUP(C648,'2-Uren per locatie'!$B$15:$D$74,3,FALSE)</f>
        <v>#DIV/0!</v>
      </c>
      <c r="U648" s="295" t="e">
        <f>IF(K648="nio",0,(N648*Q648)/AA648)*VLOOKUP(C648,'2-Uren per locatie'!$B$15:$D$74,3,FALSE)</f>
        <v>#DIV/0!</v>
      </c>
      <c r="V648" s="295" t="e">
        <f>IF(K648="nio",0,(O648*Q648)/Z648)*VLOOKUP(C648,'2-Uren per locatie'!$B$15:$D$74,3,FALSE)</f>
        <v>#DIV/0!</v>
      </c>
      <c r="W648" s="295" t="e">
        <f>IF(K648="nio",0,(P648*Q648)/AA648)*VLOOKUP(C648,'2-Uren per locatie'!$B$15:$D$74,3,FALSE)</f>
        <v>#DIV/0!</v>
      </c>
      <c r="X648" s="485">
        <f>IF(K648="nio",0,IF(K648&gt;0,VLOOKUP(H648,'3-Productie normen'!A:F,VLOOKUP(K648,'3-Productie normen'!$B$29:$C$34,2,FALSE),FALSE)))</f>
        <v>0</v>
      </c>
      <c r="Y648" s="485">
        <f>VLOOKUP(H648,'3-Productie normen'!$A$10:$J$24,8,FALSE)*'3-Ruimtestaat'!X648</f>
        <v>0</v>
      </c>
      <c r="Z648" s="485">
        <f>VLOOKUP(H648,'3-Productie normen'!$A$10:$J$24,9,FALSE)*'3-Ruimtestaat'!X648</f>
        <v>0</v>
      </c>
      <c r="AA648" s="485">
        <f>VLOOKUP(H648,'3-Productie normen'!$A$10:$J$24,10,FALSE)*'3-Ruimtestaat'!X648</f>
        <v>0</v>
      </c>
      <c r="AB648" s="292" t="str">
        <f>IF(H648="",0,VLOOKUP(H648,'3-Productie normen'!$A$10:$N$23,14,FALSE))</f>
        <v>V</v>
      </c>
      <c r="AD648" s="296">
        <f t="shared" si="22"/>
        <v>40150</v>
      </c>
      <c r="AE648" s="78"/>
      <c r="AF648" s="297"/>
      <c r="AG648" s="297"/>
      <c r="AH648" s="297"/>
      <c r="AI648" s="297"/>
      <c r="AJ648" s="297"/>
      <c r="AK648" s="298"/>
      <c r="AL648" s="298"/>
      <c r="AM648" s="298"/>
      <c r="AN648" s="298"/>
      <c r="AO648" s="299"/>
    </row>
    <row r="649" spans="1:41" ht="15" customHeight="1">
      <c r="A649" s="254">
        <v>649</v>
      </c>
      <c r="B649" s="253">
        <v>1002</v>
      </c>
      <c r="C649" s="240" t="s">
        <v>118</v>
      </c>
      <c r="D649" s="288" t="s">
        <v>117</v>
      </c>
      <c r="E649" s="289"/>
      <c r="F649" s="239" t="s">
        <v>868</v>
      </c>
      <c r="G649" s="290"/>
      <c r="H649" s="291" t="s">
        <v>155</v>
      </c>
      <c r="I649" s="239" t="s">
        <v>865</v>
      </c>
      <c r="J649" s="424">
        <f t="shared" si="23"/>
        <v>365</v>
      </c>
      <c r="K649" s="425">
        <v>102</v>
      </c>
      <c r="L649" s="425">
        <v>153</v>
      </c>
      <c r="M649" s="425"/>
      <c r="N649" s="425">
        <v>102</v>
      </c>
      <c r="O649" s="425"/>
      <c r="P649" s="425">
        <v>8</v>
      </c>
      <c r="Q649" s="294">
        <v>37.5</v>
      </c>
      <c r="R649" s="295" t="e">
        <f>IF(K649="nio",0,(K649*Q649)/X649)*VLOOKUP(C649,'2-Uren per locatie'!$B$15:$D$74,3,FALSE)</f>
        <v>#DIV/0!</v>
      </c>
      <c r="S649" s="295" t="e">
        <f>IF(K649="nio",0,(L649*Q649)/Y649)*VLOOKUP(C649,'2-Uren per locatie'!$B$15:$D$74,3,FALSE)</f>
        <v>#DIV/0!</v>
      </c>
      <c r="T649" s="295" t="e">
        <f>IF(K649="nio",0,(M649*Q649)/Z649)*VLOOKUP(C649,'2-Uren per locatie'!$B$15:$D$74,3,FALSE)</f>
        <v>#DIV/0!</v>
      </c>
      <c r="U649" s="295" t="e">
        <f>IF(K649="nio",0,(N649*Q649)/AA649)*VLOOKUP(C649,'2-Uren per locatie'!$B$15:$D$74,3,FALSE)</f>
        <v>#DIV/0!</v>
      </c>
      <c r="V649" s="295" t="e">
        <f>IF(K649="nio",0,(O649*Q649)/Z649)*VLOOKUP(C649,'2-Uren per locatie'!$B$15:$D$74,3,FALSE)</f>
        <v>#DIV/0!</v>
      </c>
      <c r="W649" s="295" t="e">
        <f>IF(K649="nio",0,(P649*Q649)/AA649)*VLOOKUP(C649,'2-Uren per locatie'!$B$15:$D$74,3,FALSE)</f>
        <v>#DIV/0!</v>
      </c>
      <c r="X649" s="485">
        <f>IF(K649="nio",0,IF(K649&gt;0,VLOOKUP(H649,'3-Productie normen'!A:F,VLOOKUP(K649,'3-Productie normen'!$B$29:$C$34,2,FALSE),FALSE)))</f>
        <v>0</v>
      </c>
      <c r="Y649" s="485">
        <f>VLOOKUP(H649,'3-Productie normen'!$A$10:$J$24,8,FALSE)*'3-Ruimtestaat'!X649</f>
        <v>0</v>
      </c>
      <c r="Z649" s="485">
        <f>VLOOKUP(H649,'3-Productie normen'!$A$10:$J$24,9,FALSE)*'3-Ruimtestaat'!X649</f>
        <v>0</v>
      </c>
      <c r="AA649" s="485">
        <f>VLOOKUP(H649,'3-Productie normen'!$A$10:$J$24,10,FALSE)*'3-Ruimtestaat'!X649</f>
        <v>0</v>
      </c>
      <c r="AB649" s="292" t="str">
        <f>IF(H649="",0,VLOOKUP(H649,'3-Productie normen'!$A$10:$N$23,14,FALSE))</f>
        <v>V</v>
      </c>
      <c r="AD649" s="296">
        <f t="shared" si="22"/>
        <v>13687.5</v>
      </c>
      <c r="AE649" s="78"/>
      <c r="AF649" s="297"/>
      <c r="AG649" s="297"/>
      <c r="AH649" s="297"/>
      <c r="AI649" s="297"/>
      <c r="AJ649" s="297"/>
      <c r="AK649" s="298"/>
      <c r="AL649" s="298"/>
      <c r="AM649" s="298"/>
      <c r="AN649" s="298"/>
      <c r="AO649" s="299"/>
    </row>
    <row r="650" spans="1:41" ht="15" customHeight="1">
      <c r="A650" s="254">
        <v>650</v>
      </c>
      <c r="B650" s="253">
        <v>1002</v>
      </c>
      <c r="C650" s="240" t="s">
        <v>118</v>
      </c>
      <c r="D650" s="288" t="s">
        <v>117</v>
      </c>
      <c r="E650" s="289"/>
      <c r="F650" s="239" t="s">
        <v>868</v>
      </c>
      <c r="G650" s="290"/>
      <c r="H650" s="291" t="s">
        <v>155</v>
      </c>
      <c r="I650" s="239" t="s">
        <v>865</v>
      </c>
      <c r="J650" s="424">
        <f t="shared" si="23"/>
        <v>365</v>
      </c>
      <c r="K650" s="425">
        <v>102</v>
      </c>
      <c r="L650" s="425">
        <v>153</v>
      </c>
      <c r="M650" s="425"/>
      <c r="N650" s="425">
        <v>102</v>
      </c>
      <c r="O650" s="425"/>
      <c r="P650" s="425">
        <v>8</v>
      </c>
      <c r="Q650" s="294">
        <v>37.5</v>
      </c>
      <c r="R650" s="295" t="e">
        <f>IF(K650="nio",0,(K650*Q650)/X650)*VLOOKUP(C650,'2-Uren per locatie'!$B$15:$D$74,3,FALSE)</f>
        <v>#DIV/0!</v>
      </c>
      <c r="S650" s="295" t="e">
        <f>IF(K650="nio",0,(L650*Q650)/Y650)*VLOOKUP(C650,'2-Uren per locatie'!$B$15:$D$74,3,FALSE)</f>
        <v>#DIV/0!</v>
      </c>
      <c r="T650" s="295" t="e">
        <f>IF(K650="nio",0,(M650*Q650)/Z650)*VLOOKUP(C650,'2-Uren per locatie'!$B$15:$D$74,3,FALSE)</f>
        <v>#DIV/0!</v>
      </c>
      <c r="U650" s="295" t="e">
        <f>IF(K650="nio",0,(N650*Q650)/AA650)*VLOOKUP(C650,'2-Uren per locatie'!$B$15:$D$74,3,FALSE)</f>
        <v>#DIV/0!</v>
      </c>
      <c r="V650" s="295" t="e">
        <f>IF(K650="nio",0,(O650*Q650)/Z650)*VLOOKUP(C650,'2-Uren per locatie'!$B$15:$D$74,3,FALSE)</f>
        <v>#DIV/0!</v>
      </c>
      <c r="W650" s="295" t="e">
        <f>IF(K650="nio",0,(P650*Q650)/AA650)*VLOOKUP(C650,'2-Uren per locatie'!$B$15:$D$74,3,FALSE)</f>
        <v>#DIV/0!</v>
      </c>
      <c r="X650" s="485">
        <f>IF(K650="nio",0,IF(K650&gt;0,VLOOKUP(H650,'3-Productie normen'!A:F,VLOOKUP(K650,'3-Productie normen'!$B$29:$C$34,2,FALSE),FALSE)))</f>
        <v>0</v>
      </c>
      <c r="Y650" s="485">
        <f>VLOOKUP(H650,'3-Productie normen'!$A$10:$J$24,8,FALSE)*'3-Ruimtestaat'!X650</f>
        <v>0</v>
      </c>
      <c r="Z650" s="485">
        <f>VLOOKUP(H650,'3-Productie normen'!$A$10:$J$24,9,FALSE)*'3-Ruimtestaat'!X650</f>
        <v>0</v>
      </c>
      <c r="AA650" s="485">
        <f>VLOOKUP(H650,'3-Productie normen'!$A$10:$J$24,10,FALSE)*'3-Ruimtestaat'!X650</f>
        <v>0</v>
      </c>
      <c r="AB650" s="292" t="str">
        <f>IF(H650="",0,VLOOKUP(H650,'3-Productie normen'!$A$10:$N$23,14,FALSE))</f>
        <v>V</v>
      </c>
      <c r="AD650" s="296">
        <f t="shared" si="22"/>
        <v>13687.5</v>
      </c>
      <c r="AE650" s="78"/>
      <c r="AF650" s="297"/>
      <c r="AG650" s="297"/>
      <c r="AH650" s="297"/>
      <c r="AI650" s="297"/>
      <c r="AJ650" s="297"/>
      <c r="AK650" s="298"/>
      <c r="AL650" s="298"/>
      <c r="AM650" s="298"/>
      <c r="AN650" s="298"/>
      <c r="AO650" s="299"/>
    </row>
    <row r="651" spans="1:41" ht="15" customHeight="1">
      <c r="A651" s="254">
        <v>651</v>
      </c>
      <c r="B651" s="253">
        <v>1002</v>
      </c>
      <c r="C651" s="240" t="s">
        <v>118</v>
      </c>
      <c r="D651" s="288" t="s">
        <v>117</v>
      </c>
      <c r="E651" s="289"/>
      <c r="F651" s="239" t="s">
        <v>868</v>
      </c>
      <c r="G651" s="290"/>
      <c r="H651" s="291" t="s">
        <v>155</v>
      </c>
      <c r="I651" s="239" t="s">
        <v>865</v>
      </c>
      <c r="J651" s="424">
        <f t="shared" si="23"/>
        <v>365</v>
      </c>
      <c r="K651" s="425">
        <v>102</v>
      </c>
      <c r="L651" s="425">
        <v>153</v>
      </c>
      <c r="M651" s="425"/>
      <c r="N651" s="425">
        <v>102</v>
      </c>
      <c r="O651" s="425"/>
      <c r="P651" s="425">
        <v>8</v>
      </c>
      <c r="Q651" s="294">
        <v>37.5</v>
      </c>
      <c r="R651" s="295" t="e">
        <f>IF(K651="nio",0,(K651*Q651)/X651)*VLOOKUP(C651,'2-Uren per locatie'!$B$15:$D$74,3,FALSE)</f>
        <v>#DIV/0!</v>
      </c>
      <c r="S651" s="295" t="e">
        <f>IF(K651="nio",0,(L651*Q651)/Y651)*VLOOKUP(C651,'2-Uren per locatie'!$B$15:$D$74,3,FALSE)</f>
        <v>#DIV/0!</v>
      </c>
      <c r="T651" s="295" t="e">
        <f>IF(K651="nio",0,(M651*Q651)/Z651)*VLOOKUP(C651,'2-Uren per locatie'!$B$15:$D$74,3,FALSE)</f>
        <v>#DIV/0!</v>
      </c>
      <c r="U651" s="295" t="e">
        <f>IF(K651="nio",0,(N651*Q651)/AA651)*VLOOKUP(C651,'2-Uren per locatie'!$B$15:$D$74,3,FALSE)</f>
        <v>#DIV/0!</v>
      </c>
      <c r="V651" s="295" t="e">
        <f>IF(K651="nio",0,(O651*Q651)/Z651)*VLOOKUP(C651,'2-Uren per locatie'!$B$15:$D$74,3,FALSE)</f>
        <v>#DIV/0!</v>
      </c>
      <c r="W651" s="295" t="e">
        <f>IF(K651="nio",0,(P651*Q651)/AA651)*VLOOKUP(C651,'2-Uren per locatie'!$B$15:$D$74,3,FALSE)</f>
        <v>#DIV/0!</v>
      </c>
      <c r="X651" s="485">
        <f>IF(K651="nio",0,IF(K651&gt;0,VLOOKUP(H651,'3-Productie normen'!A:F,VLOOKUP(K651,'3-Productie normen'!$B$29:$C$34,2,FALSE),FALSE)))</f>
        <v>0</v>
      </c>
      <c r="Y651" s="485">
        <f>VLOOKUP(H651,'3-Productie normen'!$A$10:$J$24,8,FALSE)*'3-Ruimtestaat'!X651</f>
        <v>0</v>
      </c>
      <c r="Z651" s="485">
        <f>VLOOKUP(H651,'3-Productie normen'!$A$10:$J$24,9,FALSE)*'3-Ruimtestaat'!X651</f>
        <v>0</v>
      </c>
      <c r="AA651" s="485">
        <f>VLOOKUP(H651,'3-Productie normen'!$A$10:$J$24,10,FALSE)*'3-Ruimtestaat'!X651</f>
        <v>0</v>
      </c>
      <c r="AB651" s="292" t="str">
        <f>IF(H651="",0,VLOOKUP(H651,'3-Productie normen'!$A$10:$N$23,14,FALSE))</f>
        <v>V</v>
      </c>
      <c r="AD651" s="296">
        <f t="shared" si="22"/>
        <v>13687.5</v>
      </c>
      <c r="AE651" s="78"/>
      <c r="AF651" s="297"/>
      <c r="AG651" s="297"/>
      <c r="AH651" s="297"/>
      <c r="AI651" s="297"/>
      <c r="AJ651" s="297"/>
      <c r="AK651" s="298"/>
      <c r="AL651" s="298"/>
      <c r="AM651" s="298"/>
      <c r="AN651" s="298"/>
      <c r="AO651" s="299"/>
    </row>
    <row r="652" spans="1:41" ht="15" customHeight="1">
      <c r="A652" s="254">
        <v>652</v>
      </c>
      <c r="B652" s="253">
        <v>1002</v>
      </c>
      <c r="C652" s="240" t="s">
        <v>118</v>
      </c>
      <c r="D652" s="288" t="s">
        <v>117</v>
      </c>
      <c r="E652" s="289"/>
      <c r="F652" s="239" t="s">
        <v>868</v>
      </c>
      <c r="G652" s="290"/>
      <c r="H652" s="291" t="s">
        <v>155</v>
      </c>
      <c r="I652" s="239" t="s">
        <v>865</v>
      </c>
      <c r="J652" s="424">
        <f t="shared" si="23"/>
        <v>365</v>
      </c>
      <c r="K652" s="425">
        <v>102</v>
      </c>
      <c r="L652" s="425">
        <v>153</v>
      </c>
      <c r="M652" s="425"/>
      <c r="N652" s="425">
        <v>102</v>
      </c>
      <c r="O652" s="425"/>
      <c r="P652" s="425">
        <v>8</v>
      </c>
      <c r="Q652" s="294">
        <v>37.5</v>
      </c>
      <c r="R652" s="295" t="e">
        <f>IF(K652="nio",0,(K652*Q652)/X652)*VLOOKUP(C652,'2-Uren per locatie'!$B$15:$D$74,3,FALSE)</f>
        <v>#DIV/0!</v>
      </c>
      <c r="S652" s="295" t="e">
        <f>IF(K652="nio",0,(L652*Q652)/Y652)*VLOOKUP(C652,'2-Uren per locatie'!$B$15:$D$74,3,FALSE)</f>
        <v>#DIV/0!</v>
      </c>
      <c r="T652" s="295" t="e">
        <f>IF(K652="nio",0,(M652*Q652)/Z652)*VLOOKUP(C652,'2-Uren per locatie'!$B$15:$D$74,3,FALSE)</f>
        <v>#DIV/0!</v>
      </c>
      <c r="U652" s="295" t="e">
        <f>IF(K652="nio",0,(N652*Q652)/AA652)*VLOOKUP(C652,'2-Uren per locatie'!$B$15:$D$74,3,FALSE)</f>
        <v>#DIV/0!</v>
      </c>
      <c r="V652" s="295" t="e">
        <f>IF(K652="nio",0,(O652*Q652)/Z652)*VLOOKUP(C652,'2-Uren per locatie'!$B$15:$D$74,3,FALSE)</f>
        <v>#DIV/0!</v>
      </c>
      <c r="W652" s="295" t="e">
        <f>IF(K652="nio",0,(P652*Q652)/AA652)*VLOOKUP(C652,'2-Uren per locatie'!$B$15:$D$74,3,FALSE)</f>
        <v>#DIV/0!</v>
      </c>
      <c r="X652" s="485">
        <f>IF(K652="nio",0,IF(K652&gt;0,VLOOKUP(H652,'3-Productie normen'!A:F,VLOOKUP(K652,'3-Productie normen'!$B$29:$C$34,2,FALSE),FALSE)))</f>
        <v>0</v>
      </c>
      <c r="Y652" s="485">
        <f>VLOOKUP(H652,'3-Productie normen'!$A$10:$J$24,8,FALSE)*'3-Ruimtestaat'!X652</f>
        <v>0</v>
      </c>
      <c r="Z652" s="485">
        <f>VLOOKUP(H652,'3-Productie normen'!$A$10:$J$24,9,FALSE)*'3-Ruimtestaat'!X652</f>
        <v>0</v>
      </c>
      <c r="AA652" s="485">
        <f>VLOOKUP(H652,'3-Productie normen'!$A$10:$J$24,10,FALSE)*'3-Ruimtestaat'!X652</f>
        <v>0</v>
      </c>
      <c r="AB652" s="292" t="str">
        <f>IF(H652="",0,VLOOKUP(H652,'3-Productie normen'!$A$10:$N$23,14,FALSE))</f>
        <v>V</v>
      </c>
      <c r="AD652" s="296">
        <f t="shared" ref="AD652:AD654" si="24">Q652*J652</f>
        <v>13687.5</v>
      </c>
      <c r="AE652" s="78"/>
      <c r="AF652" s="297"/>
      <c r="AG652" s="297"/>
      <c r="AH652" s="297"/>
      <c r="AI652" s="297"/>
      <c r="AJ652" s="297"/>
      <c r="AK652" s="298"/>
      <c r="AL652" s="298"/>
      <c r="AM652" s="298"/>
      <c r="AN652" s="298"/>
      <c r="AO652" s="299"/>
    </row>
    <row r="653" spans="1:41" ht="15" customHeight="1">
      <c r="A653" s="254">
        <v>653</v>
      </c>
      <c r="B653" s="253">
        <v>1002</v>
      </c>
      <c r="C653" s="240" t="s">
        <v>118</v>
      </c>
      <c r="D653" s="288" t="s">
        <v>117</v>
      </c>
      <c r="E653" s="289"/>
      <c r="F653" s="239" t="s">
        <v>575</v>
      </c>
      <c r="G653" s="290"/>
      <c r="H653" s="291" t="s">
        <v>152</v>
      </c>
      <c r="I653" s="239" t="s">
        <v>865</v>
      </c>
      <c r="J653" s="424">
        <f t="shared" si="23"/>
        <v>365</v>
      </c>
      <c r="K653" s="425">
        <v>102</v>
      </c>
      <c r="L653" s="425">
        <v>153</v>
      </c>
      <c r="M653" s="425"/>
      <c r="N653" s="425">
        <v>102</v>
      </c>
      <c r="O653" s="425"/>
      <c r="P653" s="425">
        <v>8</v>
      </c>
      <c r="Q653" s="294">
        <v>22.5</v>
      </c>
      <c r="R653" s="295" t="e">
        <f>IF(K653="nio",0,(K653*Q653)/X653)*VLOOKUP(C653,'2-Uren per locatie'!$B$15:$D$74,3,FALSE)</f>
        <v>#DIV/0!</v>
      </c>
      <c r="S653" s="295" t="e">
        <f>IF(K653="nio",0,(L653*Q653)/Y653)*VLOOKUP(C653,'2-Uren per locatie'!$B$15:$D$74,3,FALSE)</f>
        <v>#DIV/0!</v>
      </c>
      <c r="T653" s="295" t="e">
        <f>IF(K653="nio",0,(M653*Q653)/Z653)*VLOOKUP(C653,'2-Uren per locatie'!$B$15:$D$74,3,FALSE)</f>
        <v>#DIV/0!</v>
      </c>
      <c r="U653" s="295" t="e">
        <f>IF(K653="nio",0,(N653*Q653)/AA653)*VLOOKUP(C653,'2-Uren per locatie'!$B$15:$D$74,3,FALSE)</f>
        <v>#DIV/0!</v>
      </c>
      <c r="V653" s="295" t="e">
        <f>IF(K653="nio",0,(O653*Q653)/Z653)*VLOOKUP(C653,'2-Uren per locatie'!$B$15:$D$74,3,FALSE)</f>
        <v>#DIV/0!</v>
      </c>
      <c r="W653" s="295" t="e">
        <f>IF(K653="nio",0,(P653*Q653)/AA653)*VLOOKUP(C653,'2-Uren per locatie'!$B$15:$D$74,3,FALSE)</f>
        <v>#DIV/0!</v>
      </c>
      <c r="X653" s="485">
        <f>IF(K653="nio",0,IF(K653&gt;0,VLOOKUP(H653,'3-Productie normen'!A:F,VLOOKUP(K653,'3-Productie normen'!$B$29:$C$34,2,FALSE),FALSE)))</f>
        <v>0</v>
      </c>
      <c r="Y653" s="485">
        <f>VLOOKUP(H653,'3-Productie normen'!$A$10:$J$24,8,FALSE)*'3-Ruimtestaat'!X653</f>
        <v>0</v>
      </c>
      <c r="Z653" s="485">
        <f>VLOOKUP(H653,'3-Productie normen'!$A$10:$J$24,9,FALSE)*'3-Ruimtestaat'!X653</f>
        <v>0</v>
      </c>
      <c r="AA653" s="485">
        <f>VLOOKUP(H653,'3-Productie normen'!$A$10:$J$24,10,FALSE)*'3-Ruimtestaat'!X653</f>
        <v>0</v>
      </c>
      <c r="AB653" s="292" t="str">
        <f>IF(H653="",0,VLOOKUP(H653,'3-Productie normen'!$A$10:$N$23,14,FALSE))</f>
        <v>V</v>
      </c>
      <c r="AD653" s="296">
        <f t="shared" si="24"/>
        <v>8212.5</v>
      </c>
      <c r="AE653" s="78"/>
      <c r="AF653" s="297"/>
      <c r="AG653" s="297"/>
      <c r="AH653" s="297"/>
      <c r="AI653" s="297"/>
      <c r="AJ653" s="297"/>
      <c r="AK653" s="298"/>
      <c r="AL653" s="298"/>
      <c r="AM653" s="298"/>
      <c r="AN653" s="298"/>
      <c r="AO653" s="299"/>
    </row>
    <row r="654" spans="1:41" ht="15" customHeight="1">
      <c r="A654" s="254">
        <v>654</v>
      </c>
      <c r="B654" s="253">
        <v>1002</v>
      </c>
      <c r="C654" s="240" t="s">
        <v>118</v>
      </c>
      <c r="D654" s="288" t="s">
        <v>117</v>
      </c>
      <c r="E654" s="289"/>
      <c r="F654" s="239" t="s">
        <v>575</v>
      </c>
      <c r="G654" s="290"/>
      <c r="H654" s="291" t="s">
        <v>152</v>
      </c>
      <c r="I654" s="239" t="s">
        <v>865</v>
      </c>
      <c r="J654" s="424">
        <f t="shared" si="23"/>
        <v>365</v>
      </c>
      <c r="K654" s="425">
        <v>102</v>
      </c>
      <c r="L654" s="425">
        <v>153</v>
      </c>
      <c r="M654" s="425"/>
      <c r="N654" s="425">
        <v>102</v>
      </c>
      <c r="O654" s="425"/>
      <c r="P654" s="425">
        <v>8</v>
      </c>
      <c r="Q654" s="294">
        <v>22.5</v>
      </c>
      <c r="R654" s="295" t="e">
        <f>IF(K654="nio",0,(K654*Q654)/X654)*VLOOKUP(C654,'2-Uren per locatie'!$B$15:$D$74,3,FALSE)</f>
        <v>#DIV/0!</v>
      </c>
      <c r="S654" s="295" t="e">
        <f>IF(K654="nio",0,(L654*Q654)/Y654)*VLOOKUP(C654,'2-Uren per locatie'!$B$15:$D$74,3,FALSE)</f>
        <v>#DIV/0!</v>
      </c>
      <c r="T654" s="295" t="e">
        <f>IF(K654="nio",0,(M654*Q654)/Z654)*VLOOKUP(C654,'2-Uren per locatie'!$B$15:$D$74,3,FALSE)</f>
        <v>#DIV/0!</v>
      </c>
      <c r="U654" s="295" t="e">
        <f>IF(K654="nio",0,(N654*Q654)/AA654)*VLOOKUP(C654,'2-Uren per locatie'!$B$15:$D$74,3,FALSE)</f>
        <v>#DIV/0!</v>
      </c>
      <c r="V654" s="295" t="e">
        <f>IF(K654="nio",0,(O654*Q654)/Z654)*VLOOKUP(C654,'2-Uren per locatie'!$B$15:$D$74,3,FALSE)</f>
        <v>#DIV/0!</v>
      </c>
      <c r="W654" s="295" t="e">
        <f>IF(K654="nio",0,(P654*Q654)/AA654)*VLOOKUP(C654,'2-Uren per locatie'!$B$15:$D$74,3,FALSE)</f>
        <v>#DIV/0!</v>
      </c>
      <c r="X654" s="485">
        <f>IF(K654="nio",0,IF(K654&gt;0,VLOOKUP(H654,'3-Productie normen'!A:F,VLOOKUP(K654,'3-Productie normen'!$B$29:$C$34,2,FALSE),FALSE)))</f>
        <v>0</v>
      </c>
      <c r="Y654" s="485">
        <f>VLOOKUP(H654,'3-Productie normen'!$A$10:$J$24,8,FALSE)*'3-Ruimtestaat'!X654</f>
        <v>0</v>
      </c>
      <c r="Z654" s="485">
        <f>VLOOKUP(H654,'3-Productie normen'!$A$10:$J$24,9,FALSE)*'3-Ruimtestaat'!X654</f>
        <v>0</v>
      </c>
      <c r="AA654" s="485">
        <f>VLOOKUP(H654,'3-Productie normen'!$A$10:$J$24,10,FALSE)*'3-Ruimtestaat'!X654</f>
        <v>0</v>
      </c>
      <c r="AB654" s="292" t="str">
        <f>IF(H654="",0,VLOOKUP(H654,'3-Productie normen'!$A$10:$N$23,14,FALSE))</f>
        <v>V</v>
      </c>
      <c r="AD654" s="296">
        <f t="shared" si="24"/>
        <v>8212.5</v>
      </c>
      <c r="AE654" s="78"/>
      <c r="AF654" s="297"/>
      <c r="AG654" s="297"/>
      <c r="AH654" s="297"/>
      <c r="AI654" s="297"/>
      <c r="AJ654" s="297"/>
      <c r="AK654" s="298"/>
      <c r="AL654" s="298"/>
      <c r="AM654" s="298"/>
      <c r="AN654" s="298"/>
      <c r="AO654" s="299"/>
    </row>
  </sheetData>
  <autoFilter ref="A11:AF654" xr:uid="{2FAADF5A-D8AD-411E-B65F-FCCD49BA0CCF}"/>
  <phoneticPr fontId="13"/>
  <printOptions horizontalCentered="1" gridLinesSet="0"/>
  <pageMargins left="0.19685039370078741" right="0.19685039370078741" top="0.59055118110236227" bottom="0.78740157480314965" header="0.39370078740157483" footer="0.19685039370078741"/>
  <pageSetup paperSize="8" scale="45" orientation="landscape" r:id="rId1"/>
  <headerFooter>
    <oddFooter>&amp;L&amp;"Verdana,Regular"&amp;F-&amp;A_x000D_Atir b.v. ©&amp;C&amp;R&amp;"Verdana,Regular"printversie &amp;D</oddFooter>
  </headerFooter>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V48"/>
  <sheetViews>
    <sheetView showGridLines="0" zoomScale="86" zoomScaleNormal="86" workbookViewId="0">
      <pane ySplit="15" topLeftCell="A16" activePane="bottomLeft" state="frozen"/>
      <selection pane="bottomLeft" activeCell="D26" sqref="D26"/>
    </sheetView>
  </sheetViews>
  <sheetFormatPr defaultColWidth="8.6640625" defaultRowHeight="13.2"/>
  <cols>
    <col min="1" max="1" width="26.33203125" style="306" customWidth="1"/>
    <col min="2" max="2" width="19.88671875" style="305" bestFit="1" customWidth="1"/>
    <col min="3" max="3" width="24.33203125" style="305" customWidth="1"/>
    <col min="4" max="4" width="52.6640625" style="305" customWidth="1"/>
    <col min="5" max="5" width="12.109375" style="305" bestFit="1" customWidth="1"/>
    <col min="6" max="6" width="18.5546875" style="305" bestFit="1" customWidth="1"/>
    <col min="7" max="7" width="16.6640625" style="306" customWidth="1"/>
    <col min="8" max="10" width="15.6640625" style="306" customWidth="1"/>
    <col min="11" max="12" width="13.109375" style="306" customWidth="1"/>
    <col min="13" max="13" width="14.88671875" style="307" bestFit="1" customWidth="1"/>
    <col min="14" max="14" width="17.109375" style="307" customWidth="1"/>
    <col min="15" max="16384" width="8.6640625" style="307"/>
  </cols>
  <sheetData>
    <row r="1" spans="1:22">
      <c r="A1" s="327" t="s">
        <v>0</v>
      </c>
    </row>
    <row r="2" spans="1:22" ht="15.6">
      <c r="A2" s="305"/>
      <c r="D2" s="308"/>
      <c r="E2" s="308"/>
      <c r="F2" s="308"/>
    </row>
    <row r="3" spans="1:22" ht="15.6">
      <c r="A3" s="229" t="str">
        <f>'1-Totaal inschrijfbedrag'!A3</f>
        <v>Naam opdrachtgever</v>
      </c>
      <c r="C3" s="310" t="str">
        <f>'1-Totaal inschrijfbedrag'!B3</f>
        <v>GVB operatie Metro</v>
      </c>
      <c r="E3" s="311"/>
      <c r="F3" s="308"/>
      <c r="L3" s="312"/>
    </row>
    <row r="4" spans="1:22" ht="15.6">
      <c r="A4" s="229" t="str">
        <f>'1-Totaal inschrijfbedrag'!A4</f>
        <v>Calculatie onderdeel</v>
      </c>
      <c r="C4" s="174" t="str">
        <f ca="1">MID(CELL("bestandsnaam",$C$9),SEARCH("]",CELL("bestandsnaam",$C$9),1)+1,256)</f>
        <v>5-Aanvullend</v>
      </c>
      <c r="E4" s="313"/>
      <c r="F4" s="308"/>
      <c r="H4" s="314"/>
      <c r="I4" s="314"/>
      <c r="J4" s="314"/>
      <c r="K4" s="314"/>
      <c r="L4" s="314"/>
    </row>
    <row r="5" spans="1:22" ht="15.6">
      <c r="A5" s="229" t="str">
        <f>'1-Totaal inschrijfbedrag'!A5</f>
        <v>Gebouw/plaats</v>
      </c>
      <c r="C5" s="310" t="str">
        <f>'1-Totaal inschrijfbedrag'!B5</f>
        <v>Amsterdam</v>
      </c>
      <c r="E5" s="311"/>
      <c r="F5" s="308"/>
      <c r="H5" s="314"/>
      <c r="I5" s="314"/>
      <c r="J5" s="314"/>
      <c r="K5" s="314"/>
      <c r="L5" s="314"/>
    </row>
    <row r="6" spans="1:22" ht="15.6">
      <c r="A6" s="229" t="str">
        <f>'1-Totaal inschrijfbedrag'!A6</f>
        <v>Referentienummer</v>
      </c>
      <c r="C6" s="310" t="str">
        <f>'1-Totaal inschrijfbedrag'!B6</f>
        <v>2024-62</v>
      </c>
      <c r="E6" s="311"/>
      <c r="F6" s="315"/>
      <c r="G6" s="308"/>
      <c r="H6" s="314"/>
      <c r="I6" s="314"/>
      <c r="J6" s="314"/>
      <c r="K6" s="314"/>
      <c r="L6" s="314"/>
    </row>
    <row r="7" spans="1:22" ht="15.6">
      <c r="A7" s="229" t="str">
        <f>'1-Totaal inschrijfbedrag'!A7</f>
        <v>Naam dienstverlener</v>
      </c>
      <c r="C7" s="310">
        <f>'1-Totaal inschrijfbedrag'!B7</f>
        <v>0</v>
      </c>
      <c r="E7" s="311"/>
      <c r="F7" s="315"/>
      <c r="G7" s="308"/>
      <c r="H7" s="314"/>
      <c r="I7" s="314"/>
      <c r="J7" s="308"/>
      <c r="K7" s="308"/>
      <c r="L7" s="314"/>
    </row>
    <row r="8" spans="1:22" ht="15.6">
      <c r="A8" s="229" t="str">
        <f>'1-Totaal inschrijfbedrag'!A8</f>
        <v>Prijspeil</v>
      </c>
      <c r="C8" s="228" t="str">
        <f>'1-Totaal inschrijfbedrag'!B8</f>
        <v>1 juli 2025</v>
      </c>
      <c r="G8" s="305"/>
      <c r="H8" s="305"/>
      <c r="I8" s="314"/>
      <c r="J8" s="308"/>
      <c r="K8" s="308"/>
      <c r="L8" s="314"/>
    </row>
    <row r="9" spans="1:22" ht="15.6">
      <c r="A9" s="229" t="str">
        <f>'1-Totaal inschrijfbedrag'!A9</f>
        <v>Perceel deel</v>
      </c>
      <c r="C9" s="184" t="str">
        <f>'1-Totaal inschrijfbedrag'!B9</f>
        <v>Comfort schoonmaak</v>
      </c>
      <c r="G9" s="305"/>
      <c r="H9" s="305"/>
      <c r="I9" s="314"/>
      <c r="J9" s="308"/>
      <c r="K9" s="308"/>
      <c r="L9" s="314"/>
    </row>
    <row r="10" spans="1:22" ht="15.6">
      <c r="A10" s="317"/>
      <c r="C10" s="318"/>
      <c r="D10" s="318"/>
      <c r="E10" s="318"/>
      <c r="F10" s="319"/>
      <c r="G10" s="319"/>
      <c r="H10" s="314"/>
      <c r="I10" s="314"/>
      <c r="J10" s="314"/>
      <c r="K10" s="308"/>
      <c r="L10" s="308"/>
    </row>
    <row r="11" spans="1:22" ht="15.6">
      <c r="A11" s="282" t="s">
        <v>870</v>
      </c>
      <c r="B11" s="304" t="s">
        <v>871</v>
      </c>
      <c r="C11" s="304" t="s">
        <v>872</v>
      </c>
      <c r="E11" s="316"/>
      <c r="F11" s="315"/>
      <c r="G11" s="308"/>
      <c r="H11" s="314"/>
      <c r="I11" s="308"/>
      <c r="J11" s="314"/>
      <c r="K11" s="307"/>
      <c r="L11" s="307"/>
    </row>
    <row r="12" spans="1:22" ht="15.6">
      <c r="A12" s="320" t="s">
        <v>873</v>
      </c>
      <c r="B12" s="320" t="s">
        <v>874</v>
      </c>
      <c r="C12" s="328">
        <v>0</v>
      </c>
      <c r="E12" s="316"/>
      <c r="F12" s="315"/>
      <c r="G12" s="308"/>
      <c r="H12" s="314"/>
      <c r="I12" s="314"/>
      <c r="J12" s="308"/>
      <c r="K12" s="307"/>
      <c r="L12" s="307"/>
    </row>
    <row r="13" spans="1:22" ht="15.6">
      <c r="A13" s="320" t="s">
        <v>873</v>
      </c>
      <c r="B13" s="320" t="s">
        <v>875</v>
      </c>
      <c r="C13" s="328">
        <v>0</v>
      </c>
      <c r="D13" s="318"/>
      <c r="E13" s="318"/>
      <c r="F13" s="319"/>
      <c r="G13" s="319"/>
      <c r="H13" s="314"/>
      <c r="I13" s="314"/>
      <c r="J13" s="308"/>
      <c r="K13" s="307"/>
      <c r="L13" s="307"/>
    </row>
    <row r="14" spans="1:22" ht="15.6">
      <c r="A14" s="317"/>
      <c r="B14" s="319"/>
      <c r="C14" s="319"/>
      <c r="D14" s="319"/>
      <c r="E14" s="319"/>
      <c r="F14" s="319"/>
      <c r="G14" s="314"/>
      <c r="H14" s="314"/>
      <c r="I14" s="314"/>
    </row>
    <row r="15" spans="1:22" s="41" customFormat="1" ht="65.400000000000006" customHeight="1">
      <c r="A15" s="282" t="s">
        <v>876</v>
      </c>
      <c r="B15" s="282" t="s">
        <v>38</v>
      </c>
      <c r="C15" s="282" t="s">
        <v>39</v>
      </c>
      <c r="D15" s="282" t="s">
        <v>877</v>
      </c>
      <c r="E15" s="304" t="s">
        <v>878</v>
      </c>
      <c r="F15" s="304" t="s">
        <v>879</v>
      </c>
      <c r="G15" s="304" t="s">
        <v>880</v>
      </c>
      <c r="H15" s="304" t="s">
        <v>881</v>
      </c>
      <c r="I15" s="304" t="s">
        <v>882</v>
      </c>
      <c r="J15" s="304" t="s">
        <v>883</v>
      </c>
      <c r="K15" s="304" t="s">
        <v>884</v>
      </c>
      <c r="L15" s="304" t="s">
        <v>885</v>
      </c>
      <c r="M15" s="304" t="s">
        <v>886</v>
      </c>
      <c r="N15" s="307"/>
      <c r="O15" s="302"/>
      <c r="P15" s="302"/>
      <c r="Q15" s="302"/>
      <c r="R15" s="302"/>
      <c r="S15" s="302"/>
      <c r="T15" s="302"/>
      <c r="U15" s="302"/>
      <c r="V15" s="302"/>
    </row>
    <row r="16" spans="1:22">
      <c r="A16" s="329">
        <v>106</v>
      </c>
      <c r="B16" s="321" t="str">
        <f>VLOOKUP(A16,'2-Uren per locatie'!$A$15:$C$74,2,FALSE)</f>
        <v>Amstel</v>
      </c>
      <c r="C16" s="322" t="str">
        <f>VLOOKUP(A16,'2-Uren per locatie'!$A$15:$C$74,3,FALSE)</f>
        <v>Oostlijn bovengronds</v>
      </c>
      <c r="D16" s="323" t="s">
        <v>887</v>
      </c>
      <c r="E16" s="331">
        <v>52</v>
      </c>
      <c r="F16" s="331">
        <v>255</v>
      </c>
      <c r="G16" s="331">
        <v>110</v>
      </c>
      <c r="H16" s="338">
        <v>0</v>
      </c>
      <c r="I16" s="339">
        <v>0.16666666666666666</v>
      </c>
      <c r="J16" s="339">
        <v>0.16666666666666666</v>
      </c>
      <c r="K16" s="332">
        <f t="shared" ref="K16:K19" si="0">$C$12</f>
        <v>0</v>
      </c>
      <c r="L16" s="332">
        <f t="shared" ref="L16:L45" si="1">$C$13</f>
        <v>0</v>
      </c>
      <c r="M16" s="332">
        <f t="shared" ref="M16:M36" si="2">F16*(H16+I16)*K16+G16*(H16+J16)*L16</f>
        <v>0</v>
      </c>
    </row>
    <row r="17" spans="1:13">
      <c r="A17" s="329">
        <v>109</v>
      </c>
      <c r="B17" s="321" t="str">
        <f>VLOOKUP(A17,'2-Uren per locatie'!$A$15:$C$74,2,FALSE)</f>
        <v>Duivendrecht</v>
      </c>
      <c r="C17" s="322" t="str">
        <f>VLOOKUP(A17,'2-Uren per locatie'!$A$15:$C$74,3,FALSE)</f>
        <v>Oostlijn bovengronds</v>
      </c>
      <c r="D17" s="323" t="s">
        <v>887</v>
      </c>
      <c r="E17" s="331">
        <v>46</v>
      </c>
      <c r="F17" s="331">
        <v>255</v>
      </c>
      <c r="G17" s="331">
        <v>110</v>
      </c>
      <c r="H17" s="338">
        <v>0</v>
      </c>
      <c r="I17" s="339">
        <v>0</v>
      </c>
      <c r="J17" s="339">
        <v>0</v>
      </c>
      <c r="K17" s="332">
        <f t="shared" si="0"/>
        <v>0</v>
      </c>
      <c r="L17" s="332">
        <f t="shared" si="1"/>
        <v>0</v>
      </c>
      <c r="M17" s="332">
        <f t="shared" si="2"/>
        <v>0</v>
      </c>
    </row>
    <row r="18" spans="1:13">
      <c r="A18" s="329">
        <v>106</v>
      </c>
      <c r="B18" s="321" t="str">
        <f>VLOOKUP(A18,'2-Uren per locatie'!$A$15:$C$74,2,FALSE)</f>
        <v>Amstel</v>
      </c>
      <c r="C18" s="322" t="str">
        <f>VLOOKUP(A18,'2-Uren per locatie'!$A$15:$C$74,3,FALSE)</f>
        <v>Oostlijn bovengronds</v>
      </c>
      <c r="D18" s="323" t="s">
        <v>888</v>
      </c>
      <c r="E18" s="331">
        <v>16</v>
      </c>
      <c r="F18" s="331">
        <v>255</v>
      </c>
      <c r="G18" s="331">
        <v>110</v>
      </c>
      <c r="H18" s="338">
        <v>0</v>
      </c>
      <c r="I18" s="339">
        <v>0</v>
      </c>
      <c r="J18" s="339">
        <v>0</v>
      </c>
      <c r="K18" s="332">
        <f t="shared" si="0"/>
        <v>0</v>
      </c>
      <c r="L18" s="332">
        <f t="shared" si="1"/>
        <v>0</v>
      </c>
      <c r="M18" s="332">
        <f t="shared" si="2"/>
        <v>0</v>
      </c>
    </row>
    <row r="19" spans="1:13">
      <c r="A19" s="329">
        <v>109</v>
      </c>
      <c r="B19" s="321" t="str">
        <f>VLOOKUP(A19,'2-Uren per locatie'!$A$15:$C$74,2,FALSE)</f>
        <v>Duivendrecht</v>
      </c>
      <c r="C19" s="322" t="str">
        <f>VLOOKUP(A19,'2-Uren per locatie'!$A$15:$C$74,3,FALSE)</f>
        <v>Oostlijn bovengronds</v>
      </c>
      <c r="D19" s="323" t="s">
        <v>888</v>
      </c>
      <c r="E19" s="331">
        <v>8</v>
      </c>
      <c r="F19" s="331">
        <v>255</v>
      </c>
      <c r="G19" s="331">
        <v>110</v>
      </c>
      <c r="H19" s="338">
        <v>0</v>
      </c>
      <c r="I19" s="339">
        <v>0</v>
      </c>
      <c r="J19" s="339">
        <v>0</v>
      </c>
      <c r="K19" s="332">
        <f t="shared" si="0"/>
        <v>0</v>
      </c>
      <c r="L19" s="332">
        <f t="shared" si="1"/>
        <v>0</v>
      </c>
      <c r="M19" s="332">
        <f t="shared" si="2"/>
        <v>0</v>
      </c>
    </row>
    <row r="20" spans="1:13">
      <c r="A20" s="330">
        <v>102</v>
      </c>
      <c r="B20" s="321" t="str">
        <f>VLOOKUP(A20,'2-Uren per locatie'!$A$15:$C$74,2,FALSE)</f>
        <v>Nieuwmarkt</v>
      </c>
      <c r="C20" s="322" t="str">
        <f>VLOOKUP(A20,'2-Uren per locatie'!$A$15:$C$74,3,FALSE)</f>
        <v>Oostlijn ondergronds</v>
      </c>
      <c r="D20" s="324" t="s">
        <v>889</v>
      </c>
      <c r="E20" s="331" t="s">
        <v>890</v>
      </c>
      <c r="F20" s="333"/>
      <c r="G20" s="331">
        <v>110</v>
      </c>
      <c r="H20" s="338">
        <v>0</v>
      </c>
      <c r="I20" s="333"/>
      <c r="J20" s="339">
        <v>0</v>
      </c>
      <c r="K20" s="333"/>
      <c r="L20" s="332">
        <f t="shared" si="1"/>
        <v>0</v>
      </c>
      <c r="M20" s="332">
        <f t="shared" si="2"/>
        <v>0</v>
      </c>
    </row>
    <row r="21" spans="1:13">
      <c r="A21" s="330">
        <v>103</v>
      </c>
      <c r="B21" s="321" t="str">
        <f>VLOOKUP(A21,'2-Uren per locatie'!$A$15:$C$74,2,FALSE)</f>
        <v>Waterlooplein</v>
      </c>
      <c r="C21" s="322" t="str">
        <f>VLOOKUP(A21,'2-Uren per locatie'!$A$15:$C$74,3,FALSE)</f>
        <v>Oostlijn ondergronds</v>
      </c>
      <c r="D21" s="324" t="s">
        <v>889</v>
      </c>
      <c r="E21" s="331" t="s">
        <v>890</v>
      </c>
      <c r="F21" s="333"/>
      <c r="G21" s="331">
        <v>110</v>
      </c>
      <c r="H21" s="338">
        <v>0</v>
      </c>
      <c r="I21" s="333"/>
      <c r="J21" s="339">
        <v>0</v>
      </c>
      <c r="K21" s="333"/>
      <c r="L21" s="332">
        <f t="shared" si="1"/>
        <v>0</v>
      </c>
      <c r="M21" s="332">
        <f t="shared" si="2"/>
        <v>0</v>
      </c>
    </row>
    <row r="22" spans="1:13">
      <c r="A22" s="330">
        <v>104</v>
      </c>
      <c r="B22" s="321" t="str">
        <f>VLOOKUP(A22,'2-Uren per locatie'!$A$15:$C$74,2,FALSE)</f>
        <v>Weesperplein</v>
      </c>
      <c r="C22" s="322" t="str">
        <f>VLOOKUP(A22,'2-Uren per locatie'!$A$15:$C$74,3,FALSE)</f>
        <v>Oostlijn ondergronds</v>
      </c>
      <c r="D22" s="324" t="s">
        <v>889</v>
      </c>
      <c r="E22" s="331" t="s">
        <v>890</v>
      </c>
      <c r="F22" s="333"/>
      <c r="G22" s="331">
        <v>110</v>
      </c>
      <c r="H22" s="338">
        <v>0</v>
      </c>
      <c r="I22" s="333"/>
      <c r="J22" s="339">
        <v>0</v>
      </c>
      <c r="K22" s="333"/>
      <c r="L22" s="332">
        <f t="shared" si="1"/>
        <v>0</v>
      </c>
      <c r="M22" s="332">
        <f t="shared" si="2"/>
        <v>0</v>
      </c>
    </row>
    <row r="23" spans="1:13">
      <c r="A23" s="330">
        <v>105</v>
      </c>
      <c r="B23" s="321" t="str">
        <f>VLOOKUP(A23,'2-Uren per locatie'!$A$15:$C$74,2,FALSE)</f>
        <v>Wibautstraat</v>
      </c>
      <c r="C23" s="322" t="str">
        <f>VLOOKUP(A23,'2-Uren per locatie'!$A$15:$C$74,3,FALSE)</f>
        <v>Oostlijn ondergronds</v>
      </c>
      <c r="D23" s="324" t="s">
        <v>889</v>
      </c>
      <c r="E23" s="331" t="s">
        <v>890</v>
      </c>
      <c r="F23" s="333"/>
      <c r="G23" s="331">
        <v>110</v>
      </c>
      <c r="H23" s="338">
        <v>0</v>
      </c>
      <c r="I23" s="333"/>
      <c r="J23" s="339">
        <v>0</v>
      </c>
      <c r="K23" s="333"/>
      <c r="L23" s="332">
        <f t="shared" si="1"/>
        <v>0</v>
      </c>
      <c r="M23" s="332">
        <f t="shared" si="2"/>
        <v>0</v>
      </c>
    </row>
    <row r="24" spans="1:13">
      <c r="A24" s="330">
        <v>107</v>
      </c>
      <c r="B24" s="321" t="str">
        <f>VLOOKUP(A24,'2-Uren per locatie'!$A$15:$C$74,2,FALSE)</f>
        <v>Spaklerweg</v>
      </c>
      <c r="C24" s="322" t="str">
        <f>VLOOKUP(A24,'2-Uren per locatie'!$A$15:$C$74,3,FALSE)</f>
        <v>Oostlijn bovengronds</v>
      </c>
      <c r="D24" s="324" t="s">
        <v>889</v>
      </c>
      <c r="E24" s="331" t="s">
        <v>890</v>
      </c>
      <c r="F24" s="333"/>
      <c r="G24" s="331">
        <v>110</v>
      </c>
      <c r="H24" s="338">
        <v>0</v>
      </c>
      <c r="I24" s="333"/>
      <c r="J24" s="339">
        <v>0</v>
      </c>
      <c r="K24" s="333"/>
      <c r="L24" s="332">
        <f t="shared" si="1"/>
        <v>0</v>
      </c>
      <c r="M24" s="332">
        <f t="shared" si="2"/>
        <v>0</v>
      </c>
    </row>
    <row r="25" spans="1:13">
      <c r="A25" s="330">
        <v>108</v>
      </c>
      <c r="B25" s="321" t="str">
        <f>VLOOKUP(A25,'2-Uren per locatie'!$A$15:$C$74,2,FALSE)</f>
        <v>Van der Madeweg</v>
      </c>
      <c r="C25" s="322" t="str">
        <f>VLOOKUP(A25,'2-Uren per locatie'!$A$15:$C$74,3,FALSE)</f>
        <v>Oostlijn bovengronds</v>
      </c>
      <c r="D25" s="324" t="s">
        <v>889</v>
      </c>
      <c r="E25" s="331" t="s">
        <v>890</v>
      </c>
      <c r="F25" s="333"/>
      <c r="G25" s="331">
        <v>110</v>
      </c>
      <c r="H25" s="338">
        <v>0</v>
      </c>
      <c r="I25" s="333"/>
      <c r="J25" s="339">
        <v>0</v>
      </c>
      <c r="K25" s="333"/>
      <c r="L25" s="332">
        <f t="shared" si="1"/>
        <v>0</v>
      </c>
      <c r="M25" s="332">
        <f t="shared" si="2"/>
        <v>0</v>
      </c>
    </row>
    <row r="26" spans="1:13">
      <c r="A26" s="330">
        <v>110</v>
      </c>
      <c r="B26" s="321" t="str">
        <f>VLOOKUP(A26,'2-Uren per locatie'!$A$15:$C$74,2,FALSE)</f>
        <v>Strandvliet</v>
      </c>
      <c r="C26" s="322" t="str">
        <f>VLOOKUP(A26,'2-Uren per locatie'!$A$15:$C$74,3,FALSE)</f>
        <v>Oostlijn bovengronds</v>
      </c>
      <c r="D26" s="324" t="s">
        <v>889</v>
      </c>
      <c r="E26" s="331" t="s">
        <v>890</v>
      </c>
      <c r="F26" s="333"/>
      <c r="G26" s="331">
        <v>110</v>
      </c>
      <c r="H26" s="338">
        <v>0</v>
      </c>
      <c r="I26" s="333"/>
      <c r="J26" s="339">
        <v>0</v>
      </c>
      <c r="K26" s="333"/>
      <c r="L26" s="332">
        <f t="shared" si="1"/>
        <v>0</v>
      </c>
      <c r="M26" s="332">
        <f t="shared" si="2"/>
        <v>0</v>
      </c>
    </row>
    <row r="27" spans="1:13">
      <c r="A27" s="330">
        <v>111</v>
      </c>
      <c r="B27" s="321" t="str">
        <f>VLOOKUP(A27,'2-Uren per locatie'!$A$15:$C$74,2,FALSE)</f>
        <v>Bijlmer</v>
      </c>
      <c r="C27" s="322" t="str">
        <f>VLOOKUP(A27,'2-Uren per locatie'!$A$15:$C$74,3,FALSE)</f>
        <v>Oostlijn bovengronds</v>
      </c>
      <c r="D27" s="324" t="s">
        <v>889</v>
      </c>
      <c r="E27" s="331" t="s">
        <v>890</v>
      </c>
      <c r="F27" s="333"/>
      <c r="G27" s="331">
        <v>110</v>
      </c>
      <c r="H27" s="338">
        <v>0</v>
      </c>
      <c r="I27" s="333"/>
      <c r="J27" s="339">
        <v>0</v>
      </c>
      <c r="K27" s="333"/>
      <c r="L27" s="332">
        <f t="shared" si="1"/>
        <v>0</v>
      </c>
      <c r="M27" s="332">
        <f t="shared" si="2"/>
        <v>0</v>
      </c>
    </row>
    <row r="28" spans="1:13">
      <c r="A28" s="330">
        <v>112</v>
      </c>
      <c r="B28" s="321" t="str">
        <f>VLOOKUP(A28,'2-Uren per locatie'!$A$15:$C$74,2,FALSE)</f>
        <v>Bullewijk</v>
      </c>
      <c r="C28" s="322" t="str">
        <f>VLOOKUP(A28,'2-Uren per locatie'!$A$15:$C$74,3,FALSE)</f>
        <v>Oostlijn bovengronds</v>
      </c>
      <c r="D28" s="324" t="s">
        <v>889</v>
      </c>
      <c r="E28" s="331" t="s">
        <v>890</v>
      </c>
      <c r="F28" s="333"/>
      <c r="G28" s="331">
        <v>110</v>
      </c>
      <c r="H28" s="338">
        <v>0</v>
      </c>
      <c r="I28" s="333"/>
      <c r="J28" s="339">
        <v>0</v>
      </c>
      <c r="K28" s="333"/>
      <c r="L28" s="332">
        <f t="shared" si="1"/>
        <v>0</v>
      </c>
      <c r="M28" s="332">
        <f t="shared" si="2"/>
        <v>0</v>
      </c>
    </row>
    <row r="29" spans="1:13">
      <c r="A29" s="330">
        <v>113</v>
      </c>
      <c r="B29" s="321" t="str">
        <f>VLOOKUP(A29,'2-Uren per locatie'!$A$15:$C$74,2,FALSE)</f>
        <v>Holendrecht</v>
      </c>
      <c r="C29" s="322" t="str">
        <f>VLOOKUP(A29,'2-Uren per locatie'!$A$15:$C$74,3,FALSE)</f>
        <v>Oostlijn bovengronds</v>
      </c>
      <c r="D29" s="324" t="s">
        <v>889</v>
      </c>
      <c r="E29" s="331" t="s">
        <v>890</v>
      </c>
      <c r="F29" s="333"/>
      <c r="G29" s="331">
        <v>110</v>
      </c>
      <c r="H29" s="338">
        <v>0</v>
      </c>
      <c r="I29" s="333"/>
      <c r="J29" s="339">
        <v>0</v>
      </c>
      <c r="K29" s="333"/>
      <c r="L29" s="332">
        <f t="shared" si="1"/>
        <v>0</v>
      </c>
      <c r="M29" s="332">
        <f t="shared" si="2"/>
        <v>0</v>
      </c>
    </row>
    <row r="30" spans="1:13">
      <c r="A30" s="330">
        <v>114</v>
      </c>
      <c r="B30" s="321" t="str">
        <f>VLOOKUP(A30,'2-Uren per locatie'!$A$15:$C$74,2,FALSE)</f>
        <v>Reigersbos</v>
      </c>
      <c r="C30" s="322" t="str">
        <f>VLOOKUP(A30,'2-Uren per locatie'!$A$15:$C$74,3,FALSE)</f>
        <v>Oostlijn bovengronds</v>
      </c>
      <c r="D30" s="324" t="s">
        <v>889</v>
      </c>
      <c r="E30" s="331" t="s">
        <v>890</v>
      </c>
      <c r="F30" s="333"/>
      <c r="G30" s="331">
        <v>110</v>
      </c>
      <c r="H30" s="338">
        <v>0</v>
      </c>
      <c r="I30" s="333"/>
      <c r="J30" s="339">
        <v>0</v>
      </c>
      <c r="K30" s="333"/>
      <c r="L30" s="332">
        <f t="shared" si="1"/>
        <v>0</v>
      </c>
      <c r="M30" s="332">
        <f t="shared" si="2"/>
        <v>0</v>
      </c>
    </row>
    <row r="31" spans="1:13">
      <c r="A31" s="330">
        <v>115</v>
      </c>
      <c r="B31" s="321" t="str">
        <f>VLOOKUP(A31,'2-Uren per locatie'!$A$15:$C$74,2,FALSE)</f>
        <v>Gein</v>
      </c>
      <c r="C31" s="322" t="str">
        <f>VLOOKUP(A31,'2-Uren per locatie'!$A$15:$C$74,3,FALSE)</f>
        <v>Oostlijn Bovengronds</v>
      </c>
      <c r="D31" s="324" t="s">
        <v>889</v>
      </c>
      <c r="E31" s="331" t="s">
        <v>890</v>
      </c>
      <c r="F31" s="333"/>
      <c r="G31" s="331">
        <v>110</v>
      </c>
      <c r="H31" s="338">
        <v>0</v>
      </c>
      <c r="I31" s="333"/>
      <c r="J31" s="339">
        <v>0</v>
      </c>
      <c r="K31" s="333"/>
      <c r="L31" s="332">
        <f t="shared" si="1"/>
        <v>0</v>
      </c>
      <c r="M31" s="332">
        <f t="shared" si="2"/>
        <v>0</v>
      </c>
    </row>
    <row r="32" spans="1:13">
      <c r="A32" s="330">
        <v>116</v>
      </c>
      <c r="B32" s="321" t="str">
        <f>VLOOKUP(A32,'2-Uren per locatie'!$A$15:$C$74,2,FALSE)</f>
        <v>Venserpolder</v>
      </c>
      <c r="C32" s="322" t="str">
        <f>VLOOKUP(A32,'2-Uren per locatie'!$A$15:$C$74,3,FALSE)</f>
        <v>Oostlijn bovengronds</v>
      </c>
      <c r="D32" s="324" t="s">
        <v>889</v>
      </c>
      <c r="E32" s="331" t="s">
        <v>890</v>
      </c>
      <c r="F32" s="333"/>
      <c r="G32" s="331">
        <v>110</v>
      </c>
      <c r="H32" s="338">
        <v>0</v>
      </c>
      <c r="I32" s="333"/>
      <c r="J32" s="339">
        <v>0</v>
      </c>
      <c r="K32" s="333"/>
      <c r="L32" s="332">
        <f t="shared" si="1"/>
        <v>0</v>
      </c>
      <c r="M32" s="332">
        <f t="shared" si="2"/>
        <v>0</v>
      </c>
    </row>
    <row r="33" spans="1:13">
      <c r="A33" s="330">
        <v>117</v>
      </c>
      <c r="B33" s="321" t="str">
        <f>VLOOKUP(A33,'2-Uren per locatie'!$A$15:$C$74,2,FALSE)</f>
        <v>Diemen Zuid</v>
      </c>
      <c r="C33" s="322" t="str">
        <f>VLOOKUP(A33,'2-Uren per locatie'!$A$15:$C$74,3,FALSE)</f>
        <v>Oostlijn bovengronds</v>
      </c>
      <c r="D33" s="324" t="s">
        <v>889</v>
      </c>
      <c r="E33" s="331" t="s">
        <v>890</v>
      </c>
      <c r="F33" s="333"/>
      <c r="G33" s="331">
        <v>110</v>
      </c>
      <c r="H33" s="338">
        <v>0</v>
      </c>
      <c r="I33" s="333"/>
      <c r="J33" s="339">
        <v>0</v>
      </c>
      <c r="K33" s="333"/>
      <c r="L33" s="332">
        <f t="shared" si="1"/>
        <v>0</v>
      </c>
      <c r="M33" s="332">
        <f t="shared" si="2"/>
        <v>0</v>
      </c>
    </row>
    <row r="34" spans="1:13">
      <c r="A34" s="330">
        <v>118</v>
      </c>
      <c r="B34" s="321" t="str">
        <f>VLOOKUP(A34,'2-Uren per locatie'!$A$15:$C$74,2,FALSE)</f>
        <v>Verrijn Stuartweg</v>
      </c>
      <c r="C34" s="322" t="str">
        <f>VLOOKUP(A34,'2-Uren per locatie'!$A$15:$C$74,3,FALSE)</f>
        <v>Oostlijn bovengronds</v>
      </c>
      <c r="D34" s="324" t="s">
        <v>889</v>
      </c>
      <c r="E34" s="331" t="s">
        <v>890</v>
      </c>
      <c r="F34" s="333"/>
      <c r="G34" s="331">
        <v>110</v>
      </c>
      <c r="H34" s="338">
        <v>0</v>
      </c>
      <c r="I34" s="333"/>
      <c r="J34" s="339">
        <v>0</v>
      </c>
      <c r="K34" s="333"/>
      <c r="L34" s="332">
        <f t="shared" si="1"/>
        <v>0</v>
      </c>
      <c r="M34" s="332">
        <f t="shared" si="2"/>
        <v>0</v>
      </c>
    </row>
    <row r="35" spans="1:13">
      <c r="A35" s="330">
        <v>119</v>
      </c>
      <c r="B35" s="321" t="str">
        <f>VLOOKUP(A35,'2-Uren per locatie'!$A$15:$C$74,2,FALSE)</f>
        <v>Ganzenhoef</v>
      </c>
      <c r="C35" s="322" t="str">
        <f>VLOOKUP(A35,'2-Uren per locatie'!$A$15:$C$74,3,FALSE)</f>
        <v>Oostlijn bovengronds</v>
      </c>
      <c r="D35" s="324" t="s">
        <v>889</v>
      </c>
      <c r="E35" s="331" t="s">
        <v>890</v>
      </c>
      <c r="F35" s="333"/>
      <c r="G35" s="331">
        <v>110</v>
      </c>
      <c r="H35" s="338">
        <v>0</v>
      </c>
      <c r="I35" s="333"/>
      <c r="J35" s="339">
        <v>0</v>
      </c>
      <c r="K35" s="333"/>
      <c r="L35" s="332">
        <f t="shared" si="1"/>
        <v>0</v>
      </c>
      <c r="M35" s="332">
        <f t="shared" si="2"/>
        <v>0</v>
      </c>
    </row>
    <row r="36" spans="1:13">
      <c r="A36" s="330">
        <v>120</v>
      </c>
      <c r="B36" s="321" t="str">
        <f>VLOOKUP(A36,'2-Uren per locatie'!$A$15:$C$74,2,FALSE)</f>
        <v>Kraaiennest</v>
      </c>
      <c r="C36" s="322" t="str">
        <f>VLOOKUP(A36,'2-Uren per locatie'!$A$15:$C$74,3,FALSE)</f>
        <v>Oostlijn bovengronds</v>
      </c>
      <c r="D36" s="324" t="s">
        <v>889</v>
      </c>
      <c r="E36" s="331" t="s">
        <v>890</v>
      </c>
      <c r="F36" s="333"/>
      <c r="G36" s="331">
        <v>110</v>
      </c>
      <c r="H36" s="338">
        <v>0</v>
      </c>
      <c r="I36" s="333"/>
      <c r="J36" s="339">
        <v>0</v>
      </c>
      <c r="K36" s="333"/>
      <c r="L36" s="332">
        <f t="shared" si="1"/>
        <v>0</v>
      </c>
      <c r="M36" s="332">
        <f t="shared" si="2"/>
        <v>0</v>
      </c>
    </row>
    <row r="37" spans="1:13">
      <c r="A37" s="330">
        <v>121</v>
      </c>
      <c r="B37" s="321" t="str">
        <f>VLOOKUP(A37,'2-Uren per locatie'!$A$15:$C$74,2,FALSE)</f>
        <v>Gaasperplas</v>
      </c>
      <c r="C37" s="322" t="str">
        <f>VLOOKUP(A37,'2-Uren per locatie'!$A$15:$C$74,3,FALSE)</f>
        <v>Oostlijn bovengronds</v>
      </c>
      <c r="D37" s="324" t="s">
        <v>889</v>
      </c>
      <c r="E37" s="331" t="s">
        <v>890</v>
      </c>
      <c r="F37" s="333"/>
      <c r="G37" s="331">
        <v>110</v>
      </c>
      <c r="H37" s="338">
        <v>0</v>
      </c>
      <c r="I37" s="333"/>
      <c r="J37" s="339">
        <v>0</v>
      </c>
      <c r="K37" s="333"/>
      <c r="L37" s="332">
        <f t="shared" si="1"/>
        <v>0</v>
      </c>
      <c r="M37" s="332">
        <f t="shared" ref="M37:M45" si="3">F37*(H37+I37)*K37+G37*(H37+J37)*L37</f>
        <v>0</v>
      </c>
    </row>
    <row r="38" spans="1:13">
      <c r="A38" s="330">
        <v>602</v>
      </c>
      <c r="B38" s="321" t="str">
        <f>VLOOKUP(A38,'2-Uren per locatie'!$A$15:$C$74,2,FALSE)</f>
        <v>De Pijp</v>
      </c>
      <c r="C38" s="322" t="str">
        <f>VLOOKUP(A38,'2-Uren per locatie'!$A$15:$C$74,3,FALSE)</f>
        <v>Noord-zuid lijn</v>
      </c>
      <c r="D38" s="324" t="s">
        <v>891</v>
      </c>
      <c r="E38" s="331" t="s">
        <v>890</v>
      </c>
      <c r="F38" s="331">
        <v>255</v>
      </c>
      <c r="G38" s="331"/>
      <c r="H38" s="338">
        <v>0</v>
      </c>
      <c r="I38" s="339">
        <v>0</v>
      </c>
      <c r="J38" s="339">
        <v>0</v>
      </c>
      <c r="K38" s="332">
        <f t="shared" ref="K38:K45" si="4">$C$12</f>
        <v>0</v>
      </c>
      <c r="L38" s="332">
        <f t="shared" si="1"/>
        <v>0</v>
      </c>
      <c r="M38" s="332">
        <f t="shared" si="3"/>
        <v>0</v>
      </c>
    </row>
    <row r="39" spans="1:13">
      <c r="A39" s="330">
        <v>602</v>
      </c>
      <c r="B39" s="321" t="str">
        <f>VLOOKUP(A39,'2-Uren per locatie'!$A$15:$C$74,2,FALSE)</f>
        <v>De Pijp</v>
      </c>
      <c r="C39" s="322" t="str">
        <f>VLOOKUP(A39,'2-Uren per locatie'!$A$15:$C$74,3,FALSE)</f>
        <v>Noord-zuid lijn</v>
      </c>
      <c r="D39" s="324" t="s">
        <v>892</v>
      </c>
      <c r="E39" s="331" t="s">
        <v>890</v>
      </c>
      <c r="F39" s="331">
        <v>26</v>
      </c>
      <c r="G39" s="331"/>
      <c r="H39" s="338">
        <v>0</v>
      </c>
      <c r="I39" s="339">
        <v>0</v>
      </c>
      <c r="J39" s="339">
        <v>0</v>
      </c>
      <c r="K39" s="332">
        <f t="shared" si="4"/>
        <v>0</v>
      </c>
      <c r="L39" s="332">
        <f t="shared" si="1"/>
        <v>0</v>
      </c>
      <c r="M39" s="332">
        <f t="shared" si="3"/>
        <v>0</v>
      </c>
    </row>
    <row r="40" spans="1:13">
      <c r="A40" s="330">
        <v>604</v>
      </c>
      <c r="B40" s="321" t="str">
        <f>VLOOKUP(A40,'2-Uren per locatie'!$A$15:$C$74,2,FALSE)</f>
        <v>Rokin</v>
      </c>
      <c r="C40" s="322" t="str">
        <f>VLOOKUP(A40,'2-Uren per locatie'!$A$15:$C$74,3,FALSE)</f>
        <v>Noord-zuid lijn</v>
      </c>
      <c r="D40" s="324" t="s">
        <v>891</v>
      </c>
      <c r="E40" s="331" t="s">
        <v>890</v>
      </c>
      <c r="F40" s="331">
        <v>255</v>
      </c>
      <c r="G40" s="331"/>
      <c r="H40" s="338">
        <v>0</v>
      </c>
      <c r="I40" s="339">
        <v>0</v>
      </c>
      <c r="J40" s="339">
        <v>0</v>
      </c>
      <c r="K40" s="332">
        <f t="shared" si="4"/>
        <v>0</v>
      </c>
      <c r="L40" s="332">
        <f t="shared" si="1"/>
        <v>0</v>
      </c>
      <c r="M40" s="332">
        <f t="shared" si="3"/>
        <v>0</v>
      </c>
    </row>
    <row r="41" spans="1:13">
      <c r="A41" s="330">
        <v>605</v>
      </c>
      <c r="B41" s="321" t="str">
        <f>VLOOKUP(A41,'2-Uren per locatie'!$A$15:$C$74,2,FALSE)</f>
        <v>Centraal NZL</v>
      </c>
      <c r="C41" s="322" t="str">
        <f>VLOOKUP(A41,'2-Uren per locatie'!$A$15:$C$74,3,FALSE)</f>
        <v>Noord-zuid lijn</v>
      </c>
      <c r="D41" s="324" t="s">
        <v>891</v>
      </c>
      <c r="E41" s="331" t="s">
        <v>890</v>
      </c>
      <c r="F41" s="331">
        <v>255</v>
      </c>
      <c r="G41" s="331"/>
      <c r="H41" s="338">
        <v>0</v>
      </c>
      <c r="I41" s="339">
        <v>0</v>
      </c>
      <c r="J41" s="339">
        <v>0</v>
      </c>
      <c r="K41" s="332">
        <f t="shared" si="4"/>
        <v>0</v>
      </c>
      <c r="L41" s="332">
        <f t="shared" si="1"/>
        <v>0</v>
      </c>
      <c r="M41" s="332">
        <f t="shared" si="3"/>
        <v>0</v>
      </c>
    </row>
    <row r="42" spans="1:13">
      <c r="A42" s="501">
        <v>101</v>
      </c>
      <c r="B42" s="502" t="str">
        <f>VLOOKUP(A42,'2-Uren per locatie'!$A$15:$C$74,2,FALSE)</f>
        <v>Centraal Oostlijn</v>
      </c>
      <c r="C42" s="503" t="str">
        <f>VLOOKUP(A42,'2-Uren per locatie'!$A$15:$C$74,3,FALSE)</f>
        <v>Oostlijn ondergronds</v>
      </c>
      <c r="D42" s="324" t="s">
        <v>891</v>
      </c>
      <c r="E42" s="331" t="s">
        <v>890</v>
      </c>
      <c r="F42" s="331">
        <v>255</v>
      </c>
      <c r="G42" s="331"/>
      <c r="H42" s="338">
        <v>0</v>
      </c>
      <c r="I42" s="339">
        <v>0</v>
      </c>
      <c r="J42" s="339">
        <v>0</v>
      </c>
      <c r="K42" s="332">
        <f t="shared" si="4"/>
        <v>0</v>
      </c>
      <c r="L42" s="332">
        <f t="shared" si="1"/>
        <v>0</v>
      </c>
      <c r="M42" s="332">
        <f t="shared" si="3"/>
        <v>0</v>
      </c>
    </row>
    <row r="43" spans="1:13">
      <c r="A43" s="330">
        <v>607</v>
      </c>
      <c r="B43" s="321" t="str">
        <f>VLOOKUP(A43,'2-Uren per locatie'!$A$15:$C$74,2,FALSE)</f>
        <v>Noorderpark</v>
      </c>
      <c r="C43" s="322" t="str">
        <f>VLOOKUP(A43,'2-Uren per locatie'!$A$15:$C$74,3,FALSE)</f>
        <v>Noord-zuid lijn</v>
      </c>
      <c r="D43" s="324" t="s">
        <v>891</v>
      </c>
      <c r="E43" s="331" t="s">
        <v>890</v>
      </c>
      <c r="F43" s="331">
        <v>255</v>
      </c>
      <c r="G43" s="331"/>
      <c r="H43" s="338">
        <v>0</v>
      </c>
      <c r="I43" s="339">
        <v>0</v>
      </c>
      <c r="J43" s="339">
        <v>0</v>
      </c>
      <c r="K43" s="332">
        <f t="shared" si="4"/>
        <v>0</v>
      </c>
      <c r="L43" s="332">
        <f t="shared" si="1"/>
        <v>0</v>
      </c>
      <c r="M43" s="332">
        <f t="shared" si="3"/>
        <v>0</v>
      </c>
    </row>
    <row r="44" spans="1:13">
      <c r="A44" s="330">
        <v>608</v>
      </c>
      <c r="B44" s="321" t="str">
        <f>VLOOKUP(A44,'2-Uren per locatie'!$A$15:$C$74,2,FALSE)</f>
        <v>Noord</v>
      </c>
      <c r="C44" s="322" t="str">
        <f>VLOOKUP(A44,'2-Uren per locatie'!$A$15:$C$74,3,FALSE)</f>
        <v>Noord-zuid lijn</v>
      </c>
      <c r="D44" s="324" t="s">
        <v>891</v>
      </c>
      <c r="E44" s="331" t="s">
        <v>890</v>
      </c>
      <c r="F44" s="331">
        <v>255</v>
      </c>
      <c r="G44" s="331"/>
      <c r="H44" s="338">
        <v>0</v>
      </c>
      <c r="I44" s="339">
        <v>0</v>
      </c>
      <c r="J44" s="339">
        <v>0</v>
      </c>
      <c r="K44" s="332">
        <f t="shared" si="4"/>
        <v>0</v>
      </c>
      <c r="L44" s="332">
        <f t="shared" si="1"/>
        <v>0</v>
      </c>
      <c r="M44" s="332">
        <f t="shared" si="3"/>
        <v>0</v>
      </c>
    </row>
    <row r="45" spans="1:13">
      <c r="A45" s="330">
        <v>608</v>
      </c>
      <c r="B45" s="321" t="str">
        <f>VLOOKUP(A45,'2-Uren per locatie'!$A$15:$C$74,2,FALSE)</f>
        <v>Noord</v>
      </c>
      <c r="C45" s="322" t="str">
        <f>VLOOKUP(A45,'2-Uren per locatie'!$A$15:$C$74,3,FALSE)</f>
        <v>Noord-zuid lijn</v>
      </c>
      <c r="D45" s="324" t="s">
        <v>893</v>
      </c>
      <c r="E45" s="331" t="s">
        <v>890</v>
      </c>
      <c r="F45" s="331">
        <v>104</v>
      </c>
      <c r="G45" s="331"/>
      <c r="H45" s="338">
        <v>0</v>
      </c>
      <c r="I45" s="339">
        <v>0</v>
      </c>
      <c r="J45" s="339">
        <v>0</v>
      </c>
      <c r="K45" s="332">
        <f t="shared" si="4"/>
        <v>0</v>
      </c>
      <c r="L45" s="332">
        <f t="shared" si="1"/>
        <v>0</v>
      </c>
      <c r="M45" s="332">
        <f t="shared" si="3"/>
        <v>0</v>
      </c>
    </row>
    <row r="46" spans="1:13">
      <c r="A46" s="325" t="s">
        <v>26</v>
      </c>
      <c r="B46" s="325"/>
      <c r="C46" s="326"/>
      <c r="D46" s="326"/>
      <c r="E46" s="334"/>
      <c r="F46" s="335"/>
      <c r="G46" s="335"/>
      <c r="H46" s="335"/>
      <c r="I46" s="335"/>
      <c r="J46" s="335"/>
      <c r="K46" s="336"/>
      <c r="L46" s="336"/>
      <c r="M46" s="337">
        <f>SUM(M16:M45)</f>
        <v>0</v>
      </c>
    </row>
    <row r="48" spans="1:13" ht="42" customHeight="1">
      <c r="A48" s="541" t="s">
        <v>894</v>
      </c>
      <c r="B48" s="541"/>
      <c r="C48" s="541"/>
      <c r="D48" s="541"/>
    </row>
  </sheetData>
  <autoFilter ref="A15:W46" xr:uid="{22E899AE-5CE8-45A2-9857-865852F2E5B5}"/>
  <mergeCells count="1">
    <mergeCell ref="A48:D48"/>
  </mergeCells>
  <pageMargins left="0.70866141732283472" right="0.70866141732283472" top="0.74803149606299213" bottom="0.74803149606299213" header="0.31496062992125984" footer="0.31496062992125984"/>
  <pageSetup paperSize="9"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L32"/>
  <sheetViews>
    <sheetView showGridLines="0" zoomScale="91" zoomScaleNormal="91" workbookViewId="0">
      <pane ySplit="9" topLeftCell="A12" activePane="bottomLeft" state="frozen"/>
      <selection activeCell="A3" sqref="A3:B8"/>
      <selection pane="bottomLeft" activeCell="I18" sqref="I18"/>
    </sheetView>
  </sheetViews>
  <sheetFormatPr defaultColWidth="9.109375" defaultRowHeight="13.2"/>
  <cols>
    <col min="1" max="1" width="36.33203125" style="41" customWidth="1"/>
    <col min="2" max="2" width="40.6640625" style="41" customWidth="1"/>
    <col min="3" max="4" width="36.33203125" style="41" customWidth="1"/>
    <col min="5" max="5" width="12.88671875" style="41" bestFit="1" customWidth="1"/>
    <col min="6" max="6" width="16.109375" style="41" bestFit="1" customWidth="1"/>
    <col min="7" max="7" width="12.44140625" style="41" bestFit="1" customWidth="1"/>
    <col min="8" max="16384" width="9.109375" style="41"/>
  </cols>
  <sheetData>
    <row r="1" spans="1:12">
      <c r="A1" s="327" t="s">
        <v>0</v>
      </c>
      <c r="B1" s="340"/>
      <c r="C1" s="340"/>
      <c r="D1" s="340"/>
      <c r="E1" s="340"/>
      <c r="F1" s="340"/>
      <c r="G1" s="340"/>
      <c r="H1" s="340"/>
      <c r="I1" s="340"/>
      <c r="J1" s="340"/>
    </row>
    <row r="2" spans="1:12" ht="15.6">
      <c r="A2" s="305"/>
      <c r="B2" s="340"/>
      <c r="C2" s="340"/>
      <c r="D2" s="340"/>
      <c r="E2" s="308"/>
      <c r="F2" s="308"/>
      <c r="G2" s="308"/>
      <c r="H2" s="308"/>
      <c r="I2" s="340"/>
      <c r="J2" s="340"/>
    </row>
    <row r="3" spans="1:12" ht="15.6">
      <c r="A3" s="229" t="str">
        <f>'1-Totaal inschrijfbedrag'!A3</f>
        <v>Naam opdrachtgever</v>
      </c>
      <c r="B3" s="310" t="str">
        <f>'1-Totaal inschrijfbedrag'!B3</f>
        <v>GVB operatie Metro</v>
      </c>
      <c r="C3" s="308"/>
      <c r="D3" s="308"/>
      <c r="E3" s="308"/>
      <c r="F3" s="308"/>
      <c r="G3" s="308"/>
      <c r="H3" s="308"/>
      <c r="I3" s="308"/>
      <c r="J3" s="308"/>
    </row>
    <row r="4" spans="1:12" ht="15.6">
      <c r="A4" s="229" t="str">
        <f>'1-Totaal inschrijfbedrag'!A4</f>
        <v>Calculatie onderdeel</v>
      </c>
      <c r="B4" s="310" t="str">
        <f ca="1">MID(CELL("bestandsnaam",$C$9),SEARCH("]",CELL("bestandsnaam",$C$9),1)+1,256)</f>
        <v>6-Sanitaire voorzieningen</v>
      </c>
      <c r="C4" s="308"/>
      <c r="D4" s="308"/>
      <c r="E4" s="308"/>
      <c r="F4" s="308"/>
      <c r="G4" s="308"/>
      <c r="H4" s="308"/>
      <c r="I4" s="308"/>
      <c r="J4" s="308"/>
    </row>
    <row r="5" spans="1:12" ht="15.6">
      <c r="A5" s="229" t="str">
        <f>'1-Totaal inschrijfbedrag'!A5</f>
        <v>Gebouw/plaats</v>
      </c>
      <c r="B5" s="310" t="str">
        <f>'1-Totaal inschrijfbedrag'!B5</f>
        <v>Amsterdam</v>
      </c>
      <c r="C5" s="308"/>
      <c r="D5" s="308"/>
      <c r="E5" s="308"/>
      <c r="F5" s="308"/>
      <c r="G5" s="308"/>
      <c r="H5" s="308"/>
      <c r="I5" s="308"/>
      <c r="J5" s="308"/>
    </row>
    <row r="6" spans="1:12" ht="15.6">
      <c r="A6" s="229" t="str">
        <f>'1-Totaal inschrijfbedrag'!A6</f>
        <v>Referentienummer</v>
      </c>
      <c r="B6" s="310" t="str">
        <f>'1-Totaal inschrijfbedrag'!B6</f>
        <v>2024-62</v>
      </c>
      <c r="C6" s="308"/>
      <c r="D6" s="308"/>
      <c r="E6" s="308"/>
      <c r="F6" s="308"/>
      <c r="G6" s="308"/>
      <c r="H6" s="308"/>
      <c r="I6" s="308"/>
      <c r="J6" s="308"/>
    </row>
    <row r="7" spans="1:12" ht="15.6">
      <c r="A7" s="229" t="str">
        <f>'1-Totaal inschrijfbedrag'!A7</f>
        <v>Naam dienstverlener</v>
      </c>
      <c r="B7" s="310">
        <f>'1-Totaal inschrijfbedrag'!B7:D7</f>
        <v>0</v>
      </c>
      <c r="C7" s="308"/>
      <c r="D7" s="308"/>
      <c r="E7" s="308"/>
      <c r="F7" s="308"/>
      <c r="G7" s="308"/>
      <c r="H7" s="308"/>
      <c r="I7" s="308"/>
      <c r="J7" s="308"/>
    </row>
    <row r="8" spans="1:12" ht="15.6">
      <c r="A8" s="229" t="str">
        <f>'1-Totaal inschrijfbedrag'!A8</f>
        <v>Prijspeil</v>
      </c>
      <c r="B8" s="228" t="str">
        <f>'1-Totaal inschrijfbedrag'!B8</f>
        <v>1 juli 2025</v>
      </c>
      <c r="C8" s="308"/>
      <c r="D8" s="308"/>
      <c r="E8" s="308"/>
      <c r="F8" s="308"/>
      <c r="G8" s="308"/>
      <c r="H8" s="308"/>
      <c r="I8" s="308"/>
      <c r="J8" s="308"/>
    </row>
    <row r="9" spans="1:12" ht="15.6">
      <c r="A9" s="229" t="str">
        <f>'1-Totaal inschrijfbedrag'!A9</f>
        <v>Perceel deel</v>
      </c>
      <c r="B9" s="184" t="str">
        <f>'1-Totaal inschrijfbedrag'!B9</f>
        <v>Comfort schoonmaak</v>
      </c>
      <c r="C9" s="308"/>
      <c r="D9" s="308"/>
      <c r="E9" s="308"/>
      <c r="F9" s="314"/>
      <c r="G9" s="314"/>
      <c r="H9" s="314"/>
      <c r="I9" s="314"/>
      <c r="J9" s="340"/>
    </row>
    <row r="10" spans="1:12" ht="15.6">
      <c r="A10" s="229"/>
      <c r="B10" s="341"/>
      <c r="C10" s="308"/>
      <c r="D10" s="308"/>
      <c r="E10" s="308"/>
      <c r="F10" s="314"/>
      <c r="G10" s="314"/>
      <c r="H10" s="314"/>
      <c r="I10" s="314"/>
      <c r="J10" s="340"/>
    </row>
    <row r="11" spans="1:12" ht="15.6">
      <c r="A11" s="512" t="s">
        <v>895</v>
      </c>
      <c r="B11" s="341"/>
      <c r="C11" s="308"/>
      <c r="D11" s="308"/>
      <c r="E11" s="308"/>
      <c r="F11" s="314"/>
      <c r="G11" s="314"/>
      <c r="H11" s="314"/>
      <c r="I11" s="314"/>
      <c r="J11" s="340"/>
    </row>
    <row r="12" spans="1:12" ht="15.6">
      <c r="A12" s="309"/>
      <c r="B12" s="342"/>
      <c r="C12" s="319"/>
      <c r="D12" s="319"/>
      <c r="E12" s="319"/>
      <c r="F12" s="314"/>
      <c r="G12" s="314"/>
      <c r="H12" s="314"/>
      <c r="I12" s="314"/>
      <c r="J12" s="340"/>
    </row>
    <row r="13" spans="1:12" ht="15.6">
      <c r="A13" s="282" t="s">
        <v>896</v>
      </c>
      <c r="B13" s="342"/>
      <c r="C13" s="319"/>
      <c r="D13" s="319"/>
      <c r="E13" s="319"/>
      <c r="F13" s="314"/>
      <c r="G13" s="314"/>
      <c r="H13" s="314"/>
      <c r="I13" s="314"/>
      <c r="J13" s="340"/>
    </row>
    <row r="14" spans="1:12" ht="57" customHeight="1">
      <c r="A14" s="282" t="s">
        <v>897</v>
      </c>
      <c r="B14" s="304" t="s">
        <v>898</v>
      </c>
      <c r="C14" s="304" t="s">
        <v>899</v>
      </c>
      <c r="D14" s="304" t="s">
        <v>900</v>
      </c>
      <c r="E14" s="359" t="s">
        <v>901</v>
      </c>
      <c r="F14" s="304" t="s">
        <v>902</v>
      </c>
      <c r="G14" s="304" t="s">
        <v>903</v>
      </c>
      <c r="H14" s="314"/>
      <c r="I14" s="314"/>
      <c r="J14" s="318"/>
      <c r="K14" s="318"/>
      <c r="L14" s="343"/>
    </row>
    <row r="15" spans="1:12" ht="15.6">
      <c r="A15" s="513" t="s">
        <v>904</v>
      </c>
      <c r="B15" s="353"/>
      <c r="C15" s="345" t="s">
        <v>905</v>
      </c>
      <c r="D15" s="353" t="s">
        <v>906</v>
      </c>
      <c r="E15" s="354">
        <v>220</v>
      </c>
      <c r="F15" s="355">
        <v>0</v>
      </c>
      <c r="G15" s="356">
        <f>E15*F15</f>
        <v>0</v>
      </c>
      <c r="H15" s="314"/>
      <c r="I15" s="314"/>
      <c r="J15" s="318"/>
      <c r="K15" s="318"/>
      <c r="L15" s="343"/>
    </row>
    <row r="16" spans="1:12" ht="15.6">
      <c r="A16" s="514" t="s">
        <v>907</v>
      </c>
      <c r="B16" s="353"/>
      <c r="C16" s="348" t="s">
        <v>908</v>
      </c>
      <c r="D16" s="353" t="s">
        <v>909</v>
      </c>
      <c r="E16" s="354">
        <v>170</v>
      </c>
      <c r="F16" s="355">
        <v>0</v>
      </c>
      <c r="G16" s="356">
        <f>E16*F16</f>
        <v>0</v>
      </c>
      <c r="H16" s="314"/>
      <c r="I16" s="314"/>
      <c r="J16" s="318"/>
      <c r="K16" s="318"/>
      <c r="L16" s="343"/>
    </row>
    <row r="17" spans="1:12" ht="26.4">
      <c r="A17" s="514" t="s">
        <v>910</v>
      </c>
      <c r="B17" s="353"/>
      <c r="C17" s="345" t="s">
        <v>911</v>
      </c>
      <c r="D17" s="353" t="s">
        <v>912</v>
      </c>
      <c r="E17" s="354">
        <v>15</v>
      </c>
      <c r="F17" s="355">
        <v>0</v>
      </c>
      <c r="G17" s="356">
        <f>E17*F17</f>
        <v>0</v>
      </c>
      <c r="H17" s="314"/>
      <c r="I17" s="314"/>
      <c r="J17" s="318"/>
      <c r="K17" s="318"/>
      <c r="L17" s="343"/>
    </row>
    <row r="18" spans="1:12" ht="26.4">
      <c r="A18" s="514" t="s">
        <v>913</v>
      </c>
      <c r="B18" s="353"/>
      <c r="C18" s="345" t="s">
        <v>914</v>
      </c>
      <c r="D18" s="353" t="s">
        <v>915</v>
      </c>
      <c r="E18" s="354">
        <v>27</v>
      </c>
      <c r="F18" s="355">
        <v>0</v>
      </c>
      <c r="G18" s="356">
        <f>E18*F18</f>
        <v>0</v>
      </c>
      <c r="H18" s="314"/>
      <c r="I18" s="314"/>
      <c r="J18" s="340"/>
    </row>
    <row r="19" spans="1:12">
      <c r="A19" s="507" t="s">
        <v>26</v>
      </c>
      <c r="B19" s="504"/>
      <c r="C19" s="505"/>
      <c r="D19" s="505"/>
      <c r="E19" s="357"/>
      <c r="F19" s="506"/>
      <c r="G19" s="358">
        <f>SUM(G15:G18)</f>
        <v>0</v>
      </c>
      <c r="H19" s="340"/>
      <c r="I19" s="340"/>
      <c r="J19" s="340"/>
    </row>
    <row r="20" spans="1:12">
      <c r="A20" s="508"/>
      <c r="B20" s="306"/>
      <c r="C20" s="340"/>
      <c r="D20" s="340"/>
      <c r="E20" s="509"/>
      <c r="F20" s="510"/>
      <c r="G20" s="511"/>
      <c r="H20" s="340"/>
      <c r="I20" s="340"/>
      <c r="J20" s="340"/>
    </row>
    <row r="21" spans="1:12" ht="15.6">
      <c r="A21" s="282" t="s">
        <v>916</v>
      </c>
      <c r="B21" s="342"/>
      <c r="C21" s="319"/>
      <c r="D21" s="319"/>
      <c r="E21" s="319"/>
      <c r="F21" s="314"/>
      <c r="G21" s="314"/>
      <c r="H21" s="314"/>
      <c r="I21" s="314"/>
      <c r="J21" s="340"/>
    </row>
    <row r="22" spans="1:12" ht="51.6" customHeight="1">
      <c r="A22" s="282" t="s">
        <v>897</v>
      </c>
      <c r="B22" s="304" t="s">
        <v>898</v>
      </c>
      <c r="C22" s="304" t="s">
        <v>899</v>
      </c>
      <c r="D22" s="304" t="s">
        <v>900</v>
      </c>
      <c r="E22" s="359" t="s">
        <v>901</v>
      </c>
      <c r="F22" s="304" t="s">
        <v>902</v>
      </c>
      <c r="G22" s="304" t="s">
        <v>903</v>
      </c>
      <c r="H22" s="314"/>
      <c r="I22" s="314"/>
      <c r="J22" s="318"/>
      <c r="K22" s="318"/>
      <c r="L22" s="343"/>
    </row>
    <row r="23" spans="1:12" ht="15.6">
      <c r="A23" s="344" t="s">
        <v>904</v>
      </c>
      <c r="B23" s="353"/>
      <c r="C23" s="345" t="s">
        <v>905</v>
      </c>
      <c r="D23" s="346" t="s">
        <v>906</v>
      </c>
      <c r="E23" s="354">
        <v>275</v>
      </c>
      <c r="F23" s="355">
        <v>0</v>
      </c>
      <c r="G23" s="356">
        <f>E23*F23</f>
        <v>0</v>
      </c>
      <c r="H23" s="314"/>
      <c r="I23" s="314"/>
      <c r="J23" s="318"/>
      <c r="K23" s="318"/>
      <c r="L23" s="343"/>
    </row>
    <row r="24" spans="1:12" ht="15.6">
      <c r="A24" s="347" t="s">
        <v>907</v>
      </c>
      <c r="B24" s="353"/>
      <c r="C24" s="348" t="s">
        <v>908</v>
      </c>
      <c r="D24" s="346" t="s">
        <v>917</v>
      </c>
      <c r="E24" s="354">
        <v>28</v>
      </c>
      <c r="F24" s="355">
        <v>0</v>
      </c>
      <c r="G24" s="356">
        <f t="shared" ref="G24:G27" si="0">E24*F24</f>
        <v>0</v>
      </c>
      <c r="H24" s="314"/>
      <c r="I24" s="314"/>
      <c r="J24" s="318"/>
      <c r="K24" s="318"/>
      <c r="L24" s="343"/>
    </row>
    <row r="25" spans="1:12" ht="15.6">
      <c r="A25" s="349" t="s">
        <v>910</v>
      </c>
      <c r="B25" s="353"/>
      <c r="C25" s="345" t="s">
        <v>918</v>
      </c>
      <c r="D25" s="346" t="s">
        <v>919</v>
      </c>
      <c r="E25" s="354">
        <v>6</v>
      </c>
      <c r="F25" s="355">
        <v>0</v>
      </c>
      <c r="G25" s="356">
        <f t="shared" si="0"/>
        <v>0</v>
      </c>
      <c r="H25" s="314"/>
      <c r="I25" s="314"/>
      <c r="J25" s="318"/>
      <c r="K25" s="318"/>
      <c r="L25" s="343"/>
    </row>
    <row r="26" spans="1:12" ht="15.6">
      <c r="A26" s="349" t="s">
        <v>913</v>
      </c>
      <c r="B26" s="353"/>
      <c r="C26" s="345" t="s">
        <v>920</v>
      </c>
      <c r="D26" s="346" t="s">
        <v>921</v>
      </c>
      <c r="E26" s="354">
        <v>30</v>
      </c>
      <c r="F26" s="355">
        <v>0</v>
      </c>
      <c r="G26" s="356">
        <f t="shared" si="0"/>
        <v>0</v>
      </c>
      <c r="H26" s="314"/>
      <c r="I26" s="314"/>
      <c r="J26" s="318"/>
      <c r="K26" s="318"/>
      <c r="L26" s="343"/>
    </row>
    <row r="27" spans="1:12" ht="15.6">
      <c r="A27" s="349" t="s">
        <v>913</v>
      </c>
      <c r="B27" s="353"/>
      <c r="C27" s="345" t="s">
        <v>920</v>
      </c>
      <c r="D27" s="346" t="s">
        <v>921</v>
      </c>
      <c r="E27" s="354">
        <v>32</v>
      </c>
      <c r="F27" s="355">
        <v>0</v>
      </c>
      <c r="G27" s="356">
        <f t="shared" si="0"/>
        <v>0</v>
      </c>
      <c r="H27" s="314"/>
      <c r="I27" s="314"/>
      <c r="J27" s="343"/>
      <c r="K27" s="343"/>
      <c r="L27" s="343"/>
    </row>
    <row r="28" spans="1:12">
      <c r="A28" s="507" t="s">
        <v>26</v>
      </c>
      <c r="B28" s="504"/>
      <c r="C28" s="505"/>
      <c r="D28" s="505"/>
      <c r="E28" s="357"/>
      <c r="F28" s="506"/>
      <c r="G28" s="358">
        <f>SUM(G23:G27)</f>
        <v>0</v>
      </c>
      <c r="H28" s="340"/>
      <c r="I28" s="340"/>
      <c r="J28" s="340"/>
    </row>
    <row r="29" spans="1:12" ht="15.6">
      <c r="A29" s="350"/>
      <c r="B29" s="305"/>
      <c r="C29" s="306"/>
      <c r="D29" s="351"/>
      <c r="E29" s="340"/>
      <c r="F29" s="314"/>
      <c r="G29" s="314"/>
      <c r="H29" s="340"/>
      <c r="I29" s="340"/>
      <c r="J29" s="340"/>
    </row>
    <row r="30" spans="1:12" ht="15.6">
      <c r="A30" s="352" t="s">
        <v>922</v>
      </c>
      <c r="B30" s="305"/>
      <c r="C30" s="306"/>
      <c r="D30" s="351"/>
      <c r="E30" s="340"/>
      <c r="F30" s="314"/>
      <c r="G30" s="314"/>
      <c r="H30" s="340"/>
      <c r="I30" s="340"/>
      <c r="J30" s="340"/>
    </row>
    <row r="31" spans="1:12" ht="15.6">
      <c r="A31" s="350"/>
      <c r="B31" s="305"/>
      <c r="C31" s="306"/>
      <c r="D31" s="351"/>
      <c r="E31" s="340"/>
      <c r="F31" s="314"/>
      <c r="G31" s="314"/>
      <c r="H31" s="340"/>
      <c r="I31" s="340"/>
      <c r="J31" s="340"/>
    </row>
    <row r="32" spans="1:12" ht="30.6" customHeight="1">
      <c r="A32" s="542" t="s">
        <v>923</v>
      </c>
      <c r="B32" s="542"/>
      <c r="C32" s="542"/>
      <c r="D32" s="542"/>
      <c r="E32" s="340"/>
      <c r="F32" s="340"/>
      <c r="G32" s="340"/>
    </row>
  </sheetData>
  <mergeCells count="1">
    <mergeCell ref="A32:D32"/>
  </mergeCells>
  <pageMargins left="0.70866141732283472" right="0.70866141732283472" top="0.74803149606299213" bottom="0.74803149606299213" header="0.31496062992125984" footer="0.31496062992125984"/>
  <pageSetup paperSize="9" scale="6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8086-2078-49E6-9D7A-71EB42CDFE02}">
  <sheetPr>
    <tabColor theme="0" tint="-4.9989318521683403E-2"/>
  </sheetPr>
  <dimension ref="A1:L78"/>
  <sheetViews>
    <sheetView showGridLines="0" zoomScaleNormal="100" workbookViewId="0">
      <pane ySplit="9" topLeftCell="A25" activePane="bottomLeft" state="frozen"/>
      <selection activeCell="A3" sqref="A3:B8"/>
      <selection pane="bottomLeft" activeCell="F31" sqref="F31"/>
    </sheetView>
  </sheetViews>
  <sheetFormatPr defaultColWidth="31.109375" defaultRowHeight="13.2"/>
  <cols>
    <col min="1" max="1" width="31.109375" style="41"/>
    <col min="2" max="2" width="15.44140625" style="41" customWidth="1"/>
    <col min="3" max="3" width="22.6640625" style="41" customWidth="1"/>
    <col min="4" max="4" width="25.5546875" style="41" customWidth="1"/>
    <col min="5" max="5" width="24.6640625" style="41" customWidth="1"/>
    <col min="6" max="7" width="23.6640625" style="41" customWidth="1"/>
    <col min="8" max="8" width="24.33203125" style="41" customWidth="1"/>
    <col min="9" max="16384" width="31.109375" style="41"/>
  </cols>
  <sheetData>
    <row r="1" spans="1:12">
      <c r="A1" s="386" t="s">
        <v>0</v>
      </c>
    </row>
    <row r="3" spans="1:12" ht="15.6">
      <c r="A3" s="229" t="str">
        <f>'1-Totaal inschrijfbedrag'!A3</f>
        <v>Naam opdrachtgever</v>
      </c>
      <c r="B3" s="310" t="str">
        <f>'1-Totaal inschrijfbedrag'!B3</f>
        <v>GVB operatie Metro</v>
      </c>
    </row>
    <row r="4" spans="1:12" ht="15.6">
      <c r="A4" s="229" t="str">
        <f>'1-Totaal inschrijfbedrag'!A4</f>
        <v>Calculatie onderdeel</v>
      </c>
      <c r="B4" s="310" t="str">
        <f ca="1">MID(CELL("bestandsnaam",$C$9),SEARCH("]",CELL("bestandsnaam",$C$9),1)+1,256)</f>
        <v>7a-Gladheidsbestrijding Metro</v>
      </c>
    </row>
    <row r="5" spans="1:12" ht="15.6">
      <c r="A5" s="229" t="str">
        <f>'1-Totaal inschrijfbedrag'!A5</f>
        <v>Gebouw/plaats</v>
      </c>
      <c r="B5" s="310" t="str">
        <f>'1-Totaal inschrijfbedrag'!B5</f>
        <v>Amsterdam</v>
      </c>
      <c r="J5" s="360"/>
      <c r="K5" s="360"/>
      <c r="L5" s="360"/>
    </row>
    <row r="6" spans="1:12" ht="15.6">
      <c r="A6" s="229" t="str">
        <f>'1-Totaal inschrijfbedrag'!A6</f>
        <v>Referentienummer</v>
      </c>
      <c r="B6" s="310" t="str">
        <f>'1-Totaal inschrijfbedrag'!B6</f>
        <v>2024-62</v>
      </c>
    </row>
    <row r="7" spans="1:12" ht="15.6">
      <c r="A7" s="229" t="str">
        <f>'1-Totaal inschrijfbedrag'!A7</f>
        <v>Naam dienstverlener</v>
      </c>
      <c r="B7" s="310">
        <f>'1-Totaal inschrijfbedrag'!B7:D7</f>
        <v>0</v>
      </c>
      <c r="D7" s="524"/>
      <c r="E7" s="524"/>
      <c r="F7" s="524"/>
      <c r="G7" s="524"/>
      <c r="J7" s="265"/>
      <c r="K7" s="265"/>
      <c r="L7" s="265"/>
    </row>
    <row r="8" spans="1:12" ht="15.6">
      <c r="A8" s="229" t="str">
        <f>'1-Totaal inschrijfbedrag'!A8</f>
        <v>Prijspeil</v>
      </c>
      <c r="B8" s="228" t="str">
        <f>'1-Totaal inschrijfbedrag'!B8</f>
        <v>1 juli 2025</v>
      </c>
      <c r="D8" s="524"/>
      <c r="E8" s="524"/>
      <c r="F8" s="524"/>
      <c r="G8" s="524"/>
      <c r="J8" s="265"/>
      <c r="K8" s="265"/>
      <c r="L8" s="265"/>
    </row>
    <row r="9" spans="1:12" ht="15.6">
      <c r="A9" s="229" t="str">
        <f>'1-Totaal inschrijfbedrag'!A9</f>
        <v>Perceel deel</v>
      </c>
      <c r="B9" s="184" t="str">
        <f>'1-Totaal inschrijfbedrag'!B9</f>
        <v>Comfort schoonmaak</v>
      </c>
    </row>
    <row r="11" spans="1:12" ht="54" customHeight="1">
      <c r="A11" s="382" t="s">
        <v>924</v>
      </c>
      <c r="B11" s="382" t="s">
        <v>925</v>
      </c>
      <c r="C11" s="383" t="s">
        <v>926</v>
      </c>
      <c r="D11" s="384" t="s">
        <v>927</v>
      </c>
      <c r="E11" s="384" t="s">
        <v>928</v>
      </c>
      <c r="F11" s="384" t="s">
        <v>929</v>
      </c>
      <c r="G11" s="363"/>
      <c r="H11" s="383" t="s">
        <v>930</v>
      </c>
    </row>
    <row r="12" spans="1:12">
      <c r="A12" s="364" t="s">
        <v>931</v>
      </c>
      <c r="B12" s="385">
        <f>$D$78</f>
        <v>47900</v>
      </c>
      <c r="C12" s="393">
        <v>4</v>
      </c>
      <c r="D12" s="394">
        <v>0</v>
      </c>
      <c r="E12" s="394">
        <v>0</v>
      </c>
      <c r="F12" s="394">
        <v>0</v>
      </c>
      <c r="G12" s="363"/>
      <c r="H12" s="332">
        <f>(((D12+E12)*B30)+(F12*$B$35))*C12</f>
        <v>0</v>
      </c>
    </row>
    <row r="13" spans="1:12">
      <c r="A13" s="364" t="s">
        <v>932</v>
      </c>
      <c r="B13" s="385">
        <f>B12</f>
        <v>47900</v>
      </c>
      <c r="C13" s="393">
        <v>4</v>
      </c>
      <c r="D13" s="394">
        <v>0</v>
      </c>
      <c r="E13" s="394">
        <v>0</v>
      </c>
      <c r="F13" s="394">
        <v>0</v>
      </c>
      <c r="G13" s="363"/>
      <c r="H13" s="332">
        <f>(((D13+E13)*B31)+(F13*$B$35))*C13</f>
        <v>0</v>
      </c>
    </row>
    <row r="14" spans="1:12">
      <c r="A14" s="364" t="s">
        <v>933</v>
      </c>
      <c r="B14" s="385">
        <f t="shared" ref="B14:B15" si="0">B13</f>
        <v>47900</v>
      </c>
      <c r="C14" s="393">
        <v>1</v>
      </c>
      <c r="D14" s="394">
        <v>0</v>
      </c>
      <c r="E14" s="394">
        <v>0</v>
      </c>
      <c r="F14" s="394">
        <v>0</v>
      </c>
      <c r="G14" s="363"/>
      <c r="H14" s="332">
        <f>(((D14+E14)*B32)+(F14*$B$35))*C14</f>
        <v>0</v>
      </c>
    </row>
    <row r="15" spans="1:12">
      <c r="A15" s="364" t="s">
        <v>934</v>
      </c>
      <c r="B15" s="385">
        <f t="shared" si="0"/>
        <v>47900</v>
      </c>
      <c r="C15" s="393">
        <v>1</v>
      </c>
      <c r="D15" s="394">
        <v>0</v>
      </c>
      <c r="E15" s="394">
        <v>0</v>
      </c>
      <c r="F15" s="394">
        <v>0</v>
      </c>
      <c r="G15" s="363"/>
      <c r="H15" s="332">
        <f>(((D15+E15)*B33)+(F15*$B$35))*C15</f>
        <v>0</v>
      </c>
    </row>
    <row r="16" spans="1:12">
      <c r="A16" s="364" t="s">
        <v>935</v>
      </c>
      <c r="B16" s="385">
        <f>$E$78</f>
        <v>17192</v>
      </c>
      <c r="C16" s="395" t="s">
        <v>936</v>
      </c>
      <c r="D16" s="394">
        <v>0</v>
      </c>
      <c r="E16" s="394">
        <v>0</v>
      </c>
      <c r="F16" s="394">
        <v>0</v>
      </c>
      <c r="G16" s="363"/>
      <c r="H16" s="332">
        <f>(((D16+E16)*B30)+(F16*$B$35))*C16</f>
        <v>0</v>
      </c>
    </row>
    <row r="17" spans="1:8">
      <c r="A17" s="364" t="s">
        <v>937</v>
      </c>
      <c r="B17" s="385">
        <f>$E$78</f>
        <v>17192</v>
      </c>
      <c r="C17" s="395" t="s">
        <v>936</v>
      </c>
      <c r="D17" s="394">
        <v>0</v>
      </c>
      <c r="E17" s="394">
        <v>0</v>
      </c>
      <c r="F17" s="394">
        <v>0</v>
      </c>
      <c r="G17" s="363"/>
      <c r="H17" s="332">
        <f>(((D17+E17)*B31)+(F17*$B$35))*C17</f>
        <v>0</v>
      </c>
    </row>
    <row r="18" spans="1:8">
      <c r="A18" s="364" t="s">
        <v>938</v>
      </c>
      <c r="B18" s="385">
        <f>$E$78</f>
        <v>17192</v>
      </c>
      <c r="C18" s="395" t="s">
        <v>820</v>
      </c>
      <c r="D18" s="394">
        <v>0</v>
      </c>
      <c r="E18" s="394">
        <v>0</v>
      </c>
      <c r="F18" s="394">
        <v>0</v>
      </c>
      <c r="G18" s="363"/>
      <c r="H18" s="332">
        <f>(((D18+E18)*B32)+(F18*$B$35))*C18</f>
        <v>0</v>
      </c>
    </row>
    <row r="19" spans="1:8">
      <c r="A19" s="364" t="s">
        <v>939</v>
      </c>
      <c r="B19" s="385">
        <f>$E$78</f>
        <v>17192</v>
      </c>
      <c r="C19" s="395" t="s">
        <v>820</v>
      </c>
      <c r="D19" s="394">
        <v>0</v>
      </c>
      <c r="E19" s="394">
        <v>0</v>
      </c>
      <c r="F19" s="394">
        <v>0</v>
      </c>
      <c r="G19" s="363"/>
      <c r="H19" s="332">
        <f>(((D19+E19)*B33)+(F19*$B$35))*C19</f>
        <v>0</v>
      </c>
    </row>
    <row r="20" spans="1:8">
      <c r="A20" s="365" t="s">
        <v>940</v>
      </c>
      <c r="B20" s="366"/>
      <c r="C20" s="366"/>
      <c r="D20" s="366"/>
      <c r="E20" s="366"/>
      <c r="F20" s="366"/>
      <c r="G20" s="363"/>
      <c r="H20" s="367"/>
    </row>
    <row r="21" spans="1:8">
      <c r="A21" s="368"/>
      <c r="B21" s="362"/>
      <c r="C21" s="362"/>
      <c r="D21" s="362"/>
      <c r="E21" s="361"/>
      <c r="F21" s="363"/>
      <c r="G21" s="363"/>
      <c r="H21" s="369"/>
    </row>
    <row r="22" spans="1:8">
      <c r="A22" s="368" t="s">
        <v>941</v>
      </c>
      <c r="B22" s="362"/>
      <c r="C22" s="362"/>
      <c r="D22" s="362"/>
      <c r="E22" s="362"/>
      <c r="F22" s="363"/>
      <c r="G22" s="363"/>
      <c r="H22" s="369"/>
    </row>
    <row r="23" spans="1:8">
      <c r="A23" s="370" t="s">
        <v>942</v>
      </c>
      <c r="E23" s="362"/>
      <c r="F23" s="363"/>
      <c r="G23" s="363"/>
      <c r="H23" s="390">
        <v>0</v>
      </c>
    </row>
    <row r="24" spans="1:8">
      <c r="A24" s="370" t="s">
        <v>943</v>
      </c>
      <c r="E24" s="362"/>
      <c r="F24" s="363"/>
      <c r="G24" s="363"/>
      <c r="H24" s="390">
        <v>0</v>
      </c>
    </row>
    <row r="25" spans="1:8">
      <c r="A25" s="370"/>
      <c r="B25" s="362"/>
      <c r="C25" s="371"/>
      <c r="D25" s="362"/>
      <c r="E25" s="362"/>
      <c r="F25" s="363"/>
      <c r="G25" s="363"/>
      <c r="H25" s="391"/>
    </row>
    <row r="26" spans="1:8">
      <c r="A26" s="372" t="s">
        <v>944</v>
      </c>
      <c r="B26" s="361"/>
      <c r="C26" s="373"/>
      <c r="D26" s="361"/>
      <c r="E26" s="361"/>
      <c r="F26" s="374"/>
      <c r="G26" s="374"/>
      <c r="H26" s="392">
        <f>SUM(H11:H24)</f>
        <v>0</v>
      </c>
    </row>
    <row r="27" spans="1:8">
      <c r="A27" s="375"/>
      <c r="B27" s="376"/>
      <c r="C27" s="377"/>
      <c r="D27" s="376"/>
      <c r="E27" s="376"/>
      <c r="F27" s="378"/>
      <c r="G27" s="378"/>
      <c r="H27" s="379"/>
    </row>
    <row r="28" spans="1:8">
      <c r="A28" s="371"/>
      <c r="B28" s="362"/>
      <c r="C28" s="371"/>
      <c r="D28" s="362"/>
      <c r="E28" s="362"/>
      <c r="F28" s="363"/>
      <c r="G28" s="363"/>
    </row>
    <row r="29" spans="1:8">
      <c r="A29" s="361" t="s">
        <v>945</v>
      </c>
      <c r="B29" s="362"/>
      <c r="C29" s="362"/>
      <c r="D29" s="362"/>
      <c r="E29" s="362"/>
      <c r="F29" s="363"/>
      <c r="G29" s="363"/>
    </row>
    <row r="30" spans="1:8">
      <c r="A30" s="362" t="s">
        <v>946</v>
      </c>
      <c r="B30" s="328">
        <v>0</v>
      </c>
      <c r="C30" s="362" t="s">
        <v>947</v>
      </c>
      <c r="D30" s="362"/>
      <c r="E30" s="362"/>
      <c r="F30" s="363"/>
      <c r="G30" s="363"/>
    </row>
    <row r="31" spans="1:8">
      <c r="A31" s="362" t="s">
        <v>948</v>
      </c>
      <c r="B31" s="328">
        <v>0</v>
      </c>
      <c r="C31" s="362" t="s">
        <v>947</v>
      </c>
      <c r="D31" s="362"/>
      <c r="E31" s="361"/>
      <c r="F31" s="363"/>
      <c r="G31" s="363"/>
    </row>
    <row r="32" spans="1:8">
      <c r="A32" s="362" t="s">
        <v>949</v>
      </c>
      <c r="B32" s="328">
        <v>0</v>
      </c>
      <c r="C32" s="362" t="s">
        <v>947</v>
      </c>
      <c r="D32" s="362"/>
      <c r="E32" s="361"/>
      <c r="F32" s="363"/>
      <c r="G32" s="363"/>
    </row>
    <row r="33" spans="1:8">
      <c r="A33" s="362" t="s">
        <v>950</v>
      </c>
      <c r="B33" s="328">
        <v>0</v>
      </c>
      <c r="C33" s="362" t="s">
        <v>947</v>
      </c>
      <c r="D33" s="362"/>
      <c r="E33" s="361"/>
      <c r="F33" s="363"/>
      <c r="G33" s="363"/>
    </row>
    <row r="34" spans="1:8">
      <c r="A34" s="362"/>
      <c r="B34" s="380"/>
      <c r="C34" s="362"/>
      <c r="D34" s="433" t="s">
        <v>951</v>
      </c>
      <c r="F34" s="363"/>
      <c r="G34" s="363"/>
    </row>
    <row r="35" spans="1:8" s="1" customFormat="1">
      <c r="A35" s="362" t="s">
        <v>952</v>
      </c>
      <c r="B35" s="328">
        <v>0</v>
      </c>
      <c r="C35" s="362" t="s">
        <v>953</v>
      </c>
      <c r="D35" s="434">
        <v>0</v>
      </c>
      <c r="F35" s="363"/>
      <c r="G35" s="432"/>
    </row>
    <row r="36" spans="1:8">
      <c r="A36" s="362"/>
      <c r="B36" s="380"/>
      <c r="C36" s="362"/>
      <c r="D36" s="362"/>
      <c r="E36" s="362"/>
      <c r="F36" s="363"/>
      <c r="G36" s="363"/>
    </row>
    <row r="37" spans="1:8">
      <c r="A37" s="373" t="s">
        <v>954</v>
      </c>
      <c r="B37" s="371"/>
      <c r="C37" s="371"/>
      <c r="D37" s="371"/>
      <c r="E37" s="371"/>
      <c r="F37" s="371"/>
      <c r="G37" s="371"/>
      <c r="H37" s="381"/>
    </row>
    <row r="38" spans="1:8" ht="26.4">
      <c r="A38" s="387" t="s">
        <v>955</v>
      </c>
      <c r="B38" s="387" t="s">
        <v>38</v>
      </c>
      <c r="C38" s="387" t="s">
        <v>39</v>
      </c>
      <c r="D38" s="383" t="s">
        <v>956</v>
      </c>
      <c r="E38" s="383" t="s">
        <v>957</v>
      </c>
      <c r="F38" s="383" t="s">
        <v>958</v>
      </c>
      <c r="G38" s="388" t="s">
        <v>959</v>
      </c>
    </row>
    <row r="39" spans="1:8" ht="26.4">
      <c r="A39" s="435">
        <v>101</v>
      </c>
      <c r="B39" s="436" t="str">
        <f>VLOOKUP(A39,'2-Uren per locatie'!$A$15:$C$74,2,FALSE)</f>
        <v>Centraal Oostlijn</v>
      </c>
      <c r="C39" s="437" t="str">
        <f>VLOOKUP(A39,'2-Uren per locatie'!$A$15:$C$74,3,FALSE)</f>
        <v>Oostlijn ondergronds</v>
      </c>
      <c r="D39" s="438">
        <v>430</v>
      </c>
      <c r="E39" s="439"/>
      <c r="F39" s="440" t="s">
        <v>952</v>
      </c>
      <c r="G39" s="441" t="s">
        <v>960</v>
      </c>
    </row>
    <row r="40" spans="1:8">
      <c r="A40" s="435">
        <v>102</v>
      </c>
      <c r="B40" s="436" t="str">
        <f>VLOOKUP(A40,'2-Uren per locatie'!$A$15:$C$74,2,FALSE)</f>
        <v>Nieuwmarkt</v>
      </c>
      <c r="C40" s="437" t="str">
        <f>VLOOKUP(A40,'2-Uren per locatie'!$A$15:$C$74,3,FALSE)</f>
        <v>Oostlijn ondergronds</v>
      </c>
      <c r="D40" s="438">
        <v>308</v>
      </c>
      <c r="E40" s="439"/>
      <c r="F40" s="440" t="s">
        <v>952</v>
      </c>
      <c r="G40" s="441"/>
    </row>
    <row r="41" spans="1:8">
      <c r="A41" s="435">
        <v>103</v>
      </c>
      <c r="B41" s="436" t="str">
        <f>VLOOKUP(A41,'2-Uren per locatie'!$A$15:$C$74,2,FALSE)</f>
        <v>Waterlooplein</v>
      </c>
      <c r="C41" s="437" t="str">
        <f>VLOOKUP(A41,'2-Uren per locatie'!$A$15:$C$74,3,FALSE)</f>
        <v>Oostlijn ondergronds</v>
      </c>
      <c r="D41" s="438">
        <v>152</v>
      </c>
      <c r="E41" s="438"/>
      <c r="F41" s="440" t="s">
        <v>952</v>
      </c>
      <c r="G41" s="441"/>
    </row>
    <row r="42" spans="1:8">
      <c r="A42" s="435">
        <v>104</v>
      </c>
      <c r="B42" s="436" t="str">
        <f>VLOOKUP(A42,'2-Uren per locatie'!$A$15:$C$74,2,FALSE)</f>
        <v>Weesperplein</v>
      </c>
      <c r="C42" s="437" t="str">
        <f>VLOOKUP(A42,'2-Uren per locatie'!$A$15:$C$74,3,FALSE)</f>
        <v>Oostlijn ondergronds</v>
      </c>
      <c r="D42" s="438">
        <v>494</v>
      </c>
      <c r="E42" s="438"/>
      <c r="F42" s="440" t="s">
        <v>952</v>
      </c>
      <c r="G42" s="441"/>
    </row>
    <row r="43" spans="1:8">
      <c r="A43" s="435">
        <v>105</v>
      </c>
      <c r="B43" s="436" t="str">
        <f>VLOOKUP(A43,'2-Uren per locatie'!$A$15:$C$74,2,FALSE)</f>
        <v>Wibautstraat</v>
      </c>
      <c r="C43" s="437" t="str">
        <f>VLOOKUP(A43,'2-Uren per locatie'!$A$15:$C$74,3,FALSE)</f>
        <v>Oostlijn ondergronds</v>
      </c>
      <c r="D43" s="438">
        <v>324</v>
      </c>
      <c r="E43" s="438"/>
      <c r="F43" s="440" t="s">
        <v>952</v>
      </c>
      <c r="G43" s="441"/>
    </row>
    <row r="44" spans="1:8">
      <c r="A44" s="435">
        <v>111</v>
      </c>
      <c r="B44" s="436" t="str">
        <f>VLOOKUP(A44,'2-Uren per locatie'!$A$15:$C$74,2,FALSE)</f>
        <v>Bijlmer</v>
      </c>
      <c r="C44" s="437" t="str">
        <f>VLOOKUP(A44,'2-Uren per locatie'!$A$15:$C$74,3,FALSE)</f>
        <v>Oostlijn bovengronds</v>
      </c>
      <c r="D44" s="438">
        <v>2152</v>
      </c>
      <c r="E44" s="438"/>
      <c r="F44" s="440" t="s">
        <v>952</v>
      </c>
      <c r="G44" s="441"/>
    </row>
    <row r="45" spans="1:8">
      <c r="A45" s="435">
        <v>112</v>
      </c>
      <c r="B45" s="436" t="str">
        <f>VLOOKUP(A45,'2-Uren per locatie'!$A$15:$C$74,2,FALSE)</f>
        <v>Bullewijk</v>
      </c>
      <c r="C45" s="437" t="str">
        <f>VLOOKUP(A45,'2-Uren per locatie'!$A$15:$C$74,3,FALSE)</f>
        <v>Oostlijn bovengronds</v>
      </c>
      <c r="D45" s="438">
        <v>1504</v>
      </c>
      <c r="E45" s="438"/>
      <c r="F45" s="440" t="s">
        <v>952</v>
      </c>
      <c r="G45" s="441"/>
    </row>
    <row r="46" spans="1:8">
      <c r="A46" s="435">
        <v>117</v>
      </c>
      <c r="B46" s="436" t="str">
        <f>VLOOKUP(A46,'2-Uren per locatie'!$A$15:$C$74,2,FALSE)</f>
        <v>Diemen Zuid</v>
      </c>
      <c r="C46" s="437" t="str">
        <f>VLOOKUP(A46,'2-Uren per locatie'!$A$15:$C$74,3,FALSE)</f>
        <v>Oostlijn bovengronds</v>
      </c>
      <c r="D46" s="438">
        <v>1511</v>
      </c>
      <c r="E46" s="438"/>
      <c r="F46" s="440" t="s">
        <v>952</v>
      </c>
      <c r="G46" s="441"/>
    </row>
    <row r="47" spans="1:8">
      <c r="A47" s="435">
        <v>121</v>
      </c>
      <c r="B47" s="436" t="str">
        <f>VLOOKUP(A47,'2-Uren per locatie'!$A$15:$C$74,2,FALSE)</f>
        <v>Gaasperplas</v>
      </c>
      <c r="C47" s="437" t="str">
        <f>VLOOKUP(A47,'2-Uren per locatie'!$A$15:$C$74,3,FALSE)</f>
        <v>Oostlijn bovengronds</v>
      </c>
      <c r="D47" s="438">
        <v>1428</v>
      </c>
      <c r="E47" s="438">
        <f>D47</f>
        <v>1428</v>
      </c>
      <c r="F47" s="440" t="s">
        <v>952</v>
      </c>
      <c r="G47" s="441"/>
    </row>
    <row r="48" spans="1:8">
      <c r="A48" s="435">
        <v>119</v>
      </c>
      <c r="B48" s="436" t="str">
        <f>VLOOKUP(A48,'2-Uren per locatie'!$A$15:$C$74,2,FALSE)</f>
        <v>Ganzenhoef</v>
      </c>
      <c r="C48" s="437" t="str">
        <f>VLOOKUP(A48,'2-Uren per locatie'!$A$15:$C$74,3,FALSE)</f>
        <v>Oostlijn bovengronds</v>
      </c>
      <c r="D48" s="438">
        <v>1637</v>
      </c>
      <c r="E48" s="438">
        <v>1637</v>
      </c>
      <c r="F48" s="440" t="s">
        <v>952</v>
      </c>
      <c r="G48" s="441"/>
    </row>
    <row r="49" spans="1:7">
      <c r="A49" s="435">
        <v>115</v>
      </c>
      <c r="B49" s="436" t="str">
        <f>VLOOKUP(A49,'2-Uren per locatie'!$A$15:$C$74,2,FALSE)</f>
        <v>Gein</v>
      </c>
      <c r="C49" s="437" t="str">
        <f>VLOOKUP(A49,'2-Uren per locatie'!$A$15:$C$74,3,FALSE)</f>
        <v>Oostlijn Bovengronds</v>
      </c>
      <c r="D49" s="438">
        <v>1699</v>
      </c>
      <c r="E49" s="438"/>
      <c r="F49" s="440" t="s">
        <v>952</v>
      </c>
      <c r="G49" s="441"/>
    </row>
    <row r="50" spans="1:7">
      <c r="A50" s="435">
        <v>113</v>
      </c>
      <c r="B50" s="436" t="str">
        <f>VLOOKUP(A50,'2-Uren per locatie'!$A$15:$C$74,2,FALSE)</f>
        <v>Holendrecht</v>
      </c>
      <c r="C50" s="437" t="str">
        <f>VLOOKUP(A50,'2-Uren per locatie'!$A$15:$C$74,3,FALSE)</f>
        <v>Oostlijn bovengronds</v>
      </c>
      <c r="D50" s="438">
        <v>1503</v>
      </c>
      <c r="E50" s="438"/>
      <c r="F50" s="440" t="s">
        <v>952</v>
      </c>
      <c r="G50" s="441"/>
    </row>
    <row r="51" spans="1:7">
      <c r="A51" s="435">
        <v>120</v>
      </c>
      <c r="B51" s="436" t="str">
        <f>VLOOKUP(A51,'2-Uren per locatie'!$A$15:$C$74,2,FALSE)</f>
        <v>Kraaiennest</v>
      </c>
      <c r="C51" s="437" t="str">
        <f>VLOOKUP(A51,'2-Uren per locatie'!$A$15:$C$74,3,FALSE)</f>
        <v>Oostlijn bovengronds</v>
      </c>
      <c r="D51" s="438">
        <v>1881</v>
      </c>
      <c r="E51" s="438">
        <v>1881</v>
      </c>
      <c r="F51" s="440" t="s">
        <v>952</v>
      </c>
      <c r="G51" s="441"/>
    </row>
    <row r="52" spans="1:7">
      <c r="A52" s="435">
        <v>114</v>
      </c>
      <c r="B52" s="436" t="str">
        <f>VLOOKUP(A52,'2-Uren per locatie'!$A$15:$C$74,2,FALSE)</f>
        <v>Reigersbos</v>
      </c>
      <c r="C52" s="437" t="str">
        <f>VLOOKUP(A52,'2-Uren per locatie'!$A$15:$C$74,3,FALSE)</f>
        <v>Oostlijn bovengronds</v>
      </c>
      <c r="D52" s="438">
        <v>1503</v>
      </c>
      <c r="E52" s="438"/>
      <c r="F52" s="440" t="s">
        <v>952</v>
      </c>
      <c r="G52" s="441"/>
    </row>
    <row r="53" spans="1:7">
      <c r="A53" s="435">
        <v>107</v>
      </c>
      <c r="B53" s="436" t="str">
        <f>VLOOKUP(A53,'2-Uren per locatie'!$A$15:$C$74,2,FALSE)</f>
        <v>Spaklerweg</v>
      </c>
      <c r="C53" s="437" t="str">
        <f>VLOOKUP(A53,'2-Uren per locatie'!$A$15:$C$74,3,FALSE)</f>
        <v>Oostlijn bovengronds</v>
      </c>
      <c r="D53" s="438">
        <v>2546</v>
      </c>
      <c r="E53" s="438">
        <f>D53</f>
        <v>2546</v>
      </c>
      <c r="F53" s="440" t="s">
        <v>952</v>
      </c>
      <c r="G53" s="441"/>
    </row>
    <row r="54" spans="1:7">
      <c r="A54" s="435">
        <v>110</v>
      </c>
      <c r="B54" s="436" t="str">
        <f>VLOOKUP(A54,'2-Uren per locatie'!$A$15:$C$74,2,FALSE)</f>
        <v>Strandvliet</v>
      </c>
      <c r="C54" s="437" t="str">
        <f>VLOOKUP(A54,'2-Uren per locatie'!$A$15:$C$74,3,FALSE)</f>
        <v>Oostlijn bovengronds</v>
      </c>
      <c r="D54" s="438">
        <v>1503</v>
      </c>
      <c r="E54" s="438"/>
      <c r="F54" s="440" t="s">
        <v>952</v>
      </c>
      <c r="G54" s="441"/>
    </row>
    <row r="55" spans="1:7">
      <c r="A55" s="435">
        <v>108</v>
      </c>
      <c r="B55" s="436" t="str">
        <f>VLOOKUP(A55,'2-Uren per locatie'!$A$15:$C$74,2,FALSE)</f>
        <v>Van der Madeweg</v>
      </c>
      <c r="C55" s="437" t="str">
        <f>VLOOKUP(A55,'2-Uren per locatie'!$A$15:$C$74,3,FALSE)</f>
        <v>Oostlijn bovengronds</v>
      </c>
      <c r="D55" s="438">
        <v>2914</v>
      </c>
      <c r="E55" s="438">
        <f>D55</f>
        <v>2914</v>
      </c>
      <c r="F55" s="440" t="s">
        <v>952</v>
      </c>
      <c r="G55" s="441"/>
    </row>
    <row r="56" spans="1:7">
      <c r="A56" s="435">
        <v>116</v>
      </c>
      <c r="B56" s="436" t="str">
        <f>VLOOKUP(A56,'2-Uren per locatie'!$A$15:$C$74,2,FALSE)</f>
        <v>Venserpolder</v>
      </c>
      <c r="C56" s="437" t="str">
        <f>VLOOKUP(A56,'2-Uren per locatie'!$A$15:$C$74,3,FALSE)</f>
        <v>Oostlijn bovengronds</v>
      </c>
      <c r="D56" s="438">
        <v>1648</v>
      </c>
      <c r="E56" s="438"/>
      <c r="F56" s="440" t="s">
        <v>952</v>
      </c>
      <c r="G56" s="441"/>
    </row>
    <row r="57" spans="1:7">
      <c r="A57" s="435">
        <v>118</v>
      </c>
      <c r="B57" s="436" t="str">
        <f>VLOOKUP(A57,'2-Uren per locatie'!$A$15:$C$74,2,FALSE)</f>
        <v>Verrijn Stuartweg</v>
      </c>
      <c r="C57" s="437" t="str">
        <f>VLOOKUP(A57,'2-Uren per locatie'!$A$15:$C$74,3,FALSE)</f>
        <v>Oostlijn bovengronds</v>
      </c>
      <c r="D57" s="438">
        <v>1340</v>
      </c>
      <c r="E57" s="438"/>
      <c r="F57" s="440" t="s">
        <v>952</v>
      </c>
      <c r="G57" s="441"/>
    </row>
    <row r="58" spans="1:7">
      <c r="A58" s="435">
        <v>301</v>
      </c>
      <c r="B58" s="436" t="str">
        <f>VLOOKUP(A58,'2-Uren per locatie'!$A$15:$C$74,2,FALSE)</f>
        <v>Overamstel</v>
      </c>
      <c r="C58" s="437" t="str">
        <f>VLOOKUP(A58,'2-Uren per locatie'!$A$15:$C$74,3,FALSE)</f>
        <v>Ringlijn</v>
      </c>
      <c r="D58" s="438">
        <v>1400</v>
      </c>
      <c r="E58" s="438">
        <f>D58</f>
        <v>1400</v>
      </c>
      <c r="F58" s="440" t="s">
        <v>952</v>
      </c>
      <c r="G58" s="441"/>
    </row>
    <row r="59" spans="1:7">
      <c r="A59" s="435">
        <v>302</v>
      </c>
      <c r="B59" s="436" t="str">
        <f>VLOOKUP(A59,'2-Uren per locatie'!$A$15:$C$74,2,FALSE)</f>
        <v>Rai</v>
      </c>
      <c r="C59" s="437" t="str">
        <f>VLOOKUP(A59,'2-Uren per locatie'!$A$15:$C$74,3,FALSE)</f>
        <v>Ringlijn</v>
      </c>
      <c r="D59" s="438">
        <v>1178</v>
      </c>
      <c r="E59" s="438"/>
      <c r="F59" s="440" t="s">
        <v>952</v>
      </c>
      <c r="G59" s="441"/>
    </row>
    <row r="60" spans="1:7">
      <c r="A60" s="435">
        <v>303</v>
      </c>
      <c r="B60" s="436" t="str">
        <f>VLOOKUP(A60,'2-Uren per locatie'!$A$15:$C$74,2,FALSE)</f>
        <v>Zuid</v>
      </c>
      <c r="C60" s="437" t="str">
        <f>VLOOKUP(A60,'2-Uren per locatie'!$A$15:$C$74,3,FALSE)</f>
        <v>Ringlijn</v>
      </c>
      <c r="D60" s="438">
        <v>1703</v>
      </c>
      <c r="E60" s="438"/>
      <c r="F60" s="440" t="s">
        <v>952</v>
      </c>
      <c r="G60" s="441"/>
    </row>
    <row r="61" spans="1:7">
      <c r="A61" s="435">
        <v>304</v>
      </c>
      <c r="B61" s="436" t="str">
        <f>VLOOKUP(A61,'2-Uren per locatie'!$A$15:$C$74,2,FALSE)</f>
        <v>Amstelveenseweg</v>
      </c>
      <c r="C61" s="437" t="str">
        <f>VLOOKUP(A61,'2-Uren per locatie'!$A$15:$C$74,3,FALSE)</f>
        <v>Ringlijn</v>
      </c>
      <c r="D61" s="438">
        <v>1685</v>
      </c>
      <c r="E61" s="438">
        <f>D61</f>
        <v>1685</v>
      </c>
      <c r="F61" s="440" t="s">
        <v>952</v>
      </c>
      <c r="G61" s="441"/>
    </row>
    <row r="62" spans="1:7">
      <c r="A62" s="435">
        <v>305</v>
      </c>
      <c r="B62" s="436" t="str">
        <f>VLOOKUP(A62,'2-Uren per locatie'!$A$15:$C$74,2,FALSE)</f>
        <v>Henk Sneevlietweg</v>
      </c>
      <c r="C62" s="437" t="str">
        <f>VLOOKUP(A62,'2-Uren per locatie'!$A$15:$C$74,3,FALSE)</f>
        <v>Ringlijn</v>
      </c>
      <c r="D62" s="438">
        <v>1179</v>
      </c>
      <c r="E62" s="438"/>
      <c r="F62" s="440" t="s">
        <v>952</v>
      </c>
      <c r="G62" s="441"/>
    </row>
    <row r="63" spans="1:7">
      <c r="A63" s="435">
        <v>306</v>
      </c>
      <c r="B63" s="436" t="str">
        <f>VLOOKUP(A63,'2-Uren per locatie'!$A$15:$C$74,2,FALSE)</f>
        <v>Heemstedestraat</v>
      </c>
      <c r="C63" s="437" t="str">
        <f>VLOOKUP(A63,'2-Uren per locatie'!$A$15:$C$74,3,FALSE)</f>
        <v>Ringlijn</v>
      </c>
      <c r="D63" s="438">
        <v>1534</v>
      </c>
      <c r="E63" s="438"/>
      <c r="F63" s="440" t="s">
        <v>952</v>
      </c>
      <c r="G63" s="441"/>
    </row>
    <row r="64" spans="1:7">
      <c r="A64" s="435">
        <v>307</v>
      </c>
      <c r="B64" s="436" t="str">
        <f>VLOOKUP(A64,'2-Uren per locatie'!$A$15:$C$74,2,FALSE)</f>
        <v>Lelylaan</v>
      </c>
      <c r="C64" s="437" t="str">
        <f>VLOOKUP(A64,'2-Uren per locatie'!$A$15:$C$74,3,FALSE)</f>
        <v>Ringlijn</v>
      </c>
      <c r="D64" s="438">
        <v>1626</v>
      </c>
      <c r="E64" s="438"/>
      <c r="F64" s="440" t="s">
        <v>952</v>
      </c>
      <c r="G64" s="441"/>
    </row>
    <row r="65" spans="1:7">
      <c r="A65" s="435">
        <v>308</v>
      </c>
      <c r="B65" s="436" t="str">
        <f>VLOOKUP(A65,'2-Uren per locatie'!$A$15:$C$74,2,FALSE)</f>
        <v>Postjesweg</v>
      </c>
      <c r="C65" s="437" t="str">
        <f>VLOOKUP(A65,'2-Uren per locatie'!$A$15:$C$74,3,FALSE)</f>
        <v>Ringlijn</v>
      </c>
      <c r="D65" s="438">
        <v>1243</v>
      </c>
      <c r="E65" s="438"/>
      <c r="F65" s="440" t="s">
        <v>952</v>
      </c>
      <c r="G65" s="441"/>
    </row>
    <row r="66" spans="1:7">
      <c r="A66" s="435">
        <v>309</v>
      </c>
      <c r="B66" s="436" t="str">
        <f>VLOOKUP(A66,'2-Uren per locatie'!$A$15:$C$74,2,FALSE)</f>
        <v>Jan van Galenstraat</v>
      </c>
      <c r="C66" s="437" t="str">
        <f>VLOOKUP(A66,'2-Uren per locatie'!$A$15:$C$74,3,FALSE)</f>
        <v>Ringlijn</v>
      </c>
      <c r="D66" s="438">
        <v>1226</v>
      </c>
      <c r="E66" s="438"/>
      <c r="F66" s="440" t="s">
        <v>952</v>
      </c>
      <c r="G66" s="441"/>
    </row>
    <row r="67" spans="1:7">
      <c r="A67" s="435">
        <v>310</v>
      </c>
      <c r="B67" s="436" t="str">
        <f>VLOOKUP(A67,'2-Uren per locatie'!$A$15:$C$74,2,FALSE)</f>
        <v>De Vluchtlaan</v>
      </c>
      <c r="C67" s="437" t="str">
        <f>VLOOKUP(A67,'2-Uren per locatie'!$A$15:$C$74,3,FALSE)</f>
        <v>Ringlijn</v>
      </c>
      <c r="D67" s="438">
        <v>1336</v>
      </c>
      <c r="E67" s="438"/>
      <c r="F67" s="440" t="s">
        <v>952</v>
      </c>
      <c r="G67" s="441"/>
    </row>
    <row r="68" spans="1:7">
      <c r="A68" s="435">
        <v>311</v>
      </c>
      <c r="B68" s="436" t="str">
        <f>VLOOKUP(A68,'2-Uren per locatie'!$A$15:$C$74,2,FALSE)</f>
        <v>Sloterdijk</v>
      </c>
      <c r="C68" s="437" t="str">
        <f>VLOOKUP(A68,'2-Uren per locatie'!$A$15:$C$74,3,FALSE)</f>
        <v>Ringlijn</v>
      </c>
      <c r="D68" s="438">
        <v>1562</v>
      </c>
      <c r="E68" s="438"/>
      <c r="F68" s="440" t="s">
        <v>952</v>
      </c>
      <c r="G68" s="441"/>
    </row>
    <row r="69" spans="1:7">
      <c r="A69" s="435">
        <v>312</v>
      </c>
      <c r="B69" s="436" t="str">
        <f>VLOOKUP(A69,'2-Uren per locatie'!$A$15:$C$74,2,FALSE)</f>
        <v>Isolatorweg</v>
      </c>
      <c r="C69" s="437" t="str">
        <f>VLOOKUP(A69,'2-Uren per locatie'!$A$15:$C$74,3,FALSE)</f>
        <v>Ringlijn</v>
      </c>
      <c r="D69" s="438">
        <v>1334</v>
      </c>
      <c r="E69" s="438">
        <f>D69</f>
        <v>1334</v>
      </c>
      <c r="F69" s="440" t="s">
        <v>952</v>
      </c>
      <c r="G69" s="441"/>
    </row>
    <row r="70" spans="1:7">
      <c r="A70" s="435">
        <v>601</v>
      </c>
      <c r="B70" s="436" t="str">
        <f>VLOOKUP(A70,'2-Uren per locatie'!$A$15:$C$74,2,FALSE)</f>
        <v>Europaplein</v>
      </c>
      <c r="C70" s="437" t="str">
        <f>VLOOKUP(A70,'2-Uren per locatie'!$A$15:$C$74,3,FALSE)</f>
        <v>Noord-zuid lijn</v>
      </c>
      <c r="D70" s="438">
        <v>361</v>
      </c>
      <c r="E70" s="438">
        <v>361</v>
      </c>
      <c r="F70" s="440" t="s">
        <v>952</v>
      </c>
      <c r="G70" s="441" t="s">
        <v>961</v>
      </c>
    </row>
    <row r="71" spans="1:7" ht="26.4">
      <c r="A71" s="435">
        <v>602</v>
      </c>
      <c r="B71" s="436" t="str">
        <f>VLOOKUP(A71,'2-Uren per locatie'!$A$15:$C$74,2,FALSE)</f>
        <v>De Pijp</v>
      </c>
      <c r="C71" s="437" t="str">
        <f>VLOOKUP(A71,'2-Uren per locatie'!$A$15:$C$74,3,FALSE)</f>
        <v>Noord-zuid lijn</v>
      </c>
      <c r="D71" s="438">
        <v>100</v>
      </c>
      <c r="E71" s="438"/>
      <c r="F71" s="440" t="s">
        <v>952</v>
      </c>
      <c r="G71" s="441" t="s">
        <v>962</v>
      </c>
    </row>
    <row r="72" spans="1:7">
      <c r="A72" s="435">
        <v>603</v>
      </c>
      <c r="B72" s="436" t="str">
        <f>VLOOKUP(A72,'2-Uren per locatie'!$A$15:$C$74,2,FALSE)</f>
        <v>Vijzelgracht</v>
      </c>
      <c r="C72" s="437" t="str">
        <f>VLOOKUP(A72,'2-Uren per locatie'!$A$15:$C$74,3,FALSE)</f>
        <v>Noord-zuid lijn</v>
      </c>
      <c r="D72" s="438">
        <v>150</v>
      </c>
      <c r="E72" s="438"/>
      <c r="F72" s="440" t="s">
        <v>952</v>
      </c>
      <c r="G72" s="441" t="s">
        <v>961</v>
      </c>
    </row>
    <row r="73" spans="1:7" ht="26.4">
      <c r="A73" s="435">
        <v>604</v>
      </c>
      <c r="B73" s="436" t="str">
        <f>VLOOKUP(A73,'2-Uren per locatie'!$A$15:$C$74,2,FALSE)</f>
        <v>Rokin</v>
      </c>
      <c r="C73" s="437" t="str">
        <f>VLOOKUP(A73,'2-Uren per locatie'!$A$15:$C$74,3,FALSE)</f>
        <v>Noord-zuid lijn</v>
      </c>
      <c r="D73" s="438">
        <v>235</v>
      </c>
      <c r="E73" s="439"/>
      <c r="F73" s="440" t="s">
        <v>952</v>
      </c>
      <c r="G73" s="441" t="s">
        <v>960</v>
      </c>
    </row>
    <row r="74" spans="1:7" ht="26.4">
      <c r="A74" s="435">
        <v>605</v>
      </c>
      <c r="B74" s="436" t="str">
        <f>VLOOKUP(A74,'2-Uren per locatie'!$A$15:$C$74,2,FALSE)</f>
        <v>Centraal NZL</v>
      </c>
      <c r="C74" s="437" t="str">
        <f>VLOOKUP(A74,'2-Uren per locatie'!$A$15:$C$74,3,FALSE)</f>
        <v>Noord-zuid lijn</v>
      </c>
      <c r="D74" s="438">
        <v>333</v>
      </c>
      <c r="E74" s="439"/>
      <c r="F74" s="440" t="s">
        <v>952</v>
      </c>
      <c r="G74" s="441" t="s">
        <v>960</v>
      </c>
    </row>
    <row r="75" spans="1:7">
      <c r="A75" s="435">
        <v>607</v>
      </c>
      <c r="B75" s="436" t="str">
        <f>VLOOKUP(A75,'2-Uren per locatie'!$A$15:$C$74,2,FALSE)</f>
        <v>Noorderpark</v>
      </c>
      <c r="C75" s="437" t="str">
        <f>VLOOKUP(A75,'2-Uren per locatie'!$A$15:$C$74,3,FALSE)</f>
        <v>Noord-zuid lijn</v>
      </c>
      <c r="D75" s="438">
        <v>2006</v>
      </c>
      <c r="E75" s="439">
        <v>2006</v>
      </c>
      <c r="F75" s="440" t="s">
        <v>952</v>
      </c>
      <c r="G75" s="441"/>
    </row>
    <row r="76" spans="1:7">
      <c r="A76" s="435">
        <v>608</v>
      </c>
      <c r="B76" s="436" t="str">
        <f>VLOOKUP(A76,'2-Uren per locatie'!$A$15:$C$74,2,FALSE)</f>
        <v>Noord</v>
      </c>
      <c r="C76" s="437" t="str">
        <f>VLOOKUP(A76,'2-Uren per locatie'!$A$15:$C$74,3,FALSE)</f>
        <v>Noord-zuid lijn</v>
      </c>
      <c r="D76" s="438">
        <v>1232</v>
      </c>
      <c r="E76" s="439"/>
      <c r="F76" s="440" t="s">
        <v>952</v>
      </c>
      <c r="G76" s="441"/>
    </row>
    <row r="77" spans="1:7">
      <c r="D77" s="78"/>
      <c r="E77" s="78"/>
    </row>
    <row r="78" spans="1:7">
      <c r="A78" s="18" t="s">
        <v>963</v>
      </c>
      <c r="B78" s="32"/>
      <c r="C78" s="19"/>
      <c r="D78" s="389">
        <f>SUM(D39:D77)</f>
        <v>47900</v>
      </c>
      <c r="E78" s="389">
        <f>SUM(E39:E77)</f>
        <v>17192</v>
      </c>
    </row>
  </sheetData>
  <autoFilter ref="A38:P76" xr:uid="{A97A8086-2078-49E6-9D7A-71EB42CDFE02}"/>
  <sortState xmlns:xlrd2="http://schemas.microsoft.com/office/spreadsheetml/2017/richdata2" ref="A58:Q69">
    <sortCondition ref="A58:A69"/>
  </sortState>
  <pageMargins left="0.7" right="0.7" top="0.75" bottom="0.75" header="0.3" footer="0.3"/>
  <pageSetup paperSize="9" scale="64" orientation="portrait" r:id="rId1"/>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50f811-0cc2-4fbd-b9a6-9c8d3b73eff0">
      <Terms xmlns="http://schemas.microsoft.com/office/infopath/2007/PartnerControls"/>
    </lcf76f155ced4ddcb4097134ff3c332f>
    <TaxCatchAll xmlns="95714b43-610b-4bf1-8f96-b5c8a38cd7ea" xsi:nil="true"/>
  </documentManagement>
</p:properties>
</file>

<file path=customXml/itemProps1.xml><?xml version="1.0" encoding="utf-8"?>
<ds:datastoreItem xmlns:ds="http://schemas.openxmlformats.org/officeDocument/2006/customXml" ds:itemID="{D5A2CE8E-B800-45E9-B4C2-62BA7AE25D04}"/>
</file>

<file path=customXml/itemProps2.xml><?xml version="1.0" encoding="utf-8"?>
<ds:datastoreItem xmlns:ds="http://schemas.openxmlformats.org/officeDocument/2006/customXml" ds:itemID="{D9BB675E-B7DE-4B2E-AA13-BCEBE6035FA4}">
  <ds:schemaRefs>
    <ds:schemaRef ds:uri="http://schemas.microsoft.com/sharepoint/v3/contenttype/forms"/>
  </ds:schemaRefs>
</ds:datastoreItem>
</file>

<file path=customXml/itemProps3.xml><?xml version="1.0" encoding="utf-8"?>
<ds:datastoreItem xmlns:ds="http://schemas.openxmlformats.org/officeDocument/2006/customXml" ds:itemID="{CC237786-10E2-4B70-9C15-EC8AE386DADF}">
  <ds:schemaRefs>
    <ds:schemaRef ds:uri="5369c8c0-e3aa-48e6-9f6d-519510a25555"/>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schemas.microsoft.com/office/infopath/2007/PartnerControls"/>
    <ds:schemaRef ds:uri="eb50f811-0cc2-4fbd-b9a6-9c8d3b73eff0"/>
    <ds:schemaRef ds:uri="http://purl.org/dc/elements/1.1/"/>
    <ds:schemaRef ds:uri="http://www.w3.org/XML/1998/namespace"/>
    <ds:schemaRef ds:uri="95714b43-610b-4bf1-8f96-b5c8a38cd7e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12</vt:i4>
      </vt:variant>
    </vt:vector>
  </HeadingPairs>
  <TitlesOfParts>
    <vt:vector size="26" baseType="lpstr">
      <vt:lpstr>Uitgangspunten</vt:lpstr>
      <vt:lpstr>1-Totaal inschrijfbedrag</vt:lpstr>
      <vt:lpstr>2-Uren per locatie</vt:lpstr>
      <vt:lpstr>2a-Kosten per locatie</vt:lpstr>
      <vt:lpstr>3-Productie normen</vt:lpstr>
      <vt:lpstr>3-Ruimtestaat</vt:lpstr>
      <vt:lpstr>5-Aanvullend</vt:lpstr>
      <vt:lpstr>6-Sanitaire voorzieningen</vt:lpstr>
      <vt:lpstr>7a-Gladheidsbestrijding Metro</vt:lpstr>
      <vt:lpstr>7b-Gladheidsbestrijding Tram</vt:lpstr>
      <vt:lpstr>8- Afroepprijs</vt:lpstr>
      <vt:lpstr>9-Premies en opslagen</vt:lpstr>
      <vt:lpstr>10-Opbouw uurtarieven</vt:lpstr>
      <vt:lpstr>10a-Onderbouwing basis uurloon</vt:lpstr>
      <vt:lpstr>Uitgangspunten!_Hlk39130726</vt:lpstr>
      <vt:lpstr>Uitgangspunten!_Toc106114456</vt:lpstr>
      <vt:lpstr>Uitgangspunten!_Toc106114457</vt:lpstr>
      <vt:lpstr>Uitgangspunten!_Toc106114458</vt:lpstr>
      <vt:lpstr>Uitgangspunten!_Toc106114459</vt:lpstr>
      <vt:lpstr>Uitgangspunten!_Toc518445846</vt:lpstr>
      <vt:lpstr>'10-Opbouw uurtarieven'!Afdrukbereik</vt:lpstr>
      <vt:lpstr>'1-Totaal inschrijfbedrag'!Afdrukbereik</vt:lpstr>
      <vt:lpstr>'3-Ruimtestaat'!Afdrukbereik</vt:lpstr>
      <vt:lpstr>'9-Premies en opslagen'!Afdrukbereik</vt:lpstr>
      <vt:lpstr>'10-Opbouw uurtarieven'!Afdruktitels</vt:lpstr>
      <vt:lpstr>'3-Ruimtestaat'!Afdruktitels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van der Velde</dc:creator>
  <cp:keywords/>
  <dc:description/>
  <cp:lastModifiedBy>Stef den Boer</cp:lastModifiedBy>
  <cp:revision/>
  <dcterms:created xsi:type="dcterms:W3CDTF">1999-10-05T12:28:40Z</dcterms:created>
  <dcterms:modified xsi:type="dcterms:W3CDTF">2025-02-07T14:23:45Z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