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defaultThemeVersion="166925"/>
  <mc:AlternateContent xmlns:mc="http://schemas.openxmlformats.org/markup-compatibility/2006">
    <mc:Choice Requires="x15">
      <x15ac:absPath xmlns:x15ac="http://schemas.microsoft.com/office/spreadsheetml/2010/11/ac" url="https://vvng-my.sharepoint.com/personal/arjen_jansen_vng_nl/Documents/Onderhanden werk/Landelijke tarieven GI's/2025/"/>
    </mc:Choice>
  </mc:AlternateContent>
  <xr:revisionPtr revIDLastSave="128" documentId="8_{F5772C08-C038-4AB9-A3B5-20B961A9A695}" xr6:coauthVersionLast="47" xr6:coauthVersionMax="47" xr10:uidLastSave="{FFB34274-78A0-4970-8384-0AFFFDE5C59F}"/>
  <bookViews>
    <workbookView xWindow="-110" yWindow="-110" windowWidth="19420" windowHeight="10300" firstSheet="2" activeTab="2" xr2:uid="{9570A194-D7B0-4050-800C-F490B6F5487B}"/>
  </bookViews>
  <sheets>
    <sheet name="Kosten per fte" sheetId="1" state="hidden" r:id="rId1"/>
    <sheet name="Aantal uren" sheetId="2" state="hidden" r:id="rId2"/>
    <sheet name="WSG" sheetId="3" r:id="rId3"/>
    <sheet name="LJ&amp;R" sheetId="5" r:id="rId4"/>
  </sheets>
  <definedNames>
    <definedName name="_xlnm.Print_Area" localSheetId="1">Tabel7[#All]</definedName>
    <definedName name="_xlnm.Print_Area" localSheetId="0">'Kosten per fte'!$A$1:$D$66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3" l="1"/>
  <c r="B43" i="3" s="1"/>
  <c r="B43" i="5"/>
  <c r="B42" i="5"/>
  <c r="D8" i="5"/>
  <c r="D12" i="5"/>
  <c r="D16" i="5" l="1"/>
  <c r="D20" i="5" s="1"/>
  <c r="G36" i="3"/>
  <c r="G36" i="5"/>
  <c r="E35" i="5"/>
  <c r="G35" i="5" s="1"/>
  <c r="D27" i="5" l="1"/>
  <c r="E27" i="5" s="1"/>
  <c r="G27" i="5" s="1"/>
  <c r="D32" i="5"/>
  <c r="E32" i="5" s="1"/>
  <c r="G32" i="5" s="1"/>
  <c r="D24" i="5"/>
  <c r="E24" i="5" s="1"/>
  <c r="G24" i="5" s="1"/>
  <c r="D29" i="5"/>
  <c r="E29" i="5" s="1"/>
  <c r="G29" i="5" s="1"/>
  <c r="D30" i="5"/>
  <c r="E30" i="5" s="1"/>
  <c r="G30" i="5" s="1"/>
  <c r="D34" i="5"/>
  <c r="E34" i="5" s="1"/>
  <c r="G34" i="5" s="1"/>
  <c r="D26" i="5"/>
  <c r="E26" i="5" s="1"/>
  <c r="G26" i="5" s="1"/>
  <c r="D28" i="5"/>
  <c r="E28" i="5" s="1"/>
  <c r="G28" i="5" s="1"/>
  <c r="D33" i="5"/>
  <c r="E33" i="5" s="1"/>
  <c r="G33" i="5" s="1"/>
  <c r="D25" i="5"/>
  <c r="E25" i="5" s="1"/>
  <c r="G25" i="5" s="1"/>
  <c r="D31" i="5"/>
  <c r="E31" i="5" s="1"/>
  <c r="G31" i="5" s="1"/>
  <c r="D12" i="3" l="1"/>
  <c r="D16" i="3" s="1"/>
  <c r="D20" i="3" s="1"/>
  <c r="D8" i="3"/>
  <c r="A51" i="1" l="1"/>
  <c r="D17" i="1"/>
  <c r="D18" i="1"/>
  <c r="D16" i="1"/>
  <c r="C17" i="2" l="1"/>
  <c r="C4" i="2" l="1"/>
  <c r="C9" i="2" s="1"/>
  <c r="C10" i="2" s="1"/>
  <c r="D44" i="1"/>
  <c r="D39" i="1"/>
  <c r="D45" i="1" s="1"/>
  <c r="D24" i="1"/>
  <c r="D23" i="1"/>
  <c r="D22" i="1"/>
  <c r="C18" i="2" l="1"/>
  <c r="D25" i="1"/>
  <c r="D43" i="1" s="1"/>
  <c r="B10" i="1"/>
  <c r="C8" i="1" s="1"/>
  <c r="C9" i="1" l="1"/>
  <c r="C7" i="1"/>
  <c r="D28" i="3" l="1"/>
  <c r="E28" i="3" s="1"/>
  <c r="D24" i="3"/>
  <c r="E24" i="3" s="1"/>
  <c r="D25" i="3"/>
  <c r="E25" i="3" s="1"/>
  <c r="E35" i="3"/>
  <c r="D27" i="3"/>
  <c r="E27" i="3" s="1"/>
  <c r="D34" i="3"/>
  <c r="E34" i="3" s="1"/>
  <c r="D26" i="3"/>
  <c r="E26" i="3" s="1"/>
  <c r="D32" i="3"/>
  <c r="E32" i="3" s="1"/>
  <c r="D33" i="3"/>
  <c r="E33" i="3" s="1"/>
  <c r="D31" i="3"/>
  <c r="E31" i="3" s="1"/>
  <c r="D30" i="3"/>
  <c r="E30" i="3" s="1"/>
  <c r="D29" i="3"/>
  <c r="E29" i="3" s="1"/>
  <c r="H1" i="1"/>
  <c r="C5" i="1" s="1"/>
  <c r="G24" i="3" l="1"/>
  <c r="G33" i="3"/>
  <c r="G28" i="3"/>
  <c r="C10" i="1"/>
  <c r="D10" i="1"/>
  <c r="D11" i="1" s="1"/>
  <c r="D42" i="1" s="1"/>
  <c r="D46" i="1" s="1"/>
  <c r="D51" i="1" s="1"/>
  <c r="D54" i="1" l="1"/>
  <c r="D57" i="1"/>
  <c r="G25" i="3" l="1"/>
  <c r="G34" i="3"/>
  <c r="G31" i="3"/>
  <c r="G30" i="3"/>
  <c r="G27" i="3"/>
  <c r="G29" i="3"/>
  <c r="G26" i="3"/>
  <c r="G32" i="3"/>
  <c r="G35" i="3"/>
</calcChain>
</file>

<file path=xl/sharedStrings.xml><?xml version="1.0" encoding="utf-8"?>
<sst xmlns="http://schemas.openxmlformats.org/spreadsheetml/2006/main" count="287" uniqueCount="139">
  <si>
    <t>Dataformat tarieven GI's</t>
  </si>
  <si>
    <t>LEGENDA</t>
  </si>
  <si>
    <t>A. Personeel voor maatregelen</t>
  </si>
  <si>
    <t>Functie</t>
  </si>
  <si>
    <t>Fte</t>
  </si>
  <si>
    <t>% v/d kosten</t>
  </si>
  <si>
    <t>Kosten per fte (gewogen) obv procentuele verdeling</t>
  </si>
  <si>
    <t>Jeugdbeschermer / Jeugdreclasseerder</t>
  </si>
  <si>
    <t>Externe inhuur</t>
  </si>
  <si>
    <t>Ondersteunende jeugdbeschermers</t>
  </si>
  <si>
    <t>Zorgcoördinator</t>
  </si>
  <si>
    <t>Jeugdbeschermer in opleiding</t>
  </si>
  <si>
    <t>TOTAAL Loonkosten</t>
  </si>
  <si>
    <t>Inclusief opslag overige personeelskosten</t>
  </si>
  <si>
    <t>B. Personeel gerelateerd aan maatregelen</t>
  </si>
  <si>
    <t>------------------------------</t>
  </si>
  <si>
    <t>TOTAAL Kosten per fte (gewogen)</t>
  </si>
  <si>
    <t>Gedragswetenschapper</t>
  </si>
  <si>
    <t>Teamsecretariaat</t>
  </si>
  <si>
    <t>Teamleider</t>
  </si>
  <si>
    <t>Opslag overige personeelskosten (in bovenstaande bedragen verwerkt)</t>
  </si>
  <si>
    <t>Span of control</t>
  </si>
  <si>
    <t>Ongewogen gemiddelde</t>
  </si>
  <si>
    <t>Gewogen gemiddelde</t>
  </si>
  <si>
    <t>Totaal personeel gerelateerd aan persoon maatregelen</t>
  </si>
  <si>
    <t>C + D. Overige en indirecte functie en materiële kosten</t>
  </si>
  <si>
    <t>Overige en indirect personeel</t>
  </si>
  <si>
    <t>Kolom1</t>
  </si>
  <si>
    <t>TOTAAL Kosten per fte</t>
  </si>
  <si>
    <t>Materiële kosten</t>
  </si>
  <si>
    <t xml:space="preserve">TOTAAL Kosten per fte </t>
  </si>
  <si>
    <t>Huisvesting</t>
  </si>
  <si>
    <t>Automatisering</t>
  </si>
  <si>
    <t>Afschrijving</t>
  </si>
  <si>
    <t>Apparaat</t>
  </si>
  <si>
    <t>Overige kosten</t>
  </si>
  <si>
    <t>Financiële baten en lasten / VPB</t>
  </si>
  <si>
    <t>Totaal materiële kosten</t>
  </si>
  <si>
    <t>Samenvatting componenten</t>
  </si>
  <si>
    <t>Bedrag in EUR</t>
  </si>
  <si>
    <t>Personeel voor maatregelen</t>
  </si>
  <si>
    <t>Personeel gerelateerd aan maatregelen</t>
  </si>
  <si>
    <t>Overig en indirect personeel</t>
  </si>
  <si>
    <t>TOTALE KOSTEN PER FTE</t>
  </si>
  <si>
    <t xml:space="preserve">E. Normatieve opslagen en andere correcties op de kostprijs </t>
  </si>
  <si>
    <t>Buffervermogen voor risico's</t>
  </si>
  <si>
    <t>Het maximum buffervermogen van GI is lager dan 10% (op basis van de gemiddelde totale jaaromzet gedurende de drie meest recente boekjaren)</t>
  </si>
  <si>
    <t>Ja</t>
  </si>
  <si>
    <t>Methode pupilkosten</t>
  </si>
  <si>
    <t>Opties convenant (zie dropdown menu)</t>
  </si>
  <si>
    <t>Totale kosten per FTE (inclusief opslagen)</t>
  </si>
  <si>
    <t>Omrekenfactor gezinstarief opnemen? Zo ja, hoe werkt dit gezinstarief?</t>
  </si>
  <si>
    <t>4.5 convenant</t>
  </si>
  <si>
    <t>Buffervermogen GI niet hoger dan 10% dan opslag 2% op de kostprijs</t>
  </si>
  <si>
    <t>6.1.4 convenant</t>
  </si>
  <si>
    <t>Op basis van 12. B (met artikel 8 in ogenschouw nemende) kan alles ter discussie staan? Voorstel zou zijn om dit niet te verwerken in de tool. Daarover dient aparte verantwoording te worden afgelegd. Dit dient wel in lijn te zijn met de data uit het kostprijsonderzoek. Het moet dus te verwerken zijn in deze tool zodat je een verband kan leggen tussen de opgehaalde data en de afwijkingen van betreffende GI</t>
  </si>
  <si>
    <t>Onderdeel</t>
  </si>
  <si>
    <t>Uren</t>
  </si>
  <si>
    <t>Contracturen op jaarbasis conform cao</t>
  </si>
  <si>
    <t>Feestdagen</t>
  </si>
  <si>
    <t>Subtotaal werkdagen</t>
  </si>
  <si>
    <t>Ziekte-uren o.b.v. een ziekteverzuim van 6,3%</t>
  </si>
  <si>
    <t>Niet aanpasbaar, zie 6.2.2 convenant</t>
  </si>
  <si>
    <t>Verlofuren cao</t>
  </si>
  <si>
    <t>Gemiddeld aantal uren bijzonder verlof per fte conform cao</t>
  </si>
  <si>
    <t>Gemiddeld aantal uren vitaliteitsverlof per fte conform cao</t>
  </si>
  <si>
    <t>Subtotaal</t>
  </si>
  <si>
    <t>Totaal beschikbaar</t>
  </si>
  <si>
    <t>Gemiddeld aantal uren opleiding (niet initieel) per jaar per fte</t>
  </si>
  <si>
    <t>Gemiddeld aantal uren medewerker in initiële opleiding</t>
  </si>
  <si>
    <t>Gemiddeld aantal uren organisatie-overleggen per fte</t>
  </si>
  <si>
    <t>Gemiddeld aantal uren aan cliëntgebonden activiteiten die geen onderdeel zijn van KKPB</t>
  </si>
  <si>
    <t>Niet aanpasbaar</t>
  </si>
  <si>
    <t>AFHANKELIJK BESTUURLIJK OVERLEG: Coördinatietijd</t>
  </si>
  <si>
    <t>BESPREEKPUNT BO</t>
  </si>
  <si>
    <t>Totaal indirecte uren</t>
  </si>
  <si>
    <t>Totaal beschikbaar voor maatregelen</t>
  </si>
  <si>
    <t>Tarieven</t>
  </si>
  <si>
    <t>--------------------------------------------</t>
  </si>
  <si>
    <t>Tarief per uur (prijspeil 2024)</t>
  </si>
  <si>
    <t>Indexcijfer 2025</t>
  </si>
  <si>
    <t>Tarief per uur (prijspeil 2025)</t>
  </si>
  <si>
    <t xml:space="preserve">Normatieve opslagen en andere correcties op de kostprijs </t>
  </si>
  <si>
    <t>Gemeenten vergoeden per cliënt de werkelijk doorbelaste pupilkosten.</t>
  </si>
  <si>
    <t>Tarief per uur inclusief opslagen (prijspeil 2025)</t>
  </si>
  <si>
    <t>Afslag inlooppad (zie tabblad 'Inlooppad')</t>
  </si>
  <si>
    <t>Tarief per uur inclusief op- en afslagen (prijspeil 2025)</t>
  </si>
  <si>
    <t>Tabel doorrekening voorgestelde tarief GI</t>
  </si>
  <si>
    <t>Productcode</t>
  </si>
  <si>
    <t>Omschrijving</t>
  </si>
  <si>
    <t xml:space="preserve">Uren </t>
  </si>
  <si>
    <t>Prijs 
(per uur)</t>
  </si>
  <si>
    <t>Tarief maatregel per jaar 
(prijspeil 2025)</t>
  </si>
  <si>
    <t>Looptijd maatregel
(prijspeil 2025)</t>
  </si>
  <si>
    <t>Tarief per maatregel per maand
(prijspeil 2025)</t>
  </si>
  <si>
    <t>Prijseenheid/frequentie</t>
  </si>
  <si>
    <t>Periodiciteit</t>
  </si>
  <si>
    <t>48B10</t>
  </si>
  <si>
    <t>Ondertoezichtstelling: outputgericht</t>
  </si>
  <si>
    <t>Stuks per maand</t>
  </si>
  <si>
    <t>Maandelijks</t>
  </si>
  <si>
    <t>48B11</t>
  </si>
  <si>
    <t xml:space="preserve">Voogdij: outputgericht </t>
  </si>
  <si>
    <t>47B10</t>
  </si>
  <si>
    <t>Jeugdreclassering: outputgericht</t>
  </si>
  <si>
    <t>47B11</t>
  </si>
  <si>
    <t>GBM advies: outputgericht</t>
  </si>
  <si>
    <t>Stuks binnen duur v/d beschikking</t>
  </si>
  <si>
    <t>Eenmalig</t>
  </si>
  <si>
    <t>47B12</t>
  </si>
  <si>
    <t>GBM Uitvoering: outputgericht</t>
  </si>
  <si>
    <t>47B13</t>
  </si>
  <si>
    <t>ITB Criem: outputgericht</t>
  </si>
  <si>
    <t>47B14</t>
  </si>
  <si>
    <t>ITB Harde kern: outputgericht</t>
  </si>
  <si>
    <t>47B15</t>
  </si>
  <si>
    <t>Jeugdreclassering Samenloop: outputgericht</t>
  </si>
  <si>
    <t>47B16</t>
  </si>
  <si>
    <t>STP: outputgericht</t>
  </si>
  <si>
    <t>48B12</t>
  </si>
  <si>
    <t>LET JB Ondertoezichtstelling: outputgericht *</t>
  </si>
  <si>
    <t>48B13</t>
  </si>
  <si>
    <t>LET JB Voogdij *</t>
  </si>
  <si>
    <t>48B14</t>
  </si>
  <si>
    <t>Pupilkosten</t>
  </si>
  <si>
    <t>Pupilkosten: outputgericht</t>
  </si>
  <si>
    <r>
      <t>* Omrekenfactor LET Tarieven</t>
    </r>
    <r>
      <rPr>
        <sz val="8"/>
        <color theme="1"/>
        <rFont val="Arial"/>
        <family val="2"/>
      </rPr>
      <t xml:space="preserve"> </t>
    </r>
    <r>
      <rPr>
        <sz val="10"/>
        <color theme="1"/>
        <rFont val="Arial"/>
        <family val="2"/>
      </rPr>
      <t xml:space="preserve">
</t>
    </r>
  </si>
  <si>
    <t>Pupilkosten 2024</t>
  </si>
  <si>
    <t>Indexering PPC 2025</t>
  </si>
  <si>
    <t>Pupilgebonden kosten (per jaar)</t>
  </si>
  <si>
    <t>Pupilgebonden kosten (per maand)</t>
  </si>
  <si>
    <t>Ondertoezichtstelling</t>
  </si>
  <si>
    <t>GBM Uitvoering</t>
  </si>
  <si>
    <t xml:space="preserve">ITB Criem </t>
  </si>
  <si>
    <t>ITB Harde kern</t>
  </si>
  <si>
    <t xml:space="preserve">Jeugdreclassering Samenloop </t>
  </si>
  <si>
    <t xml:space="preserve">STP </t>
  </si>
  <si>
    <t>LET JB OTS *</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</si>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</sst>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_ &quot;€&quot;\ * #,##0_ ;_ &quot;€&quot;\ * \-#,##0_ ;_ &quot;€&quot;\ * &quot;-&quot;??_ ;_ @_ "/>
    <numFmt numFmtId="166" formatCode="0.0"/>
  </numFmts>
  <fonts count="12">
    <font>
      <sz val="10"/>
      <color theme="1"/>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10"/>
      <color theme="1"/>
      <name val="Arial"/>
      <family val="2"/>
    </font>
    <font>
      <sz val="8"/>
      <name val="Arial"/>
      <family val="2"/>
    </font>
    <font>
      <sz val="10"/>
      <color theme="0"/>
      <name val="Arial"/>
      <family val="2"/>
    </font>
    <font>
      <sz val="10"/>
      <name val="Arial"/>
      <family val="2"/>
    </font>
    <font>
      <sz val="8"/>
      <color theme="1"/>
      <name val="Arial"/>
      <family val="2"/>
    </font>
    <font>
      <sz val="11"/>
      <color theme="1"/>
      <name val="Calibri"/>
      <family val="2"/>
      <scheme val="minor"/>
    </font>
    <font>
      <u/>
      <sz val="10"/>
      <color theme="1"/>
      <name val="Arial"/>
      <family val="2"/>
    </font>
  </fonts>
  <fills count="12">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bgColor theme="4"/>
      </patternFill>
    </fill>
    <fill>
      <patternFill patternType="solid">
        <fgColor theme="4"/>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79998168889431442"/>
        <bgColor indexed="64"/>
      </patternFill>
    </fill>
  </fills>
  <borders count="23">
    <border>
      <left/>
      <right/>
      <top/>
      <bottom/>
      <diagonal/>
    </border>
    <border>
      <left/>
      <right style="thin">
        <color theme="4"/>
      </right>
      <top style="thin">
        <color theme="4"/>
      </top>
      <bottom/>
      <diagonal/>
    </border>
    <border>
      <left style="thin">
        <color theme="4"/>
      </left>
      <right/>
      <top style="thin">
        <color theme="4"/>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theme="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theme="4"/>
      </top>
      <bottom/>
      <diagonal/>
    </border>
    <border>
      <left style="medium">
        <color indexed="64"/>
      </left>
      <right/>
      <top style="thin">
        <color theme="4"/>
      </top>
      <bottom/>
      <diagonal/>
    </border>
    <border>
      <left style="medium">
        <color indexed="64"/>
      </left>
      <right/>
      <top style="thin">
        <color theme="4"/>
      </top>
      <bottom style="thin">
        <color theme="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44" fontId="1" fillId="0" borderId="0" applyFont="0" applyFill="0" applyBorder="0" applyAlignment="0" applyProtection="0"/>
  </cellStyleXfs>
  <cellXfs count="94">
    <xf numFmtId="0" fontId="0" fillId="0" borderId="0" xfId="0"/>
    <xf numFmtId="44" fontId="0" fillId="0" borderId="0" xfId="0" applyNumberFormat="1"/>
    <xf numFmtId="9" fontId="0" fillId="0" borderId="0" xfId="1" applyFont="1"/>
    <xf numFmtId="0" fontId="3" fillId="0" borderId="0" xfId="0" applyFont="1"/>
    <xf numFmtId="44" fontId="3" fillId="0" borderId="0" xfId="0" applyNumberFormat="1" applyFont="1"/>
    <xf numFmtId="0" fontId="4" fillId="0" borderId="0" xfId="0" applyFont="1"/>
    <xf numFmtId="165" fontId="0" fillId="0" borderId="0" xfId="0" applyNumberFormat="1"/>
    <xf numFmtId="0" fontId="0" fillId="2" borderId="0" xfId="0" applyFill="1"/>
    <xf numFmtId="0" fontId="0" fillId="3" borderId="0" xfId="0" applyFill="1"/>
    <xf numFmtId="0" fontId="2" fillId="4" borderId="3" xfId="0" applyFont="1" applyFill="1" applyBorder="1"/>
    <xf numFmtId="0" fontId="2" fillId="4" borderId="1" xfId="0" applyFont="1" applyFill="1" applyBorder="1"/>
    <xf numFmtId="0" fontId="0" fillId="0" borderId="2" xfId="0" applyBorder="1"/>
    <xf numFmtId="0" fontId="0" fillId="0" borderId="3" xfId="0" applyBorder="1"/>
    <xf numFmtId="0" fontId="5" fillId="0" borderId="0" xfId="0" applyFont="1"/>
    <xf numFmtId="0" fontId="0" fillId="0" borderId="0" xfId="0" quotePrefix="1"/>
    <xf numFmtId="164" fontId="0" fillId="3" borderId="0" xfId="1" applyNumberFormat="1" applyFont="1" applyFill="1"/>
    <xf numFmtId="9" fontId="5" fillId="3" borderId="0" xfId="0" applyNumberFormat="1" applyFont="1" applyFill="1"/>
    <xf numFmtId="10" fontId="3" fillId="3" borderId="0" xfId="1" applyNumberFormat="1" applyFont="1" applyFill="1"/>
    <xf numFmtId="165" fontId="0" fillId="3" borderId="0" xfId="0" applyNumberFormat="1" applyFill="1"/>
    <xf numFmtId="10" fontId="0" fillId="3" borderId="0" xfId="1" applyNumberFormat="1" applyFont="1" applyFill="1"/>
    <xf numFmtId="165" fontId="5" fillId="3" borderId="0" xfId="0" applyNumberFormat="1" applyFont="1" applyFill="1"/>
    <xf numFmtId="165" fontId="3" fillId="3" borderId="0" xfId="0" applyNumberFormat="1" applyFont="1" applyFill="1"/>
    <xf numFmtId="10" fontId="0" fillId="3" borderId="1" xfId="1" applyNumberFormat="1" applyFont="1" applyFill="1" applyBorder="1"/>
    <xf numFmtId="0" fontId="2" fillId="5" borderId="0" xfId="0" applyFont="1" applyFill="1"/>
    <xf numFmtId="1" fontId="2" fillId="5" borderId="0" xfId="0" applyNumberFormat="1" applyFont="1" applyFill="1"/>
    <xf numFmtId="0" fontId="3" fillId="6" borderId="0" xfId="0" applyFont="1" applyFill="1"/>
    <xf numFmtId="1" fontId="3" fillId="6" borderId="0" xfId="0" applyNumberFormat="1" applyFont="1" applyFill="1"/>
    <xf numFmtId="0" fontId="3" fillId="7" borderId="0" xfId="0" applyFont="1" applyFill="1"/>
    <xf numFmtId="1" fontId="3" fillId="7" borderId="0" xfId="0" applyNumberFormat="1" applyFont="1" applyFill="1"/>
    <xf numFmtId="1" fontId="0" fillId="3" borderId="0" xfId="1" applyNumberFormat="1" applyFont="1" applyFill="1"/>
    <xf numFmtId="0" fontId="0" fillId="7" borderId="0" xfId="0" applyFill="1"/>
    <xf numFmtId="10" fontId="7" fillId="0" borderId="0" xfId="0" applyNumberFormat="1" applyFont="1"/>
    <xf numFmtId="0" fontId="8" fillId="0" borderId="0" xfId="0" applyFont="1"/>
    <xf numFmtId="0" fontId="0" fillId="0" borderId="4" xfId="0" applyBorder="1"/>
    <xf numFmtId="0" fontId="2" fillId="4" borderId="2" xfId="0" applyFont="1" applyFill="1" applyBorder="1"/>
    <xf numFmtId="164" fontId="0" fillId="0" borderId="0" xfId="1" applyNumberFormat="1" applyFont="1"/>
    <xf numFmtId="1" fontId="0" fillId="7" borderId="0" xfId="0" applyNumberFormat="1" applyFill="1"/>
    <xf numFmtId="0" fontId="2" fillId="4" borderId="3" xfId="0" quotePrefix="1" applyFont="1" applyFill="1" applyBorder="1"/>
    <xf numFmtId="0" fontId="0" fillId="0" borderId="2" xfId="0" applyBorder="1" applyAlignment="1">
      <alignment vertical="top" wrapText="1"/>
    </xf>
    <xf numFmtId="0" fontId="0" fillId="0" borderId="3" xfId="0" applyBorder="1" applyAlignment="1">
      <alignment horizontal="right" vertical="top"/>
    </xf>
    <xf numFmtId="0" fontId="0" fillId="0" borderId="0" xfId="0" applyAlignment="1">
      <alignment wrapText="1"/>
    </xf>
    <xf numFmtId="9" fontId="0" fillId="0" borderId="3" xfId="1" applyFont="1" applyBorder="1" applyAlignment="1">
      <alignment horizontal="right" vertical="top"/>
    </xf>
    <xf numFmtId="165" fontId="0" fillId="0" borderId="1" xfId="0" applyNumberFormat="1" applyBorder="1"/>
    <xf numFmtId="44" fontId="2" fillId="4" borderId="1" xfId="0" applyNumberFormat="1" applyFont="1" applyFill="1" applyBorder="1"/>
    <xf numFmtId="165" fontId="3" fillId="0" borderId="1" xfId="0" applyNumberFormat="1" applyFont="1" applyBorder="1"/>
    <xf numFmtId="0" fontId="0" fillId="0" borderId="4" xfId="0" applyBorder="1" applyAlignment="1">
      <alignment horizontal="left" vertical="top" wrapText="1"/>
    </xf>
    <xf numFmtId="165" fontId="0" fillId="0" borderId="5" xfId="0" applyNumberFormat="1" applyBorder="1"/>
    <xf numFmtId="9" fontId="0" fillId="0" borderId="5" xfId="1" applyFont="1" applyBorder="1"/>
    <xf numFmtId="165" fontId="0" fillId="0" borderId="4" xfId="0" applyNumberFormat="1" applyBorder="1"/>
    <xf numFmtId="165" fontId="3" fillId="0" borderId="4" xfId="0" applyNumberFormat="1" applyFont="1" applyBorder="1"/>
    <xf numFmtId="44" fontId="0" fillId="0" borderId="0" xfId="0" applyNumberFormat="1" applyAlignment="1">
      <alignment horizontal="center" vertical="center"/>
    </xf>
    <xf numFmtId="44" fontId="0" fillId="0" borderId="0" xfId="0" applyNumberFormat="1" applyAlignment="1">
      <alignment horizontal="center" vertical="center" wrapText="1"/>
    </xf>
    <xf numFmtId="44" fontId="0" fillId="0" borderId="0" xfId="0" applyNumberFormat="1" applyAlignment="1">
      <alignment horizontal="center"/>
    </xf>
    <xf numFmtId="1" fontId="0" fillId="0" borderId="0" xfId="0" applyNumberFormat="1"/>
    <xf numFmtId="10" fontId="0" fillId="0" borderId="0" xfId="0" applyNumberFormat="1"/>
    <xf numFmtId="44" fontId="0" fillId="0" borderId="6" xfId="0" applyNumberFormat="1" applyBorder="1" applyAlignment="1">
      <alignment wrapText="1"/>
    </xf>
    <xf numFmtId="0" fontId="0" fillId="0" borderId="7" xfId="0" applyBorder="1"/>
    <xf numFmtId="0" fontId="0" fillId="8" borderId="3" xfId="0" applyFill="1" applyBorder="1" applyAlignment="1" applyProtection="1">
      <alignment horizontal="right" vertical="top"/>
      <protection locked="0"/>
    </xf>
    <xf numFmtId="0" fontId="0" fillId="8" borderId="0" xfId="0" applyFill="1" applyProtection="1">
      <protection locked="0"/>
    </xf>
    <xf numFmtId="166" fontId="0" fillId="0" borderId="0" xfId="0" applyNumberFormat="1"/>
    <xf numFmtId="44" fontId="0" fillId="10" borderId="0" xfId="0" applyNumberFormat="1" applyFill="1"/>
    <xf numFmtId="166" fontId="0" fillId="0" borderId="0" xfId="0" applyNumberFormat="1" applyProtection="1">
      <protection locked="0"/>
    </xf>
    <xf numFmtId="0" fontId="11" fillId="0" borderId="8" xfId="0" applyFont="1" applyBorder="1" applyAlignment="1">
      <alignment horizontal="center"/>
    </xf>
    <xf numFmtId="0" fontId="0" fillId="0" borderId="9" xfId="0" applyBorder="1"/>
    <xf numFmtId="44" fontId="3" fillId="0" borderId="9" xfId="0" applyNumberFormat="1" applyFont="1" applyBorder="1"/>
    <xf numFmtId="10" fontId="5" fillId="0" borderId="9" xfId="1" applyNumberFormat="1" applyFont="1" applyBorder="1"/>
    <xf numFmtId="0" fontId="2" fillId="4" borderId="10" xfId="0" quotePrefix="1" applyFont="1" applyFill="1" applyBorder="1"/>
    <xf numFmtId="9" fontId="3" fillId="0" borderId="9" xfId="1" applyFont="1" applyBorder="1" applyAlignment="1" applyProtection="1">
      <alignment vertical="top"/>
    </xf>
    <xf numFmtId="44" fontId="3" fillId="9" borderId="9" xfId="0" applyNumberFormat="1" applyFont="1" applyFill="1" applyBorder="1"/>
    <xf numFmtId="44" fontId="3" fillId="0" borderId="11" xfId="0" applyNumberFormat="1" applyFont="1"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2" fillId="4" borderId="17" xfId="0" quotePrefix="1" applyFont="1" applyFill="1" applyBorder="1"/>
    <xf numFmtId="0" fontId="3" fillId="0" borderId="15" xfId="0" applyFont="1" applyBorder="1"/>
    <xf numFmtId="44" fontId="3" fillId="0" borderId="16" xfId="0" applyNumberFormat="1" applyFont="1" applyBorder="1"/>
    <xf numFmtId="0" fontId="5" fillId="0" borderId="15" xfId="0" applyFont="1" applyBorder="1"/>
    <xf numFmtId="10" fontId="0" fillId="0" borderId="0" xfId="1" applyNumberFormat="1" applyFont="1" applyBorder="1"/>
    <xf numFmtId="10" fontId="0" fillId="0" borderId="16" xfId="1" applyNumberFormat="1" applyFont="1" applyBorder="1"/>
    <xf numFmtId="0" fontId="2" fillId="4" borderId="18" xfId="0" applyFont="1" applyFill="1" applyBorder="1"/>
    <xf numFmtId="0" fontId="0" fillId="0" borderId="18" xfId="0" applyBorder="1" applyAlignment="1">
      <alignment vertical="top" wrapText="1"/>
    </xf>
    <xf numFmtId="9" fontId="3" fillId="0" borderId="16" xfId="1" applyFont="1" applyBorder="1" applyAlignment="1" applyProtection="1">
      <alignment vertical="top"/>
    </xf>
    <xf numFmtId="0" fontId="0" fillId="8" borderId="19" xfId="0" applyFill="1" applyBorder="1" applyAlignment="1" applyProtection="1">
      <alignment horizontal="left" vertical="top" wrapText="1"/>
      <protection locked="0"/>
    </xf>
    <xf numFmtId="9" fontId="3" fillId="8" borderId="16" xfId="1" applyFont="1" applyFill="1" applyBorder="1" applyProtection="1">
      <protection locked="0"/>
    </xf>
    <xf numFmtId="0" fontId="4" fillId="0" borderId="20" xfId="0" applyFont="1" applyBorder="1"/>
    <xf numFmtId="44" fontId="3" fillId="0" borderId="21" xfId="0" applyNumberFormat="1" applyFont="1" applyBorder="1"/>
    <xf numFmtId="44" fontId="3" fillId="0" borderId="22" xfId="0" applyNumberFormat="1" applyFont="1" applyBorder="1"/>
    <xf numFmtId="10" fontId="0" fillId="0" borderId="16" xfId="0" applyNumberFormat="1" applyBorder="1"/>
    <xf numFmtId="0" fontId="0" fillId="0" borderId="20" xfId="0" applyBorder="1"/>
    <xf numFmtId="44" fontId="0" fillId="11" borderId="14" xfId="4" applyFont="1" applyFill="1" applyBorder="1"/>
    <xf numFmtId="44" fontId="0" fillId="11" borderId="16" xfId="4" applyFont="1" applyFill="1" applyBorder="1"/>
    <xf numFmtId="44" fontId="0" fillId="11" borderId="22" xfId="4" applyFont="1" applyFill="1" applyBorder="1"/>
  </cellXfs>
  <cellStyles count="5">
    <cellStyle name="Procent" xfId="1" builtinId="5"/>
    <cellStyle name="Procent 2" xfId="3" xr:uid="{D15D2D15-526F-4F0B-AD98-A71A983A2990}"/>
    <cellStyle name="Standaard" xfId="0" builtinId="0"/>
    <cellStyle name="Standaard 2" xfId="2" xr:uid="{2FDEC1E3-4F6B-4EE2-847D-C53690399350}"/>
    <cellStyle name="Valuta" xfId="4" builtinId="4"/>
  </cellStyles>
  <dxfs count="47">
    <dxf>
      <border diagonalUp="0" diagonalDown="0">
        <left style="medium">
          <color indexed="64"/>
        </left>
        <right style="medium">
          <color indexed="64"/>
        </right>
        <vertical/>
      </border>
      <protection locked="1" hidden="0"/>
    </dxf>
    <dxf>
      <border diagonalUp="0" diagonalDown="0">
        <left/>
        <right style="medium">
          <color indexed="64"/>
        </right>
        <vertical/>
      </border>
      <protection locked="1" hidden="0"/>
    </dxf>
    <dxf>
      <protection locked="1" hidden="0"/>
    </dxf>
    <dxf>
      <border diagonalUp="0" diagonalDown="0">
        <left style="medium">
          <color indexed="64"/>
        </left>
        <right/>
        <vertical/>
      </border>
      <protection locked="1" hidden="0"/>
    </dxf>
    <dxf>
      <protection locked="1" hidden="0"/>
    </dxf>
    <dxf>
      <protection locked="1" hidden="0"/>
    </dxf>
    <dxf>
      <numFmt numFmtId="34" formatCode="_ &quot;€&quot;\ * #,##0.00_ ;_ &quot;€&quot;\ * \-#,##0.00_ ;_ &quot;€&quot;\ * &quot;-&quot;??_ ;_ @_ "/>
      <alignment horizontal="center" vertical="bottom" textRotation="0" wrapText="0" indent="0" justifyLastLine="0" shrinkToFit="0" readingOrder="0"/>
      <protection locked="1" hidden="0"/>
    </dxf>
    <dxf>
      <numFmt numFmtId="34" formatCode="_ &quot;€&quot;\ * #,##0.00_ ;_ &quot;€&quot;\ * \-#,##0.00_ ;_ &quot;€&quot;\ * &quot;-&quot;??_ ;_ @_ "/>
      <alignment horizontal="center" vertical="bottom" textRotation="0" wrapText="0" indent="0" justifyLastLine="0" shrinkToFit="0" readingOrder="0"/>
      <protection locked="1" hidden="0"/>
    </dxf>
    <dxf>
      <numFmt numFmtId="165" formatCode="_ &quot;€&quot;\ * #,##0_ ;_ &quot;€&quot;\ * \-#,##0_ ;_ &quot;€&quot;\ * &quot;-&quot;??_ ;_ @_ "/>
      <protection locked="1" hidden="0"/>
    </dxf>
    <dxf>
      <numFmt numFmtId="0" formatCode="General"/>
      <fill>
        <patternFill patternType="solid">
          <fgColor indexed="64"/>
          <bgColor theme="5"/>
        </patternFill>
      </fill>
      <protection locked="0" hidden="0"/>
    </dxf>
    <dxf>
      <numFmt numFmtId="34" formatCode="_ &quot;€&quot;\ * #,##0.00_ ;_ &quot;€&quot;\ * \-#,##0.00_ ;_ &quot;€&quot;\ * &quot;-&quot;??_ ;_ @_ "/>
      <protection locked="1" hidden="0"/>
    </dxf>
    <dxf>
      <numFmt numFmtId="34" formatCode="_ &quot;€&quot;\ * #,##0.00_ ;_ &quot;€&quot;\ * \-#,##0.00_ ;_ &quot;€&quot;\ * &quot;-&quot;??_ ;_ @_ "/>
      <protection locked="1" hidden="0"/>
    </dxf>
    <dxf>
      <numFmt numFmtId="0" formatCode="General"/>
      <protection locked="1" hidden="0"/>
    </dxf>
    <dxf>
      <numFmt numFmtId="34" formatCode="_ &quot;€&quot;\ * #,##0.00_ ;_ &quot;€&quot;\ * \-#,##0.00_ ;_ &quot;€&quot;\ * &quot;-&quot;??_ ;_ @_ "/>
      <protection locked="1" hidden="0"/>
    </dxf>
    <dxf>
      <numFmt numFmtId="34" formatCode="_ &quot;€&quot;\ * #,##0.00_ ;_ &quot;€&quot;\ * \-#,##0.00_ ;_ &quot;€&quot;\ * &quot;-&quot;??_ ;_ @_ "/>
      <fill>
        <patternFill patternType="solid">
          <fgColor indexed="64"/>
          <bgColor theme="5"/>
        </patternFill>
      </fill>
      <protection locked="0" hidden="0"/>
    </dxf>
    <dxf>
      <protection locked="1" hidden="0"/>
    </dxf>
    <dxf>
      <numFmt numFmtId="34" formatCode="_ &quot;€&quot;\ * #,##0.00_ ;_ &quot;€&quot;\ * \-#,##0.00_ ;_ &quot;€&quot;\ * &quot;-&quot;??_ ;_ @_ "/>
      <alignment horizontal="center" vertical="center" textRotation="0" indent="0" justifyLastLine="0" shrinkToFit="0" readingOrder="0"/>
      <protection locked="1" hidden="0"/>
    </dxf>
    <dxf>
      <border diagonalUp="0" diagonalDown="0">
        <left style="medium">
          <color indexed="64"/>
        </left>
        <right style="medium">
          <color indexed="64"/>
        </right>
        <vertical/>
      </border>
      <protection locked="1" hidden="0"/>
    </dxf>
    <dxf>
      <border diagonalUp="0" diagonalDown="0">
        <left/>
        <right style="medium">
          <color indexed="64"/>
        </right>
        <vertical/>
      </border>
      <protection locked="1" hidden="0"/>
    </dxf>
    <dxf>
      <protection locked="1" hidden="0"/>
    </dxf>
    <dxf>
      <border diagonalUp="0" diagonalDown="0">
        <left style="medium">
          <color indexed="64"/>
        </left>
        <right/>
        <vertical/>
      </border>
      <protection locked="1" hidden="0"/>
    </dxf>
    <dxf>
      <protection locked="1" hidden="0"/>
    </dxf>
    <dxf>
      <protection locked="1" hidden="0"/>
    </dxf>
    <dxf>
      <numFmt numFmtId="34" formatCode="_ &quot;€&quot;\ * #,##0.00_ ;_ &quot;€&quot;\ * \-#,##0.00_ ;_ &quot;€&quot;\ * &quot;-&quot;??_ ;_ @_ "/>
      <alignment horizontal="center" vertical="bottom" textRotation="0" wrapText="0" indent="0" justifyLastLine="0" shrinkToFit="0" readingOrder="0"/>
      <protection locked="1" hidden="0"/>
    </dxf>
    <dxf>
      <numFmt numFmtId="34" formatCode="_ &quot;€&quot;\ * #,##0.00_ ;_ &quot;€&quot;\ * \-#,##0.00_ ;_ &quot;€&quot;\ * &quot;-&quot;??_ ;_ @_ "/>
      <alignment horizontal="center" vertical="bottom" textRotation="0" wrapText="0" indent="0" justifyLastLine="0" shrinkToFit="0" readingOrder="0"/>
      <protection locked="1" hidden="0"/>
    </dxf>
    <dxf>
      <numFmt numFmtId="165" formatCode="_ &quot;€&quot;\ * #,##0_ ;_ &quot;€&quot;\ * \-#,##0_ ;_ &quot;€&quot;\ * &quot;-&quot;??_ ;_ @_ "/>
      <protection locked="1" hidden="0"/>
    </dxf>
    <dxf>
      <numFmt numFmtId="0" formatCode="General"/>
      <fill>
        <patternFill patternType="solid">
          <fgColor indexed="64"/>
          <bgColor theme="5"/>
        </patternFill>
      </fill>
      <protection locked="0" hidden="0"/>
    </dxf>
    <dxf>
      <numFmt numFmtId="34" formatCode="_ &quot;€&quot;\ * #,##0.00_ ;_ &quot;€&quot;\ * \-#,##0.00_ ;_ &quot;€&quot;\ * &quot;-&quot;??_ ;_ @_ "/>
      <protection locked="1" hidden="0"/>
    </dxf>
    <dxf>
      <numFmt numFmtId="34" formatCode="_ &quot;€&quot;\ * #,##0.00_ ;_ &quot;€&quot;\ * \-#,##0.00_ ;_ &quot;€&quot;\ * &quot;-&quot;??_ ;_ @_ "/>
      <protection locked="1" hidden="0"/>
    </dxf>
    <dxf>
      <numFmt numFmtId="0" formatCode="General"/>
      <protection locked="1" hidden="0"/>
    </dxf>
    <dxf>
      <numFmt numFmtId="34" formatCode="_ &quot;€&quot;\ * #,##0.00_ ;_ &quot;€&quot;\ * \-#,##0.00_ ;_ &quot;€&quot;\ * &quot;-&quot;??_ ;_ @_ "/>
      <protection locked="1" hidden="0"/>
    </dxf>
    <dxf>
      <numFmt numFmtId="34" formatCode="_ &quot;€&quot;\ * #,##0.00_ ;_ &quot;€&quot;\ * \-#,##0.00_ ;_ &quot;€&quot;\ * &quot;-&quot;??_ ;_ @_ "/>
      <fill>
        <patternFill patternType="solid">
          <fgColor indexed="64"/>
          <bgColor theme="5"/>
        </patternFill>
      </fill>
      <protection locked="0" hidden="0"/>
    </dxf>
    <dxf>
      <protection locked="1" hidden="0"/>
    </dxf>
    <dxf>
      <numFmt numFmtId="34" formatCode="_ &quot;€&quot;\ * #,##0.00_ ;_ &quot;€&quot;\ * \-#,##0.00_ ;_ &quot;€&quot;\ * &quot;-&quot;??_ ;_ @_ "/>
      <alignment horizontal="center" vertical="center" textRotation="0" indent="0" justifyLastLine="0" shrinkToFit="0" readingOrder="0"/>
      <protection locked="1" hidden="0"/>
    </dxf>
    <dxf>
      <numFmt numFmtId="165" formatCode="_ &quot;€&quot;\ * #,##0_ ;_ &quot;€&quot;\ * \-#,##0_ ;_ &quot;€&quot;\ * &quot;-&quot;??_ ;_ @_ "/>
      <fill>
        <patternFill patternType="solid">
          <fgColor indexed="64"/>
          <bgColor theme="3" tint="0.79998168889431442"/>
        </patternFill>
      </fill>
    </dxf>
    <dxf>
      <numFmt numFmtId="165" formatCode="_ &quot;€&quot;\ * #,##0_ ;_ &quot;€&quot;\ * \-#,##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65" formatCode="_ &quot;€&quot;\ * #,##0_ ;_ &quot;€&quot;\ * \-#,##0_ ;_ &quot;€&quot;\ * &quot;-&quot;??_ ;_ @_ "/>
      <fill>
        <patternFill patternType="solid">
          <fgColor indexed="64"/>
          <bgColor theme="3" tint="0.79998168889431442"/>
        </patternFill>
      </fill>
    </dxf>
    <dxf>
      <font>
        <b val="0"/>
        <i val="0"/>
        <strike val="0"/>
        <condense val="0"/>
        <extend val="0"/>
        <outline val="0"/>
        <shadow val="0"/>
        <u val="none"/>
        <vertAlign val="baseline"/>
        <sz val="10"/>
        <color theme="1"/>
        <name val="Arial"/>
        <family val="2"/>
        <scheme val="none"/>
      </font>
    </dxf>
    <dxf>
      <border outline="0">
        <bottom style="thin">
          <color theme="4"/>
        </bottom>
      </border>
    </dxf>
    <dxf>
      <numFmt numFmtId="165" formatCode="_ &quot;€&quot;\ * #,##0_ ;_ &quot;€&quot;\ * \-#,##0_ ;_ &quot;€&quot;\ * &quot;-&quot;??_ ;_ @_ "/>
    </dxf>
    <dxf>
      <numFmt numFmtId="165" formatCode="_ &quot;€&quot;\ * #,##0_ ;_ &quot;€&quot;\ * \-#,##0_ ;_ &quot;€&quot;\ * &quot;-&quot;??_ ;_ @_ "/>
      <fill>
        <patternFill patternType="solid">
          <fgColor indexed="64"/>
          <bgColor theme="3" tint="0.79998168889431442"/>
        </patternFill>
      </fill>
    </dxf>
    <dxf>
      <font>
        <b val="0"/>
        <i val="0"/>
        <strike val="0"/>
        <condense val="0"/>
        <extend val="0"/>
        <outline val="0"/>
        <shadow val="0"/>
        <u val="none"/>
        <vertAlign val="baseline"/>
        <sz val="10"/>
        <color theme="1"/>
        <name val="Arial"/>
        <family val="2"/>
        <scheme val="none"/>
      </font>
    </dxf>
    <dxf>
      <numFmt numFmtId="165" formatCode="_ &quot;€&quot;\ * #,##0_ ;_ &quot;€&quot;\ * \-#,##0_ ;_ &quot;€&quot;\ * &quot;-&quot;??_ ;_ @_ "/>
      <fill>
        <patternFill patternType="solid">
          <fgColor indexed="64"/>
          <bgColor theme="3" tint="0.79998168889431442"/>
        </patternFill>
      </fill>
    </dxf>
    <dxf>
      <font>
        <b val="0"/>
        <i val="0"/>
        <strike val="0"/>
        <condense val="0"/>
        <extend val="0"/>
        <outline val="0"/>
        <shadow val="0"/>
        <u val="none"/>
        <vertAlign val="baseline"/>
        <sz val="10"/>
        <color theme="1"/>
        <name val="Arial"/>
        <family val="2"/>
        <scheme val="none"/>
      </font>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47E391-275F-46F8-9C68-16F4576E857A}" name="Tabel1" displayName="Tabel1" ref="A4:D11" totalsRowShown="0">
  <autoFilter ref="A4:D11" xr:uid="{A447E391-275F-46F8-9C68-16F4576E857A}"/>
  <tableColumns count="4">
    <tableColumn id="1" xr3:uid="{2B285641-6B4B-4CB2-88C2-AD108CB9D846}" name="Functie"/>
    <tableColumn id="2" xr3:uid="{2D8B15DE-4AA3-4AC2-B83E-8D5A159D877E}" name="Fte"/>
    <tableColumn id="3" xr3:uid="{9F71560D-6F13-45FC-9466-8E096F4998F6}" name="% v/d kosten" dataDxfId="46" dataCellStyle="Procent"/>
    <tableColumn id="7" xr3:uid="{7B6F3829-52F6-401D-832A-02DB1683A901}" name="Kosten per fte (gewogen) obv procentuele verdeling" dataDxfId="45"/>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C234FB3-6274-41F1-8474-5A86DD32450F}" name="Tabel810" displayName="Tabel810" ref="A23:I36" totalsRowShown="0" headerRowDxfId="16" dataDxfId="15">
  <autoFilter ref="A23:I36" xr:uid="{344A6390-15B0-4F3E-826F-A90D2BB85E9D}"/>
  <tableColumns count="9">
    <tableColumn id="14" xr3:uid="{84B8F696-8451-4717-8467-1F051AB2AF08}" name="Productcode" dataDxfId="14"/>
    <tableColumn id="1" xr3:uid="{1BA1960E-DAE6-4FC2-871D-D50AD37C1EDD}" name="Omschrijving" dataDxfId="13"/>
    <tableColumn id="2" xr3:uid="{6E128D0B-7F79-47CB-918B-16774B6895BD}" name="Uren " dataDxfId="12"/>
    <tableColumn id="3" xr3:uid="{11B655E8-F53A-4444-9E3D-545FBE306DB9}" name="Prijs _x000a_(per uur)" dataDxfId="11">
      <calculatedColumnFormula>$D$20</calculatedColumnFormula>
    </tableColumn>
    <tableColumn id="4" xr3:uid="{C12039B8-FA63-4FF6-863F-9D391B494725}" name="Tarief maatregel per jaar _x000a_(prijspeil 2025)" dataDxfId="10">
      <calculatedColumnFormula>Tabel810[[#This Row],[Uren ]]*Tabel810[[#This Row],[Prijs 
(per uur)]]</calculatedColumnFormula>
    </tableColumn>
    <tableColumn id="5" xr3:uid="{BA4721CC-5277-4CDF-BABC-EC69186DD47C}" name="Looptijd maatregel_x000a_(prijspeil 2025)" dataDxfId="9"/>
    <tableColumn id="6" xr3:uid="{C899CC0C-927C-4358-A408-051A95C50F92}" name="Tarief per maatregel per maand_x000a_(prijspeil 2025)" dataDxfId="8">
      <calculatedColumnFormula>Tabel810[[#This Row],[Tarief maatregel per jaar 
(prijspeil 2025)]]/Tabel810[[#This Row],[Looptijd maatregel
(prijspeil 2025)]]</calculatedColumnFormula>
    </tableColumn>
    <tableColumn id="11" xr3:uid="{F743CDDD-1623-49DD-B30D-44611C0A216E}" name="Prijseenheid/frequentie" dataDxfId="7"/>
    <tableColumn id="12" xr3:uid="{2ED7D085-2ECD-465A-BADD-748FAC700F0C}" name="Periodiciteit" dataDxfId="6"/>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6100F52-583E-4353-9CD2-E863F09CC36F}" name="Tabel1111" displayName="Tabel1111" ref="A4:D20" totalsRowShown="0" headerRowDxfId="5" dataDxfId="4">
  <autoFilter ref="A4:D20" xr:uid="{23F807C0-34AE-4CB4-A007-55684E89F0A0}"/>
  <tableColumns count="4">
    <tableColumn id="1" xr3:uid="{73755412-4AC0-4249-BB67-9AF855518E73}" name="Tarieven" dataDxfId="3"/>
    <tableColumn id="2" xr3:uid="{347B61A9-AD64-4E2F-B486-30847B5743D9}" name="--------------------------------------------" dataDxfId="2"/>
    <tableColumn id="3" xr3:uid="{539D2BA4-368A-4347-9A34-4F455F7DF237}" name="------------------------------" dataDxfId="1"/>
    <tableColumn id="4" xr3:uid="{6B5785BA-8B06-4AC9-A59A-FBF6FFC748F9}" name="Bedrag in EUR"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E54C3A-1C54-4FE6-99B7-E849C545D64B}" name="Tabel2" displayName="Tabel2" ref="A15:D19" totalsRowShown="0">
  <autoFilter ref="A15:D19" xr:uid="{7EE54C3A-1C54-4FE6-99B7-E849C545D64B}"/>
  <tableColumns count="4">
    <tableColumn id="1" xr3:uid="{FF90C5C9-5DB7-40FF-927E-93A66EF776DD}" name="Functie"/>
    <tableColumn id="2" xr3:uid="{5E81FDD8-4625-4A2F-8B4B-5FE50433FD84}" name="Fte"/>
    <tableColumn id="3" xr3:uid="{477BBC95-5204-455B-AB26-3AFAABB973FC}" name="------------------------------" dataDxfId="44" dataCellStyle="Procent"/>
    <tableColumn id="5" xr3:uid="{2909F68E-88EA-41CC-B60C-D11CFD81C4E4}" name="TOTAAL Kosten per fte (gewogen)" dataDxfId="4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036F08-5A87-4749-8750-57F3C934C47B}" name="Tabel3" displayName="Tabel3" ref="A21:D25" totalsRowShown="0">
  <autoFilter ref="A21:D25" xr:uid="{C3036F08-5A87-4749-8750-57F3C934C47B}"/>
  <tableColumns count="4">
    <tableColumn id="1" xr3:uid="{1C39C257-C2F9-4298-8466-6A2C77C1A0FC}" name="Span of control"/>
    <tableColumn id="2" xr3:uid="{78C0212A-4236-4AC7-952E-CC3D599E2230}" name="Ongewogen gemiddelde"/>
    <tableColumn id="3" xr3:uid="{6C3240DB-464E-44BE-A4E3-C29AC99066CA}" name="Gewogen gemiddelde"/>
    <tableColumn id="5" xr3:uid="{E503BB6A-7A8F-4150-A000-AA9DE856A2D7}" name="TOTAAL Kosten per fte (gewogen)" dataDxfId="42"/>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5E411B-D356-402D-88E7-AC75E65B8FCB}" name="Tabel4" displayName="Tabel4" ref="A28:D30" totalsRowShown="0" tableBorderDxfId="41">
  <autoFilter ref="A28:D30" xr:uid="{805E411B-D356-402D-88E7-AC75E65B8FCB}"/>
  <tableColumns count="4">
    <tableColumn id="1" xr3:uid="{F875A3E4-B0F7-45F1-8685-91DBAE212E48}" name="Overige en indirect personeel"/>
    <tableColumn id="2" xr3:uid="{B4AF71CF-7A11-4D93-985E-328857B9AEA1}" name="Kolom1"/>
    <tableColumn id="3" xr3:uid="{CDC5EDA8-BDC9-48FB-88B7-AD9F8D73978D}" name="------------------------------"/>
    <tableColumn id="5" xr3:uid="{429C9650-550E-45B3-B980-2D07E2907C9C}" name="TOTAAL Kosten per fte"/>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D0F74F8-F8E4-4847-BAB4-AF2435303927}" name="Tabel5" displayName="Tabel5" ref="A32:D39" totalsRowShown="0" headerRowDxfId="40">
  <autoFilter ref="A32:D39" xr:uid="{BD0F74F8-F8E4-4847-BAB4-AF2435303927}"/>
  <tableColumns count="4">
    <tableColumn id="1" xr3:uid="{4EF7D204-E600-4A9E-A135-34D18F88197A}" name="Materiële kosten"/>
    <tableColumn id="2" xr3:uid="{BB6B2CDA-68BD-4E28-A709-1D957E0ED1D8}" name="Kolom1"/>
    <tableColumn id="3" xr3:uid="{2AF6A6C3-1F68-48E1-8514-FBA0D6B6A797}" name="------------------------------"/>
    <tableColumn id="5" xr3:uid="{F28A0DC6-4723-47AD-8915-86B836DBCB87}" name="TOTAAL Kosten per fte " dataDxfId="3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F0B1B3-062C-4158-B0E4-14367605BF9F}" name="Tabel6" displayName="Tabel6" ref="A41:D46" totalsRowShown="0" headerRowDxfId="38">
  <autoFilter ref="A41:D46" xr:uid="{9AF0B1B3-062C-4158-B0E4-14367605BF9F}"/>
  <tableColumns count="4">
    <tableColumn id="1" xr3:uid="{CFA744EC-8740-4434-8FF0-C43558DAFBB4}" name="Samenvatting componenten" dataDxfId="37"/>
    <tableColumn id="2" xr3:uid="{3639E6D5-A69D-4C6E-AC29-3866166017D1}" name="Kolom1" dataDxfId="36"/>
    <tableColumn id="3" xr3:uid="{85DFC877-2336-41C2-92AF-CD7026C9D031}" name="------------------------------" dataDxfId="35"/>
    <tableColumn id="4" xr3:uid="{F20552D2-A5FA-48AA-91BF-A348E2B7F536}" name="Bedrag in EUR" dataDxfId="3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A3EB28-3CE1-45E9-9C35-4306919D64A0}" name="Tabel7" displayName="Tabel7" ref="A1:C18" totalsRowShown="0">
  <autoFilter ref="A1:C18" xr:uid="{CCA3EB28-3CE1-45E9-9C35-4306919D64A0}"/>
  <tableColumns count="3">
    <tableColumn id="1" xr3:uid="{1878DCAA-94DB-4FE8-ADB4-E90F25FE5B51}" name="Onderdeel"/>
    <tableColumn id="2" xr3:uid="{08F5DAF9-AD41-4EA3-B024-D29AB1F25DED}" name="Kolom1"/>
    <tableColumn id="3" xr3:uid="{5C223C58-A35F-4E1E-96FB-7952C673DDD1}" name="Uren"/>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4A6390-15B0-4F3E-826F-A90D2BB85E9D}" name="Tabel8" displayName="Tabel8" ref="A23:I36" totalsRowShown="0" headerRowDxfId="33" dataDxfId="32">
  <autoFilter ref="A23:I36" xr:uid="{344A6390-15B0-4F3E-826F-A90D2BB85E9D}"/>
  <tableColumns count="9">
    <tableColumn id="14" xr3:uid="{1FE4B69A-B6DE-4FCB-9177-B980EA642D49}" name="Productcode" dataDxfId="31"/>
    <tableColumn id="1" xr3:uid="{89522115-3EE1-4C79-B4ED-72ADC76D175C}" name="Omschrijving" dataDxfId="30"/>
    <tableColumn id="2" xr3:uid="{DDA5F606-9D13-409A-956B-68691987915D}" name="Uren " dataDxfId="29"/>
    <tableColumn id="3" xr3:uid="{CC71C200-951E-4940-9082-2FC90AFC70C8}" name="Prijs _x000a_(per uur)" dataDxfId="28">
      <calculatedColumnFormula>$D$20</calculatedColumnFormula>
    </tableColumn>
    <tableColumn id="4" xr3:uid="{97CB3477-872A-4DA9-BE28-CBCBDDCDAA52}" name="Tarief maatregel per jaar _x000a_(prijspeil 2025)" dataDxfId="27">
      <calculatedColumnFormula>Tabel8[[#This Row],[Uren ]]*Tabel8[[#This Row],[Prijs 
(per uur)]]</calculatedColumnFormula>
    </tableColumn>
    <tableColumn id="5" xr3:uid="{53C83D82-A7D0-4ED1-820E-E83AB8AAA8DD}" name="Looptijd maatregel_x000a_(prijspeil 2025)" dataDxfId="26"/>
    <tableColumn id="6" xr3:uid="{5D542423-83C6-4552-A5BE-26B8AAECE289}" name="Tarief per maatregel per maand_x000a_(prijspeil 2025)" dataDxfId="25"/>
    <tableColumn id="11" xr3:uid="{75FD1444-48FA-4121-B1CA-67DD68CB9998}" name="Prijseenheid/frequentie" dataDxfId="24"/>
    <tableColumn id="12" xr3:uid="{0A4B2AC5-2379-497C-B38A-3D72EC49A799}" name="Periodiciteit" dataDxfId="23"/>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3F807C0-34AE-4CB4-A007-55684E89F0A0}" name="Tabel11" displayName="Tabel11" ref="A4:D20" totalsRowShown="0" headerRowDxfId="22" dataDxfId="21">
  <autoFilter ref="A4:D20" xr:uid="{23F807C0-34AE-4CB4-A007-55684E89F0A0}"/>
  <tableColumns count="4">
    <tableColumn id="1" xr3:uid="{1AFCBBAC-6C53-4A86-BAEE-A82F74DD70A6}" name="Tarieven" dataDxfId="20"/>
    <tableColumn id="2" xr3:uid="{8E4E95B4-03F5-42A3-80B1-D2AC5F372074}" name="--------------------------------------------" dataDxfId="19"/>
    <tableColumn id="3" xr3:uid="{2FAEF941-B78F-4230-8A9C-FF01C01E4986}" name="------------------------------" dataDxfId="18"/>
    <tableColumn id="4" xr3:uid="{7C00C59E-58FC-4243-B6BA-B922A5363C23}" name="Bedrag in EUR" dataDxfId="17"/>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C80F6-842C-4185-A9D7-4A2EB135B8AF}">
  <dimension ref="A1:I66"/>
  <sheetViews>
    <sheetView view="pageBreakPreview" zoomScale="60" zoomScaleNormal="100" workbookViewId="0">
      <selection activeCell="A60" sqref="A60"/>
    </sheetView>
  </sheetViews>
  <sheetFormatPr defaultRowHeight="12.6"/>
  <cols>
    <col min="1" max="1" width="58.85546875" bestFit="1" customWidth="1"/>
    <col min="2" max="2" width="23.85546875" hidden="1" customWidth="1"/>
    <col min="3" max="3" width="22.28515625" bestFit="1" customWidth="1"/>
    <col min="4" max="4" width="50.7109375" bestFit="1" customWidth="1"/>
    <col min="5" max="5" width="57.85546875" bestFit="1" customWidth="1"/>
    <col min="6" max="6" width="15.42578125" hidden="1" customWidth="1"/>
    <col min="7" max="7" width="16.42578125" hidden="1" customWidth="1"/>
    <col min="8" max="8" width="9" bestFit="1" customWidth="1"/>
    <col min="9" max="9" width="12" bestFit="1" customWidth="1"/>
  </cols>
  <sheetData>
    <row r="1" spans="1:9" ht="12.95">
      <c r="A1" s="5" t="s">
        <v>0</v>
      </c>
      <c r="B1" t="s">
        <v>1</v>
      </c>
      <c r="H1" s="31">
        <f>1-SUM(C6:C9)</f>
        <v>0.90266666666666673</v>
      </c>
      <c r="I1" s="32"/>
    </row>
    <row r="3" spans="1:9" ht="12.95">
      <c r="A3" s="5" t="s">
        <v>2</v>
      </c>
    </row>
    <row r="4" spans="1:9">
      <c r="A4" t="s">
        <v>3</v>
      </c>
      <c r="B4" t="s">
        <v>4</v>
      </c>
      <c r="C4" t="s">
        <v>5</v>
      </c>
      <c r="D4" t="s">
        <v>6</v>
      </c>
    </row>
    <row r="5" spans="1:9">
      <c r="A5" t="s">
        <v>7</v>
      </c>
      <c r="B5">
        <v>2369</v>
      </c>
      <c r="C5" s="15">
        <f>H1</f>
        <v>0.90266666666666673</v>
      </c>
      <c r="D5" s="18">
        <v>66137.484000000011</v>
      </c>
    </row>
    <row r="6" spans="1:9">
      <c r="A6" t="s">
        <v>8</v>
      </c>
      <c r="B6">
        <v>137</v>
      </c>
      <c r="C6" s="15">
        <v>5.1999999999999998E-2</v>
      </c>
      <c r="D6" s="18">
        <v>6135.4279999999999</v>
      </c>
    </row>
    <row r="7" spans="1:9">
      <c r="A7" t="s">
        <v>9</v>
      </c>
      <c r="B7">
        <v>47</v>
      </c>
      <c r="C7" s="15">
        <f>B7/$B$10</f>
        <v>1.7904761904761906E-2</v>
      </c>
      <c r="D7" s="18">
        <v>999.46171428571438</v>
      </c>
    </row>
    <row r="8" spans="1:9">
      <c r="A8" t="s">
        <v>10</v>
      </c>
      <c r="B8">
        <v>9</v>
      </c>
      <c r="C8" s="15">
        <f>B8/$B$10</f>
        <v>3.4285714285714284E-3</v>
      </c>
      <c r="D8" s="18">
        <v>281.64</v>
      </c>
    </row>
    <row r="9" spans="1:9">
      <c r="A9" t="s">
        <v>11</v>
      </c>
      <c r="B9">
        <v>63</v>
      </c>
      <c r="C9" s="15">
        <f>B9/$B$10</f>
        <v>2.4E-2</v>
      </c>
      <c r="D9" s="18">
        <v>1350.768</v>
      </c>
    </row>
    <row r="10" spans="1:9" ht="12.95">
      <c r="A10" s="13" t="s">
        <v>12</v>
      </c>
      <c r="B10" s="13">
        <f>SUM(B5:B9)</f>
        <v>2625</v>
      </c>
      <c r="C10" s="16">
        <f>SUM(C5:C9)</f>
        <v>1</v>
      </c>
      <c r="D10" s="20">
        <f>SUM(D5:D9)</f>
        <v>74904.781714285724</v>
      </c>
    </row>
    <row r="11" spans="1:9" ht="12.95">
      <c r="A11" s="3" t="s">
        <v>13</v>
      </c>
      <c r="B11" s="3"/>
      <c r="C11" s="17">
        <v>5.3199999999999997E-2</v>
      </c>
      <c r="D11" s="21">
        <f>D10*(1+C11)</f>
        <v>78889.716101485712</v>
      </c>
    </row>
    <row r="14" spans="1:9" ht="12.95">
      <c r="A14" s="5" t="s">
        <v>14</v>
      </c>
    </row>
    <row r="15" spans="1:9">
      <c r="A15" t="s">
        <v>3</v>
      </c>
      <c r="B15" t="s">
        <v>4</v>
      </c>
      <c r="C15" s="14" t="s">
        <v>15</v>
      </c>
      <c r="D15" t="s">
        <v>16</v>
      </c>
    </row>
    <row r="16" spans="1:9">
      <c r="A16" t="s">
        <v>17</v>
      </c>
      <c r="B16">
        <v>191.6</v>
      </c>
      <c r="C16" s="2"/>
      <c r="D16" s="18">
        <f>87098*(1+D19)</f>
        <v>91731.613599999997</v>
      </c>
    </row>
    <row r="17" spans="1:4">
      <c r="A17" t="s">
        <v>18</v>
      </c>
      <c r="B17">
        <v>175.1</v>
      </c>
      <c r="C17" s="2"/>
      <c r="D17" s="18">
        <f>53294*(1+D19)</f>
        <v>56129.240799999992</v>
      </c>
    </row>
    <row r="18" spans="1:4">
      <c r="A18" t="s">
        <v>19</v>
      </c>
      <c r="B18">
        <v>154.4</v>
      </c>
      <c r="C18" s="2"/>
      <c r="D18" s="18">
        <f>102367*(1+D19)</f>
        <v>107812.92439999999</v>
      </c>
    </row>
    <row r="19" spans="1:4">
      <c r="A19" t="s">
        <v>20</v>
      </c>
      <c r="D19" s="19">
        <v>5.3199999999999997E-2</v>
      </c>
    </row>
    <row r="21" spans="1:4">
      <c r="A21" t="s">
        <v>21</v>
      </c>
      <c r="B21" t="s">
        <v>22</v>
      </c>
      <c r="C21" t="s">
        <v>23</v>
      </c>
      <c r="D21" t="s">
        <v>16</v>
      </c>
    </row>
    <row r="22" spans="1:4">
      <c r="A22" t="s">
        <v>17</v>
      </c>
      <c r="B22">
        <v>13.3</v>
      </c>
      <c r="C22" s="8">
        <v>13.7</v>
      </c>
      <c r="D22" s="18">
        <f>D16/C22</f>
        <v>6695.7382189781019</v>
      </c>
    </row>
    <row r="23" spans="1:4">
      <c r="A23" t="s">
        <v>18</v>
      </c>
      <c r="B23">
        <v>12.8</v>
      </c>
      <c r="C23" s="8">
        <v>11.4</v>
      </c>
      <c r="D23" s="18">
        <f>D17/C23</f>
        <v>4923.6176140350872</v>
      </c>
    </row>
    <row r="24" spans="1:4">
      <c r="A24" t="s">
        <v>19</v>
      </c>
      <c r="B24">
        <v>17.600000000000001</v>
      </c>
      <c r="C24" s="8">
        <v>16.600000000000001</v>
      </c>
      <c r="D24" s="18">
        <f>D18/C24</f>
        <v>6494.75448192771</v>
      </c>
    </row>
    <row r="25" spans="1:4" ht="12.95">
      <c r="A25" s="21" t="s">
        <v>24</v>
      </c>
      <c r="B25" s="21"/>
      <c r="C25" s="21"/>
      <c r="D25" s="21">
        <f>SUM(D22:D24)</f>
        <v>18114.110314940899</v>
      </c>
    </row>
    <row r="27" spans="1:4" ht="12.95">
      <c r="A27" s="5" t="s">
        <v>25</v>
      </c>
    </row>
    <row r="28" spans="1:4" ht="12.95">
      <c r="A28" t="s">
        <v>26</v>
      </c>
      <c r="B28" t="s">
        <v>27</v>
      </c>
      <c r="C28" s="14" t="s">
        <v>15</v>
      </c>
      <c r="D28" s="10" t="s">
        <v>28</v>
      </c>
    </row>
    <row r="29" spans="1:4">
      <c r="A29" t="s">
        <v>26</v>
      </c>
      <c r="D29" s="18">
        <v>23816</v>
      </c>
    </row>
    <row r="30" spans="1:4">
      <c r="A30" s="11" t="s">
        <v>20</v>
      </c>
      <c r="B30" s="12"/>
      <c r="C30" s="12"/>
      <c r="D30" s="22">
        <v>5.3199999999999997E-2</v>
      </c>
    </row>
    <row r="32" spans="1:4" ht="12.95">
      <c r="A32" t="s">
        <v>29</v>
      </c>
      <c r="B32" t="s">
        <v>27</v>
      </c>
      <c r="C32" s="14" t="s">
        <v>15</v>
      </c>
      <c r="D32" s="10" t="s">
        <v>30</v>
      </c>
    </row>
    <row r="33" spans="1:5">
      <c r="A33" t="s">
        <v>31</v>
      </c>
      <c r="D33" s="18">
        <v>6713</v>
      </c>
    </row>
    <row r="34" spans="1:5">
      <c r="A34" t="s">
        <v>32</v>
      </c>
      <c r="D34" s="18">
        <v>7955</v>
      </c>
    </row>
    <row r="35" spans="1:5">
      <c r="A35" t="s">
        <v>33</v>
      </c>
      <c r="D35" s="18">
        <v>705</v>
      </c>
    </row>
    <row r="36" spans="1:5">
      <c r="A36" t="s">
        <v>34</v>
      </c>
      <c r="D36" s="18">
        <v>4027</v>
      </c>
    </row>
    <row r="37" spans="1:5">
      <c r="A37" t="s">
        <v>35</v>
      </c>
      <c r="D37" s="18">
        <v>1716</v>
      </c>
    </row>
    <row r="38" spans="1:5">
      <c r="A38" t="s">
        <v>36</v>
      </c>
      <c r="D38" s="18">
        <v>239</v>
      </c>
    </row>
    <row r="39" spans="1:5" ht="12.95">
      <c r="A39" s="3" t="s">
        <v>37</v>
      </c>
      <c r="B39" s="3"/>
      <c r="C39" s="3"/>
      <c r="D39" s="21">
        <f>SUM(D33:D38)</f>
        <v>21355</v>
      </c>
    </row>
    <row r="40" spans="1:5" ht="12.95">
      <c r="E40" s="3"/>
    </row>
    <row r="41" spans="1:5">
      <c r="A41" s="1" t="s">
        <v>38</v>
      </c>
      <c r="B41" s="1" t="s">
        <v>27</v>
      </c>
      <c r="C41" s="14" t="s">
        <v>15</v>
      </c>
      <c r="D41" s="1" t="s">
        <v>39</v>
      </c>
    </row>
    <row r="42" spans="1:5">
      <c r="A42" s="1" t="s">
        <v>40</v>
      </c>
      <c r="B42" s="1"/>
      <c r="C42" s="6"/>
      <c r="D42" s="18">
        <f>D11</f>
        <v>78889.716101485712</v>
      </c>
    </row>
    <row r="43" spans="1:5">
      <c r="A43" s="1" t="s">
        <v>41</v>
      </c>
      <c r="B43" s="1"/>
      <c r="C43" s="6"/>
      <c r="D43" s="18">
        <f>D25</f>
        <v>18114.110314940899</v>
      </c>
    </row>
    <row r="44" spans="1:5">
      <c r="A44" s="1" t="s">
        <v>42</v>
      </c>
      <c r="B44" s="1"/>
      <c r="C44" s="6"/>
      <c r="D44" s="18">
        <f>D29</f>
        <v>23816</v>
      </c>
    </row>
    <row r="45" spans="1:5">
      <c r="A45" s="1" t="s">
        <v>29</v>
      </c>
      <c r="B45" s="1"/>
      <c r="C45" s="6"/>
      <c r="D45" s="18">
        <f>D39</f>
        <v>21355</v>
      </c>
    </row>
    <row r="46" spans="1:5" ht="12.95">
      <c r="A46" s="4" t="s">
        <v>43</v>
      </c>
      <c r="B46" s="4"/>
      <c r="C46" s="6"/>
      <c r="D46" s="21">
        <f>SUM(D42:D45)</f>
        <v>142174.82641642663</v>
      </c>
    </row>
    <row r="48" spans="1:5" ht="12.95">
      <c r="A48" s="3" t="s">
        <v>44</v>
      </c>
    </row>
    <row r="49" spans="1:7" ht="12.95">
      <c r="A49" s="34" t="s">
        <v>45</v>
      </c>
      <c r="B49" s="9" t="s">
        <v>27</v>
      </c>
      <c r="C49" s="37" t="s">
        <v>15</v>
      </c>
      <c r="D49" s="43" t="s">
        <v>39</v>
      </c>
    </row>
    <row r="50" spans="1:7" ht="27" customHeight="1">
      <c r="A50" s="38" t="s">
        <v>46</v>
      </c>
      <c r="B50" s="12"/>
      <c r="C50" s="39" t="s">
        <v>47</v>
      </c>
      <c r="D50" s="42"/>
      <c r="G50" s="6"/>
    </row>
    <row r="51" spans="1:7" ht="27" customHeight="1">
      <c r="A51" s="41">
        <f>IF(C50="Ja",0.02,0)</f>
        <v>0.02</v>
      </c>
      <c r="B51" s="12"/>
      <c r="C51" s="42"/>
      <c r="D51" s="44">
        <f>D46*A51</f>
        <v>2843.4965283285328</v>
      </c>
      <c r="G51" s="6"/>
    </row>
    <row r="52" spans="1:7" ht="12.95">
      <c r="A52" s="34" t="s">
        <v>48</v>
      </c>
      <c r="B52" s="9" t="s">
        <v>27</v>
      </c>
      <c r="C52" s="37" t="s">
        <v>15</v>
      </c>
      <c r="D52" s="43" t="s">
        <v>39</v>
      </c>
    </row>
    <row r="53" spans="1:7">
      <c r="A53" s="45" t="s">
        <v>49</v>
      </c>
      <c r="B53" s="33"/>
      <c r="C53" s="48"/>
      <c r="D53" s="33"/>
      <c r="E53" s="40"/>
    </row>
    <row r="54" spans="1:7" ht="12.95">
      <c r="A54" s="47">
        <v>0</v>
      </c>
      <c r="B54" s="46"/>
      <c r="C54" s="48"/>
      <c r="D54" s="49">
        <f>D46*A54</f>
        <v>0</v>
      </c>
    </row>
    <row r="56" spans="1:7" ht="12.95">
      <c r="A56" s="34" t="s">
        <v>50</v>
      </c>
      <c r="B56" s="9"/>
      <c r="C56" s="37" t="s">
        <v>15</v>
      </c>
      <c r="D56" s="37"/>
    </row>
    <row r="57" spans="1:7" ht="12.95">
      <c r="A57" s="3" t="s">
        <v>50</v>
      </c>
      <c r="B57" s="3"/>
      <c r="C57" s="4"/>
      <c r="D57" s="4">
        <f>SUM(D46,D51,D54)</f>
        <v>145018.32294475517</v>
      </c>
    </row>
    <row r="64" spans="1:7" ht="24.95">
      <c r="A64" s="40" t="s">
        <v>51</v>
      </c>
      <c r="C64" t="s">
        <v>52</v>
      </c>
    </row>
    <row r="65" spans="1:3">
      <c r="A65" s="40" t="s">
        <v>53</v>
      </c>
      <c r="C65" t="s">
        <v>54</v>
      </c>
    </row>
    <row r="66" spans="1:3" ht="75">
      <c r="A66" s="40" t="s">
        <v>55</v>
      </c>
    </row>
  </sheetData>
  <phoneticPr fontId="6" type="noConversion"/>
  <dataValidations count="2">
    <dataValidation type="list" allowBlank="1" showInputMessage="1" showErrorMessage="1" sqref="C50" xr:uid="{0977B926-63E5-4F77-A56E-C9DDA3DA0D7F}">
      <formula1>"Ja, Nee"</formula1>
    </dataValidation>
    <dataValidation type="list" allowBlank="1" showInputMessage="1" showErrorMessage="1" sqref="A53" xr:uid="{E5224A2B-A0F7-4898-B6AC-BF1C939F9274}">
      <formula1>#REF!</formula1>
    </dataValidation>
  </dataValidations>
  <pageMargins left="0.7" right="0.7" top="0.75" bottom="0.75" header="0.3" footer="0.3"/>
  <pageSetup paperSize="9" scale="67" orientation="portrait" r:id="rId1"/>
  <colBreaks count="1" manualBreakCount="1">
    <brk id="4" max="65" man="1"/>
  </colBreaks>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2A7E2-5EC6-462C-B2C7-A70E962D292B}">
  <dimension ref="A1:E18"/>
  <sheetViews>
    <sheetView view="pageBreakPreview" zoomScale="60" zoomScaleNormal="100" workbookViewId="0">
      <selection activeCell="A49" sqref="A49"/>
    </sheetView>
  </sheetViews>
  <sheetFormatPr defaultRowHeight="12.6"/>
  <cols>
    <col min="1" max="1" width="78.5703125" bestFit="1" customWidth="1"/>
    <col min="2" max="2" width="9.85546875" hidden="1" customWidth="1"/>
    <col min="3" max="3" width="10" bestFit="1" customWidth="1"/>
  </cols>
  <sheetData>
    <row r="1" spans="1:5">
      <c r="A1" t="s">
        <v>56</v>
      </c>
      <c r="B1" t="s">
        <v>27</v>
      </c>
      <c r="C1" t="s">
        <v>57</v>
      </c>
    </row>
    <row r="2" spans="1:5">
      <c r="A2" t="s">
        <v>58</v>
      </c>
      <c r="C2" s="29">
        <v>1872</v>
      </c>
    </row>
    <row r="3" spans="1:5">
      <c r="A3" t="s">
        <v>59</v>
      </c>
      <c r="C3" s="30">
        <v>47</v>
      </c>
    </row>
    <row r="4" spans="1:5" ht="12.95">
      <c r="A4" s="25" t="s">
        <v>60</v>
      </c>
      <c r="B4" s="25"/>
      <c r="C4" s="25">
        <f>C2-C3</f>
        <v>1825</v>
      </c>
    </row>
    <row r="5" spans="1:5">
      <c r="A5" t="s">
        <v>61</v>
      </c>
      <c r="B5" s="35">
        <v>6.3E-2</v>
      </c>
      <c r="C5" s="36">
        <v>115</v>
      </c>
      <c r="E5" t="s">
        <v>62</v>
      </c>
    </row>
    <row r="6" spans="1:5">
      <c r="A6" t="s">
        <v>63</v>
      </c>
      <c r="C6" s="30">
        <v>200</v>
      </c>
    </row>
    <row r="7" spans="1:5">
      <c r="A7" t="s">
        <v>64</v>
      </c>
      <c r="C7" s="30">
        <v>17</v>
      </c>
    </row>
    <row r="8" spans="1:5">
      <c r="A8" t="s">
        <v>65</v>
      </c>
      <c r="C8" s="30">
        <v>19</v>
      </c>
    </row>
    <row r="9" spans="1:5" ht="12.95">
      <c r="A9" s="25" t="s">
        <v>66</v>
      </c>
      <c r="B9" s="25"/>
      <c r="C9" s="26">
        <f>SUM(C5:C8)</f>
        <v>351</v>
      </c>
    </row>
    <row r="10" spans="1:5" ht="12.95">
      <c r="A10" s="27" t="s">
        <v>67</v>
      </c>
      <c r="B10" s="27"/>
      <c r="C10" s="28">
        <f>C4-C9</f>
        <v>1474</v>
      </c>
    </row>
    <row r="11" spans="1:5">
      <c r="A11" t="s">
        <v>68</v>
      </c>
      <c r="C11" s="30">
        <v>56</v>
      </c>
    </row>
    <row r="12" spans="1:5">
      <c r="A12" t="s">
        <v>69</v>
      </c>
      <c r="C12" s="30">
        <v>82</v>
      </c>
    </row>
    <row r="13" spans="1:5" ht="12.95">
      <c r="A13" s="25" t="s">
        <v>66</v>
      </c>
      <c r="B13" s="25"/>
      <c r="C13" s="26">
        <v>138</v>
      </c>
    </row>
    <row r="14" spans="1:5">
      <c r="A14" t="s">
        <v>70</v>
      </c>
      <c r="C14" s="30">
        <v>76</v>
      </c>
    </row>
    <row r="15" spans="1:5">
      <c r="A15" t="s">
        <v>71</v>
      </c>
      <c r="C15" s="30">
        <v>63</v>
      </c>
      <c r="E15" t="s">
        <v>72</v>
      </c>
    </row>
    <row r="16" spans="1:5">
      <c r="A16" s="7" t="s">
        <v>73</v>
      </c>
      <c r="B16" s="7"/>
      <c r="C16" s="7">
        <v>8</v>
      </c>
      <c r="E16" t="s">
        <v>74</v>
      </c>
    </row>
    <row r="17" spans="1:3" ht="12.95">
      <c r="A17" s="25" t="s">
        <v>75</v>
      </c>
      <c r="B17" s="25"/>
      <c r="C17" s="26">
        <f>SUM(C14:C15)</f>
        <v>139</v>
      </c>
    </row>
    <row r="18" spans="1:3" ht="12.95">
      <c r="A18" s="23" t="s">
        <v>76</v>
      </c>
      <c r="B18" s="23"/>
      <c r="C18" s="24">
        <f>SUM(C10-C13-C17)</f>
        <v>1197</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3FEF-13F4-4B4A-8B1B-59156B1709C1}">
  <dimension ref="A1:O43"/>
  <sheetViews>
    <sheetView tabSelected="1" topLeftCell="A38" zoomScaleNormal="100" zoomScaleSheetLayoutView="86" workbookViewId="0">
      <selection activeCell="B40" sqref="B40"/>
    </sheetView>
  </sheetViews>
  <sheetFormatPr defaultColWidth="8.7109375" defaultRowHeight="12.6"/>
  <cols>
    <col min="1" max="1" width="52.85546875" bestFit="1" customWidth="1"/>
    <col min="2" max="2" width="47.5703125" bestFit="1" customWidth="1"/>
    <col min="3" max="3" width="11.28515625" customWidth="1"/>
    <col min="4" max="4" width="15.5703125" customWidth="1"/>
    <col min="5" max="5" width="16.28515625" customWidth="1"/>
    <col min="6" max="6" width="17.7109375" customWidth="1"/>
    <col min="7" max="7" width="16.7109375" customWidth="1"/>
    <col min="8" max="8" width="29" bestFit="1" customWidth="1"/>
    <col min="9" max="10" width="16.7109375" customWidth="1"/>
    <col min="11" max="11" width="17" bestFit="1" customWidth="1"/>
    <col min="12" max="12" width="19.85546875" hidden="1" customWidth="1"/>
    <col min="13" max="13" width="25.28515625" bestFit="1" customWidth="1"/>
    <col min="14" max="14" width="33.42578125" bestFit="1" customWidth="1"/>
    <col min="15" max="15" width="21.85546875" bestFit="1" customWidth="1"/>
  </cols>
  <sheetData>
    <row r="1" spans="1:8" ht="12.95" thickBot="1"/>
    <row r="2" spans="1:8">
      <c r="A2" s="70"/>
      <c r="B2" s="71"/>
      <c r="C2" s="72"/>
      <c r="D2" s="62"/>
    </row>
    <row r="3" spans="1:8">
      <c r="A3" s="73"/>
      <c r="C3" s="74"/>
      <c r="D3" s="63"/>
    </row>
    <row r="4" spans="1:8" ht="12.95">
      <c r="A4" s="73" t="s">
        <v>77</v>
      </c>
      <c r="B4" s="37" t="s">
        <v>78</v>
      </c>
      <c r="C4" s="75" t="s">
        <v>15</v>
      </c>
      <c r="D4" s="63" t="s">
        <v>39</v>
      </c>
    </row>
    <row r="5" spans="1:8" ht="12.95">
      <c r="A5" s="76" t="s">
        <v>79</v>
      </c>
      <c r="B5" s="4"/>
      <c r="C5" s="77"/>
      <c r="D5" s="64">
        <v>132.6</v>
      </c>
      <c r="H5" s="5"/>
    </row>
    <row r="6" spans="1:8" ht="12.95">
      <c r="A6" s="76"/>
      <c r="B6" s="4"/>
      <c r="C6" s="77"/>
      <c r="D6" s="64"/>
    </row>
    <row r="7" spans="1:8" ht="12.95">
      <c r="A7" s="78" t="s">
        <v>80</v>
      </c>
      <c r="B7" s="79"/>
      <c r="C7" s="80"/>
      <c r="D7" s="65">
        <v>4.9099999999999998E-2</v>
      </c>
    </row>
    <row r="8" spans="1:8" ht="12.95">
      <c r="A8" s="76" t="s">
        <v>81</v>
      </c>
      <c r="B8" s="4"/>
      <c r="C8" s="77"/>
      <c r="D8" s="64">
        <f>D5*(1+D7)</f>
        <v>139.11066</v>
      </c>
    </row>
    <row r="9" spans="1:8" ht="12.95">
      <c r="A9" s="76"/>
      <c r="B9" s="4"/>
      <c r="C9" s="77"/>
      <c r="D9" s="64"/>
    </row>
    <row r="10" spans="1:8" ht="12.95">
      <c r="A10" s="76" t="s">
        <v>82</v>
      </c>
      <c r="B10" s="4"/>
      <c r="C10" s="77"/>
      <c r="D10" s="64"/>
      <c r="H10" s="5"/>
    </row>
    <row r="11" spans="1:8" ht="12.95">
      <c r="A11" s="81" t="s">
        <v>45</v>
      </c>
      <c r="B11" s="37" t="s">
        <v>78</v>
      </c>
      <c r="C11" s="75" t="s">
        <v>15</v>
      </c>
      <c r="D11" s="66" t="s">
        <v>15</v>
      </c>
    </row>
    <row r="12" spans="1:8" ht="99.95">
      <c r="A12" s="82" t="s">
        <v>46</v>
      </c>
      <c r="B12" s="57" t="s">
        <v>47</v>
      </c>
      <c r="C12" s="83"/>
      <c r="D12" s="67">
        <f>IF(B12="Ja",0.02,0)</f>
        <v>0.02</v>
      </c>
    </row>
    <row r="13" spans="1:8" ht="12.95" hidden="1">
      <c r="A13" s="81" t="s">
        <v>48</v>
      </c>
      <c r="B13" s="37" t="s">
        <v>78</v>
      </c>
      <c r="C13" s="75" t="s">
        <v>78</v>
      </c>
      <c r="D13" s="66" t="s">
        <v>78</v>
      </c>
    </row>
    <row r="14" spans="1:8" ht="62.45" hidden="1">
      <c r="A14" s="84" t="s">
        <v>83</v>
      </c>
      <c r="B14" s="4"/>
      <c r="C14" s="85"/>
      <c r="D14" s="68">
        <v>0</v>
      </c>
    </row>
    <row r="15" spans="1:8" ht="12.95">
      <c r="A15" s="81"/>
      <c r="B15" s="37" t="s">
        <v>78</v>
      </c>
      <c r="C15" s="75" t="s">
        <v>78</v>
      </c>
      <c r="D15" s="66" t="s">
        <v>78</v>
      </c>
    </row>
    <row r="16" spans="1:8" ht="12.95">
      <c r="A16" s="76" t="s">
        <v>84</v>
      </c>
      <c r="B16" s="4"/>
      <c r="C16" s="77"/>
      <c r="D16" s="64">
        <f>D8*(1+D12)</f>
        <v>141.8928732</v>
      </c>
    </row>
    <row r="17" spans="1:9" ht="12.95">
      <c r="A17" s="76"/>
      <c r="B17" s="4"/>
      <c r="C17" s="77"/>
      <c r="D17" s="64"/>
    </row>
    <row r="18" spans="1:9" ht="12.95">
      <c r="A18" s="76" t="s">
        <v>85</v>
      </c>
      <c r="B18" s="4"/>
      <c r="C18" s="77"/>
      <c r="D18" s="64">
        <v>0</v>
      </c>
    </row>
    <row r="19" spans="1:9" ht="12.95">
      <c r="A19" s="76"/>
      <c r="B19" s="4"/>
      <c r="C19" s="77"/>
      <c r="D19" s="64"/>
    </row>
    <row r="20" spans="1:9" ht="13.5" thickBot="1">
      <c r="A20" s="86" t="s">
        <v>86</v>
      </c>
      <c r="B20" s="87"/>
      <c r="C20" s="88"/>
      <c r="D20" s="69">
        <f>D16-D18</f>
        <v>141.8928732</v>
      </c>
      <c r="F20" s="1"/>
      <c r="G20" s="35"/>
    </row>
    <row r="22" spans="1:9" ht="12.95">
      <c r="A22" s="5" t="s">
        <v>87</v>
      </c>
    </row>
    <row r="23" spans="1:9" ht="51.95">
      <c r="A23" s="50" t="s">
        <v>88</v>
      </c>
      <c r="B23" s="50" t="s">
        <v>89</v>
      </c>
      <c r="C23" s="51" t="s">
        <v>90</v>
      </c>
      <c r="D23" s="51" t="s">
        <v>91</v>
      </c>
      <c r="E23" s="51" t="s">
        <v>92</v>
      </c>
      <c r="F23" s="51" t="s">
        <v>93</v>
      </c>
      <c r="G23" s="51" t="s">
        <v>94</v>
      </c>
      <c r="H23" s="50" t="s">
        <v>95</v>
      </c>
      <c r="I23" s="50" t="s">
        <v>96</v>
      </c>
    </row>
    <row r="24" spans="1:9">
      <c r="A24" s="1" t="s">
        <v>97</v>
      </c>
      <c r="B24" s="1" t="s">
        <v>98</v>
      </c>
      <c r="C24" s="59">
        <v>102</v>
      </c>
      <c r="D24" s="1">
        <f>ROUND($D$20,2)</f>
        <v>141.88999999999999</v>
      </c>
      <c r="E24" s="60">
        <f>Tabel8[[#This Row],[Uren ]]*Tabel8[[#This Row],[Prijs 
(per uur)]]</f>
        <v>14472.779999999999</v>
      </c>
      <c r="F24" s="58">
        <v>12</v>
      </c>
      <c r="G24" s="60">
        <f>Tabel8[[#This Row],[Tarief maatregel per jaar 
(prijspeil 2025)]]/Tabel8[[#This Row],[Looptijd maatregel
(prijspeil 2025)]]</f>
        <v>1206.0649999999998</v>
      </c>
      <c r="H24" s="52" t="s">
        <v>99</v>
      </c>
      <c r="I24" s="52" t="s">
        <v>100</v>
      </c>
    </row>
    <row r="25" spans="1:9">
      <c r="A25" s="1" t="s">
        <v>101</v>
      </c>
      <c r="B25" s="1" t="s">
        <v>102</v>
      </c>
      <c r="C25" s="59">
        <v>78</v>
      </c>
      <c r="D25" s="1">
        <f>ROUND($D$20,2)</f>
        <v>141.88999999999999</v>
      </c>
      <c r="E25" s="60">
        <f>Tabel8[[#This Row],[Uren ]]*Tabel8[[#This Row],[Prijs 
(per uur)]]</f>
        <v>11067.419999999998</v>
      </c>
      <c r="F25" s="58">
        <v>12</v>
      </c>
      <c r="G25" s="60">
        <f>Tabel8[[#This Row],[Tarief maatregel per jaar 
(prijspeil 2025)]]/Tabel8[[#This Row],[Looptijd maatregel
(prijspeil 2025)]]</f>
        <v>922.28499999999985</v>
      </c>
      <c r="H25" s="52" t="s">
        <v>99</v>
      </c>
      <c r="I25" s="52" t="s">
        <v>100</v>
      </c>
    </row>
    <row r="26" spans="1:9">
      <c r="A26" s="1" t="s">
        <v>103</v>
      </c>
      <c r="B26" s="1" t="s">
        <v>104</v>
      </c>
      <c r="C26" s="59">
        <v>87.6</v>
      </c>
      <c r="D26" s="1">
        <f t="shared" ref="D26:D34" si="0">ROUND($D$20,2)</f>
        <v>141.88999999999999</v>
      </c>
      <c r="E26" s="60">
        <f>Tabel8[[#This Row],[Uren ]]*Tabel8[[#This Row],[Prijs 
(per uur)]]</f>
        <v>12429.563999999998</v>
      </c>
      <c r="F26" s="58">
        <v>12</v>
      </c>
      <c r="G26" s="60">
        <f>Tabel8[[#This Row],[Tarief maatregel per jaar 
(prijspeil 2025)]]/Tabel8[[#This Row],[Looptijd maatregel
(prijspeil 2025)]]</f>
        <v>1035.7969999999998</v>
      </c>
      <c r="H26" s="52" t="s">
        <v>99</v>
      </c>
      <c r="I26" s="52" t="s">
        <v>100</v>
      </c>
    </row>
    <row r="27" spans="1:9">
      <c r="A27" s="1" t="s">
        <v>105</v>
      </c>
      <c r="B27" s="1" t="s">
        <v>106</v>
      </c>
      <c r="C27" s="59">
        <v>21.6</v>
      </c>
      <c r="D27" s="1">
        <f t="shared" si="0"/>
        <v>141.88999999999999</v>
      </c>
      <c r="E27" s="60">
        <f>Tabel8[[#This Row],[Uren ]]*Tabel8[[#This Row],[Prijs 
(per uur)]]</f>
        <v>3064.8240000000001</v>
      </c>
      <c r="F27" s="58">
        <v>1</v>
      </c>
      <c r="G27" s="60">
        <f>Tabel8[[#This Row],[Tarief maatregel per jaar 
(prijspeil 2025)]]/Tabel8[[#This Row],[Looptijd maatregel
(prijspeil 2025)]]</f>
        <v>3064.8240000000001</v>
      </c>
      <c r="H27" s="52" t="s">
        <v>107</v>
      </c>
      <c r="I27" s="52" t="s">
        <v>108</v>
      </c>
    </row>
    <row r="28" spans="1:9">
      <c r="A28" s="1" t="s">
        <v>109</v>
      </c>
      <c r="B28" s="1" t="s">
        <v>110</v>
      </c>
      <c r="C28" s="61">
        <v>87.5</v>
      </c>
      <c r="D28" s="1">
        <f>ROUND($D$20,2)</f>
        <v>141.88999999999999</v>
      </c>
      <c r="E28" s="60">
        <f>Tabel8[[#This Row],[Uren ]]*Tabel8[[#This Row],[Prijs 
(per uur)]]</f>
        <v>12415.374999999998</v>
      </c>
      <c r="F28" s="58">
        <v>12</v>
      </c>
      <c r="G28" s="60">
        <f>Tabel8[[#This Row],[Tarief maatregel per jaar 
(prijspeil 2025)]]/Tabel8[[#This Row],[Looptijd maatregel
(prijspeil 2025)]]</f>
        <v>1034.6145833333333</v>
      </c>
      <c r="H28" s="52" t="s">
        <v>99</v>
      </c>
      <c r="I28" s="52" t="s">
        <v>100</v>
      </c>
    </row>
    <row r="29" spans="1:9">
      <c r="A29" s="1" t="s">
        <v>111</v>
      </c>
      <c r="B29" s="1" t="s">
        <v>112</v>
      </c>
      <c r="C29" s="61">
        <v>249.1</v>
      </c>
      <c r="D29" s="1">
        <f t="shared" si="0"/>
        <v>141.88999999999999</v>
      </c>
      <c r="E29" s="60">
        <f>Tabel8[[#This Row],[Uren ]]*Tabel8[[#This Row],[Prijs 
(per uur)]]</f>
        <v>35344.798999999999</v>
      </c>
      <c r="F29" s="58">
        <v>12</v>
      </c>
      <c r="G29" s="60">
        <f>Tabel8[[#This Row],[Tarief maatregel per jaar 
(prijspeil 2025)]]/Tabel8[[#This Row],[Looptijd maatregel
(prijspeil 2025)]]</f>
        <v>2945.3999166666667</v>
      </c>
      <c r="H29" s="52" t="s">
        <v>99</v>
      </c>
      <c r="I29" s="52" t="s">
        <v>100</v>
      </c>
    </row>
    <row r="30" spans="1:9">
      <c r="A30" s="1" t="s">
        <v>113</v>
      </c>
      <c r="B30" s="1" t="s">
        <v>114</v>
      </c>
      <c r="C30" s="61">
        <v>187.2</v>
      </c>
      <c r="D30" s="1">
        <f t="shared" si="0"/>
        <v>141.88999999999999</v>
      </c>
      <c r="E30" s="60">
        <f>Tabel8[[#This Row],[Uren ]]*Tabel8[[#This Row],[Prijs 
(per uur)]]</f>
        <v>26561.807999999997</v>
      </c>
      <c r="F30" s="58">
        <v>12</v>
      </c>
      <c r="G30" s="60">
        <f>Tabel8[[#This Row],[Tarief maatregel per jaar 
(prijspeil 2025)]]/Tabel8[[#This Row],[Looptijd maatregel
(prijspeil 2025)]]</f>
        <v>2213.4839999999999</v>
      </c>
      <c r="H30" s="52" t="s">
        <v>99</v>
      </c>
      <c r="I30" s="52" t="s">
        <v>100</v>
      </c>
    </row>
    <row r="31" spans="1:9">
      <c r="A31" s="1" t="s">
        <v>115</v>
      </c>
      <c r="B31" s="1" t="s">
        <v>116</v>
      </c>
      <c r="C31" s="61">
        <v>24.8</v>
      </c>
      <c r="D31" s="1">
        <f t="shared" si="0"/>
        <v>141.88999999999999</v>
      </c>
      <c r="E31" s="60">
        <f>Tabel8[[#This Row],[Uren ]]*Tabel8[[#This Row],[Prijs 
(per uur)]]</f>
        <v>3518.8719999999998</v>
      </c>
      <c r="F31" s="58">
        <v>12</v>
      </c>
      <c r="G31" s="60">
        <f>Tabel8[[#This Row],[Tarief maatregel per jaar 
(prijspeil 2025)]]/Tabel8[[#This Row],[Looptijd maatregel
(prijspeil 2025)]]</f>
        <v>293.23933333333332</v>
      </c>
      <c r="H31" s="52" t="s">
        <v>99</v>
      </c>
      <c r="I31" s="52" t="s">
        <v>100</v>
      </c>
    </row>
    <row r="32" spans="1:9">
      <c r="A32" s="1" t="s">
        <v>117</v>
      </c>
      <c r="B32" s="1" t="s">
        <v>118</v>
      </c>
      <c r="C32" s="61">
        <v>249.1</v>
      </c>
      <c r="D32" s="1">
        <f t="shared" si="0"/>
        <v>141.88999999999999</v>
      </c>
      <c r="E32" s="60">
        <f>Tabel8[[#This Row],[Uren ]]*Tabel8[[#This Row],[Prijs 
(per uur)]]</f>
        <v>35344.798999999999</v>
      </c>
      <c r="F32" s="58">
        <v>12</v>
      </c>
      <c r="G32" s="60">
        <f>Tabel8[[#This Row],[Tarief maatregel per jaar 
(prijspeil 2025)]]/Tabel8[[#This Row],[Looptijd maatregel
(prijspeil 2025)]]</f>
        <v>2945.3999166666667</v>
      </c>
      <c r="H32" s="52" t="s">
        <v>99</v>
      </c>
      <c r="I32" s="52" t="s">
        <v>100</v>
      </c>
    </row>
    <row r="33" spans="1:15">
      <c r="A33" s="1" t="s">
        <v>119</v>
      </c>
      <c r="B33" s="1" t="s">
        <v>120</v>
      </c>
      <c r="C33" s="61">
        <v>275.40000000000003</v>
      </c>
      <c r="D33" s="1">
        <f t="shared" si="0"/>
        <v>141.88999999999999</v>
      </c>
      <c r="E33" s="60">
        <f>Tabel8[[#This Row],[Uren ]]*Tabel8[[#This Row],[Prijs 
(per uur)]]</f>
        <v>39076.506000000001</v>
      </c>
      <c r="F33" s="58">
        <v>12</v>
      </c>
      <c r="G33" s="60">
        <f>Tabel8[[#This Row],[Tarief maatregel per jaar 
(prijspeil 2025)]]/Tabel8[[#This Row],[Looptijd maatregel
(prijspeil 2025)]]</f>
        <v>3256.3755000000001</v>
      </c>
      <c r="H33" s="52" t="s">
        <v>99</v>
      </c>
      <c r="I33" s="52" t="s">
        <v>100</v>
      </c>
    </row>
    <row r="34" spans="1:15">
      <c r="A34" s="1" t="s">
        <v>121</v>
      </c>
      <c r="B34" s="1" t="s">
        <v>122</v>
      </c>
      <c r="C34" s="59">
        <v>210.60000000000002</v>
      </c>
      <c r="D34" s="1">
        <f t="shared" si="0"/>
        <v>141.88999999999999</v>
      </c>
      <c r="E34" s="60">
        <f>Tabel8[[#This Row],[Uren ]]*Tabel8[[#This Row],[Prijs 
(per uur)]]</f>
        <v>29882.034</v>
      </c>
      <c r="F34" s="58">
        <v>12</v>
      </c>
      <c r="G34" s="60">
        <f>Tabel8[[#This Row],[Tarief maatregel per jaar 
(prijspeil 2025)]]/Tabel8[[#This Row],[Looptijd maatregel
(prijspeil 2025)]]</f>
        <v>2490.1695</v>
      </c>
      <c r="H34" s="52" t="s">
        <v>99</v>
      </c>
      <c r="I34" s="52" t="s">
        <v>100</v>
      </c>
    </row>
    <row r="35" spans="1:15" hidden="1">
      <c r="A35" s="1" t="s">
        <v>123</v>
      </c>
      <c r="B35" s="1" t="s">
        <v>124</v>
      </c>
      <c r="C35" s="59"/>
      <c r="D35" s="1"/>
      <c r="E35" s="60">
        <f>Tabel8[[#This Row],[Uren ]]*Tabel8[[#This Row],[Prijs 
(per uur)]]</f>
        <v>0</v>
      </c>
      <c r="F35" s="58">
        <v>12</v>
      </c>
      <c r="G35" s="60">
        <f>Tabel8[[#This Row],[Tarief maatregel per jaar 
(prijspeil 2025)]]/Tabel8[[#This Row],[Looptijd maatregel
(prijspeil 2025)]]</f>
        <v>0</v>
      </c>
      <c r="H35" s="52" t="s">
        <v>99</v>
      </c>
      <c r="I35" s="52" t="s">
        <v>100</v>
      </c>
    </row>
    <row r="36" spans="1:15">
      <c r="A36" s="1" t="s">
        <v>123</v>
      </c>
      <c r="B36" s="1" t="s">
        <v>125</v>
      </c>
      <c r="D36" s="1"/>
      <c r="E36" s="60">
        <v>221.85</v>
      </c>
      <c r="F36" s="58">
        <v>12</v>
      </c>
      <c r="G36" s="60">
        <f>Tabel8[[#This Row],[Tarief maatregel per jaar 
(prijspeil 2025)]]/Tabel8[[#This Row],[Looptijd maatregel
(prijspeil 2025)]]</f>
        <v>18.487500000000001</v>
      </c>
      <c r="H36" s="52" t="s">
        <v>99</v>
      </c>
      <c r="I36" s="52" t="s">
        <v>100</v>
      </c>
      <c r="J36" s="6"/>
      <c r="K36" s="54"/>
      <c r="L36" s="6"/>
      <c r="M36" s="6"/>
      <c r="N36" s="52"/>
      <c r="O36" s="52"/>
    </row>
    <row r="37" spans="1:15" ht="12.95" thickBot="1">
      <c r="A37" s="1"/>
      <c r="B37" s="1"/>
      <c r="C37" s="53"/>
      <c r="D37" s="1"/>
      <c r="E37" s="6"/>
      <c r="F37" s="6"/>
      <c r="G37" s="6"/>
      <c r="H37" s="6"/>
      <c r="I37" s="6"/>
      <c r="J37" s="6"/>
      <c r="K37" s="54"/>
      <c r="L37" s="6"/>
      <c r="M37" s="6"/>
      <c r="N37" s="52"/>
      <c r="O37" s="52"/>
    </row>
    <row r="38" spans="1:15" ht="25.5" thickBot="1">
      <c r="A38" s="55" t="s">
        <v>126</v>
      </c>
      <c r="B38" s="56">
        <v>2.7</v>
      </c>
      <c r="C38" s="53"/>
      <c r="D38" s="1"/>
      <c r="E38" s="6"/>
      <c r="F38" s="6"/>
      <c r="G38" s="6"/>
      <c r="H38" s="6"/>
      <c r="I38" s="6"/>
      <c r="J38" s="6"/>
      <c r="K38" s="54"/>
      <c r="L38" s="6"/>
      <c r="M38" s="6"/>
      <c r="N38" s="52"/>
      <c r="O38" s="52"/>
    </row>
    <row r="39" spans="1:15" ht="12.95" thickBot="1">
      <c r="A39" s="40"/>
    </row>
    <row r="40" spans="1:15">
      <c r="A40" s="70" t="s">
        <v>127</v>
      </c>
      <c r="B40" s="91">
        <v>216.65</v>
      </c>
    </row>
    <row r="41" spans="1:15">
      <c r="A41" s="73" t="s">
        <v>128</v>
      </c>
      <c r="B41" s="89">
        <v>2.4E-2</v>
      </c>
    </row>
    <row r="42" spans="1:15">
      <c r="A42" s="73" t="s">
        <v>129</v>
      </c>
      <c r="B42" s="92">
        <f>B40*(1+B41)</f>
        <v>221.84960000000001</v>
      </c>
    </row>
    <row r="43" spans="1:15" ht="12.95" thickBot="1">
      <c r="A43" s="90" t="s">
        <v>130</v>
      </c>
      <c r="B43" s="93">
        <f>B42/12</f>
        <v>18.487466666666666</v>
      </c>
    </row>
  </sheetData>
  <sheetProtection autoFilter="0"/>
  <phoneticPr fontId="6" type="noConversion"/>
  <dataValidations count="2">
    <dataValidation type="list" allowBlank="1" showInputMessage="1" showErrorMessage="1" sqref="B12" xr:uid="{FA2A29B7-D654-4A02-B98B-564C42F240C6}">
      <formula1>"Ja, Nee"</formula1>
    </dataValidation>
    <dataValidation type="list" allowBlank="1" showInputMessage="1" showErrorMessage="1" sqref="A14" xr:uid="{9293B19E-56FA-43FD-A4F4-6D319C3D4C87}">
      <formula1>#REF!</formula1>
    </dataValidation>
  </dataValidations>
  <pageMargins left="0.7" right="0.7" top="0.75" bottom="0.75" header="0.3" footer="0.3"/>
  <pageSetup paperSize="9" scale="41" orientation="portrait" r:id="rId1"/>
  <ignoredErrors>
    <ignoredError sqref="A14" listDataValidation="1"/>
    <ignoredError sqref="D24:D34" calculatedColumn="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B0249-A12F-4980-B8E2-89A5EFB2C128}">
  <dimension ref="A1:O43"/>
  <sheetViews>
    <sheetView topLeftCell="A10" zoomScaleNormal="100" zoomScaleSheetLayoutView="86" workbookViewId="0">
      <selection activeCell="A45" sqref="A45"/>
    </sheetView>
  </sheetViews>
  <sheetFormatPr defaultColWidth="8.7109375" defaultRowHeight="12.6"/>
  <cols>
    <col min="1" max="1" width="29.85546875" customWidth="1"/>
    <col min="2" max="2" width="47.5703125" bestFit="1" customWidth="1"/>
    <col min="3" max="3" width="11.28515625" customWidth="1"/>
    <col min="4" max="4" width="15.140625" customWidth="1"/>
    <col min="5" max="5" width="16.28515625" customWidth="1"/>
    <col min="6" max="6" width="17.7109375" customWidth="1"/>
    <col min="7" max="7" width="16.7109375" customWidth="1"/>
    <col min="8" max="8" width="29" bestFit="1" customWidth="1"/>
    <col min="9" max="10" width="16.7109375" customWidth="1"/>
    <col min="11" max="11" width="17" bestFit="1" customWidth="1"/>
    <col min="12" max="12" width="19.85546875" hidden="1" customWidth="1"/>
    <col min="13" max="13" width="25.28515625" bestFit="1" customWidth="1"/>
    <col min="14" max="14" width="33.42578125" bestFit="1" customWidth="1"/>
    <col min="15" max="15" width="21.85546875" bestFit="1" customWidth="1"/>
  </cols>
  <sheetData>
    <row r="1" spans="1:8" ht="12.95" thickBot="1"/>
    <row r="2" spans="1:8">
      <c r="A2" s="70"/>
      <c r="B2" s="71"/>
      <c r="C2" s="72"/>
      <c r="D2" s="62"/>
    </row>
    <row r="3" spans="1:8">
      <c r="A3" s="73"/>
      <c r="C3" s="74"/>
      <c r="D3" s="63"/>
    </row>
    <row r="4" spans="1:8" ht="12.95">
      <c r="A4" s="73" t="s">
        <v>77</v>
      </c>
      <c r="B4" s="37" t="s">
        <v>78</v>
      </c>
      <c r="C4" s="75" t="s">
        <v>15</v>
      </c>
      <c r="D4" s="63" t="s">
        <v>39</v>
      </c>
    </row>
    <row r="5" spans="1:8" ht="12.95">
      <c r="A5" s="76" t="s">
        <v>79</v>
      </c>
      <c r="B5" s="4"/>
      <c r="C5" s="77"/>
      <c r="D5" s="64">
        <v>132.6</v>
      </c>
      <c r="H5" s="5"/>
    </row>
    <row r="6" spans="1:8" ht="12.95">
      <c r="A6" s="76"/>
      <c r="B6" s="4"/>
      <c r="C6" s="77"/>
      <c r="D6" s="64"/>
    </row>
    <row r="7" spans="1:8" ht="12.95">
      <c r="A7" s="78" t="s">
        <v>80</v>
      </c>
      <c r="B7" s="79"/>
      <c r="C7" s="80"/>
      <c r="D7" s="65">
        <v>4.9099999999999998E-2</v>
      </c>
    </row>
    <row r="8" spans="1:8" ht="12.95">
      <c r="A8" s="76" t="s">
        <v>81</v>
      </c>
      <c r="B8" s="4"/>
      <c r="C8" s="77"/>
      <c r="D8" s="64">
        <f>D5*(1+D7)</f>
        <v>139.11066</v>
      </c>
    </row>
    <row r="9" spans="1:8" ht="12.95">
      <c r="A9" s="76"/>
      <c r="B9" s="4"/>
      <c r="C9" s="77"/>
      <c r="D9" s="64"/>
    </row>
    <row r="10" spans="1:8" ht="12.95">
      <c r="A10" s="76" t="s">
        <v>82</v>
      </c>
      <c r="B10" s="4"/>
      <c r="C10" s="77"/>
      <c r="D10" s="64"/>
      <c r="H10" s="5"/>
    </row>
    <row r="11" spans="1:8" ht="12.95">
      <c r="A11" s="81" t="s">
        <v>45</v>
      </c>
      <c r="B11" s="37" t="s">
        <v>78</v>
      </c>
      <c r="C11" s="75" t="s">
        <v>15</v>
      </c>
      <c r="D11" s="66" t="s">
        <v>15</v>
      </c>
    </row>
    <row r="12" spans="1:8" ht="99.95">
      <c r="A12" s="82" t="s">
        <v>46</v>
      </c>
      <c r="B12" s="57" t="s">
        <v>47</v>
      </c>
      <c r="C12" s="83"/>
      <c r="D12" s="67">
        <f>IF(B12="Ja",0.02,0)</f>
        <v>0.02</v>
      </c>
    </row>
    <row r="13" spans="1:8" ht="12.95" hidden="1">
      <c r="A13" s="81" t="s">
        <v>48</v>
      </c>
      <c r="B13" s="37" t="s">
        <v>78</v>
      </c>
      <c r="C13" s="75" t="s">
        <v>78</v>
      </c>
      <c r="D13" s="66" t="s">
        <v>78</v>
      </c>
    </row>
    <row r="14" spans="1:8" ht="62.45" hidden="1">
      <c r="A14" s="84" t="s">
        <v>83</v>
      </c>
      <c r="B14" s="4"/>
      <c r="C14" s="85"/>
      <c r="D14" s="68">
        <v>0</v>
      </c>
    </row>
    <row r="15" spans="1:8" ht="12.95">
      <c r="A15" s="81"/>
      <c r="B15" s="37" t="s">
        <v>78</v>
      </c>
      <c r="C15" s="75" t="s">
        <v>78</v>
      </c>
      <c r="D15" s="66" t="s">
        <v>78</v>
      </c>
    </row>
    <row r="16" spans="1:8" ht="12.95">
      <c r="A16" s="76" t="s">
        <v>84</v>
      </c>
      <c r="B16" s="4"/>
      <c r="C16" s="77"/>
      <c r="D16" s="64">
        <f>D8*(1+D12)</f>
        <v>141.8928732</v>
      </c>
    </row>
    <row r="17" spans="1:9" ht="12.95">
      <c r="A17" s="76"/>
      <c r="B17" s="4"/>
      <c r="C17" s="77"/>
      <c r="D17" s="64"/>
    </row>
    <row r="18" spans="1:9" ht="12.95">
      <c r="A18" s="76" t="s">
        <v>85</v>
      </c>
      <c r="B18" s="4"/>
      <c r="C18" s="77"/>
      <c r="D18" s="64">
        <v>0</v>
      </c>
    </row>
    <row r="19" spans="1:9" ht="12.95">
      <c r="A19" s="76"/>
      <c r="B19" s="4"/>
      <c r="C19" s="77"/>
      <c r="D19" s="64"/>
    </row>
    <row r="20" spans="1:9" ht="13.5" thickBot="1">
      <c r="A20" s="86" t="s">
        <v>86</v>
      </c>
      <c r="B20" s="87"/>
      <c r="C20" s="88"/>
      <c r="D20" s="69">
        <f>D16-D18</f>
        <v>141.8928732</v>
      </c>
      <c r="F20" s="1"/>
      <c r="G20" s="35"/>
    </row>
    <row r="22" spans="1:9" ht="12.95">
      <c r="A22" s="5" t="s">
        <v>87</v>
      </c>
    </row>
    <row r="23" spans="1:9" ht="51.95">
      <c r="A23" s="50" t="s">
        <v>88</v>
      </c>
      <c r="B23" s="50" t="s">
        <v>89</v>
      </c>
      <c r="C23" s="51" t="s">
        <v>90</v>
      </c>
      <c r="D23" s="51" t="s">
        <v>91</v>
      </c>
      <c r="E23" s="51" t="s">
        <v>92</v>
      </c>
      <c r="F23" s="51" t="s">
        <v>93</v>
      </c>
      <c r="G23" s="51" t="s">
        <v>94</v>
      </c>
      <c r="H23" s="50" t="s">
        <v>95</v>
      </c>
      <c r="I23" s="50" t="s">
        <v>96</v>
      </c>
    </row>
    <row r="24" spans="1:9">
      <c r="A24" s="1" t="s">
        <v>97</v>
      </c>
      <c r="B24" s="1" t="s">
        <v>131</v>
      </c>
      <c r="C24" s="59">
        <v>102</v>
      </c>
      <c r="D24" s="1">
        <f>ROUND($D$20,2)</f>
        <v>141.88999999999999</v>
      </c>
      <c r="E24" s="60">
        <f>Tabel810[[#This Row],[Uren ]]*Tabel810[[#This Row],[Prijs 
(per uur)]]</f>
        <v>14472.779999999999</v>
      </c>
      <c r="F24" s="58">
        <v>12</v>
      </c>
      <c r="G24" s="60">
        <f>Tabel810[[#This Row],[Tarief maatregel per jaar 
(prijspeil 2025)]]/Tabel810[[#This Row],[Looptijd maatregel
(prijspeil 2025)]]</f>
        <v>1206.0649999999998</v>
      </c>
      <c r="H24" s="52" t="s">
        <v>99</v>
      </c>
      <c r="I24" s="52" t="s">
        <v>100</v>
      </c>
    </row>
    <row r="25" spans="1:9">
      <c r="A25" s="1" t="s">
        <v>101</v>
      </c>
      <c r="B25" s="1" t="s">
        <v>102</v>
      </c>
      <c r="C25" s="59">
        <v>78</v>
      </c>
      <c r="D25" s="1">
        <f>ROUND($D$20,2)</f>
        <v>141.88999999999999</v>
      </c>
      <c r="E25" s="60">
        <f>Tabel810[[#This Row],[Uren ]]*Tabel810[[#This Row],[Prijs 
(per uur)]]</f>
        <v>11067.419999999998</v>
      </c>
      <c r="F25" s="58">
        <v>12</v>
      </c>
      <c r="G25" s="60">
        <f>Tabel810[[#This Row],[Tarief maatregel per jaar 
(prijspeil 2025)]]/Tabel810[[#This Row],[Looptijd maatregel
(prijspeil 2025)]]</f>
        <v>922.28499999999985</v>
      </c>
      <c r="H25" s="52" t="s">
        <v>99</v>
      </c>
      <c r="I25" s="52" t="s">
        <v>100</v>
      </c>
    </row>
    <row r="26" spans="1:9">
      <c r="A26" s="1" t="s">
        <v>103</v>
      </c>
      <c r="B26" s="1" t="s">
        <v>104</v>
      </c>
      <c r="C26" s="59">
        <v>87.6</v>
      </c>
      <c r="D26" s="1">
        <f t="shared" ref="D26:D34" si="0">ROUND($D$20,2)</f>
        <v>141.88999999999999</v>
      </c>
      <c r="E26" s="60">
        <f>Tabel810[[#This Row],[Uren ]]*Tabel810[[#This Row],[Prijs 
(per uur)]]</f>
        <v>12429.563999999998</v>
      </c>
      <c r="F26" s="58">
        <v>12</v>
      </c>
      <c r="G26" s="60">
        <f>Tabel810[[#This Row],[Tarief maatregel per jaar 
(prijspeil 2025)]]/Tabel810[[#This Row],[Looptijd maatregel
(prijspeil 2025)]]</f>
        <v>1035.7969999999998</v>
      </c>
      <c r="H26" s="52" t="s">
        <v>99</v>
      </c>
      <c r="I26" s="52" t="s">
        <v>100</v>
      </c>
    </row>
    <row r="27" spans="1:9">
      <c r="A27" s="1" t="s">
        <v>105</v>
      </c>
      <c r="B27" s="1" t="s">
        <v>106</v>
      </c>
      <c r="C27" s="59">
        <v>21.6</v>
      </c>
      <c r="D27" s="1">
        <f t="shared" si="0"/>
        <v>141.88999999999999</v>
      </c>
      <c r="E27" s="60">
        <f>Tabel810[[#This Row],[Uren ]]*Tabel810[[#This Row],[Prijs 
(per uur)]]</f>
        <v>3064.8240000000001</v>
      </c>
      <c r="F27" s="58">
        <v>1</v>
      </c>
      <c r="G27" s="60">
        <f>Tabel810[[#This Row],[Tarief maatregel per jaar 
(prijspeil 2025)]]/Tabel810[[#This Row],[Looptijd maatregel
(prijspeil 2025)]]</f>
        <v>3064.8240000000001</v>
      </c>
      <c r="H27" s="52" t="s">
        <v>107</v>
      </c>
      <c r="I27" s="52" t="s">
        <v>108</v>
      </c>
    </row>
    <row r="28" spans="1:9">
      <c r="A28" s="1" t="s">
        <v>109</v>
      </c>
      <c r="B28" s="1" t="s">
        <v>132</v>
      </c>
      <c r="C28" s="61">
        <v>87.5</v>
      </c>
      <c r="D28" s="1">
        <f>ROUND($D$20,2)</f>
        <v>141.88999999999999</v>
      </c>
      <c r="E28" s="60">
        <f>Tabel810[[#This Row],[Uren ]]*Tabel810[[#This Row],[Prijs 
(per uur)]]</f>
        <v>12415.374999999998</v>
      </c>
      <c r="F28" s="58">
        <v>12</v>
      </c>
      <c r="G28" s="60">
        <f>Tabel810[[#This Row],[Tarief maatregel per jaar 
(prijspeil 2025)]]/Tabel810[[#This Row],[Looptijd maatregel
(prijspeil 2025)]]</f>
        <v>1034.6145833333333</v>
      </c>
      <c r="H28" s="52" t="s">
        <v>99</v>
      </c>
      <c r="I28" s="52" t="s">
        <v>100</v>
      </c>
    </row>
    <row r="29" spans="1:9">
      <c r="A29" s="1" t="s">
        <v>111</v>
      </c>
      <c r="B29" s="1" t="s">
        <v>133</v>
      </c>
      <c r="C29" s="61">
        <v>249.1</v>
      </c>
      <c r="D29" s="1">
        <f t="shared" si="0"/>
        <v>141.88999999999999</v>
      </c>
      <c r="E29" s="60">
        <f>Tabel810[[#This Row],[Uren ]]*Tabel810[[#This Row],[Prijs 
(per uur)]]</f>
        <v>35344.798999999999</v>
      </c>
      <c r="F29" s="58">
        <v>12</v>
      </c>
      <c r="G29" s="60">
        <f>Tabel810[[#This Row],[Tarief maatregel per jaar 
(prijspeil 2025)]]/Tabel810[[#This Row],[Looptijd maatregel
(prijspeil 2025)]]</f>
        <v>2945.3999166666667</v>
      </c>
      <c r="H29" s="52" t="s">
        <v>99</v>
      </c>
      <c r="I29" s="52" t="s">
        <v>100</v>
      </c>
    </row>
    <row r="30" spans="1:9">
      <c r="A30" s="1" t="s">
        <v>113</v>
      </c>
      <c r="B30" s="1" t="s">
        <v>134</v>
      </c>
      <c r="C30" s="61">
        <v>187.2</v>
      </c>
      <c r="D30" s="1">
        <f t="shared" si="0"/>
        <v>141.88999999999999</v>
      </c>
      <c r="E30" s="60">
        <f>Tabel810[[#This Row],[Uren ]]*Tabel810[[#This Row],[Prijs 
(per uur)]]</f>
        <v>26561.807999999997</v>
      </c>
      <c r="F30" s="58">
        <v>12</v>
      </c>
      <c r="G30" s="60">
        <f>Tabel810[[#This Row],[Tarief maatregel per jaar 
(prijspeil 2025)]]/Tabel810[[#This Row],[Looptijd maatregel
(prijspeil 2025)]]</f>
        <v>2213.4839999999999</v>
      </c>
      <c r="H30" s="52" t="s">
        <v>99</v>
      </c>
      <c r="I30" s="52" t="s">
        <v>100</v>
      </c>
    </row>
    <row r="31" spans="1:9">
      <c r="A31" s="1" t="s">
        <v>115</v>
      </c>
      <c r="B31" s="1" t="s">
        <v>135</v>
      </c>
      <c r="C31" s="61">
        <v>24.8</v>
      </c>
      <c r="D31" s="1">
        <f t="shared" si="0"/>
        <v>141.88999999999999</v>
      </c>
      <c r="E31" s="60">
        <f>Tabel810[[#This Row],[Uren ]]*Tabel810[[#This Row],[Prijs 
(per uur)]]</f>
        <v>3518.8719999999998</v>
      </c>
      <c r="F31" s="58">
        <v>12</v>
      </c>
      <c r="G31" s="60">
        <f>Tabel810[[#This Row],[Tarief maatregel per jaar 
(prijspeil 2025)]]/Tabel810[[#This Row],[Looptijd maatregel
(prijspeil 2025)]]</f>
        <v>293.23933333333332</v>
      </c>
      <c r="H31" s="52" t="s">
        <v>99</v>
      </c>
      <c r="I31" s="52" t="s">
        <v>100</v>
      </c>
    </row>
    <row r="32" spans="1:9">
      <c r="A32" s="1" t="s">
        <v>117</v>
      </c>
      <c r="B32" s="1" t="s">
        <v>136</v>
      </c>
      <c r="C32" s="61">
        <v>249.1</v>
      </c>
      <c r="D32" s="1">
        <f t="shared" si="0"/>
        <v>141.88999999999999</v>
      </c>
      <c r="E32" s="60">
        <f>Tabel810[[#This Row],[Uren ]]*Tabel810[[#This Row],[Prijs 
(per uur)]]</f>
        <v>35344.798999999999</v>
      </c>
      <c r="F32" s="58">
        <v>12</v>
      </c>
      <c r="G32" s="60">
        <f>Tabel810[[#This Row],[Tarief maatregel per jaar 
(prijspeil 2025)]]/Tabel810[[#This Row],[Looptijd maatregel
(prijspeil 2025)]]</f>
        <v>2945.3999166666667</v>
      </c>
      <c r="H32" s="52" t="s">
        <v>99</v>
      </c>
      <c r="I32" s="52" t="s">
        <v>100</v>
      </c>
    </row>
    <row r="33" spans="1:15">
      <c r="A33" s="1" t="s">
        <v>119</v>
      </c>
      <c r="B33" s="1" t="s">
        <v>137</v>
      </c>
      <c r="C33" s="61">
        <v>275.39999999999998</v>
      </c>
      <c r="D33" s="1">
        <f t="shared" si="0"/>
        <v>141.88999999999999</v>
      </c>
      <c r="E33" s="60">
        <f>Tabel810[[#This Row],[Uren ]]*Tabel810[[#This Row],[Prijs 
(per uur)]]</f>
        <v>39076.505999999994</v>
      </c>
      <c r="F33" s="58">
        <v>12</v>
      </c>
      <c r="G33" s="60">
        <f>Tabel810[[#This Row],[Tarief maatregel per jaar 
(prijspeil 2025)]]/Tabel810[[#This Row],[Looptijd maatregel
(prijspeil 2025)]]</f>
        <v>3256.3754999999996</v>
      </c>
      <c r="H33" s="52" t="s">
        <v>99</v>
      </c>
      <c r="I33" s="52" t="s">
        <v>100</v>
      </c>
    </row>
    <row r="34" spans="1:15">
      <c r="A34" s="1" t="s">
        <v>121</v>
      </c>
      <c r="B34" s="1" t="s">
        <v>122</v>
      </c>
      <c r="C34" s="59">
        <v>210.60000000000002</v>
      </c>
      <c r="D34" s="1">
        <f t="shared" si="0"/>
        <v>141.88999999999999</v>
      </c>
      <c r="E34" s="60">
        <f>Tabel810[[#This Row],[Uren ]]*Tabel810[[#This Row],[Prijs 
(per uur)]]</f>
        <v>29882.034</v>
      </c>
      <c r="F34" s="58">
        <v>12</v>
      </c>
      <c r="G34" s="60">
        <f>Tabel810[[#This Row],[Tarief maatregel per jaar 
(prijspeil 2025)]]/Tabel810[[#This Row],[Looptijd maatregel
(prijspeil 2025)]]</f>
        <v>2490.1695</v>
      </c>
      <c r="H34" s="52" t="s">
        <v>99</v>
      </c>
      <c r="I34" s="52" t="s">
        <v>100</v>
      </c>
    </row>
    <row r="35" spans="1:15" hidden="1">
      <c r="A35" s="1" t="s">
        <v>123</v>
      </c>
      <c r="B35" s="1" t="s">
        <v>124</v>
      </c>
      <c r="C35" s="59"/>
      <c r="D35" s="1"/>
      <c r="E35" s="60">
        <f>Tabel810[[#This Row],[Uren ]]*Tabel810[[#This Row],[Prijs 
(per uur)]]</f>
        <v>0</v>
      </c>
      <c r="F35" s="58">
        <v>12</v>
      </c>
      <c r="G35" s="60">
        <f>Tabel810[[#This Row],[Tarief maatregel per jaar 
(prijspeil 2025)]]/Tabel810[[#This Row],[Looptijd maatregel
(prijspeil 2025)]]</f>
        <v>0</v>
      </c>
      <c r="H35" s="52" t="s">
        <v>99</v>
      </c>
      <c r="I35" s="52" t="s">
        <v>100</v>
      </c>
    </row>
    <row r="36" spans="1:15">
      <c r="A36" s="1" t="s">
        <v>123</v>
      </c>
      <c r="B36" s="1" t="s">
        <v>125</v>
      </c>
      <c r="C36" t="s">
        <v>138</v>
      </c>
      <c r="D36" s="1" t="s">
        <v>138</v>
      </c>
      <c r="E36" s="60">
        <v>206.09</v>
      </c>
      <c r="F36" s="58">
        <v>12</v>
      </c>
      <c r="G36" s="60">
        <f>Tabel810[[#This Row],[Tarief maatregel per jaar 
(prijspeil 2025)]]/Tabel810[[#This Row],[Looptijd maatregel
(prijspeil 2025)]]</f>
        <v>17.174166666666668</v>
      </c>
      <c r="H36" s="52" t="s">
        <v>99</v>
      </c>
      <c r="I36" s="52" t="s">
        <v>100</v>
      </c>
    </row>
    <row r="37" spans="1:15" ht="12.95" thickBot="1">
      <c r="A37" s="1"/>
      <c r="B37" s="1"/>
      <c r="C37" s="53"/>
      <c r="D37" s="1"/>
      <c r="E37" s="6"/>
      <c r="F37" s="6"/>
      <c r="G37" s="6"/>
      <c r="H37" s="6"/>
      <c r="I37" s="6"/>
      <c r="J37" s="6"/>
      <c r="K37" s="54"/>
      <c r="L37" s="6"/>
      <c r="M37" s="6"/>
      <c r="N37" s="52"/>
      <c r="O37" s="52"/>
    </row>
    <row r="38" spans="1:15" ht="25.5" thickBot="1">
      <c r="A38" s="55" t="s">
        <v>126</v>
      </c>
      <c r="B38" s="56">
        <v>2.7</v>
      </c>
      <c r="C38" s="53"/>
      <c r="D38" s="1"/>
      <c r="E38" s="6"/>
      <c r="F38" s="6"/>
      <c r="G38" s="6"/>
      <c r="H38" s="6"/>
      <c r="I38" s="6"/>
      <c r="J38" s="6"/>
      <c r="K38" s="54"/>
      <c r="L38" s="6"/>
      <c r="M38" s="6"/>
      <c r="N38" s="52"/>
      <c r="O38" s="52"/>
    </row>
    <row r="39" spans="1:15" ht="12.95" thickBot="1">
      <c r="A39" s="40"/>
    </row>
    <row r="40" spans="1:15">
      <c r="A40" s="70" t="s">
        <v>127</v>
      </c>
      <c r="B40" s="91">
        <v>201.26</v>
      </c>
    </row>
    <row r="41" spans="1:15">
      <c r="A41" s="73" t="s">
        <v>128</v>
      </c>
      <c r="B41" s="89">
        <v>2.4E-2</v>
      </c>
    </row>
    <row r="42" spans="1:15">
      <c r="A42" s="73" t="s">
        <v>129</v>
      </c>
      <c r="B42" s="92">
        <f>B40*(1+B41)</f>
        <v>206.09023999999999</v>
      </c>
    </row>
    <row r="43" spans="1:15" ht="12.95" thickBot="1">
      <c r="A43" s="90" t="s">
        <v>130</v>
      </c>
      <c r="B43" s="93">
        <f>B42/12</f>
        <v>17.174186666666667</v>
      </c>
    </row>
  </sheetData>
  <sheetProtection autoFilter="0"/>
  <phoneticPr fontId="6" type="noConversion"/>
  <dataValidations count="2">
    <dataValidation type="list" allowBlank="1" showInputMessage="1" showErrorMessage="1" sqref="A14" xr:uid="{BE8A986A-BDF6-4E2B-98C0-1036FBD08F48}">
      <formula1>#REF!</formula1>
    </dataValidation>
    <dataValidation type="list" allowBlank="1" showInputMessage="1" showErrorMessage="1" sqref="B12" xr:uid="{746B560A-FA51-48CA-8252-342AE2A9AA07}">
      <formula1>"Ja, Nee"</formula1>
    </dataValidation>
  </dataValidations>
  <pageMargins left="0.7" right="0.7" top="0.75" bottom="0.75" header="0.3" footer="0.3"/>
  <pageSetup paperSize="9" scale="41"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2785BF6E4B2740BDB3C8E6A6311B10" ma:contentTypeVersion="12" ma:contentTypeDescription="Een nieuw document maken." ma:contentTypeScope="" ma:versionID="5a0f4d9946cecc884c497e7251e30941">
  <xsd:schema xmlns:xsd="http://www.w3.org/2001/XMLSchema" xmlns:xs="http://www.w3.org/2001/XMLSchema" xmlns:p="http://schemas.microsoft.com/office/2006/metadata/properties" xmlns:ns2="9152e0d3-34fb-4747-a5dc-27eca1916cf6" xmlns:ns3="d773fe1b-10bb-49d2-81ab-2619ae2082ac" targetNamespace="http://schemas.microsoft.com/office/2006/metadata/properties" ma:root="true" ma:fieldsID="15f03ab26f179b11718e7901c7082924" ns2:_="" ns3:_="">
    <xsd:import namespace="9152e0d3-34fb-4747-a5dc-27eca1916cf6"/>
    <xsd:import namespace="d773fe1b-10bb-49d2-81ab-2619ae2082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2e0d3-34fb-4747-a5dc-27eca1916c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73fe1b-10bb-49d2-81ab-2619ae2082a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72540c65-2e72-4766-a4df-d6751edc4da1}" ma:internalName="TaxCatchAll" ma:showField="CatchAllData" ma:web="d773fe1b-10bb-49d2-81ab-2619ae2082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52e0d3-34fb-4747-a5dc-27eca1916cf6">
      <Terms xmlns="http://schemas.microsoft.com/office/infopath/2007/PartnerControls"/>
    </lcf76f155ced4ddcb4097134ff3c332f>
    <TaxCatchAll xmlns="d773fe1b-10bb-49d2-81ab-2619ae2082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385C7C-E16C-44B8-92E5-03C04E718DE8}"/>
</file>

<file path=customXml/itemProps2.xml><?xml version="1.0" encoding="utf-8"?>
<ds:datastoreItem xmlns:ds="http://schemas.openxmlformats.org/officeDocument/2006/customXml" ds:itemID="{99543B9E-7D45-4499-9F76-BDABC7E386A7}"/>
</file>

<file path=customXml/itemProps3.xml><?xml version="1.0" encoding="utf-8"?>
<ds:datastoreItem xmlns:ds="http://schemas.openxmlformats.org/officeDocument/2006/customXml" ds:itemID="{4A3A7B9D-EC90-4721-BDBE-6E4BC7F4A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Jansen (VNG - TISA)</dc:creator>
  <cp:keywords/>
  <dc:description/>
  <cp:lastModifiedBy>Robben-Boelé, Manon</cp:lastModifiedBy>
  <cp:revision/>
  <dcterms:created xsi:type="dcterms:W3CDTF">2023-08-03T14:56:08Z</dcterms:created>
  <dcterms:modified xsi:type="dcterms:W3CDTF">2025-01-29T12:54:48Z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0x010100C32785BF6E4B2740BDB3C8E6A6311B10</vt:lpwstr>
  </property>
  <property fmtid="{D5CDD505-2E9C-101B-9397-08002B2CF9AE}" pid="3" name="MediaServiceImageTags">
    <vt:lpwstr/>
  </property>
</Properties>
</file>