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bnl.sharepoint.com/sites/257100-RVO/Gedeelde documenten/257100.001-Maatr. energiebesp. GTB/004 Rapportage/"/>
    </mc:Choice>
  </mc:AlternateContent>
  <xr:revisionPtr revIDLastSave="102" documentId="8_{F80264B0-4945-4492-8588-7A40342465EB}" xr6:coauthVersionLast="47" xr6:coauthVersionMax="47" xr10:uidLastSave="{CE756560-7C11-454B-9446-387CE521D2B7}"/>
  <bookViews>
    <workbookView xWindow="-120" yWindow="-120" windowWidth="29040" windowHeight="15720" firstSheet="1" activeTab="3" xr2:uid="{C32F5785-0738-47C8-BBA2-8278B5AB8D09}"/>
  </bookViews>
  <sheets>
    <sheet name="blanco" sheetId="2" r:id="rId1"/>
    <sheet name="PT1" sheetId="7" r:id="rId2"/>
    <sheet name="PT2" sheetId="25" r:id="rId3"/>
    <sheet name="PT2a" sheetId="3" r:id="rId4"/>
    <sheet name="PT2b" sheetId="21" r:id="rId5"/>
    <sheet name="PT2c" sheetId="22" r:id="rId6"/>
    <sheet name="PT3" sheetId="4" r:id="rId7"/>
    <sheet name="PT4" sheetId="8" r:id="rId8"/>
    <sheet name="PT5" sheetId="9" r:id="rId9"/>
    <sheet name="PT6" sheetId="10" r:id="rId10"/>
    <sheet name="PT7" sheetId="11" r:id="rId11"/>
    <sheet name="PT8" sheetId="12" r:id="rId12"/>
    <sheet name="PT9" sheetId="13" r:id="rId13"/>
    <sheet name="PT10a" sheetId="14" r:id="rId14"/>
    <sheet name="PT10b" sheetId="23" r:id="rId15"/>
    <sheet name="PT10c" sheetId="24" r:id="rId16"/>
    <sheet name="PT11" sheetId="15" r:id="rId17"/>
    <sheet name="PT12" sheetId="16" r:id="rId18"/>
    <sheet name="PT13" sheetId="17" r:id="rId19"/>
    <sheet name="PT14" sheetId="19" r:id="rId20"/>
    <sheet name="Totaal" sheetId="20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0" l="1" a="1"/>
  <c r="B21" i="20" s="1"/>
  <c r="G41" i="25"/>
  <c r="G40" i="25"/>
  <c r="G36" i="25"/>
  <c r="G35" i="25"/>
  <c r="G34" i="25"/>
  <c r="G33" i="25"/>
  <c r="G38" i="25" s="1"/>
  <c r="G32" i="25"/>
  <c r="G22" i="25"/>
  <c r="G21" i="25"/>
  <c r="G51" i="25" s="1"/>
  <c r="G54" i="25" s="1"/>
  <c r="G17" i="25"/>
  <c r="G16" i="25"/>
  <c r="G15" i="25"/>
  <c r="G13" i="25"/>
  <c r="G19" i="25" s="1"/>
  <c r="F33" i="7"/>
  <c r="F32" i="7"/>
  <c r="G51" i="24"/>
  <c r="G54" i="24" s="1"/>
  <c r="G40" i="24"/>
  <c r="G41" i="24"/>
  <c r="G32" i="24"/>
  <c r="G38" i="24" s="1"/>
  <c r="G33" i="24"/>
  <c r="G34" i="24"/>
  <c r="G35" i="24"/>
  <c r="G36" i="24"/>
  <c r="G21" i="24"/>
  <c r="G22" i="24"/>
  <c r="G50" i="24" s="1"/>
  <c r="G53" i="24" s="1"/>
  <c r="G13" i="24"/>
  <c r="G14" i="24"/>
  <c r="G15" i="24"/>
  <c r="G16" i="24"/>
  <c r="G17" i="24"/>
  <c r="G50" i="23"/>
  <c r="G53" i="23" s="1"/>
  <c r="G40" i="23"/>
  <c r="G41" i="23"/>
  <c r="G32" i="23"/>
  <c r="G38" i="23" s="1"/>
  <c r="G33" i="23"/>
  <c r="G34" i="23"/>
  <c r="G35" i="23"/>
  <c r="G36" i="23"/>
  <c r="G21" i="23"/>
  <c r="G51" i="23" s="1"/>
  <c r="G54" i="23" s="1"/>
  <c r="G22" i="23"/>
  <c r="G13" i="23"/>
  <c r="G14" i="23"/>
  <c r="G15" i="23"/>
  <c r="G16" i="23"/>
  <c r="G17" i="23"/>
  <c r="G14" i="21"/>
  <c r="G50" i="22"/>
  <c r="G53" i="22" s="1"/>
  <c r="G32" i="22"/>
  <c r="G33" i="22"/>
  <c r="G34" i="22"/>
  <c r="G35" i="22"/>
  <c r="G36" i="22"/>
  <c r="G40" i="22"/>
  <c r="G41" i="22"/>
  <c r="G21" i="22"/>
  <c r="G51" i="22" s="1"/>
  <c r="G54" i="22" s="1"/>
  <c r="G22" i="22"/>
  <c r="G13" i="22"/>
  <c r="G15" i="22"/>
  <c r="G16" i="22"/>
  <c r="G17" i="22"/>
  <c r="G50" i="21"/>
  <c r="G53" i="21" s="1"/>
  <c r="G32" i="21"/>
  <c r="G33" i="21"/>
  <c r="G38" i="21" s="1"/>
  <c r="G44" i="21" s="1"/>
  <c r="G34" i="21"/>
  <c r="G35" i="21"/>
  <c r="G36" i="21"/>
  <c r="G40" i="21"/>
  <c r="G41" i="21"/>
  <c r="G21" i="21"/>
  <c r="G51" i="21" s="1"/>
  <c r="G54" i="21" s="1"/>
  <c r="G22" i="21"/>
  <c r="G13" i="21"/>
  <c r="G15" i="21"/>
  <c r="G16" i="21"/>
  <c r="G17" i="21"/>
  <c r="J14" i="12"/>
  <c r="K10" i="20" a="1"/>
  <c r="T7" i="20" a="1"/>
  <c r="D9" i="20" a="1"/>
  <c r="Q12" i="20" a="1"/>
  <c r="M13" i="20" a="1"/>
  <c r="H9" i="20" a="1"/>
  <c r="K13" i="20" a="1"/>
  <c r="H13" i="20" a="1"/>
  <c r="J9" i="20" a="1"/>
  <c r="F10" i="20" a="1"/>
  <c r="E10" i="20" a="1"/>
  <c r="S13" i="20" a="1"/>
  <c r="S10" i="20" a="1"/>
  <c r="H12" i="20" a="1"/>
  <c r="M10" i="20" a="1"/>
  <c r="K9" i="20" a="1"/>
  <c r="N6" i="20" a="1"/>
  <c r="F6" i="20" a="1"/>
  <c r="N7" i="20" a="1"/>
  <c r="Q10" i="20" a="1"/>
  <c r="R6" i="20" a="1"/>
  <c r="R11" i="20" a="1"/>
  <c r="U13" i="20" a="1"/>
  <c r="E8" i="20" a="1"/>
  <c r="U10" i="20" a="1"/>
  <c r="L10" i="20" a="1"/>
  <c r="N10" i="20" a="1"/>
  <c r="T10" i="20" a="1"/>
  <c r="F11" i="20" a="1"/>
  <c r="U8" i="20" a="1"/>
  <c r="O6" i="20" a="1"/>
  <c r="T11" i="20" a="1"/>
  <c r="R13" i="20" a="1"/>
  <c r="S11" i="20" a="1"/>
  <c r="L12" i="20" a="1"/>
  <c r="J7" i="20" a="1"/>
  <c r="N13" i="20" a="1"/>
  <c r="M7" i="20" a="1"/>
  <c r="P8" i="20" a="1"/>
  <c r="U12" i="20" a="1"/>
  <c r="O13" i="20" a="1"/>
  <c r="K12" i="20" a="1"/>
  <c r="E9" i="20" a="1"/>
  <c r="R7" i="20" a="1"/>
  <c r="E11" i="20" a="1"/>
  <c r="L6" i="20" a="1"/>
  <c r="T13" i="20" a="1"/>
  <c r="M6" i="20" a="1"/>
  <c r="D12" i="20" a="1"/>
  <c r="D13" i="20" a="1"/>
  <c r="G10" i="20" a="1"/>
  <c r="K8" i="20" a="1"/>
  <c r="I11" i="20" a="1"/>
  <c r="N11" i="20" a="1"/>
  <c r="R9" i="20" a="1"/>
  <c r="J11" i="20" a="1"/>
  <c r="D6" i="20" a="1"/>
  <c r="F13" i="20" a="1"/>
  <c r="I12" i="20" a="1"/>
  <c r="O11" i="20" a="1"/>
  <c r="J12" i="20" a="1"/>
  <c r="H6" i="20" a="1"/>
  <c r="F8" i="20" a="1"/>
  <c r="G8" i="20" a="1"/>
  <c r="S8" i="20" a="1"/>
  <c r="O9" i="20" a="1"/>
  <c r="M12" i="20" a="1"/>
  <c r="Q8" i="20" a="1"/>
  <c r="P7" i="20" a="1"/>
  <c r="S6" i="20" a="1"/>
  <c r="E7" i="20" a="1"/>
  <c r="L13" i="20" a="1"/>
  <c r="O7" i="20" a="1"/>
  <c r="I13" i="20" a="1"/>
  <c r="E13" i="20" a="1"/>
  <c r="I6" i="20" a="1"/>
  <c r="U11" i="20" a="1"/>
  <c r="P13" i="20" a="1"/>
  <c r="P9" i="20" a="1"/>
  <c r="Q6" i="20" a="1"/>
  <c r="H7" i="20" a="1"/>
  <c r="F12" i="20" a="1"/>
  <c r="Q11" i="20" a="1"/>
  <c r="H8" i="20" a="1"/>
  <c r="D10" i="20" a="1"/>
  <c r="P12" i="20" a="1"/>
  <c r="D8" i="20" a="1"/>
  <c r="J8" i="20" a="1"/>
  <c r="U7" i="20" a="1"/>
  <c r="S12" i="20" a="1"/>
  <c r="M8" i="20" a="1"/>
  <c r="P10" i="20" a="1"/>
  <c r="O12" i="20" a="1"/>
  <c r="N8" i="20" a="1"/>
  <c r="J6" i="20" a="1"/>
  <c r="E6" i="20" a="1"/>
  <c r="Q9" i="20" a="1"/>
  <c r="N12" i="20" a="1"/>
  <c r="L11" i="20" a="1"/>
  <c r="P6" i="20" a="1"/>
  <c r="O8" i="20" a="1"/>
  <c r="H11" i="20" a="1"/>
  <c r="I9" i="20" a="1"/>
  <c r="R12" i="20" a="1"/>
  <c r="J10" i="20" a="1"/>
  <c r="G13" i="20" a="1"/>
  <c r="N9" i="20" a="1"/>
  <c r="L9" i="20" a="1"/>
  <c r="O10" i="20" a="1"/>
  <c r="H10" i="20" a="1"/>
  <c r="G9" i="20" a="1"/>
  <c r="G11" i="20" a="1"/>
  <c r="F7" i="20" a="1"/>
  <c r="L7" i="20" a="1"/>
  <c r="M9" i="20" a="1"/>
  <c r="T6" i="20" a="1"/>
  <c r="S7" i="20" a="1"/>
  <c r="G6" i="20" a="1"/>
  <c r="M11" i="20" a="1"/>
  <c r="R10" i="20" a="1"/>
  <c r="L8" i="20" a="1"/>
  <c r="G7" i="20" a="1"/>
  <c r="R8" i="20" a="1"/>
  <c r="D7" i="20" a="1"/>
  <c r="J13" i="20" a="1"/>
  <c r="F9" i="20" a="1"/>
  <c r="I8" i="20" a="1"/>
  <c r="G12" i="20" a="1"/>
  <c r="Q7" i="20" a="1"/>
  <c r="K11" i="20" a="1"/>
  <c r="E12" i="20" a="1"/>
  <c r="I7" i="20" a="1"/>
  <c r="Q13" i="20" a="1"/>
  <c r="D11" i="20" a="1"/>
  <c r="K6" i="20" a="1"/>
  <c r="T12" i="20" a="1"/>
  <c r="T8" i="20" a="1"/>
  <c r="K7" i="20" a="1"/>
  <c r="P11" i="20" a="1"/>
  <c r="S9" i="20" a="1"/>
  <c r="T9" i="20" a="1"/>
  <c r="I10" i="20" a="1"/>
  <c r="D12" i="20" l="1"/>
  <c r="D8" i="20"/>
  <c r="D9" i="20"/>
  <c r="D11" i="20"/>
  <c r="D7" i="20"/>
  <c r="D13" i="20"/>
  <c r="D10" i="20"/>
  <c r="D6" i="20"/>
  <c r="G44" i="25"/>
  <c r="G46" i="25" s="1"/>
  <c r="H32" i="25"/>
  <c r="G25" i="25"/>
  <c r="H21" i="25" s="1"/>
  <c r="G49" i="25"/>
  <c r="G52" i="25" s="1"/>
  <c r="H37" i="25"/>
  <c r="G50" i="25"/>
  <c r="G53" i="25" s="1"/>
  <c r="E6" i="20"/>
  <c r="I6" i="20"/>
  <c r="M6" i="20"/>
  <c r="Q6" i="20"/>
  <c r="H7" i="20"/>
  <c r="L7" i="20"/>
  <c r="P7" i="20"/>
  <c r="T7" i="20"/>
  <c r="G8" i="20"/>
  <c r="K8" i="20"/>
  <c r="O8" i="20"/>
  <c r="S8" i="20"/>
  <c r="F9" i="20"/>
  <c r="J9" i="20"/>
  <c r="N9" i="20"/>
  <c r="R9" i="20"/>
  <c r="E10" i="20"/>
  <c r="I10" i="20"/>
  <c r="M10" i="20"/>
  <c r="Q10" i="20"/>
  <c r="U10" i="20"/>
  <c r="H11" i="20"/>
  <c r="L11" i="20"/>
  <c r="P11" i="20"/>
  <c r="T11" i="20"/>
  <c r="G12" i="20"/>
  <c r="K12" i="20"/>
  <c r="O12" i="20"/>
  <c r="S12" i="20"/>
  <c r="F13" i="20"/>
  <c r="J13" i="20"/>
  <c r="N13" i="20"/>
  <c r="R13" i="20"/>
  <c r="F6" i="20"/>
  <c r="J6" i="20"/>
  <c r="N6" i="20"/>
  <c r="R6" i="20"/>
  <c r="E7" i="20"/>
  <c r="I7" i="20"/>
  <c r="M7" i="20"/>
  <c r="Q7" i="20"/>
  <c r="U7" i="20"/>
  <c r="H8" i="20"/>
  <c r="L8" i="20"/>
  <c r="P8" i="20"/>
  <c r="T8" i="20"/>
  <c r="G9" i="20"/>
  <c r="K9" i="20"/>
  <c r="O9" i="20"/>
  <c r="S9" i="20"/>
  <c r="F10" i="20"/>
  <c r="J10" i="20"/>
  <c r="N10" i="20"/>
  <c r="R10" i="20"/>
  <c r="E11" i="20"/>
  <c r="I11" i="20"/>
  <c r="M11" i="20"/>
  <c r="Q11" i="20"/>
  <c r="U11" i="20"/>
  <c r="H12" i="20"/>
  <c r="L12" i="20"/>
  <c r="P12" i="20"/>
  <c r="T12" i="20"/>
  <c r="G13" i="20"/>
  <c r="K13" i="20"/>
  <c r="O13" i="20"/>
  <c r="S13" i="20"/>
  <c r="K6" i="20"/>
  <c r="O6" i="20"/>
  <c r="S6" i="20"/>
  <c r="J7" i="20"/>
  <c r="N7" i="20"/>
  <c r="R7" i="20"/>
  <c r="E8" i="20"/>
  <c r="I8" i="20"/>
  <c r="M8" i="20"/>
  <c r="Q8" i="20"/>
  <c r="U8" i="20"/>
  <c r="H9" i="20"/>
  <c r="L9" i="20"/>
  <c r="P9" i="20"/>
  <c r="T9" i="20"/>
  <c r="G10" i="20"/>
  <c r="K10" i="20"/>
  <c r="O10" i="20"/>
  <c r="S10" i="20"/>
  <c r="F11" i="20"/>
  <c r="J11" i="20"/>
  <c r="N11" i="20"/>
  <c r="R11" i="20"/>
  <c r="E12" i="20"/>
  <c r="I12" i="20"/>
  <c r="M12" i="20"/>
  <c r="Q12" i="20"/>
  <c r="U12" i="20"/>
  <c r="H13" i="20"/>
  <c r="L13" i="20"/>
  <c r="P13" i="20"/>
  <c r="T13" i="20"/>
  <c r="F7" i="20"/>
  <c r="G6" i="20"/>
  <c r="H6" i="20"/>
  <c r="L6" i="20"/>
  <c r="P6" i="20"/>
  <c r="T6" i="20"/>
  <c r="G7" i="20"/>
  <c r="K7" i="20"/>
  <c r="O7" i="20"/>
  <c r="S7" i="20"/>
  <c r="F8" i="20"/>
  <c r="J8" i="20"/>
  <c r="N8" i="20"/>
  <c r="R8" i="20"/>
  <c r="E9" i="20"/>
  <c r="I9" i="20"/>
  <c r="M9" i="20"/>
  <c r="Q9" i="20"/>
  <c r="H10" i="20"/>
  <c r="L10" i="20"/>
  <c r="P10" i="20"/>
  <c r="T10" i="20"/>
  <c r="G11" i="20"/>
  <c r="K11" i="20"/>
  <c r="O11" i="20"/>
  <c r="S11" i="20"/>
  <c r="F12" i="20"/>
  <c r="J12" i="20"/>
  <c r="N12" i="20"/>
  <c r="R12" i="20"/>
  <c r="E13" i="20"/>
  <c r="I13" i="20"/>
  <c r="M13" i="20"/>
  <c r="Q13" i="20"/>
  <c r="U13" i="20"/>
  <c r="G19" i="24"/>
  <c r="G25" i="24" s="1"/>
  <c r="G19" i="23"/>
  <c r="G44" i="24"/>
  <c r="G46" i="24"/>
  <c r="G25" i="23"/>
  <c r="G27" i="23" s="1"/>
  <c r="G49" i="23"/>
  <c r="G52" i="23" s="1"/>
  <c r="G44" i="23"/>
  <c r="G46" i="23" s="1"/>
  <c r="G38" i="22"/>
  <c r="G19" i="22"/>
  <c r="G19" i="21"/>
  <c r="H32" i="21" s="1"/>
  <c r="G25" i="22"/>
  <c r="H21" i="22" s="1"/>
  <c r="G44" i="22"/>
  <c r="G46" i="22" s="1"/>
  <c r="H37" i="22"/>
  <c r="G25" i="21"/>
  <c r="H21" i="21" s="1"/>
  <c r="G49" i="21"/>
  <c r="G52" i="21" s="1"/>
  <c r="H37" i="21"/>
  <c r="G46" i="21"/>
  <c r="D16" i="20" l="1"/>
  <c r="D17" i="20"/>
  <c r="G27" i="25"/>
  <c r="H39" i="25"/>
  <c r="K16" i="20"/>
  <c r="Q17" i="20"/>
  <c r="G16" i="20"/>
  <c r="O16" i="20"/>
  <c r="R16" i="20"/>
  <c r="F17" i="20"/>
  <c r="M17" i="20"/>
  <c r="N16" i="20"/>
  <c r="I17" i="20"/>
  <c r="J16" i="20"/>
  <c r="E17" i="20"/>
  <c r="S17" i="20"/>
  <c r="T16" i="20"/>
  <c r="Q16" i="20"/>
  <c r="T17" i="20"/>
  <c r="M16" i="20"/>
  <c r="P17" i="20"/>
  <c r="P16" i="20"/>
  <c r="K17" i="20"/>
  <c r="E16" i="20"/>
  <c r="L16" i="20"/>
  <c r="H17" i="20"/>
  <c r="G17" i="20"/>
  <c r="N17" i="20"/>
  <c r="F16" i="20"/>
  <c r="O17" i="20"/>
  <c r="I16" i="20"/>
  <c r="L17" i="20"/>
  <c r="R17" i="20"/>
  <c r="H16" i="20"/>
  <c r="S16" i="20"/>
  <c r="J17" i="20"/>
  <c r="G27" i="24"/>
  <c r="G49" i="24"/>
  <c r="G52" i="24" s="1"/>
  <c r="H32" i="22"/>
  <c r="G49" i="22"/>
  <c r="G52" i="22" s="1"/>
  <c r="H39" i="22"/>
  <c r="G27" i="22"/>
  <c r="H39" i="21"/>
  <c r="G27" i="21"/>
  <c r="G40" i="14" l="1"/>
  <c r="G21" i="14"/>
  <c r="G22" i="14"/>
  <c r="G13" i="14"/>
  <c r="G16" i="14"/>
  <c r="G13" i="19"/>
  <c r="G32" i="8" l="1"/>
  <c r="H43" i="12" l="1"/>
  <c r="H40" i="12"/>
  <c r="H39" i="12"/>
  <c r="H38" i="12"/>
  <c r="H21" i="12"/>
  <c r="H24" i="17"/>
  <c r="H26" i="17"/>
  <c r="H25" i="17"/>
  <c r="H22" i="17"/>
  <c r="H26" i="15"/>
  <c r="H25" i="15"/>
  <c r="H34" i="13" l="1"/>
  <c r="H19" i="13"/>
  <c r="I22" i="13"/>
  <c r="H24" i="9"/>
  <c r="H22" i="9"/>
  <c r="H23" i="9"/>
  <c r="H25" i="4"/>
  <c r="H24" i="4"/>
  <c r="H23" i="4"/>
  <c r="G21" i="11"/>
  <c r="J19" i="4" l="1"/>
  <c r="F32" i="12" l="1"/>
  <c r="G32" i="12" s="1"/>
  <c r="D32" i="12"/>
  <c r="G40" i="12"/>
  <c r="G13" i="11"/>
  <c r="G34" i="9"/>
  <c r="F33" i="17"/>
  <c r="F14" i="17"/>
  <c r="F32" i="19"/>
  <c r="G32" i="19" s="1"/>
  <c r="F14" i="19"/>
  <c r="G14" i="19" s="1"/>
  <c r="G19" i="2"/>
  <c r="G20" i="2"/>
  <c r="G41" i="19"/>
  <c r="G40" i="19"/>
  <c r="G36" i="19"/>
  <c r="G35" i="19"/>
  <c r="G34" i="19"/>
  <c r="G22" i="19"/>
  <c r="G50" i="19" s="1"/>
  <c r="G53" i="19" s="1"/>
  <c r="G21" i="19"/>
  <c r="G51" i="19" s="1"/>
  <c r="G54" i="19" s="1"/>
  <c r="G17" i="19"/>
  <c r="G16" i="19"/>
  <c r="G15" i="19"/>
  <c r="G41" i="13"/>
  <c r="C12" i="20" a="1"/>
  <c r="C13" i="20" a="1"/>
  <c r="C12" i="20" l="1"/>
  <c r="C13" i="20"/>
  <c r="F33" i="19"/>
  <c r="G33" i="19" s="1"/>
  <c r="G38" i="19" s="1"/>
  <c r="G44" i="19" s="1"/>
  <c r="G46" i="19" s="1"/>
  <c r="G19" i="19"/>
  <c r="G49" i="19" s="1"/>
  <c r="G41" i="12"/>
  <c r="G34" i="12"/>
  <c r="D14" i="12"/>
  <c r="D13" i="12"/>
  <c r="G32" i="11"/>
  <c r="G33" i="11"/>
  <c r="U6" i="20" a="1"/>
  <c r="U6" i="20" l="1"/>
  <c r="U16" i="20" s="1"/>
  <c r="G25" i="19"/>
  <c r="G27" i="19" s="1"/>
  <c r="H35" i="19" s="1"/>
  <c r="G52" i="19"/>
  <c r="G33" i="8"/>
  <c r="G34" i="8"/>
  <c r="G35" i="8"/>
  <c r="G36" i="8"/>
  <c r="G16" i="8"/>
  <c r="U9" i="20" a="1"/>
  <c r="U9" i="20" l="1"/>
  <c r="U17" i="20" s="1"/>
  <c r="G41" i="7"/>
  <c r="G40" i="7"/>
  <c r="G36" i="7"/>
  <c r="G35" i="7"/>
  <c r="G34" i="7"/>
  <c r="G33" i="7"/>
  <c r="G32" i="7"/>
  <c r="G22" i="7"/>
  <c r="G21" i="7"/>
  <c r="G17" i="7"/>
  <c r="G16" i="7"/>
  <c r="G15" i="7"/>
  <c r="G14" i="7"/>
  <c r="G13" i="7"/>
  <c r="G41" i="4"/>
  <c r="G40" i="4"/>
  <c r="G36" i="4"/>
  <c r="G35" i="4"/>
  <c r="G34" i="4"/>
  <c r="G33" i="4"/>
  <c r="G32" i="4"/>
  <c r="G22" i="4"/>
  <c r="G21" i="4"/>
  <c r="G16" i="4"/>
  <c r="G15" i="4"/>
  <c r="G14" i="4"/>
  <c r="G13" i="4"/>
  <c r="G41" i="3"/>
  <c r="G34" i="3"/>
  <c r="G35" i="3"/>
  <c r="G38" i="7" l="1"/>
  <c r="G19" i="7"/>
  <c r="G25" i="7" s="1"/>
  <c r="G38" i="4"/>
  <c r="G27" i="7" l="1"/>
  <c r="G41" i="17"/>
  <c r="G40" i="17"/>
  <c r="G36" i="17"/>
  <c r="G35" i="17"/>
  <c r="G34" i="17"/>
  <c r="G33" i="17"/>
  <c r="G32" i="17"/>
  <c r="G38" i="17" s="1"/>
  <c r="G22" i="17"/>
  <c r="G50" i="17" s="1"/>
  <c r="G53" i="17" s="1"/>
  <c r="G21" i="17"/>
  <c r="G51" i="17" s="1"/>
  <c r="G54" i="17" s="1"/>
  <c r="G17" i="17"/>
  <c r="G16" i="17"/>
  <c r="G15" i="17"/>
  <c r="G14" i="17"/>
  <c r="G13" i="17"/>
  <c r="G41" i="16"/>
  <c r="G40" i="16"/>
  <c r="G36" i="16"/>
  <c r="G35" i="16"/>
  <c r="G34" i="16"/>
  <c r="G33" i="16"/>
  <c r="G32" i="16"/>
  <c r="G22" i="16"/>
  <c r="G50" i="16" s="1"/>
  <c r="G21" i="16"/>
  <c r="G51" i="16" s="1"/>
  <c r="G17" i="16"/>
  <c r="G16" i="16"/>
  <c r="G15" i="16"/>
  <c r="G14" i="16"/>
  <c r="G13" i="16"/>
  <c r="G41" i="15"/>
  <c r="G40" i="15"/>
  <c r="G36" i="15"/>
  <c r="G35" i="15"/>
  <c r="G34" i="15"/>
  <c r="G33" i="15"/>
  <c r="G32" i="15"/>
  <c r="G22" i="15"/>
  <c r="G50" i="15" s="1"/>
  <c r="G53" i="15" s="1"/>
  <c r="G21" i="15"/>
  <c r="G51" i="15" s="1"/>
  <c r="G17" i="15"/>
  <c r="G16" i="15"/>
  <c r="G15" i="15"/>
  <c r="G14" i="15"/>
  <c r="G13" i="15"/>
  <c r="G41" i="14"/>
  <c r="G36" i="14"/>
  <c r="G35" i="14"/>
  <c r="G34" i="14"/>
  <c r="G33" i="14"/>
  <c r="G32" i="14"/>
  <c r="G50" i="14"/>
  <c r="G51" i="14"/>
  <c r="G17" i="14"/>
  <c r="G15" i="14"/>
  <c r="G14" i="14"/>
  <c r="G40" i="13"/>
  <c r="G36" i="13"/>
  <c r="G35" i="13"/>
  <c r="G34" i="13"/>
  <c r="G33" i="13"/>
  <c r="G38" i="13" s="1"/>
  <c r="G32" i="13"/>
  <c r="G22" i="13"/>
  <c r="G50" i="13" s="1"/>
  <c r="G21" i="13"/>
  <c r="G51" i="13" s="1"/>
  <c r="G17" i="13"/>
  <c r="G16" i="13"/>
  <c r="G15" i="13"/>
  <c r="G14" i="13"/>
  <c r="G13" i="13"/>
  <c r="G36" i="12"/>
  <c r="G35" i="12"/>
  <c r="G33" i="12"/>
  <c r="G22" i="12"/>
  <c r="G50" i="12" s="1"/>
  <c r="G21" i="12"/>
  <c r="G51" i="12" s="1"/>
  <c r="G17" i="12"/>
  <c r="G16" i="12"/>
  <c r="G15" i="12"/>
  <c r="G14" i="12"/>
  <c r="G13" i="12"/>
  <c r="G41" i="11"/>
  <c r="G40" i="11"/>
  <c r="G36" i="11"/>
  <c r="G35" i="11"/>
  <c r="G34" i="11"/>
  <c r="G38" i="11"/>
  <c r="G22" i="11"/>
  <c r="G50" i="11" s="1"/>
  <c r="G51" i="11"/>
  <c r="G17" i="11"/>
  <c r="G16" i="11"/>
  <c r="G15" i="11"/>
  <c r="G14" i="11"/>
  <c r="G41" i="10"/>
  <c r="G40" i="10"/>
  <c r="G36" i="10"/>
  <c r="G35" i="10"/>
  <c r="G34" i="10"/>
  <c r="G33" i="10"/>
  <c r="G32" i="10"/>
  <c r="G22" i="10"/>
  <c r="G50" i="10" s="1"/>
  <c r="G21" i="10"/>
  <c r="G51" i="10" s="1"/>
  <c r="G54" i="10" s="1"/>
  <c r="G17" i="10"/>
  <c r="G16" i="10"/>
  <c r="G15" i="10"/>
  <c r="G14" i="10"/>
  <c r="G13" i="10"/>
  <c r="G41" i="9"/>
  <c r="G40" i="9"/>
  <c r="G36" i="9"/>
  <c r="G35" i="9"/>
  <c r="G33" i="9"/>
  <c r="G32" i="9"/>
  <c r="G38" i="9" s="1"/>
  <c r="G22" i="9"/>
  <c r="G50" i="9" s="1"/>
  <c r="G21" i="9"/>
  <c r="G51" i="9" s="1"/>
  <c r="G17" i="9"/>
  <c r="G16" i="9"/>
  <c r="G15" i="9"/>
  <c r="G14" i="9"/>
  <c r="G13" i="9"/>
  <c r="G19" i="9" s="1"/>
  <c r="G41" i="8"/>
  <c r="G40" i="8"/>
  <c r="G38" i="8"/>
  <c r="G22" i="8"/>
  <c r="G50" i="8" s="1"/>
  <c r="G21" i="8"/>
  <c r="G51" i="8" s="1"/>
  <c r="G17" i="8"/>
  <c r="G15" i="8"/>
  <c r="G14" i="8"/>
  <c r="G13" i="8"/>
  <c r="G50" i="7"/>
  <c r="G53" i="7" s="1"/>
  <c r="G51" i="7"/>
  <c r="G54" i="7" s="1"/>
  <c r="G50" i="4"/>
  <c r="G53" i="4" s="1"/>
  <c r="G51" i="4"/>
  <c r="G54" i="4" s="1"/>
  <c r="G17" i="4"/>
  <c r="G19" i="4"/>
  <c r="G25" i="4" s="1"/>
  <c r="G27" i="4" s="1"/>
  <c r="G40" i="3"/>
  <c r="G36" i="3"/>
  <c r="G33" i="3"/>
  <c r="G32" i="3"/>
  <c r="G22" i="3"/>
  <c r="G21" i="3"/>
  <c r="G17" i="3"/>
  <c r="G16" i="3"/>
  <c r="G15" i="3"/>
  <c r="G13" i="3"/>
  <c r="J19" i="2"/>
  <c r="J20" i="2"/>
  <c r="S11" i="2"/>
  <c r="S12" i="2"/>
  <c r="S13" i="2"/>
  <c r="S14" i="2"/>
  <c r="S15" i="2"/>
  <c r="C19" i="2"/>
  <c r="D19" i="2"/>
  <c r="F26" i="2" s="1"/>
  <c r="J31" i="2" s="1"/>
  <c r="J32" i="2" s="1"/>
  <c r="E19" i="2"/>
  <c r="S19" i="2"/>
  <c r="C20" i="2"/>
  <c r="D20" i="2"/>
  <c r="E20" i="2"/>
  <c r="S20" i="2"/>
  <c r="C21" i="2"/>
  <c r="D21" i="2"/>
  <c r="E21" i="2"/>
  <c r="G21" i="2"/>
  <c r="J21" i="2"/>
  <c r="C22" i="2"/>
  <c r="D22" i="2"/>
  <c r="E22" i="2"/>
  <c r="G22" i="2"/>
  <c r="J22" i="2"/>
  <c r="C23" i="2"/>
  <c r="D23" i="2"/>
  <c r="E23" i="2"/>
  <c r="G23" i="2"/>
  <c r="J23" i="2"/>
  <c r="C24" i="2"/>
  <c r="D24" i="2"/>
  <c r="E24" i="2"/>
  <c r="G24" i="2"/>
  <c r="J24" i="2"/>
  <c r="J29" i="2" s="1"/>
  <c r="C25" i="2"/>
  <c r="D25" i="2"/>
  <c r="E25" i="2"/>
  <c r="G25" i="2"/>
  <c r="F27" i="2"/>
  <c r="F33" i="2" s="1"/>
  <c r="J33" i="2" s="1"/>
  <c r="J28" i="2"/>
  <c r="S30" i="2"/>
  <c r="F31" i="2"/>
  <c r="S31" i="2"/>
  <c r="S32" i="2"/>
  <c r="S36" i="2" s="1"/>
  <c r="S33" i="2"/>
  <c r="S34" i="2"/>
  <c r="S38" i="2"/>
  <c r="S39" i="2"/>
  <c r="G51" i="3" l="1"/>
  <c r="H37" i="3"/>
  <c r="G50" i="3"/>
  <c r="G54" i="11"/>
  <c r="G19" i="17"/>
  <c r="G54" i="9"/>
  <c r="G19" i="16"/>
  <c r="G49" i="16" s="1"/>
  <c r="G19" i="15"/>
  <c r="G53" i="13"/>
  <c r="G19" i="13"/>
  <c r="G25" i="13" s="1"/>
  <c r="G38" i="10"/>
  <c r="G19" i="10"/>
  <c r="G53" i="8"/>
  <c r="G53" i="9"/>
  <c r="G53" i="10"/>
  <c r="G53" i="11"/>
  <c r="G53" i="14"/>
  <c r="G53" i="16"/>
  <c r="G54" i="16"/>
  <c r="G38" i="16"/>
  <c r="G54" i="15"/>
  <c r="G38" i="15"/>
  <c r="G44" i="15" s="1"/>
  <c r="G46" i="15" s="1"/>
  <c r="G54" i="14"/>
  <c r="G38" i="14"/>
  <c r="G19" i="14"/>
  <c r="G49" i="14" s="1"/>
  <c r="G54" i="13"/>
  <c r="G53" i="12"/>
  <c r="G54" i="12"/>
  <c r="G38" i="12"/>
  <c r="G19" i="12"/>
  <c r="G49" i="12" s="1"/>
  <c r="G19" i="11"/>
  <c r="G49" i="11" s="1"/>
  <c r="G54" i="8"/>
  <c r="G19" i="8"/>
  <c r="G49" i="8" s="1"/>
  <c r="G52" i="8" s="1"/>
  <c r="G53" i="3"/>
  <c r="G54" i="3"/>
  <c r="G38" i="3"/>
  <c r="G44" i="3" s="1"/>
  <c r="G46" i="3" s="1"/>
  <c r="G44" i="17"/>
  <c r="G46" i="17" s="1"/>
  <c r="G49" i="17"/>
  <c r="G25" i="17"/>
  <c r="G27" i="17" s="1"/>
  <c r="G25" i="16"/>
  <c r="G27" i="16" s="1"/>
  <c r="G44" i="16"/>
  <c r="G46" i="16" s="1"/>
  <c r="G25" i="15"/>
  <c r="G27" i="15" s="1"/>
  <c r="G49" i="15"/>
  <c r="G25" i="14"/>
  <c r="G44" i="14"/>
  <c r="G46" i="14" s="1"/>
  <c r="G44" i="13"/>
  <c r="G46" i="13" s="1"/>
  <c r="G25" i="12"/>
  <c r="G27" i="12" s="1"/>
  <c r="G44" i="12"/>
  <c r="G46" i="12" s="1"/>
  <c r="G44" i="11"/>
  <c r="G46" i="11" s="1"/>
  <c r="G49" i="10"/>
  <c r="G52" i="10" s="1"/>
  <c r="G25" i="10"/>
  <c r="G27" i="10" s="1"/>
  <c r="G44" i="10"/>
  <c r="G46" i="10" s="1"/>
  <c r="G25" i="9"/>
  <c r="G27" i="9" s="1"/>
  <c r="G49" i="9"/>
  <c r="G44" i="9"/>
  <c r="G46" i="9" s="1"/>
  <c r="G44" i="8"/>
  <c r="G46" i="8" s="1"/>
  <c r="G49" i="7"/>
  <c r="G52" i="7" s="1"/>
  <c r="G44" i="7"/>
  <c r="G49" i="4"/>
  <c r="G52" i="4" s="1"/>
  <c r="G44" i="4"/>
  <c r="G46" i="4" s="1"/>
  <c r="G19" i="3"/>
  <c r="S17" i="2"/>
  <c r="S23" i="2" s="1"/>
  <c r="S42" i="2"/>
  <c r="S44" i="2" s="1"/>
  <c r="C10" i="20" a="1"/>
  <c r="C8" i="20" a="1"/>
  <c r="C7" i="20" a="1"/>
  <c r="C11" i="20" a="1"/>
  <c r="G46" i="7" l="1"/>
  <c r="G27" i="14"/>
  <c r="G25" i="11"/>
  <c r="C11" i="20"/>
  <c r="C7" i="20"/>
  <c r="C10" i="20"/>
  <c r="C8" i="20"/>
  <c r="G25" i="3"/>
  <c r="H39" i="3" s="1"/>
  <c r="H32" i="3"/>
  <c r="G27" i="13"/>
  <c r="H33" i="13"/>
  <c r="G52" i="11"/>
  <c r="G52" i="17"/>
  <c r="G52" i="9"/>
  <c r="G52" i="16"/>
  <c r="G52" i="15"/>
  <c r="G49" i="13"/>
  <c r="G52" i="14"/>
  <c r="G52" i="12"/>
  <c r="G25" i="8"/>
  <c r="G27" i="8" s="1"/>
  <c r="H38" i="8" s="1"/>
  <c r="G49" i="3"/>
  <c r="S25" i="2"/>
  <c r="S47" i="2" s="1"/>
  <c r="C6" i="20" a="1"/>
  <c r="G27" i="11" l="1"/>
  <c r="C6" i="20"/>
  <c r="C16" i="20" s="1"/>
  <c r="G27" i="3"/>
  <c r="H21" i="3"/>
  <c r="G52" i="3"/>
  <c r="G52" i="13"/>
  <c r="S48" i="2"/>
  <c r="C9" i="20" a="1"/>
  <c r="C9" i="20" l="1"/>
  <c r="C17" i="20" s="1"/>
  <c r="C21" i="20" s="1" a="1"/>
  <c r="C21" i="2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<sst xmlns="http://schemas.openxmlformats.org/spreadsheetml/2006/main" count="1473" uniqueCount="183">
  <si>
    <t>Investeringsberekening Erkende Maatregelen Lijst</t>
  </si>
  <si>
    <t>BM121</t>
  </si>
  <si>
    <t>Titel</t>
  </si>
  <si>
    <t>Nr.:</t>
  </si>
  <si>
    <t>Behandeld door:</t>
  </si>
  <si>
    <t>Titel:</t>
  </si>
  <si>
    <t>xx frequentieregelaar vacuumpompen</t>
  </si>
  <si>
    <t>Datum prijspeil:</t>
  </si>
  <si>
    <t>Opsteller:</t>
  </si>
  <si>
    <t>Prijspeil datum:</t>
  </si>
  <si>
    <t>Investering zelfstandig moment</t>
  </si>
  <si>
    <t>Nr.</t>
  </si>
  <si>
    <t>Onderdeel</t>
  </si>
  <si>
    <t>Getal</t>
  </si>
  <si>
    <t>Eenheid</t>
  </si>
  <si>
    <t>Tarief</t>
  </si>
  <si>
    <t>Investering</t>
  </si>
  <si>
    <t>Frequentieregelaar</t>
  </si>
  <si>
    <t>€/kW</t>
  </si>
  <si>
    <t>Diverse koppelingen</t>
  </si>
  <si>
    <t>stuks</t>
  </si>
  <si>
    <t>Besparing energie</t>
  </si>
  <si>
    <t>Equipment:</t>
  </si>
  <si>
    <t>GJ/e</t>
  </si>
  <si>
    <t>€/e</t>
  </si>
  <si>
    <t>Besparing</t>
  </si>
  <si>
    <r>
      <t xml:space="preserve">Investeringen </t>
    </r>
    <r>
      <rPr>
        <b/>
        <sz val="6"/>
        <rFont val="Arial"/>
        <family val="2"/>
      </rPr>
      <t>('meer' kosten t.b.v. de maatregel)</t>
    </r>
  </si>
  <si>
    <t>Arbeid en materieel</t>
  </si>
  <si>
    <t>Ontwerp- en planningkosten</t>
  </si>
  <si>
    <t>Arbeid</t>
  </si>
  <si>
    <t>manuren</t>
  </si>
  <si>
    <t>Aanschaf installatie</t>
  </si>
  <si>
    <t>Materieel</t>
  </si>
  <si>
    <t>dag</t>
  </si>
  <si>
    <t>Bouw- en installatiekosten</t>
  </si>
  <si>
    <t>Indirecte kosten</t>
  </si>
  <si>
    <t>Overige</t>
  </si>
  <si>
    <t>Contingency factor:</t>
  </si>
  <si>
    <t>Subsidie/Fiscaal voordeel</t>
  </si>
  <si>
    <t>Subtotaal investeringen</t>
  </si>
  <si>
    <t>Totaal</t>
  </si>
  <si>
    <t>End of Life</t>
  </si>
  <si>
    <t>Totale investering zelfstandig moment:</t>
  </si>
  <si>
    <t>Finale energie besparing</t>
  </si>
  <si>
    <t>GJ</t>
  </si>
  <si>
    <t>Opbrengst installatie end of life</t>
  </si>
  <si>
    <t>Energiekostenbesparing</t>
  </si>
  <si>
    <t>€/jaar</t>
  </si>
  <si>
    <t>Kosten installatie end of life</t>
  </si>
  <si>
    <t xml:space="preserve"> </t>
  </si>
  <si>
    <t>Vermeden investering natuurlijk moment</t>
  </si>
  <si>
    <t>Extra operationele opbrengsten (of kosten '-')</t>
  </si>
  <si>
    <t>Totaal end of life</t>
  </si>
  <si>
    <t>Onderhoud &amp; reparatie</t>
  </si>
  <si>
    <t>Totaal investeringen</t>
  </si>
  <si>
    <t>Overige opbrengsten</t>
  </si>
  <si>
    <t>Totaal extra operationeel</t>
  </si>
  <si>
    <t>Geplande besparing [GJ]</t>
  </si>
  <si>
    <t>Resultaat</t>
  </si>
  <si>
    <t>Energie-efficiencyverbetering</t>
  </si>
  <si>
    <t>Jaarlijks resultaat</t>
  </si>
  <si>
    <t>Eenvoudige terugverdientijd [jr]</t>
  </si>
  <si>
    <t>deze vlakken waren voor commentaar, mogen vervallen.</t>
  </si>
  <si>
    <t>Vermeden investering natuurlijk moment:</t>
  </si>
  <si>
    <t>Samenvatting</t>
  </si>
  <si>
    <t>Totale investering natuurlijk moment:</t>
  </si>
  <si>
    <t>Onderhoudskosten per jaar</t>
  </si>
  <si>
    <t>Overige kosten per jaar</t>
  </si>
  <si>
    <t xml:space="preserve">Opmerking </t>
  </si>
  <si>
    <t>Opdracht</t>
  </si>
  <si>
    <t xml:space="preserve">Erkende maatregelen energiebesparing voor de glastuinbouw </t>
  </si>
  <si>
    <t>referentienummer</t>
  </si>
  <si>
    <t>Intern maatregel nr:</t>
  </si>
  <si>
    <t>PT1</t>
  </si>
  <si>
    <t>Breng beweegbare gevelschermen aan</t>
  </si>
  <si>
    <t>RG</t>
  </si>
  <si>
    <t>Aantal</t>
  </si>
  <si>
    <t>Rolgevelschermen 2 gordingen</t>
  </si>
  <si>
    <t>€/m²</t>
  </si>
  <si>
    <t>Gordingen zijn geschikt voor gevelschermen</t>
  </si>
  <si>
    <t>Rolgevelscherm, extra 3de gording</t>
  </si>
  <si>
    <t>Invoer in register</t>
  </si>
  <si>
    <t>Totaal materiaal zelfstandig moment:</t>
  </si>
  <si>
    <t>Totaal materieel zelfstandig moment:</t>
  </si>
  <si>
    <t>Totaal arbeid zelfstandig moment:</t>
  </si>
  <si>
    <t>Totaal materiaal natuurlijk moment:</t>
  </si>
  <si>
    <t>Totaal materieel natuurlijk moment:</t>
  </si>
  <si>
    <t>Totaal arbeid natuurlijk moment:</t>
  </si>
  <si>
    <t>PT2</t>
  </si>
  <si>
    <t xml:space="preserve">Vervang de gevel met enkel glas door een gevel met isolerende beplating </t>
  </si>
  <si>
    <t>SDP-platen 16mm in gevelroeden</t>
  </si>
  <si>
    <t>Fictieve kas 100x120m ph=5m</t>
  </si>
  <si>
    <t>Sandwich panelen blind gemonteerd</t>
  </si>
  <si>
    <t>Dus 12.000m²</t>
  </si>
  <si>
    <t>Isolatieglas in geisoleerd gevelsysteem</t>
  </si>
  <si>
    <t xml:space="preserve">Montagemateriaal/roeden/div. </t>
  </si>
  <si>
    <t>SDP-platen montagekosten</t>
  </si>
  <si>
    <t>Sandwichpanelen montagekosten</t>
  </si>
  <si>
    <t>Isolatieglas montagekosten</t>
  </si>
  <si>
    <t xml:space="preserve">Vermeden montagematerialen </t>
  </si>
  <si>
    <t>PT3</t>
  </si>
  <si>
    <t xml:space="preserve">Breng horizontale beweegbare energieschermen aan </t>
  </si>
  <si>
    <t>Doekmateriaal</t>
  </si>
  <si>
    <t>Dradenbed; steun- en opwaaidraden</t>
  </si>
  <si>
    <t>Profielen/trekdraden/assen/motoren</t>
  </si>
  <si>
    <t>Montagemateriaal/slip-, veerblokken/etc.</t>
  </si>
  <si>
    <t>PT4</t>
  </si>
  <si>
    <t xml:space="preserve">Vervang ventilatoren van IE2/IE3 klasse door ventilatoren van IE4 of hoger </t>
  </si>
  <si>
    <t>Staat al in EML lijst, deze specifiek voor tuinbouw</t>
  </si>
  <si>
    <t>Alleen de elektromotor vervangen</t>
  </si>
  <si>
    <t>Het betreft EC gelijkstroommotoren</t>
  </si>
  <si>
    <t>De gehele ventilator met motor vervangen</t>
  </si>
  <si>
    <t>Ophanging vervangen</t>
  </si>
  <si>
    <t>Montage en aansluiten</t>
  </si>
  <si>
    <t>PT5</t>
  </si>
  <si>
    <t>Zie maatregel 4</t>
  </si>
  <si>
    <t xml:space="preserve">Pas een frequentieregelaar toe op de ventilator </t>
  </si>
  <si>
    <t>Indien gelijkstroommotoren niet toegepast kunnen worden</t>
  </si>
  <si>
    <t>Frequentieregelaar 6kW per 20 ventilatoren</t>
  </si>
  <si>
    <t>Sterk afhankelijk van het vermogen wat freq.geregeld moet worden</t>
  </si>
  <si>
    <t>Bekabeling</t>
  </si>
  <si>
    <t>PT6</t>
  </si>
  <si>
    <t xml:space="preserve">Sluit het bedrijf aan op een CO2 netwerk </t>
  </si>
  <si>
    <t>Basis aansluiting</t>
  </si>
  <si>
    <t>PT7</t>
  </si>
  <si>
    <t>Isoleer verwarmingsleidingen en appendages (aanvoer en retour)</t>
  </si>
  <si>
    <t>Isolatiegeschikt maken</t>
  </si>
  <si>
    <r>
      <t>m</t>
    </r>
    <r>
      <rPr>
        <vertAlign val="superscript"/>
        <sz val="10"/>
        <rFont val="Arial"/>
        <family val="2"/>
      </rPr>
      <t>1</t>
    </r>
  </si>
  <si>
    <t>Off. 2510000 Cogas</t>
  </si>
  <si>
    <t>Isolatiewerkzaamheden in de kas</t>
  </si>
  <si>
    <t>PT8</t>
  </si>
  <si>
    <t xml:space="preserve">Vervang bij de groeibelichting SON-T armaturen voor LED armaturen </t>
  </si>
  <si>
    <t xml:space="preserve"> Philips GPL LED GPL tLL 630 </t>
  </si>
  <si>
    <t>µmol/s</t>
  </si>
  <si>
    <t>Voorbeeld klant 251000 off Cogas</t>
  </si>
  <si>
    <t>Installatie: Bekabeling/Panelen/Arbeid</t>
  </si>
  <si>
    <t>12.000m² kas á 120µmol/m²/s = 1440000µmol/s</t>
  </si>
  <si>
    <t>Demontage bestaande Son-T installatie</t>
  </si>
  <si>
    <t>m²</t>
  </si>
  <si>
    <t xml:space="preserve">Son-T </t>
  </si>
  <si>
    <t>PT9</t>
  </si>
  <si>
    <t>Pas meerdere schakelgroepen toe bij groeibelichting</t>
  </si>
  <si>
    <t>Bekabeling omleggen/vervangen</t>
  </si>
  <si>
    <t>Nog geen idee hoe we hier een investering aan kunnen hangen</t>
  </si>
  <si>
    <t>Ophangmateriaal vervangen</t>
  </si>
  <si>
    <t>En daarna ook niet hoe we de TVT kunnen berekenen</t>
  </si>
  <si>
    <t>PT10</t>
  </si>
  <si>
    <t xml:space="preserve">Pas een ontvochtigingssysteem toe </t>
  </si>
  <si>
    <t>a) DryGair/Condair/</t>
  </si>
  <si>
    <t>Op basis van 2021 uitgangspunten</t>
  </si>
  <si>
    <t>b) vDijk AVS/Technokas/BvZ</t>
  </si>
  <si>
    <t>c) Airmix div./Hynova</t>
  </si>
  <si>
    <t>Regeltechnisch inpassen</t>
  </si>
  <si>
    <t>PT11</t>
  </si>
  <si>
    <t xml:space="preserve">Plaats meedere sensoren in een kasafdeling </t>
  </si>
  <si>
    <t>Sensoren draadloos diversen</t>
  </si>
  <si>
    <t>Set</t>
  </si>
  <si>
    <t>Installatiematerialen</t>
  </si>
  <si>
    <t>PT12</t>
  </si>
  <si>
    <t xml:space="preserve">Pas een automatische energieregistratie en bewakingssysteem met rapportagefunctie toe </t>
  </si>
  <si>
    <t>Aanvullend software</t>
  </si>
  <si>
    <t>Aanpassen hardware</t>
  </si>
  <si>
    <t>PT13</t>
  </si>
  <si>
    <t>Installeer een tweede rookgaskoeler of een tweede rookgas condensor</t>
  </si>
  <si>
    <t>Extra Rookgaskoeler</t>
  </si>
  <si>
    <t>Inpassing rookgaskanaal/schoorsteen/etc.</t>
  </si>
  <si>
    <t xml:space="preserve">PT14 </t>
  </si>
  <si>
    <t xml:space="preserve">Pas een frequentieregeling op pompen toe </t>
  </si>
  <si>
    <t>Transportpompen voorzien van frequentieregelaar</t>
  </si>
  <si>
    <t>Groepspompen voorzien van frequentieregelaar geven een groot risico op temperatuursongelijkheid</t>
  </si>
  <si>
    <t>Door een frequentieregelaar toe te passen op een pomp wordt er en minder elektrische energie gebruikt in de pomp en er wordt minder water (=energiedrager) verplaatst waardoor er minder energie verloren gaat.</t>
  </si>
  <si>
    <t>Frequentieregelaar (basisbedrag+per kW)</t>
  </si>
  <si>
    <t>kW</t>
  </si>
  <si>
    <t>Materialen tbv montage en inregelen</t>
  </si>
  <si>
    <t>PT2a</t>
  </si>
  <si>
    <t>PT2b</t>
  </si>
  <si>
    <t>PT2c</t>
  </si>
  <si>
    <t>PT10a</t>
  </si>
  <si>
    <t>PT10b</t>
  </si>
  <si>
    <t>PT10c</t>
  </si>
  <si>
    <t>PT14</t>
  </si>
  <si>
    <t>Totaal ZM</t>
  </si>
  <si>
    <t>Totaal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</si>
</sst>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  <numFmt numFmtId="166" formatCode="_ * #,##0.0_ ;_ * \-#,##0.0_ ;_ * &quot;-&quot;??_ ;_ @_ "/>
    <numFmt numFmtId="167" formatCode="0.000%"/>
    <numFmt numFmtId="168" formatCode="_ &quot;€&quot;\ * #,##0.000_ ;_ &quot;€&quot;\ * \-#,##0.000_ ;_ &quot;€&quot;\ * &quot;-&quot;??_ ;_ @_ "/>
    <numFmt numFmtId="169" formatCode="_ * #,##0.000_ ;_ * \-#,##0.000_ ;_ * &quot;-&quot;??_ ;_ @_ "/>
    <numFmt numFmtId="170" formatCode="_ * #,##0.0000_ ;_ * \-#,##0.0000_ ;_ * &quot;-&quot;??_ ;_ @_ "/>
    <numFmt numFmtId="171" formatCode="#,##0.0"/>
    <numFmt numFmtId="172" formatCode="\ \€* #,##0;\ \€* \-#,##0;\ \€* &quot;-&quot;"/>
    <numFmt numFmtId="173" formatCode="_-* #,##0.00_-;_-* #,##0.00\-;_-* &quot;-&quot;??_-;_-@_-"/>
    <numFmt numFmtId="174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sz val="8"/>
      <color theme="0" tint="-0.34998626667073579"/>
      <name val="Arial"/>
      <family val="2"/>
    </font>
    <font>
      <b/>
      <sz val="6"/>
      <name val="Arial"/>
      <family val="2"/>
    </font>
    <font>
      <b/>
      <sz val="10"/>
      <color theme="0"/>
      <name val="Arial"/>
      <family val="2"/>
    </font>
    <font>
      <sz val="10"/>
      <color indexed="9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Arial Narrow"/>
      <family val="2"/>
    </font>
    <font>
      <sz val="8"/>
      <name val="Verdana"/>
      <family val="2"/>
    </font>
    <font>
      <u/>
      <sz val="10"/>
      <color theme="10"/>
      <name val="Arial"/>
      <family val="2"/>
    </font>
    <font>
      <vertAlign val="superscript"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hair">
        <color indexed="64"/>
      </right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28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4" borderId="0" applyNumberFormat="0" applyFont="0" applyBorder="0" applyAlignment="0" applyProtection="0"/>
    <xf numFmtId="0" fontId="16" fillId="12" borderId="0" applyNumberFormat="0" applyFont="0" applyBorder="0" applyAlignment="0" applyProtection="0"/>
    <xf numFmtId="0" fontId="16" fillId="10" borderId="0" applyNumberFormat="0" applyFont="0" applyBorder="0" applyAlignment="0" applyProtection="0"/>
    <xf numFmtId="0" fontId="16" fillId="11" borderId="0" applyNumberFormat="0" applyFont="0" applyBorder="0" applyAlignment="0" applyProtection="0"/>
    <xf numFmtId="0" fontId="18" fillId="13" borderId="0" applyNumberFormat="0" applyBorder="0" applyAlignment="0" applyProtection="0"/>
    <xf numFmtId="0" fontId="6" fillId="0" borderId="0"/>
    <xf numFmtId="0" fontId="6" fillId="0" borderId="0"/>
    <xf numFmtId="0" fontId="16" fillId="0" borderId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9" fillId="0" borderId="0"/>
    <xf numFmtId="173" fontId="19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2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36">
    <xf numFmtId="0" fontId="0" fillId="0" borderId="0" xfId="0"/>
    <xf numFmtId="0" fontId="3" fillId="0" borderId="0" xfId="1"/>
    <xf numFmtId="3" fontId="3" fillId="0" borderId="0" xfId="1" applyNumberFormat="1"/>
    <xf numFmtId="0" fontId="4" fillId="0" borderId="0" xfId="2" applyAlignment="1" applyProtection="1"/>
    <xf numFmtId="0" fontId="5" fillId="0" borderId="0" xfId="1" applyFont="1"/>
    <xf numFmtId="164" fontId="0" fillId="0" borderId="1" xfId="3" applyNumberFormat="1" applyFont="1" applyBorder="1"/>
    <xf numFmtId="0" fontId="3" fillId="2" borderId="0" xfId="1" applyFill="1"/>
    <xf numFmtId="0" fontId="5" fillId="0" borderId="5" xfId="1" applyFont="1" applyBorder="1"/>
    <xf numFmtId="0" fontId="5" fillId="0" borderId="6" xfId="1" applyFont="1" applyBorder="1"/>
    <xf numFmtId="164" fontId="7" fillId="0" borderId="1" xfId="3" applyNumberFormat="1" applyFont="1" applyBorder="1"/>
    <xf numFmtId="0" fontId="5" fillId="0" borderId="8" xfId="1" applyFont="1" applyBorder="1"/>
    <xf numFmtId="0" fontId="3" fillId="4" borderId="0" xfId="1" applyFill="1"/>
    <xf numFmtId="0" fontId="7" fillId="5" borderId="2" xfId="1" applyFont="1" applyFill="1" applyBorder="1"/>
    <xf numFmtId="0" fontId="7" fillId="5" borderId="3" xfId="1" applyFont="1" applyFill="1" applyBorder="1"/>
    <xf numFmtId="0" fontId="7" fillId="5" borderId="4" xfId="1" applyFont="1" applyFill="1" applyBorder="1"/>
    <xf numFmtId="0" fontId="3" fillId="6" borderId="2" xfId="1" applyFill="1" applyBorder="1"/>
    <xf numFmtId="0" fontId="3" fillId="6" borderId="3" xfId="1" applyFill="1" applyBorder="1"/>
    <xf numFmtId="3" fontId="3" fillId="6" borderId="3" xfId="1" applyNumberFormat="1" applyFill="1" applyBorder="1"/>
    <xf numFmtId="0" fontId="9" fillId="6" borderId="3" xfId="1" applyFont="1" applyFill="1" applyBorder="1"/>
    <xf numFmtId="0" fontId="3" fillId="6" borderId="4" xfId="1" applyFill="1" applyBorder="1"/>
    <xf numFmtId="164" fontId="0" fillId="0" borderId="15" xfId="3" applyNumberFormat="1" applyFont="1" applyBorder="1"/>
    <xf numFmtId="9" fontId="0" fillId="0" borderId="15" xfId="4" applyFont="1" applyBorder="1"/>
    <xf numFmtId="0" fontId="10" fillId="0" borderId="0" xfId="1" applyFont="1"/>
    <xf numFmtId="164" fontId="0" fillId="0" borderId="19" xfId="3" applyNumberFormat="1" applyFont="1" applyBorder="1"/>
    <xf numFmtId="3" fontId="3" fillId="0" borderId="19" xfId="1" applyNumberFormat="1" applyBorder="1"/>
    <xf numFmtId="0" fontId="3" fillId="0" borderId="19" xfId="1" applyBorder="1"/>
    <xf numFmtId="3" fontId="3" fillId="0" borderId="1" xfId="1" applyNumberFormat="1" applyBorder="1"/>
    <xf numFmtId="0" fontId="3" fillId="0" borderId="1" xfId="1" applyBorder="1"/>
    <xf numFmtId="164" fontId="0" fillId="0" borderId="24" xfId="3" applyNumberFormat="1" applyFont="1" applyBorder="1"/>
    <xf numFmtId="0" fontId="5" fillId="0" borderId="25" xfId="1" applyFont="1" applyBorder="1" applyAlignment="1" applyProtection="1">
      <alignment horizontal="left"/>
      <protection locked="0"/>
    </xf>
    <xf numFmtId="0" fontId="5" fillId="0" borderId="26" xfId="1" applyFont="1" applyBorder="1" applyProtection="1">
      <protection locked="0"/>
    </xf>
    <xf numFmtId="0" fontId="5" fillId="0" borderId="26" xfId="1" applyFont="1" applyBorder="1"/>
    <xf numFmtId="0" fontId="5" fillId="0" borderId="27" xfId="1" applyFont="1" applyBorder="1"/>
    <xf numFmtId="164" fontId="0" fillId="6" borderId="2" xfId="3" applyNumberFormat="1" applyFont="1" applyFill="1" applyBorder="1"/>
    <xf numFmtId="164" fontId="0" fillId="6" borderId="3" xfId="3" applyNumberFormat="1" applyFont="1" applyFill="1" applyBorder="1"/>
    <xf numFmtId="165" fontId="5" fillId="0" borderId="26" xfId="5" applyNumberFormat="1" applyFont="1" applyFill="1" applyBorder="1" applyAlignment="1" applyProtection="1">
      <alignment horizontal="right"/>
    </xf>
    <xf numFmtId="3" fontId="3" fillId="0" borderId="15" xfId="1" applyNumberFormat="1" applyBorder="1"/>
    <xf numFmtId="0" fontId="3" fillId="0" borderId="15" xfId="1" applyBorder="1"/>
    <xf numFmtId="166" fontId="10" fillId="8" borderId="29" xfId="5" applyNumberFormat="1" applyFont="1" applyFill="1" applyBorder="1" applyAlignment="1" applyProtection="1">
      <alignment horizontal="right"/>
    </xf>
    <xf numFmtId="0" fontId="5" fillId="0" borderId="30" xfId="1" applyFont="1" applyBorder="1" applyAlignment="1">
      <alignment horizontal="left"/>
    </xf>
    <xf numFmtId="0" fontId="5" fillId="0" borderId="29" xfId="1" applyFont="1" applyBorder="1"/>
    <xf numFmtId="165" fontId="5" fillId="8" borderId="31" xfId="5" applyNumberFormat="1" applyFont="1" applyFill="1" applyBorder="1" applyAlignment="1" applyProtection="1">
      <alignment horizontal="right"/>
    </xf>
    <xf numFmtId="0" fontId="5" fillId="0" borderId="31" xfId="1" applyFont="1" applyBorder="1"/>
    <xf numFmtId="0" fontId="5" fillId="0" borderId="30" xfId="1" applyFont="1" applyBorder="1"/>
    <xf numFmtId="167" fontId="5" fillId="8" borderId="20" xfId="4" applyNumberFormat="1" applyFont="1" applyFill="1" applyBorder="1" applyAlignment="1" applyProtection="1">
      <alignment horizontal="right"/>
    </xf>
    <xf numFmtId="0" fontId="5" fillId="0" borderId="22" xfId="1" applyFont="1" applyBorder="1"/>
    <xf numFmtId="3" fontId="5" fillId="0" borderId="26" xfId="5" applyNumberFormat="1" applyFont="1" applyFill="1" applyBorder="1" applyAlignment="1" applyProtection="1">
      <alignment horizontal="right"/>
    </xf>
    <xf numFmtId="0" fontId="10" fillId="0" borderId="26" xfId="1" applyFont="1" applyBorder="1"/>
    <xf numFmtId="166" fontId="5" fillId="8" borderId="13" xfId="5" applyNumberFormat="1" applyFont="1" applyFill="1" applyBorder="1" applyAlignment="1" applyProtection="1">
      <alignment horizontal="center"/>
    </xf>
    <xf numFmtId="0" fontId="5" fillId="0" borderId="20" xfId="1" applyFont="1" applyBorder="1"/>
    <xf numFmtId="0" fontId="5" fillId="0" borderId="21" xfId="1" applyFont="1" applyBorder="1"/>
    <xf numFmtId="0" fontId="3" fillId="0" borderId="31" xfId="1" applyBorder="1"/>
    <xf numFmtId="165" fontId="5" fillId="7" borderId="21" xfId="5" applyNumberFormat="1" applyFont="1" applyFill="1" applyBorder="1" applyAlignment="1" applyProtection="1">
      <alignment horizontal="right"/>
      <protection locked="0"/>
    </xf>
    <xf numFmtId="0" fontId="3" fillId="9" borderId="32" xfId="1" applyFill="1" applyBorder="1"/>
    <xf numFmtId="0" fontId="3" fillId="9" borderId="0" xfId="1" applyFill="1"/>
    <xf numFmtId="3" fontId="3" fillId="9" borderId="0" xfId="1" applyNumberFormat="1" applyFill="1"/>
    <xf numFmtId="0" fontId="9" fillId="9" borderId="0" xfId="1" applyFont="1" applyFill="1"/>
    <xf numFmtId="0" fontId="3" fillId="9" borderId="33" xfId="1" applyFill="1" applyBorder="1"/>
    <xf numFmtId="164" fontId="5" fillId="8" borderId="29" xfId="3" applyNumberFormat="1" applyFont="1" applyFill="1" applyBorder="1" applyAlignment="1" applyProtection="1">
      <alignment horizontal="right"/>
    </xf>
    <xf numFmtId="0" fontId="5" fillId="0" borderId="13" xfId="1" applyFont="1" applyBorder="1"/>
    <xf numFmtId="165" fontId="5" fillId="7" borderId="26" xfId="5" applyNumberFormat="1" applyFont="1" applyFill="1" applyBorder="1" applyAlignment="1" applyProtection="1">
      <alignment horizontal="right"/>
      <protection locked="0"/>
    </xf>
    <xf numFmtId="0" fontId="5" fillId="0" borderId="23" xfId="1" applyFont="1" applyBorder="1"/>
    <xf numFmtId="164" fontId="5" fillId="8" borderId="20" xfId="3" applyNumberFormat="1" applyFont="1" applyFill="1" applyBorder="1" applyAlignment="1" applyProtection="1">
      <alignment horizontal="right"/>
    </xf>
    <xf numFmtId="3" fontId="5" fillId="0" borderId="31" xfId="1" applyNumberFormat="1" applyFont="1" applyBorder="1" applyAlignment="1">
      <alignment horizontal="right"/>
    </xf>
    <xf numFmtId="0" fontId="10" fillId="0" borderId="31" xfId="1" applyFont="1" applyBorder="1"/>
    <xf numFmtId="164" fontId="5" fillId="7" borderId="13" xfId="3" applyNumberFormat="1" applyFont="1" applyFill="1" applyBorder="1" applyAlignment="1" applyProtection="1">
      <alignment horizontal="right"/>
      <protection locked="0"/>
    </xf>
    <xf numFmtId="165" fontId="5" fillId="8" borderId="21" xfId="5" applyNumberFormat="1" applyFont="1" applyFill="1" applyBorder="1" applyAlignment="1" applyProtection="1">
      <alignment horizontal="right"/>
    </xf>
    <xf numFmtId="164" fontId="5" fillId="7" borderId="25" xfId="3" applyNumberFormat="1" applyFont="1" applyFill="1" applyBorder="1" applyAlignment="1" applyProtection="1">
      <alignment horizontal="right"/>
      <protection locked="0"/>
    </xf>
    <xf numFmtId="166" fontId="5" fillId="8" borderId="0" xfId="5" applyNumberFormat="1" applyFont="1" applyFill="1" applyBorder="1" applyAlignment="1" applyProtection="1">
      <alignment horizontal="right"/>
    </xf>
    <xf numFmtId="164" fontId="5" fillId="0" borderId="21" xfId="3" applyNumberFormat="1" applyFont="1" applyFill="1" applyBorder="1" applyAlignment="1" applyProtection="1">
      <alignment horizontal="right"/>
    </xf>
    <xf numFmtId="0" fontId="10" fillId="0" borderId="21" xfId="1" applyFont="1" applyBorder="1"/>
    <xf numFmtId="43" fontId="5" fillId="0" borderId="20" xfId="5" applyFont="1" applyBorder="1" applyAlignment="1"/>
    <xf numFmtId="165" fontId="5" fillId="7" borderId="21" xfId="5" applyNumberFormat="1" applyFont="1" applyFill="1" applyBorder="1" applyAlignment="1" applyProtection="1"/>
    <xf numFmtId="168" fontId="11" fillId="0" borderId="21" xfId="3" applyNumberFormat="1" applyFont="1" applyBorder="1" applyAlignment="1"/>
    <xf numFmtId="169" fontId="11" fillId="0" borderId="21" xfId="5" applyNumberFormat="1" applyFont="1" applyBorder="1" applyAlignment="1"/>
    <xf numFmtId="43" fontId="5" fillId="0" borderId="22" xfId="5" applyFont="1" applyBorder="1" applyAlignment="1"/>
    <xf numFmtId="164" fontId="5" fillId="8" borderId="9" xfId="3" applyNumberFormat="1" applyFont="1" applyFill="1" applyBorder="1" applyAlignment="1" applyProtection="1">
      <alignment horizontal="right"/>
    </xf>
    <xf numFmtId="0" fontId="5" fillId="0" borderId="11" xfId="1" applyFont="1" applyBorder="1"/>
    <xf numFmtId="43" fontId="5" fillId="0" borderId="13" xfId="5" applyFont="1" applyBorder="1" applyAlignment="1"/>
    <xf numFmtId="165" fontId="5" fillId="7" borderId="0" xfId="5" applyNumberFormat="1" applyFont="1" applyFill="1" applyBorder="1" applyAlignment="1" applyProtection="1"/>
    <xf numFmtId="168" fontId="11" fillId="0" borderId="0" xfId="3" applyNumberFormat="1" applyFont="1" applyBorder="1" applyAlignment="1"/>
    <xf numFmtId="169" fontId="11" fillId="0" borderId="0" xfId="5" applyNumberFormat="1" applyFont="1" applyBorder="1" applyAlignment="1"/>
    <xf numFmtId="43" fontId="5" fillId="0" borderId="23" xfId="5" applyFont="1" applyBorder="1" applyAlignment="1"/>
    <xf numFmtId="164" fontId="5" fillId="7" borderId="9" xfId="3" applyNumberFormat="1" applyFont="1" applyFill="1" applyBorder="1" applyAlignment="1" applyProtection="1">
      <alignment horizontal="right"/>
    </xf>
    <xf numFmtId="168" fontId="11" fillId="0" borderId="0" xfId="3" applyNumberFormat="1" applyFont="1" applyBorder="1" applyAlignment="1" applyProtection="1"/>
    <xf numFmtId="169" fontId="11" fillId="0" borderId="0" xfId="5" applyNumberFormat="1" applyFont="1" applyBorder="1" applyAlignment="1" applyProtection="1"/>
    <xf numFmtId="43" fontId="5" fillId="0" borderId="23" xfId="5" applyFont="1" applyBorder="1" applyAlignment="1" applyProtection="1"/>
    <xf numFmtId="164" fontId="5" fillId="7" borderId="13" xfId="3" applyNumberFormat="1" applyFont="1" applyFill="1" applyBorder="1" applyAlignment="1" applyProtection="1">
      <alignment horizontal="right"/>
    </xf>
    <xf numFmtId="0" fontId="5" fillId="0" borderId="14" xfId="1" applyFont="1" applyBorder="1"/>
    <xf numFmtId="164" fontId="5" fillId="7" borderId="25" xfId="3" applyNumberFormat="1" applyFont="1" applyFill="1" applyBorder="1" applyAlignment="1" applyProtection="1">
      <alignment horizontal="right"/>
    </xf>
    <xf numFmtId="0" fontId="5" fillId="0" borderId="18" xfId="1" applyFont="1" applyBorder="1"/>
    <xf numFmtId="43" fontId="5" fillId="0" borderId="25" xfId="5" applyFont="1" applyBorder="1" applyAlignment="1"/>
    <xf numFmtId="165" fontId="5" fillId="7" borderId="26" xfId="5" applyNumberFormat="1" applyFont="1" applyFill="1" applyBorder="1" applyAlignment="1" applyProtection="1"/>
    <xf numFmtId="168" fontId="11" fillId="0" borderId="26" xfId="3" applyNumberFormat="1" applyFont="1" applyBorder="1" applyAlignment="1" applyProtection="1"/>
    <xf numFmtId="170" fontId="11" fillId="0" borderId="26" xfId="5" applyNumberFormat="1" applyFont="1" applyBorder="1" applyAlignment="1" applyProtection="1"/>
    <xf numFmtId="43" fontId="5" fillId="0" borderId="27" xfId="5" applyFont="1" applyBorder="1" applyAlignment="1" applyProtection="1"/>
    <xf numFmtId="0" fontId="5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3" fillId="0" borderId="8" xfId="1" applyBorder="1"/>
    <xf numFmtId="0" fontId="5" fillId="4" borderId="0" xfId="1" applyFont="1" applyFill="1" applyProtection="1">
      <protection locked="0"/>
    </xf>
    <xf numFmtId="0" fontId="5" fillId="0" borderId="31" xfId="1" applyFont="1" applyBorder="1" applyAlignment="1">
      <alignment horizontal="right"/>
    </xf>
    <xf numFmtId="0" fontId="5" fillId="0" borderId="31" xfId="1" applyFont="1" applyBorder="1" applyAlignment="1">
      <alignment horizontal="left"/>
    </xf>
    <xf numFmtId="0" fontId="14" fillId="5" borderId="0" xfId="1" applyFont="1" applyFill="1"/>
    <xf numFmtId="0" fontId="5" fillId="2" borderId="0" xfId="1" applyFont="1" applyFill="1" applyAlignment="1">
      <alignment horizontal="left" vertical="center"/>
    </xf>
    <xf numFmtId="3" fontId="0" fillId="0" borderId="0" xfId="0" applyNumberFormat="1"/>
    <xf numFmtId="0" fontId="7" fillId="5" borderId="4" xfId="0" applyFont="1" applyFill="1" applyBorder="1"/>
    <xf numFmtId="0" fontId="7" fillId="5" borderId="3" xfId="0" applyFont="1" applyFill="1" applyBorder="1"/>
    <xf numFmtId="0" fontId="0" fillId="9" borderId="33" xfId="0" applyFill="1" applyBorder="1"/>
    <xf numFmtId="0" fontId="9" fillId="9" borderId="0" xfId="0" applyFont="1" applyFill="1"/>
    <xf numFmtId="3" fontId="0" fillId="9" borderId="0" xfId="0" applyNumberFormat="1" applyFill="1"/>
    <xf numFmtId="0" fontId="0" fillId="9" borderId="0" xfId="0" applyFill="1"/>
    <xf numFmtId="0" fontId="0" fillId="0" borderId="15" xfId="0" applyBorder="1" applyAlignment="1">
      <alignment horizontal="center"/>
    </xf>
    <xf numFmtId="3" fontId="0" fillId="0" borderId="15" xfId="0" applyNumberFormat="1" applyBorder="1"/>
    <xf numFmtId="0" fontId="0" fillId="0" borderId="15" xfId="0" applyBorder="1"/>
    <xf numFmtId="0" fontId="0" fillId="6" borderId="36" xfId="0" applyFill="1" applyBorder="1"/>
    <xf numFmtId="3" fontId="0" fillId="6" borderId="35" xfId="0" applyNumberFormat="1" applyFill="1" applyBorder="1"/>
    <xf numFmtId="164" fontId="0" fillId="6" borderId="35" xfId="3" applyNumberFormat="1" applyFont="1" applyFill="1" applyBorder="1"/>
    <xf numFmtId="0" fontId="0" fillId="6" borderId="4" xfId="0" applyFill="1" applyBorder="1"/>
    <xf numFmtId="0" fontId="9" fillId="6" borderId="3" xfId="0" applyFont="1" applyFill="1" applyBorder="1"/>
    <xf numFmtId="3" fontId="0" fillId="6" borderId="3" xfId="0" applyNumberFormat="1" applyFill="1" applyBorder="1"/>
    <xf numFmtId="0" fontId="0" fillId="6" borderId="3" xfId="0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9" xfId="0" applyBorder="1" applyAlignment="1">
      <alignment horizontal="center"/>
    </xf>
    <xf numFmtId="3" fontId="0" fillId="0" borderId="19" xfId="0" applyNumberFormat="1" applyBorder="1"/>
    <xf numFmtId="0" fontId="0" fillId="0" borderId="19" xfId="0" applyBorder="1"/>
    <xf numFmtId="0" fontId="7" fillId="0" borderId="2" xfId="0" applyFont="1" applyBorder="1" applyAlignment="1">
      <alignment horizontal="right"/>
    </xf>
    <xf numFmtId="0" fontId="2" fillId="5" borderId="15" xfId="0" applyFont="1" applyFill="1" applyBorder="1"/>
    <xf numFmtId="164" fontId="0" fillId="0" borderId="4" xfId="3" applyNumberFormat="1" applyFont="1" applyBorder="1"/>
    <xf numFmtId="164" fontId="0" fillId="0" borderId="33" xfId="3" applyNumberFormat="1" applyFont="1" applyBorder="1"/>
    <xf numFmtId="164" fontId="0" fillId="0" borderId="36" xfId="3" applyNumberFormat="1" applyFont="1" applyBorder="1"/>
    <xf numFmtId="164" fontId="0" fillId="0" borderId="28" xfId="3" applyNumberFormat="1" applyFont="1" applyBorder="1"/>
    <xf numFmtId="9" fontId="0" fillId="0" borderId="4" xfId="4" applyFont="1" applyBorder="1"/>
    <xf numFmtId="164" fontId="7" fillId="0" borderId="36" xfId="3" applyNumberFormat="1" applyFont="1" applyBorder="1"/>
    <xf numFmtId="0" fontId="1" fillId="0" borderId="15" xfId="0" applyFont="1" applyBorder="1"/>
    <xf numFmtId="44" fontId="0" fillId="0" borderId="15" xfId="3" applyFont="1" applyBorder="1"/>
    <xf numFmtId="0" fontId="17" fillId="0" borderId="15" xfId="0" applyFont="1" applyBorder="1"/>
    <xf numFmtId="171" fontId="0" fillId="0" borderId="15" xfId="0" applyNumberFormat="1" applyBorder="1"/>
    <xf numFmtId="0" fontId="3" fillId="0" borderId="15" xfId="0" applyFont="1" applyBorder="1"/>
    <xf numFmtId="172" fontId="0" fillId="0" borderId="0" xfId="0" applyNumberFormat="1"/>
    <xf numFmtId="0" fontId="7" fillId="0" borderId="0" xfId="0" applyFont="1"/>
    <xf numFmtId="164" fontId="0" fillId="0" borderId="15" xfId="0" applyNumberFormat="1" applyBorder="1"/>
    <xf numFmtId="164" fontId="0" fillId="0" borderId="0" xfId="0" applyNumberFormat="1"/>
    <xf numFmtId="174" fontId="0" fillId="0" borderId="28" xfId="3" applyNumberFormat="1" applyFont="1" applyBorder="1"/>
    <xf numFmtId="174" fontId="0" fillId="0" borderId="36" xfId="3" applyNumberFormat="1" applyFont="1" applyBorder="1"/>
    <xf numFmtId="174" fontId="0" fillId="0" borderId="4" xfId="3" applyNumberFormat="1" applyFont="1" applyBorder="1"/>
    <xf numFmtId="174" fontId="0" fillId="0" borderId="0" xfId="0" applyNumberFormat="1"/>
    <xf numFmtId="0" fontId="3" fillId="0" borderId="4" xfId="0" applyFont="1" applyBorder="1" applyAlignment="1">
      <alignment horizontal="center"/>
    </xf>
    <xf numFmtId="0" fontId="3" fillId="0" borderId="33" xfId="1" applyBorder="1" applyAlignment="1">
      <alignment horizontal="center"/>
    </xf>
    <xf numFmtId="0" fontId="3" fillId="0" borderId="36" xfId="1" applyBorder="1" applyAlignment="1">
      <alignment horizontal="center"/>
    </xf>
    <xf numFmtId="0" fontId="3" fillId="0" borderId="15" xfId="1" applyBorder="1" applyAlignment="1">
      <alignment horizontal="center"/>
    </xf>
    <xf numFmtId="0" fontId="3" fillId="0" borderId="4" xfId="1" applyBorder="1" applyAlignment="1">
      <alignment horizontal="left" vertical="top"/>
    </xf>
    <xf numFmtId="3" fontId="3" fillId="0" borderId="15" xfId="1" applyNumberFormat="1" applyBorder="1" applyAlignment="1">
      <alignment horizontal="center"/>
    </xf>
    <xf numFmtId="0" fontId="3" fillId="0" borderId="4" xfId="1" applyBorder="1"/>
    <xf numFmtId="0" fontId="3" fillId="0" borderId="28" xfId="1" applyBorder="1"/>
    <xf numFmtId="0" fontId="3" fillId="6" borderId="3" xfId="1" applyFill="1" applyBorder="1" applyAlignment="1">
      <alignment horizontal="center"/>
    </xf>
    <xf numFmtId="0" fontId="3" fillId="4" borderId="0" xfId="1" applyFill="1" applyProtection="1">
      <protection locked="0"/>
    </xf>
    <xf numFmtId="0" fontId="3" fillId="4" borderId="33" xfId="0" applyFont="1" applyFill="1" applyBorder="1" applyAlignment="1">
      <alignment horizontal="left"/>
    </xf>
    <xf numFmtId="0" fontId="3" fillId="6" borderId="36" xfId="0" applyFont="1" applyFill="1" applyBorder="1" applyAlignment="1">
      <alignment horizontal="left"/>
    </xf>
    <xf numFmtId="0" fontId="3" fillId="6" borderId="35" xfId="0" applyFont="1" applyFill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0" xfId="0" applyFont="1"/>
    <xf numFmtId="0" fontId="3" fillId="0" borderId="36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3" fontId="3" fillId="0" borderId="15" xfId="0" applyNumberFormat="1" applyFont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35" xfId="0" applyFont="1" applyFill="1" applyBorder="1"/>
    <xf numFmtId="0" fontId="3" fillId="0" borderId="1" xfId="0" applyFont="1" applyBorder="1"/>
    <xf numFmtId="0" fontId="3" fillId="0" borderId="19" xfId="0" applyFont="1" applyBorder="1"/>
    <xf numFmtId="0" fontId="3" fillId="0" borderId="4" xfId="0" applyFont="1" applyBorder="1"/>
    <xf numFmtId="0" fontId="3" fillId="0" borderId="28" xfId="0" applyFont="1" applyBorder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7" fillId="0" borderId="4" xfId="0" applyFont="1" applyBorder="1"/>
    <xf numFmtId="0" fontId="7" fillId="5" borderId="4" xfId="1" applyFont="1" applyFill="1" applyBorder="1" applyAlignment="1">
      <alignment horizontal="left"/>
    </xf>
    <xf numFmtId="0" fontId="7" fillId="5" borderId="3" xfId="1" applyFont="1" applyFill="1" applyBorder="1" applyAlignment="1">
      <alignment horizontal="left"/>
    </xf>
    <xf numFmtId="0" fontId="7" fillId="5" borderId="2" xfId="1" applyFont="1" applyFill="1" applyBorder="1" applyAlignment="1">
      <alignment horizontal="left"/>
    </xf>
    <xf numFmtId="0" fontId="3" fillId="6" borderId="36" xfId="1" applyFill="1" applyBorder="1" applyAlignment="1">
      <alignment horizontal="left"/>
    </xf>
    <xf numFmtId="0" fontId="3" fillId="6" borderId="35" xfId="1" applyFill="1" applyBorder="1" applyAlignment="1">
      <alignment horizontal="left"/>
    </xf>
    <xf numFmtId="0" fontId="3" fillId="6" borderId="34" xfId="1" applyFill="1" applyBorder="1" applyAlignment="1">
      <alignment horizontal="left"/>
    </xf>
    <xf numFmtId="0" fontId="5" fillId="9" borderId="0" xfId="1" applyFont="1" applyFill="1" applyAlignment="1">
      <alignment horizontal="left"/>
    </xf>
    <xf numFmtId="0" fontId="3" fillId="0" borderId="12" xfId="1" applyBorder="1" applyAlignment="1">
      <alignment horizontal="center"/>
    </xf>
    <xf numFmtId="0" fontId="3" fillId="0" borderId="7" xfId="1" applyBorder="1" applyAlignment="1">
      <alignment horizontal="center"/>
    </xf>
    <xf numFmtId="0" fontId="13" fillId="5" borderId="0" xfId="1" applyFont="1" applyFill="1" applyAlignment="1" applyProtection="1">
      <alignment horizontal="left"/>
      <protection locked="0"/>
    </xf>
    <xf numFmtId="0" fontId="3" fillId="0" borderId="39" xfId="1" applyBorder="1" applyAlignment="1">
      <alignment horizontal="center"/>
    </xf>
    <xf numFmtId="0" fontId="3" fillId="0" borderId="38" xfId="1" applyBorder="1" applyAlignment="1">
      <alignment horizontal="center"/>
    </xf>
    <xf numFmtId="0" fontId="3" fillId="0" borderId="37" xfId="1" applyBorder="1" applyAlignment="1">
      <alignment horizontal="center"/>
    </xf>
    <xf numFmtId="0" fontId="5" fillId="7" borderId="31" xfId="1" applyFont="1" applyFill="1" applyBorder="1" applyAlignment="1" applyProtection="1">
      <alignment horizontal="left"/>
      <protection locked="0"/>
    </xf>
    <xf numFmtId="0" fontId="3" fillId="7" borderId="29" xfId="1" applyFill="1" applyBorder="1" applyProtection="1">
      <protection locked="0"/>
    </xf>
    <xf numFmtId="0" fontId="3" fillId="0" borderId="4" xfId="1" applyBorder="1" applyAlignment="1">
      <alignment horizontal="right" vertical="top"/>
    </xf>
    <xf numFmtId="0" fontId="3" fillId="0" borderId="3" xfId="1" applyBorder="1" applyAlignment="1">
      <alignment horizontal="right" vertical="top"/>
    </xf>
    <xf numFmtId="0" fontId="3" fillId="0" borderId="2" xfId="1" applyBorder="1" applyAlignment="1">
      <alignment horizontal="right" vertical="top"/>
    </xf>
    <xf numFmtId="0" fontId="3" fillId="0" borderId="15" xfId="1" applyBorder="1" applyAlignment="1">
      <alignment horizontal="right"/>
    </xf>
    <xf numFmtId="0" fontId="3" fillId="0" borderId="4" xfId="1" applyBorder="1" applyAlignment="1">
      <alignment horizontal="right"/>
    </xf>
    <xf numFmtId="0" fontId="3" fillId="0" borderId="3" xfId="1" applyBorder="1" applyAlignment="1">
      <alignment horizontal="right"/>
    </xf>
    <xf numFmtId="0" fontId="3" fillId="0" borderId="2" xfId="1" applyBorder="1" applyAlignment="1">
      <alignment horizontal="right"/>
    </xf>
    <xf numFmtId="0" fontId="3" fillId="0" borderId="0" xfId="1" applyAlignment="1">
      <alignment horizontal="center"/>
    </xf>
    <xf numFmtId="0" fontId="8" fillId="3" borderId="18" xfId="1" applyFont="1" applyFill="1" applyBorder="1" applyAlignment="1" applyProtection="1">
      <alignment horizontal="left" vertical="top" wrapText="1"/>
      <protection locked="0"/>
    </xf>
    <xf numFmtId="0" fontId="8" fillId="3" borderId="17" xfId="1" applyFont="1" applyFill="1" applyBorder="1" applyAlignment="1" applyProtection="1">
      <alignment horizontal="left" wrapText="1"/>
      <protection locked="0"/>
    </xf>
    <xf numFmtId="0" fontId="8" fillId="3" borderId="16" xfId="1" applyFont="1" applyFill="1" applyBorder="1" applyAlignment="1" applyProtection="1">
      <alignment horizontal="left" wrapText="1"/>
      <protection locked="0"/>
    </xf>
    <xf numFmtId="0" fontId="8" fillId="3" borderId="14" xfId="1" applyFont="1" applyFill="1" applyBorder="1" applyAlignment="1" applyProtection="1">
      <alignment horizontal="left" wrapText="1"/>
      <protection locked="0"/>
    </xf>
    <xf numFmtId="0" fontId="8" fillId="3" borderId="0" xfId="1" applyFont="1" applyFill="1" applyAlignment="1" applyProtection="1">
      <alignment horizontal="left" wrapText="1"/>
      <protection locked="0"/>
    </xf>
    <xf numFmtId="0" fontId="8" fillId="3" borderId="13" xfId="1" applyFont="1" applyFill="1" applyBorder="1" applyAlignment="1" applyProtection="1">
      <alignment horizontal="left" wrapText="1"/>
      <protection locked="0"/>
    </xf>
    <xf numFmtId="0" fontId="8" fillId="3" borderId="11" xfId="1" applyFont="1" applyFill="1" applyBorder="1" applyAlignment="1" applyProtection="1">
      <alignment horizontal="left" wrapText="1"/>
      <protection locked="0"/>
    </xf>
    <xf numFmtId="0" fontId="8" fillId="3" borderId="10" xfId="1" applyFont="1" applyFill="1" applyBorder="1" applyAlignment="1" applyProtection="1">
      <alignment horizontal="left" wrapText="1"/>
      <protection locked="0"/>
    </xf>
    <xf numFmtId="0" fontId="8" fillId="3" borderId="9" xfId="1" applyFont="1" applyFill="1" applyBorder="1" applyAlignment="1" applyProtection="1">
      <alignment horizontal="left" wrapText="1"/>
      <protection locked="0"/>
    </xf>
    <xf numFmtId="0" fontId="8" fillId="3" borderId="0" xfId="1" applyFont="1" applyFill="1" applyAlignment="1" applyProtection="1">
      <alignment horizontal="left" vertical="top" wrapText="1"/>
      <protection locked="0"/>
    </xf>
    <xf numFmtId="0" fontId="8" fillId="3" borderId="13" xfId="1" applyFont="1" applyFill="1" applyBorder="1" applyAlignment="1" applyProtection="1">
      <alignment horizontal="left" vertical="top" wrapText="1"/>
      <protection locked="0"/>
    </xf>
    <xf numFmtId="0" fontId="8" fillId="3" borderId="21" xfId="1" applyFont="1" applyFill="1" applyBorder="1" applyAlignment="1" applyProtection="1">
      <alignment horizontal="left" vertical="top" wrapText="1"/>
      <protection locked="0"/>
    </xf>
    <xf numFmtId="0" fontId="8" fillId="3" borderId="20" xfId="1" applyFont="1" applyFill="1" applyBorder="1" applyAlignment="1" applyProtection="1">
      <alignment horizontal="left" vertical="top" wrapText="1"/>
      <protection locked="0"/>
    </xf>
    <xf numFmtId="0" fontId="5" fillId="7" borderId="26" xfId="1" applyFont="1" applyFill="1" applyBorder="1" applyAlignment="1" applyProtection="1">
      <alignment horizontal="left"/>
      <protection locked="0"/>
    </xf>
    <xf numFmtId="0" fontId="5" fillId="0" borderId="23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7" fillId="5" borderId="4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3" fillId="6" borderId="36" xfId="0" applyFont="1" applyFill="1" applyBorder="1" applyAlignment="1">
      <alignment horizontal="left"/>
    </xf>
    <xf numFmtId="0" fontId="3" fillId="6" borderId="35" xfId="0" applyFont="1" applyFill="1" applyBorder="1" applyAlignment="1">
      <alignment horizontal="left"/>
    </xf>
    <xf numFmtId="0" fontId="3" fillId="0" borderId="4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</cellXfs>
  <cellStyles count="28">
    <cellStyle name="Forumule/berekening" xfId="6" xr:uid="{F3893AF5-A1A6-43CC-87EB-CF31634332ED}"/>
    <cellStyle name="Fout (-melding)" xfId="10" xr:uid="{825F9641-A65E-4892-B3B1-18A64FAF4E0B}"/>
    <cellStyle name="Hyperlink" xfId="2" builtinId="8"/>
    <cellStyle name="Hyperlink 2" xfId="25" xr:uid="{796C9D54-B07F-44D8-A79A-07DF5DA4D311}"/>
    <cellStyle name="Input variabelen" xfId="8" xr:uid="{ED56F74C-DB2C-4247-B5EC-6E53A0F646B1}"/>
    <cellStyle name="Komma 2" xfId="15" xr:uid="{7882690D-17A1-4FA2-8CA4-AADC4551722B}"/>
    <cellStyle name="Komma 2 2" xfId="17" xr:uid="{0889C186-AFA1-4835-A91A-24642F839F00}"/>
    <cellStyle name="Komma 3" xfId="14" xr:uid="{7CD1E540-6056-445A-B2D0-0E741EDE1375}"/>
    <cellStyle name="Komma 4" xfId="20" xr:uid="{A7237F84-973E-4EDB-9B9C-857D51E5B44F}"/>
    <cellStyle name="Komma 5" xfId="5" xr:uid="{95E4DF1A-D0EC-466D-8B4C-C57EEFC4166C}"/>
    <cellStyle name="Komma 5 2" xfId="26" xr:uid="{BCCD4989-CDC4-4959-AF9C-B68CF1FE137C}"/>
    <cellStyle name="Komma 6" xfId="23" xr:uid="{FC0A6A0F-1897-4901-90B2-826E3D44E9B7}"/>
    <cellStyle name="Normal 5" xfId="22" xr:uid="{E2300417-7779-40A1-8C26-933192B64822}"/>
    <cellStyle name="Output waarden" xfId="9" xr:uid="{717B8A77-D6E0-4A99-B7F8-B62CCFB80B47}"/>
    <cellStyle name="Procent 2" xfId="4" xr:uid="{57B19719-A650-4901-A481-DCD1CF572A05}"/>
    <cellStyle name="Procent 3" xfId="19" xr:uid="{0653D453-7677-4E2B-BF8F-EC84E0F3D296}"/>
    <cellStyle name="Standaard" xfId="0" builtinId="0"/>
    <cellStyle name="Standaard 2" xfId="1" xr:uid="{FCCE1BE4-34BB-408C-8C80-F725D5B64B6C}"/>
    <cellStyle name="Standaard 2 2" xfId="16" xr:uid="{E5E02475-6F7B-44E1-A7C9-BB75DD09E7CE}"/>
    <cellStyle name="Standaard 2 3" xfId="11" xr:uid="{E16A86E7-CC0F-40AB-A986-1A927F94BD84}"/>
    <cellStyle name="Standaard 3" xfId="13" xr:uid="{237E2FA5-6C1E-402B-99E7-00B97E3F89CF}"/>
    <cellStyle name="Standaard 4" xfId="12" xr:uid="{33043CEC-1E27-4983-8A22-1BA4B608B721}"/>
    <cellStyle name="Standaard 5" xfId="18" xr:uid="{34792DFB-79BD-4367-A8DA-67AF0280F5D4}"/>
    <cellStyle name="Standaard 6" xfId="21" xr:uid="{38262709-E135-4F12-A293-DA1E2A2AD9DC}"/>
    <cellStyle name="Valuta 2" xfId="3" xr:uid="{1BB26E2F-E0E8-4AC4-A35A-E7E773F20FEC}"/>
    <cellStyle name="Valuta 2 2" xfId="27" xr:uid="{C60ECAFA-E562-4258-AFC0-1ED7D3D5CEB3}"/>
    <cellStyle name="Valuta 3" xfId="24" xr:uid="{A14ADDF0-8BD9-4DC2-9B4E-078EC4DA7490}"/>
    <cellStyle name="Vaste Waarde" xfId="7" xr:uid="{D735A03B-3265-4990-8666-21B5D8AC6DA9}"/>
  </cellStyles>
  <dxfs count="1">
    <dxf>
      <font>
        <color theme="0"/>
      </font>
      <fill>
        <patternFill>
          <bgColor theme="0"/>
        </pattern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C0D7-0334-4354-BFE8-6CCFE91CCFB7}">
  <sheetPr codeName="Blad5">
    <tabColor rgb="FFFFFF00"/>
    <pageSetUpPr fitToPage="1"/>
  </sheetPr>
  <dimension ref="A1:AB73"/>
  <sheetViews>
    <sheetView showGridLines="0" zoomScaleNormal="100" workbookViewId="0">
      <selection activeCell="T12" sqref="T12"/>
    </sheetView>
  </sheetViews>
  <sheetFormatPr defaultColWidth="9.140625" defaultRowHeight="12.75" x14ac:dyDescent="0.2"/>
  <cols>
    <col min="1" max="1" width="3.85546875" style="1" customWidth="1"/>
    <col min="2" max="2" width="3.140625" style="1" customWidth="1"/>
    <col min="3" max="3" width="13.140625" style="1" customWidth="1"/>
    <col min="4" max="4" width="7" style="1" customWidth="1"/>
    <col min="5" max="5" width="7.85546875" style="1" customWidth="1"/>
    <col min="6" max="6" width="9.85546875" style="1" customWidth="1"/>
    <col min="7" max="7" width="6.5703125" style="1" customWidth="1"/>
    <col min="8" max="8" width="2.85546875" style="1" customWidth="1"/>
    <col min="9" max="9" width="25.5703125" style="1" customWidth="1"/>
    <col min="10" max="10" width="10.85546875" style="1" customWidth="1"/>
    <col min="11" max="11" width="3.28515625" style="1" customWidth="1"/>
    <col min="12" max="12" width="4.7109375" style="1" customWidth="1"/>
    <col min="13" max="14" width="8.5703125" style="1" customWidth="1"/>
    <col min="15" max="15" width="41.28515625" style="1" customWidth="1"/>
    <col min="16" max="16" width="10.7109375" style="2" customWidth="1"/>
    <col min="17" max="18" width="10.7109375" style="1" customWidth="1"/>
    <col min="19" max="37" width="12.42578125" style="1" customWidth="1"/>
    <col min="38" max="16384" width="9.140625" style="1"/>
  </cols>
  <sheetData>
    <row r="1" spans="1:19" ht="19.7" customHeight="1" x14ac:dyDescent="0.2">
      <c r="A1" s="6"/>
      <c r="B1" s="103"/>
      <c r="C1" s="54"/>
      <c r="D1" s="54"/>
      <c r="E1" s="54"/>
      <c r="F1" s="54"/>
      <c r="G1" s="54"/>
      <c r="H1" s="54"/>
      <c r="I1" s="54"/>
      <c r="J1" s="54"/>
      <c r="K1" s="54"/>
      <c r="L1" s="6"/>
      <c r="P1" s="1"/>
    </row>
    <row r="2" spans="1:19" ht="12.75" customHeight="1" x14ac:dyDescent="0.2">
      <c r="A2" s="6"/>
      <c r="B2" s="185"/>
      <c r="C2" s="186"/>
      <c r="D2" s="186"/>
      <c r="E2" s="186"/>
      <c r="F2" s="186"/>
      <c r="G2" s="186"/>
      <c r="H2" s="186"/>
      <c r="I2" s="186"/>
      <c r="J2" s="186"/>
      <c r="K2" s="187"/>
      <c r="L2" s="6"/>
      <c r="N2" s="175" t="s">
        <v>0</v>
      </c>
      <c r="O2" s="176"/>
      <c r="P2" s="176"/>
      <c r="Q2" s="176"/>
      <c r="R2" s="176"/>
      <c r="S2" s="177"/>
    </row>
    <row r="3" spans="1:19" ht="12.75" customHeight="1" x14ac:dyDescent="0.2">
      <c r="A3" s="6"/>
      <c r="B3" s="182"/>
      <c r="C3" s="102" t="s">
        <v>1</v>
      </c>
      <c r="D3" s="184" t="s">
        <v>2</v>
      </c>
      <c r="E3" s="184"/>
      <c r="F3" s="184"/>
      <c r="G3" s="184"/>
      <c r="H3" s="184"/>
      <c r="I3" s="184"/>
      <c r="J3" s="184"/>
      <c r="K3" s="98"/>
      <c r="L3" s="6"/>
      <c r="N3" s="148" t="s">
        <v>3</v>
      </c>
      <c r="O3" s="178" t="s">
        <v>1</v>
      </c>
      <c r="P3" s="179"/>
      <c r="Q3" s="179"/>
      <c r="R3" s="179"/>
      <c r="S3" s="180"/>
    </row>
    <row r="4" spans="1:19" ht="12.75" customHeight="1" x14ac:dyDescent="0.2">
      <c r="A4" s="6"/>
      <c r="B4" s="182"/>
      <c r="C4" s="4" t="s">
        <v>4</v>
      </c>
      <c r="D4" s="181"/>
      <c r="E4" s="181"/>
      <c r="F4" s="181"/>
      <c r="G4" s="181"/>
      <c r="H4" s="181"/>
      <c r="I4" s="181"/>
      <c r="J4" s="181"/>
      <c r="K4" s="10"/>
      <c r="L4" s="6"/>
      <c r="N4" s="148" t="s">
        <v>5</v>
      </c>
      <c r="O4" s="178" t="s">
        <v>6</v>
      </c>
      <c r="P4" s="179"/>
      <c r="Q4" s="179"/>
      <c r="R4" s="179"/>
      <c r="S4" s="180"/>
    </row>
    <row r="5" spans="1:19" ht="12.75" customHeight="1" x14ac:dyDescent="0.2">
      <c r="A5" s="6"/>
      <c r="B5" s="182"/>
      <c r="C5" s="4" t="s">
        <v>7</v>
      </c>
      <c r="D5" s="181"/>
      <c r="E5" s="181"/>
      <c r="F5" s="181"/>
      <c r="G5" s="181"/>
      <c r="H5" s="181"/>
      <c r="I5" s="181"/>
      <c r="J5" s="181"/>
      <c r="K5" s="10"/>
      <c r="L5" s="6"/>
      <c r="N5" s="148" t="s">
        <v>8</v>
      </c>
      <c r="O5" s="178"/>
      <c r="P5" s="179"/>
      <c r="Q5" s="179"/>
      <c r="R5" s="179"/>
      <c r="S5" s="180"/>
    </row>
    <row r="6" spans="1:19" ht="12.75" customHeight="1" x14ac:dyDescent="0.2">
      <c r="A6" s="6"/>
      <c r="B6" s="182"/>
      <c r="K6" s="10"/>
      <c r="L6" s="6"/>
      <c r="N6" s="149" t="s">
        <v>9</v>
      </c>
      <c r="O6" s="178"/>
      <c r="P6" s="179"/>
      <c r="Q6" s="179"/>
      <c r="R6" s="179"/>
      <c r="S6" s="180"/>
    </row>
    <row r="7" spans="1:19" ht="12.75" customHeight="1" x14ac:dyDescent="0.2">
      <c r="A7" s="6"/>
      <c r="B7" s="182"/>
      <c r="K7" s="10"/>
      <c r="L7" s="6"/>
    </row>
    <row r="8" spans="1:19" ht="12.75" customHeight="1" x14ac:dyDescent="0.2">
      <c r="A8" s="6"/>
      <c r="B8" s="182"/>
      <c r="K8" s="10"/>
      <c r="L8" s="6"/>
      <c r="N8" s="14" t="s">
        <v>10</v>
      </c>
      <c r="O8" s="13"/>
      <c r="P8" s="13"/>
      <c r="Q8" s="13"/>
      <c r="R8" s="13"/>
      <c r="S8" s="12"/>
    </row>
    <row r="9" spans="1:19" ht="12.75" customHeight="1" x14ac:dyDescent="0.2">
      <c r="A9" s="6"/>
      <c r="B9" s="182"/>
      <c r="K9" s="10"/>
      <c r="L9" s="6"/>
      <c r="N9" s="150" t="s">
        <v>11</v>
      </c>
      <c r="O9" s="151" t="s">
        <v>12</v>
      </c>
      <c r="P9" s="152" t="s">
        <v>13</v>
      </c>
      <c r="Q9" s="150" t="s">
        <v>14</v>
      </c>
      <c r="R9" s="150" t="s">
        <v>15</v>
      </c>
      <c r="S9" s="150" t="s">
        <v>16</v>
      </c>
    </row>
    <row r="10" spans="1:19" ht="12.75" customHeight="1" x14ac:dyDescent="0.2">
      <c r="A10" s="6"/>
      <c r="B10" s="182"/>
      <c r="C10" s="1" t="s">
        <v>17</v>
      </c>
      <c r="K10" s="10"/>
      <c r="L10" s="6"/>
      <c r="N10" s="57"/>
      <c r="O10" s="56"/>
      <c r="P10" s="55"/>
      <c r="Q10" s="54"/>
      <c r="R10" s="54"/>
      <c r="S10" s="53"/>
    </row>
    <row r="11" spans="1:19" ht="12.75" customHeight="1" x14ac:dyDescent="0.25">
      <c r="A11" s="6"/>
      <c r="B11" s="182"/>
      <c r="K11" s="10"/>
      <c r="L11" s="6"/>
      <c r="N11" s="37"/>
      <c r="O11" s="37" t="s">
        <v>17</v>
      </c>
      <c r="P11" s="36">
        <v>6</v>
      </c>
      <c r="Q11" s="37" t="s">
        <v>18</v>
      </c>
      <c r="R11" s="20">
        <v>500</v>
      </c>
      <c r="S11" s="20">
        <f>P11*R11</f>
        <v>3000</v>
      </c>
    </row>
    <row r="12" spans="1:19" ht="12.75" customHeight="1" x14ac:dyDescent="0.25">
      <c r="A12" s="6"/>
      <c r="B12" s="182"/>
      <c r="K12" s="10"/>
      <c r="L12" s="6"/>
      <c r="N12" s="37"/>
      <c r="O12" s="37" t="s">
        <v>19</v>
      </c>
      <c r="P12" s="36">
        <v>1</v>
      </c>
      <c r="Q12" s="37" t="s">
        <v>20</v>
      </c>
      <c r="R12" s="20">
        <v>300</v>
      </c>
      <c r="S12" s="20">
        <f>P12*R12</f>
        <v>300</v>
      </c>
    </row>
    <row r="13" spans="1:19" ht="12.75" customHeight="1" x14ac:dyDescent="0.25">
      <c r="A13" s="6"/>
      <c r="B13" s="182"/>
      <c r="K13" s="10"/>
      <c r="L13" s="6"/>
      <c r="N13" s="37"/>
      <c r="O13" s="153"/>
      <c r="P13" s="36"/>
      <c r="Q13" s="37"/>
      <c r="R13" s="20"/>
      <c r="S13" s="20">
        <f>P13*R13</f>
        <v>0</v>
      </c>
    </row>
    <row r="14" spans="1:19" ht="12.75" customHeight="1" x14ac:dyDescent="0.25">
      <c r="A14" s="6"/>
      <c r="B14" s="182"/>
      <c r="C14" s="4"/>
      <c r="D14" s="4"/>
      <c r="E14" s="4"/>
      <c r="F14" s="4"/>
      <c r="G14" s="4"/>
      <c r="H14" s="4"/>
      <c r="I14" s="4"/>
      <c r="J14" s="4"/>
      <c r="K14" s="10"/>
      <c r="L14" s="6"/>
      <c r="N14" s="37"/>
      <c r="O14" s="153"/>
      <c r="P14" s="36"/>
      <c r="Q14" s="37"/>
      <c r="R14" s="20"/>
      <c r="S14" s="20">
        <f>P14*R14</f>
        <v>0</v>
      </c>
    </row>
    <row r="15" spans="1:19" ht="12.75" customHeight="1" x14ac:dyDescent="0.25">
      <c r="A15" s="6"/>
      <c r="B15" s="182"/>
      <c r="C15" s="22"/>
      <c r="D15" s="4"/>
      <c r="E15" s="4"/>
      <c r="F15" s="4"/>
      <c r="G15" s="4"/>
      <c r="H15" s="4"/>
      <c r="I15" s="4"/>
      <c r="J15" s="4"/>
      <c r="K15" s="10"/>
      <c r="L15" s="6"/>
      <c r="N15" s="25"/>
      <c r="O15" s="154"/>
      <c r="P15" s="24"/>
      <c r="Q15" s="25"/>
      <c r="R15" s="23"/>
      <c r="S15" s="23">
        <f>P15*R15</f>
        <v>0</v>
      </c>
    </row>
    <row r="16" spans="1:19" ht="12.75" customHeight="1" x14ac:dyDescent="0.25">
      <c r="A16" s="6"/>
      <c r="B16" s="182"/>
      <c r="C16" s="43"/>
      <c r="D16" s="188"/>
      <c r="E16" s="188"/>
      <c r="F16" s="101"/>
      <c r="G16" s="100"/>
      <c r="H16" s="188"/>
      <c r="I16" s="188"/>
      <c r="J16" s="189"/>
      <c r="K16" s="10"/>
      <c r="L16" s="6"/>
      <c r="N16" s="19"/>
      <c r="O16" s="155"/>
      <c r="P16" s="17"/>
      <c r="Q16" s="16"/>
      <c r="R16" s="34"/>
      <c r="S16" s="33"/>
    </row>
    <row r="17" spans="1:19" ht="12.75" customHeight="1" x14ac:dyDescent="0.25">
      <c r="A17" s="6"/>
      <c r="B17" s="182"/>
      <c r="C17" s="22" t="s">
        <v>21</v>
      </c>
      <c r="D17" s="99"/>
      <c r="E17" s="99"/>
      <c r="F17" s="99"/>
      <c r="G17" s="99"/>
      <c r="H17" s="156"/>
      <c r="I17" s="156"/>
      <c r="J17" s="156"/>
      <c r="K17" s="98"/>
      <c r="L17" s="6"/>
      <c r="N17" s="190" t="s">
        <v>22</v>
      </c>
      <c r="O17" s="191"/>
      <c r="P17" s="191"/>
      <c r="Q17" s="191"/>
      <c r="R17" s="192"/>
      <c r="S17" s="28">
        <f>SUM(S10:S16)</f>
        <v>3300</v>
      </c>
    </row>
    <row r="18" spans="1:19" ht="12.75" customHeight="1" x14ac:dyDescent="0.2">
      <c r="A18" s="6"/>
      <c r="B18" s="182"/>
      <c r="D18" s="97" t="s">
        <v>23</v>
      </c>
      <c r="E18" s="97" t="s">
        <v>24</v>
      </c>
      <c r="F18" s="96" t="s">
        <v>25</v>
      </c>
      <c r="G18" s="4" t="s">
        <v>14</v>
      </c>
      <c r="H18" s="4"/>
      <c r="I18" s="22" t="s">
        <v>26</v>
      </c>
      <c r="J18" s="4"/>
      <c r="K18" s="10"/>
      <c r="L18" s="6"/>
      <c r="N18" s="19"/>
      <c r="O18" s="18" t="s">
        <v>27</v>
      </c>
      <c r="P18" s="17"/>
      <c r="Q18" s="16"/>
      <c r="R18" s="16"/>
      <c r="S18" s="15"/>
    </row>
    <row r="19" spans="1:19" ht="12.75" customHeight="1" x14ac:dyDescent="0.25">
      <c r="A19" s="6"/>
      <c r="B19" s="182"/>
      <c r="C19" s="95" t="e">
        <f>INDEX(energiedragers,2,1)</f>
        <v>#NAME?</v>
      </c>
      <c r="D19" s="94" t="e">
        <f>INDEX(energiedragers,2,3)</f>
        <v>#NAME?</v>
      </c>
      <c r="E19" s="93" t="e">
        <f>INDEX(energiedragers,2,4)</f>
        <v>#NAME?</v>
      </c>
      <c r="F19" s="92"/>
      <c r="G19" s="91" t="e">
        <f>INDEX(energiedragers,2,2)</f>
        <v>#NAME?</v>
      </c>
      <c r="H19" s="4"/>
      <c r="I19" s="90" t="s">
        <v>28</v>
      </c>
      <c r="J19" s="89">
        <f>S50</f>
        <v>0</v>
      </c>
      <c r="K19" s="10"/>
      <c r="L19" s="6"/>
      <c r="N19" s="27"/>
      <c r="O19" s="27" t="s">
        <v>29</v>
      </c>
      <c r="P19" s="26">
        <v>8</v>
      </c>
      <c r="Q19" s="27" t="s">
        <v>30</v>
      </c>
      <c r="R19" s="5">
        <v>70</v>
      </c>
      <c r="S19" s="5">
        <f>P19*R19</f>
        <v>560</v>
      </c>
    </row>
    <row r="20" spans="1:19" ht="12.75" customHeight="1" x14ac:dyDescent="0.25">
      <c r="A20" s="6"/>
      <c r="B20" s="182"/>
      <c r="C20" s="86" t="e">
        <f>INDEX(energiedragers,3,1)</f>
        <v>#NAME?</v>
      </c>
      <c r="D20" s="85" t="e">
        <f>INDEX(energiedragers,3,3)</f>
        <v>#NAME?</v>
      </c>
      <c r="E20" s="84" t="e">
        <f>INDEX(energiedragers,3,4)</f>
        <v>#NAME?</v>
      </c>
      <c r="F20" s="79"/>
      <c r="G20" s="78" t="e">
        <f>INDEX(energiedragers,3,2)</f>
        <v>#NAME?</v>
      </c>
      <c r="H20" s="4"/>
      <c r="I20" s="88" t="s">
        <v>31</v>
      </c>
      <c r="J20" s="87">
        <f>S43</f>
        <v>0</v>
      </c>
      <c r="K20" s="10"/>
      <c r="L20" s="6"/>
      <c r="N20" s="25"/>
      <c r="O20" s="25" t="s">
        <v>32</v>
      </c>
      <c r="P20" s="24">
        <v>0</v>
      </c>
      <c r="Q20" s="25" t="s">
        <v>33</v>
      </c>
      <c r="R20" s="23">
        <v>0</v>
      </c>
      <c r="S20" s="23">
        <f>P20*R20</f>
        <v>0</v>
      </c>
    </row>
    <row r="21" spans="1:19" ht="12.75" customHeight="1" x14ac:dyDescent="0.2">
      <c r="A21" s="6"/>
      <c r="B21" s="182"/>
      <c r="C21" s="86" t="e">
        <f>INDEX(energiedragers,4,1)</f>
        <v>#NAME?</v>
      </c>
      <c r="D21" s="85" t="e">
        <f>INDEX(energiedragers,4,3)</f>
        <v>#NAME?</v>
      </c>
      <c r="E21" s="84" t="e">
        <f>INDEX(energiedragers,4,4)</f>
        <v>#NAME?</v>
      </c>
      <c r="F21" s="79"/>
      <c r="G21" s="78" t="e">
        <f>INDEX(energiedragers,4,2)</f>
        <v>#NAME?</v>
      </c>
      <c r="H21" s="4"/>
      <c r="I21" s="88" t="s">
        <v>34</v>
      </c>
      <c r="J21" s="87">
        <f>S49</f>
        <v>0</v>
      </c>
      <c r="K21" s="10"/>
      <c r="L21" s="6"/>
      <c r="N21" s="19"/>
      <c r="O21" s="18" t="s">
        <v>35</v>
      </c>
      <c r="P21" s="17"/>
      <c r="Q21" s="16"/>
      <c r="R21" s="16"/>
      <c r="S21" s="15"/>
    </row>
    <row r="22" spans="1:19" ht="12.75" customHeight="1" x14ac:dyDescent="0.25">
      <c r="A22" s="6"/>
      <c r="B22" s="182"/>
      <c r="C22" s="86" t="e">
        <f>INDEX(energiedragers,5,1)</f>
        <v>#NAME?</v>
      </c>
      <c r="D22" s="85" t="e">
        <f>INDEX(energiedragers,5,3)</f>
        <v>#NAME?</v>
      </c>
      <c r="E22" s="84" t="e">
        <f>INDEX(energiedragers,5,4)</f>
        <v>#NAME?</v>
      </c>
      <c r="F22" s="79"/>
      <c r="G22" s="78" t="e">
        <f>INDEX(energiedragers,5,2)</f>
        <v>#NAME?</v>
      </c>
      <c r="H22" s="4"/>
      <c r="I22" s="88" t="s">
        <v>36</v>
      </c>
      <c r="J22" s="87">
        <f>S51</f>
        <v>0</v>
      </c>
      <c r="K22" s="10"/>
      <c r="L22" s="6"/>
      <c r="N22" s="193" t="s">
        <v>37</v>
      </c>
      <c r="O22" s="193"/>
      <c r="P22" s="193"/>
      <c r="Q22" s="193"/>
      <c r="R22" s="193"/>
      <c r="S22" s="21">
        <v>0.1</v>
      </c>
    </row>
    <row r="23" spans="1:19" ht="12.75" customHeight="1" x14ac:dyDescent="0.25">
      <c r="A23" s="6"/>
      <c r="B23" s="182"/>
      <c r="C23" s="86" t="e">
        <f>INDEX(energiedragers,6,1)</f>
        <v>#NAME?</v>
      </c>
      <c r="D23" s="85" t="e">
        <f>INDEX(energiedragers,6,3)</f>
        <v>#NAME?</v>
      </c>
      <c r="E23" s="84" t="e">
        <f>INDEX(energiedragers,6,4)</f>
        <v>#NAME?</v>
      </c>
      <c r="F23" s="79"/>
      <c r="G23" s="78" t="e">
        <f>INDEX(energiedragers,6,2)</f>
        <v>#NAME?</v>
      </c>
      <c r="H23" s="4"/>
      <c r="I23" s="77" t="s">
        <v>38</v>
      </c>
      <c r="J23" s="83">
        <f>-S52</f>
        <v>0</v>
      </c>
      <c r="K23" s="10"/>
      <c r="L23" s="6"/>
      <c r="N23" s="193" t="s">
        <v>35</v>
      </c>
      <c r="O23" s="193"/>
      <c r="P23" s="193"/>
      <c r="Q23" s="193"/>
      <c r="R23" s="193"/>
      <c r="S23" s="20">
        <f>S22*SUM(S17,S19:S20)</f>
        <v>386</v>
      </c>
    </row>
    <row r="24" spans="1:19" ht="12.75" customHeight="1" x14ac:dyDescent="0.2">
      <c r="A24" s="6"/>
      <c r="B24" s="182"/>
      <c r="C24" s="82" t="e">
        <f>INDEX(energiedragers,7,1)</f>
        <v>#NAME?</v>
      </c>
      <c r="D24" s="81" t="e">
        <f>INDEX(energiedragers,7,3)</f>
        <v>#NAME?</v>
      </c>
      <c r="E24" s="80" t="e">
        <f>INDEX(energiedragers,7,4)</f>
        <v>#NAME?</v>
      </c>
      <c r="F24" s="79"/>
      <c r="G24" s="78" t="e">
        <f>INDEX(energiedragers,7,2)</f>
        <v>#NAME?</v>
      </c>
      <c r="H24" s="4"/>
      <c r="I24" s="77" t="s">
        <v>39</v>
      </c>
      <c r="J24" s="76">
        <f>SUM(J19:J23)</f>
        <v>0</v>
      </c>
      <c r="K24" s="10"/>
      <c r="L24" s="6"/>
      <c r="N24" s="19"/>
      <c r="O24" s="18" t="s">
        <v>40</v>
      </c>
      <c r="P24" s="17"/>
      <c r="Q24" s="16"/>
      <c r="R24" s="16"/>
      <c r="S24" s="15"/>
    </row>
    <row r="25" spans="1:19" ht="12.75" customHeight="1" x14ac:dyDescent="0.25">
      <c r="A25" s="6"/>
      <c r="B25" s="182"/>
      <c r="C25" s="75" t="e">
        <f>INDEX(energiedragers,8,1)</f>
        <v>#NAME?</v>
      </c>
      <c r="D25" s="74" t="e">
        <f>INDEX(energiedragers,8,3)</f>
        <v>#NAME?</v>
      </c>
      <c r="E25" s="73" t="e">
        <f>INDEX(energiedragers,8,4)</f>
        <v>#NAME?</v>
      </c>
      <c r="F25" s="72"/>
      <c r="G25" s="71" t="e">
        <f>INDEX(energiedragers,8,2)</f>
        <v>#NAME?</v>
      </c>
      <c r="H25" s="4"/>
      <c r="I25" s="70" t="s">
        <v>41</v>
      </c>
      <c r="J25" s="69"/>
      <c r="K25" s="10"/>
      <c r="L25" s="6"/>
      <c r="N25" s="194" t="s">
        <v>42</v>
      </c>
      <c r="O25" s="195"/>
      <c r="P25" s="195"/>
      <c r="Q25" s="195"/>
      <c r="R25" s="196"/>
      <c r="S25" s="5">
        <f>S17+S19+S20+S23</f>
        <v>4246</v>
      </c>
    </row>
    <row r="26" spans="1:19" ht="12.75" customHeight="1" x14ac:dyDescent="0.2">
      <c r="A26" s="6"/>
      <c r="B26" s="182"/>
      <c r="C26" s="61" t="s">
        <v>43</v>
      </c>
      <c r="D26" s="4"/>
      <c r="E26" s="4"/>
      <c r="F26" s="68" t="e">
        <f>SUMPRODUCT(F19:F25,D19:D25)</f>
        <v>#NAME?</v>
      </c>
      <c r="G26" s="59" t="s">
        <v>44</v>
      </c>
      <c r="H26" s="4"/>
      <c r="I26" s="61" t="s">
        <v>45</v>
      </c>
      <c r="J26" s="67"/>
      <c r="K26" s="10"/>
      <c r="L26" s="6"/>
    </row>
    <row r="27" spans="1:19" ht="12.75" customHeight="1" x14ac:dyDescent="0.2">
      <c r="A27" s="6"/>
      <c r="B27" s="182"/>
      <c r="C27" s="45" t="s">
        <v>46</v>
      </c>
      <c r="D27" s="50"/>
      <c r="E27" s="50"/>
      <c r="F27" s="66" t="e">
        <f>SUMPRODUCT(F19:F25,E19:E25)</f>
        <v>#NAME?</v>
      </c>
      <c r="G27" s="49" t="s">
        <v>47</v>
      </c>
      <c r="H27" s="4"/>
      <c r="I27" s="61" t="s">
        <v>48</v>
      </c>
      <c r="J27" s="65"/>
      <c r="K27" s="10" t="s">
        <v>49</v>
      </c>
      <c r="L27" s="6"/>
      <c r="N27" s="14" t="s">
        <v>50</v>
      </c>
      <c r="O27" s="13"/>
      <c r="P27" s="13"/>
      <c r="Q27" s="13"/>
      <c r="R27" s="13"/>
      <c r="S27" s="12"/>
    </row>
    <row r="28" spans="1:19" ht="12.75" customHeight="1" x14ac:dyDescent="0.2">
      <c r="A28" s="6"/>
      <c r="B28" s="182"/>
      <c r="C28" s="64" t="s">
        <v>51</v>
      </c>
      <c r="D28" s="42"/>
      <c r="E28" s="42"/>
      <c r="F28" s="63"/>
      <c r="G28" s="42"/>
      <c r="H28" s="4"/>
      <c r="I28" s="45" t="s">
        <v>52</v>
      </c>
      <c r="J28" s="62">
        <f>SUM(J26:J27)</f>
        <v>0</v>
      </c>
      <c r="K28" s="10"/>
      <c r="L28" s="6"/>
      <c r="N28" s="150" t="s">
        <v>11</v>
      </c>
      <c r="O28" s="151" t="s">
        <v>12</v>
      </c>
      <c r="P28" s="152" t="s">
        <v>13</v>
      </c>
      <c r="Q28" s="150" t="s">
        <v>14</v>
      </c>
      <c r="R28" s="150" t="s">
        <v>15</v>
      </c>
      <c r="S28" s="150" t="s">
        <v>16</v>
      </c>
    </row>
    <row r="29" spans="1:19" ht="12.75" customHeight="1" x14ac:dyDescent="0.2">
      <c r="A29" s="6"/>
      <c r="B29" s="182"/>
      <c r="C29" s="61" t="s">
        <v>53</v>
      </c>
      <c r="D29" s="4"/>
      <c r="E29" s="4"/>
      <c r="F29" s="60"/>
      <c r="G29" s="59" t="s">
        <v>47</v>
      </c>
      <c r="H29" s="4"/>
      <c r="I29" s="43" t="s">
        <v>54</v>
      </c>
      <c r="J29" s="58">
        <f>J24+J28</f>
        <v>0</v>
      </c>
      <c r="K29" s="10"/>
      <c r="L29" s="6"/>
      <c r="N29" s="57"/>
      <c r="O29" s="56"/>
      <c r="P29" s="55"/>
      <c r="Q29" s="54"/>
      <c r="R29" s="54"/>
      <c r="S29" s="53"/>
    </row>
    <row r="30" spans="1:19" ht="12.75" customHeight="1" x14ac:dyDescent="0.25">
      <c r="A30" s="6"/>
      <c r="B30" s="182"/>
      <c r="C30" s="45" t="s">
        <v>55</v>
      </c>
      <c r="D30" s="50"/>
      <c r="E30" s="50"/>
      <c r="F30" s="52"/>
      <c r="G30" s="49" t="s">
        <v>47</v>
      </c>
      <c r="H30" s="4"/>
      <c r="I30" s="22" t="s">
        <v>25</v>
      </c>
      <c r="J30" s="51"/>
      <c r="K30" s="10"/>
      <c r="L30" s="6"/>
      <c r="N30" s="37"/>
      <c r="O30" s="37" t="s">
        <v>17</v>
      </c>
      <c r="P30" s="36">
        <v>6</v>
      </c>
      <c r="Q30" s="37" t="s">
        <v>18</v>
      </c>
      <c r="R30" s="20">
        <v>200</v>
      </c>
      <c r="S30" s="20">
        <f>P30*R30*-1</f>
        <v>-1200</v>
      </c>
    </row>
    <row r="31" spans="1:19" ht="12.75" customHeight="1" x14ac:dyDescent="0.25">
      <c r="A31" s="6"/>
      <c r="B31" s="182"/>
      <c r="C31" s="45" t="s">
        <v>56</v>
      </c>
      <c r="D31" s="50"/>
      <c r="E31" s="50"/>
      <c r="F31" s="41">
        <f>SUM(F29:F30)</f>
        <v>0</v>
      </c>
      <c r="G31" s="49" t="s">
        <v>47</v>
      </c>
      <c r="H31" s="4"/>
      <c r="I31" s="32" t="s">
        <v>57</v>
      </c>
      <c r="J31" s="48" t="e">
        <f>F26</f>
        <v>#NAME?</v>
      </c>
      <c r="K31" s="10"/>
      <c r="L31" s="6"/>
      <c r="N31" s="37"/>
      <c r="O31" s="37" t="s">
        <v>19</v>
      </c>
      <c r="P31" s="36">
        <v>1</v>
      </c>
      <c r="Q31" s="37" t="s">
        <v>20</v>
      </c>
      <c r="R31" s="20">
        <v>300</v>
      </c>
      <c r="S31" s="20">
        <f>P31*R31*-1</f>
        <v>-300</v>
      </c>
    </row>
    <row r="32" spans="1:19" ht="12.75" customHeight="1" x14ac:dyDescent="0.25">
      <c r="A32" s="6"/>
      <c r="B32" s="182"/>
      <c r="C32" s="47" t="s">
        <v>58</v>
      </c>
      <c r="D32" s="31"/>
      <c r="E32" s="31"/>
      <c r="F32" s="46"/>
      <c r="G32" s="31"/>
      <c r="H32" s="4"/>
      <c r="I32" s="45" t="s">
        <v>59</v>
      </c>
      <c r="J32" s="44" t="e">
        <f>J31/GJ_FINAAL</f>
        <v>#NAME?</v>
      </c>
      <c r="K32" s="10"/>
      <c r="L32" s="6"/>
      <c r="N32" s="37"/>
      <c r="O32" s="153"/>
      <c r="P32" s="36"/>
      <c r="Q32" s="37"/>
      <c r="R32" s="20"/>
      <c r="S32" s="20">
        <f>P32*R32</f>
        <v>0</v>
      </c>
    </row>
    <row r="33" spans="1:28" ht="12.75" customHeight="1" x14ac:dyDescent="0.25">
      <c r="A33" s="6"/>
      <c r="B33" s="182"/>
      <c r="C33" s="43" t="s">
        <v>60</v>
      </c>
      <c r="D33" s="42"/>
      <c r="E33" s="42"/>
      <c r="F33" s="41" t="e">
        <f>F27+F31</f>
        <v>#NAME?</v>
      </c>
      <c r="G33" s="40" t="s">
        <v>47</v>
      </c>
      <c r="H33" s="4"/>
      <c r="I33" s="39" t="s">
        <v>61</v>
      </c>
      <c r="J33" s="38" t="e">
        <f>IF(F33&gt;0,J29/F33,0)</f>
        <v>#NAME?</v>
      </c>
      <c r="K33" s="10"/>
      <c r="L33" s="6"/>
      <c r="N33" s="37"/>
      <c r="O33" s="153"/>
      <c r="P33" s="36"/>
      <c r="Q33" s="37"/>
      <c r="R33" s="20"/>
      <c r="S33" s="20">
        <f>P33*R33</f>
        <v>0</v>
      </c>
    </row>
    <row r="34" spans="1:28" ht="12.75" customHeight="1" x14ac:dyDescent="0.25">
      <c r="A34" s="6"/>
      <c r="B34" s="182"/>
      <c r="C34" s="4"/>
      <c r="D34" s="4"/>
      <c r="E34" s="4"/>
      <c r="F34" s="35"/>
      <c r="G34" s="4"/>
      <c r="H34" s="4"/>
      <c r="K34" s="10"/>
      <c r="L34" s="6"/>
      <c r="N34" s="25"/>
      <c r="O34" s="154"/>
      <c r="P34" s="24"/>
      <c r="Q34" s="25"/>
      <c r="R34" s="23"/>
      <c r="S34" s="23">
        <f>P34*R34</f>
        <v>0</v>
      </c>
    </row>
    <row r="35" spans="1:28" ht="12.75" customHeight="1" x14ac:dyDescent="0.25">
      <c r="A35" s="6"/>
      <c r="B35" s="182"/>
      <c r="C35" s="22"/>
      <c r="D35" s="4"/>
      <c r="E35" s="4"/>
      <c r="F35" s="4"/>
      <c r="G35" s="4"/>
      <c r="H35" s="4"/>
      <c r="I35" s="4"/>
      <c r="J35" s="4"/>
      <c r="K35" s="10"/>
      <c r="L35" s="6"/>
      <c r="N35" s="19"/>
      <c r="O35" s="155"/>
      <c r="P35" s="17"/>
      <c r="Q35" s="16"/>
      <c r="R35" s="34"/>
      <c r="S35" s="33"/>
    </row>
    <row r="36" spans="1:28" ht="12.75" customHeight="1" x14ac:dyDescent="0.25">
      <c r="A36" s="6"/>
      <c r="B36" s="182"/>
      <c r="C36" s="32"/>
      <c r="D36" s="31"/>
      <c r="E36" s="31"/>
      <c r="F36" s="211"/>
      <c r="G36" s="211"/>
      <c r="H36" s="31"/>
      <c r="I36" s="30"/>
      <c r="J36" s="29"/>
      <c r="K36" s="10"/>
      <c r="L36" s="6"/>
      <c r="N36" s="190" t="s">
        <v>22</v>
      </c>
      <c r="O36" s="191"/>
      <c r="P36" s="191"/>
      <c r="Q36" s="191"/>
      <c r="R36" s="192"/>
      <c r="S36" s="28">
        <f>SUM(S29:S35)</f>
        <v>-1500</v>
      </c>
    </row>
    <row r="37" spans="1:28" ht="12.75" customHeight="1" x14ac:dyDescent="0.2">
      <c r="A37" s="6"/>
      <c r="B37" s="182"/>
      <c r="C37" s="212"/>
      <c r="D37" s="213"/>
      <c r="E37" s="213"/>
      <c r="F37" s="207" t="s">
        <v>62</v>
      </c>
      <c r="G37" s="207"/>
      <c r="H37" s="207"/>
      <c r="I37" s="207"/>
      <c r="J37" s="208"/>
      <c r="K37" s="10"/>
      <c r="L37" s="6"/>
      <c r="N37" s="19"/>
      <c r="O37" s="18" t="s">
        <v>27</v>
      </c>
      <c r="P37" s="17"/>
      <c r="Q37" s="16"/>
      <c r="R37" s="16"/>
      <c r="S37" s="15"/>
    </row>
    <row r="38" spans="1:28" ht="12.75" customHeight="1" x14ac:dyDescent="0.25">
      <c r="A38" s="6"/>
      <c r="B38" s="182"/>
      <c r="C38" s="214"/>
      <c r="D38" s="215"/>
      <c r="E38" s="215"/>
      <c r="F38" s="209"/>
      <c r="G38" s="209"/>
      <c r="H38" s="209"/>
      <c r="I38" s="209"/>
      <c r="J38" s="210"/>
      <c r="K38" s="10"/>
      <c r="L38" s="6"/>
      <c r="N38" s="27"/>
      <c r="O38" s="27" t="s">
        <v>29</v>
      </c>
      <c r="P38" s="26">
        <v>8</v>
      </c>
      <c r="Q38" s="27" t="s">
        <v>30</v>
      </c>
      <c r="R38" s="5">
        <v>70</v>
      </c>
      <c r="S38" s="5">
        <f>P38*R38*-1</f>
        <v>-560</v>
      </c>
    </row>
    <row r="39" spans="1:28" ht="12.75" customHeight="1" x14ac:dyDescent="0.25">
      <c r="A39" s="6"/>
      <c r="B39" s="182"/>
      <c r="K39" s="10"/>
      <c r="L39" s="6"/>
      <c r="N39" s="25"/>
      <c r="O39" s="25" t="s">
        <v>32</v>
      </c>
      <c r="P39" s="24">
        <v>0</v>
      </c>
      <c r="Q39" s="25" t="s">
        <v>33</v>
      </c>
      <c r="R39" s="23">
        <v>0</v>
      </c>
      <c r="S39" s="23">
        <f>P39*R39</f>
        <v>0</v>
      </c>
    </row>
    <row r="40" spans="1:28" ht="12.75" customHeight="1" x14ac:dyDescent="0.2">
      <c r="A40" s="6"/>
      <c r="B40" s="182"/>
      <c r="C40" s="22"/>
      <c r="D40" s="4"/>
      <c r="E40" s="4"/>
      <c r="F40" s="4"/>
      <c r="G40" s="4"/>
      <c r="H40" s="4"/>
      <c r="I40" s="4"/>
      <c r="J40" s="4"/>
      <c r="K40" s="10"/>
      <c r="L40" s="6"/>
      <c r="N40" s="19"/>
      <c r="O40" s="18" t="s">
        <v>35</v>
      </c>
      <c r="P40" s="17"/>
      <c r="Q40" s="16"/>
      <c r="R40" s="16"/>
      <c r="S40" s="15"/>
    </row>
    <row r="41" spans="1:28" ht="12.75" customHeight="1" x14ac:dyDescent="0.25">
      <c r="A41" s="6"/>
      <c r="B41" s="182"/>
      <c r="C41" s="198" t="s">
        <v>62</v>
      </c>
      <c r="D41" s="199"/>
      <c r="E41" s="199"/>
      <c r="F41" s="199"/>
      <c r="G41" s="199"/>
      <c r="H41" s="199"/>
      <c r="I41" s="199"/>
      <c r="J41" s="200"/>
      <c r="K41" s="10"/>
      <c r="L41" s="6"/>
      <c r="N41" s="193" t="s">
        <v>37</v>
      </c>
      <c r="O41" s="193"/>
      <c r="P41" s="193"/>
      <c r="Q41" s="193"/>
      <c r="R41" s="193"/>
      <c r="S41" s="21">
        <v>0.1</v>
      </c>
    </row>
    <row r="42" spans="1:28" ht="12.75" customHeight="1" x14ac:dyDescent="0.25">
      <c r="A42" s="6"/>
      <c r="B42" s="182"/>
      <c r="C42" s="201"/>
      <c r="D42" s="202"/>
      <c r="E42" s="202"/>
      <c r="F42" s="202"/>
      <c r="G42" s="202"/>
      <c r="H42" s="202"/>
      <c r="I42" s="202"/>
      <c r="J42" s="203"/>
      <c r="K42" s="10"/>
      <c r="L42" s="6"/>
      <c r="N42" s="193" t="s">
        <v>35</v>
      </c>
      <c r="O42" s="193"/>
      <c r="P42" s="193"/>
      <c r="Q42" s="193"/>
      <c r="R42" s="193"/>
      <c r="S42" s="20">
        <f>S41*SUM(S36,S38:S39)</f>
        <v>-206</v>
      </c>
    </row>
    <row r="43" spans="1:28" ht="12.75" customHeight="1" x14ac:dyDescent="0.2">
      <c r="A43" s="6"/>
      <c r="B43" s="182"/>
      <c r="C43" s="201"/>
      <c r="D43" s="202"/>
      <c r="E43" s="202"/>
      <c r="F43" s="202"/>
      <c r="G43" s="202"/>
      <c r="H43" s="202"/>
      <c r="I43" s="202"/>
      <c r="J43" s="203"/>
      <c r="K43" s="10"/>
      <c r="L43" s="6"/>
      <c r="N43" s="19"/>
      <c r="O43" s="18" t="s">
        <v>40</v>
      </c>
      <c r="P43" s="17"/>
      <c r="Q43" s="16"/>
      <c r="R43" s="16"/>
      <c r="S43" s="15"/>
    </row>
    <row r="44" spans="1:28" ht="12.75" customHeight="1" x14ac:dyDescent="0.25">
      <c r="A44" s="6"/>
      <c r="B44" s="182"/>
      <c r="C44" s="201"/>
      <c r="D44" s="202"/>
      <c r="E44" s="202"/>
      <c r="F44" s="202"/>
      <c r="G44" s="202"/>
      <c r="H44" s="202"/>
      <c r="I44" s="202"/>
      <c r="J44" s="203"/>
      <c r="K44" s="10"/>
      <c r="L44" s="6"/>
      <c r="N44" s="194" t="s">
        <v>63</v>
      </c>
      <c r="O44" s="195"/>
      <c r="P44" s="195"/>
      <c r="Q44" s="195"/>
      <c r="R44" s="196"/>
      <c r="S44" s="5">
        <f>S36+S38+S39+S42</f>
        <v>-2266</v>
      </c>
    </row>
    <row r="45" spans="1:28" ht="12.75" customHeight="1" x14ac:dyDescent="0.2">
      <c r="A45" s="6"/>
      <c r="B45" s="182"/>
      <c r="C45" s="201"/>
      <c r="D45" s="202"/>
      <c r="E45" s="202"/>
      <c r="F45" s="202"/>
      <c r="G45" s="202"/>
      <c r="H45" s="202"/>
      <c r="I45" s="202"/>
      <c r="J45" s="203"/>
      <c r="K45" s="10"/>
      <c r="L45" s="6"/>
      <c r="P45" s="1"/>
    </row>
    <row r="46" spans="1:28" ht="12.75" customHeight="1" x14ac:dyDescent="0.2">
      <c r="A46" s="6"/>
      <c r="B46" s="182"/>
      <c r="C46" s="201"/>
      <c r="D46" s="202"/>
      <c r="E46" s="202"/>
      <c r="F46" s="202"/>
      <c r="G46" s="202"/>
      <c r="H46" s="202"/>
      <c r="I46" s="202"/>
      <c r="J46" s="203"/>
      <c r="K46" s="10"/>
      <c r="L46" s="6"/>
      <c r="N46" s="14" t="s">
        <v>64</v>
      </c>
      <c r="O46" s="13"/>
      <c r="P46" s="13"/>
      <c r="Q46" s="13"/>
      <c r="R46" s="13"/>
      <c r="S46" s="12"/>
    </row>
    <row r="47" spans="1:28" ht="12.75" customHeight="1" x14ac:dyDescent="0.2">
      <c r="A47" s="6"/>
      <c r="B47" s="182"/>
      <c r="C47" s="201"/>
      <c r="D47" s="202"/>
      <c r="E47" s="202"/>
      <c r="F47" s="202"/>
      <c r="G47" s="202"/>
      <c r="H47" s="202"/>
      <c r="I47" s="202"/>
      <c r="J47" s="203"/>
      <c r="K47" s="10"/>
      <c r="L47" s="6"/>
      <c r="N47" s="216" t="s">
        <v>42</v>
      </c>
      <c r="O47" s="217"/>
      <c r="P47" s="217"/>
      <c r="Q47" s="217"/>
      <c r="R47" s="218"/>
      <c r="S47" s="9">
        <f>S25</f>
        <v>4246</v>
      </c>
      <c r="U47" s="11"/>
      <c r="V47" s="11"/>
      <c r="W47" s="11"/>
      <c r="X47" s="11"/>
      <c r="Y47" s="11"/>
      <c r="Z47" s="11"/>
      <c r="AA47" s="11"/>
      <c r="AB47" s="11"/>
    </row>
    <row r="48" spans="1:28" ht="12.75" customHeight="1" x14ac:dyDescent="0.2">
      <c r="A48" s="6"/>
      <c r="B48" s="182"/>
      <c r="C48" s="204"/>
      <c r="D48" s="205"/>
      <c r="E48" s="205"/>
      <c r="F48" s="205"/>
      <c r="G48" s="205"/>
      <c r="H48" s="205"/>
      <c r="I48" s="205"/>
      <c r="J48" s="206"/>
      <c r="K48" s="10"/>
      <c r="L48" s="6"/>
      <c r="N48" s="216" t="s">
        <v>65</v>
      </c>
      <c r="O48" s="217"/>
      <c r="P48" s="217"/>
      <c r="Q48" s="217"/>
      <c r="R48" s="218"/>
      <c r="S48" s="9">
        <f>S25+S44</f>
        <v>1980</v>
      </c>
    </row>
    <row r="49" spans="1:19" ht="12.75" customHeight="1" x14ac:dyDescent="0.25">
      <c r="A49" s="6"/>
      <c r="B49" s="183"/>
      <c r="C49" s="8"/>
      <c r="D49" s="8"/>
      <c r="E49" s="8"/>
      <c r="F49" s="8"/>
      <c r="G49" s="8"/>
      <c r="H49" s="8"/>
      <c r="I49" s="8"/>
      <c r="J49" s="8"/>
      <c r="K49" s="7"/>
      <c r="L49" s="6"/>
      <c r="N49" s="194" t="s">
        <v>66</v>
      </c>
      <c r="O49" s="195"/>
      <c r="P49" s="195"/>
      <c r="Q49" s="195"/>
      <c r="R49" s="196"/>
      <c r="S49" s="5">
        <v>0</v>
      </c>
    </row>
    <row r="50" spans="1:19" ht="1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N50" s="194" t="s">
        <v>67</v>
      </c>
      <c r="O50" s="195"/>
      <c r="P50" s="195"/>
      <c r="Q50" s="195"/>
      <c r="R50" s="196"/>
      <c r="S50" s="5">
        <v>0</v>
      </c>
    </row>
    <row r="51" spans="1:19" ht="12.75" customHeight="1" x14ac:dyDescent="0.2">
      <c r="B51" s="4"/>
      <c r="K51" s="4"/>
      <c r="P51" s="1"/>
    </row>
    <row r="52" spans="1:19" x14ac:dyDescent="0.2">
      <c r="P52" s="1"/>
    </row>
    <row r="53" spans="1:19" x14ac:dyDescent="0.2">
      <c r="P53" s="1"/>
    </row>
    <row r="54" spans="1:19" x14ac:dyDescent="0.2">
      <c r="P54" s="1"/>
    </row>
    <row r="55" spans="1:19" x14ac:dyDescent="0.2">
      <c r="P55" s="1"/>
    </row>
    <row r="56" spans="1:19" x14ac:dyDescent="0.2">
      <c r="P56" s="1"/>
    </row>
    <row r="57" spans="1:19" x14ac:dyDescent="0.2">
      <c r="P57" s="1"/>
    </row>
    <row r="58" spans="1:19" ht="12.75" customHeight="1" x14ac:dyDescent="0.2">
      <c r="P58" s="1"/>
    </row>
    <row r="59" spans="1:19" ht="12.75" customHeight="1" x14ac:dyDescent="0.2">
      <c r="P59" s="1"/>
    </row>
    <row r="60" spans="1:19" ht="12.75" customHeight="1" x14ac:dyDescent="0.2">
      <c r="P60" s="1"/>
    </row>
    <row r="61" spans="1:19" ht="12.75" customHeight="1" x14ac:dyDescent="0.2">
      <c r="B61" s="4"/>
      <c r="K61" s="4"/>
      <c r="P61" s="1"/>
    </row>
    <row r="62" spans="1:19" ht="12.75" customHeight="1" x14ac:dyDescent="0.2">
      <c r="P62" s="1"/>
    </row>
    <row r="63" spans="1:19" ht="12.75" customHeight="1" x14ac:dyDescent="0.2">
      <c r="P63" s="1"/>
    </row>
    <row r="64" spans="1:19" x14ac:dyDescent="0.2">
      <c r="P64" s="1"/>
    </row>
    <row r="65" spans="5:16" x14ac:dyDescent="0.2">
      <c r="E65" s="3"/>
      <c r="G65" s="197"/>
      <c r="H65" s="197"/>
      <c r="I65" s="197"/>
      <c r="P65" s="1"/>
    </row>
    <row r="66" spans="5:16" x14ac:dyDescent="0.2">
      <c r="E66" s="3"/>
      <c r="H66" s="197"/>
      <c r="I66" s="197"/>
      <c r="P66" s="1"/>
    </row>
    <row r="67" spans="5:16" x14ac:dyDescent="0.2">
      <c r="P67" s="1"/>
    </row>
    <row r="68" spans="5:16" x14ac:dyDescent="0.2">
      <c r="P68" s="1"/>
    </row>
    <row r="69" spans="5:16" x14ac:dyDescent="0.2">
      <c r="P69" s="1"/>
    </row>
    <row r="70" spans="5:16" x14ac:dyDescent="0.2">
      <c r="P70" s="1"/>
    </row>
    <row r="71" spans="5:16" x14ac:dyDescent="0.2">
      <c r="P71" s="1"/>
    </row>
    <row r="72" spans="5:16" x14ac:dyDescent="0.2">
      <c r="P72" s="1"/>
    </row>
    <row r="73" spans="5:16" x14ac:dyDescent="0.2">
      <c r="P73" s="1"/>
    </row>
  </sheetData>
  <mergeCells count="30">
    <mergeCell ref="N49:R49"/>
    <mergeCell ref="N50:R50"/>
    <mergeCell ref="N41:R41"/>
    <mergeCell ref="N42:R42"/>
    <mergeCell ref="N44:R44"/>
    <mergeCell ref="N47:R47"/>
    <mergeCell ref="N48:R48"/>
    <mergeCell ref="G65:I65"/>
    <mergeCell ref="H66:I66"/>
    <mergeCell ref="C41:J48"/>
    <mergeCell ref="F37:J38"/>
    <mergeCell ref="F36:G36"/>
    <mergeCell ref="C37:E38"/>
    <mergeCell ref="N17:R17"/>
    <mergeCell ref="N22:R22"/>
    <mergeCell ref="N23:R23"/>
    <mergeCell ref="N25:R25"/>
    <mergeCell ref="N36:R36"/>
    <mergeCell ref="D4:J4"/>
    <mergeCell ref="D5:J5"/>
    <mergeCell ref="B3:B49"/>
    <mergeCell ref="D3:J3"/>
    <mergeCell ref="B2:K2"/>
    <mergeCell ref="D16:E16"/>
    <mergeCell ref="H16:J16"/>
    <mergeCell ref="N2:S2"/>
    <mergeCell ref="O3:S3"/>
    <mergeCell ref="O4:S4"/>
    <mergeCell ref="O5:S5"/>
    <mergeCell ref="O6:S6"/>
  </mergeCells>
  <conditionalFormatting sqref="C19:G25">
    <cfRule type="expression" dxfId="0" priority="1">
      <formula>$C19=0</formula>
    </cfRule>
  </conditionalFormatting>
  <dataValidations count="4">
    <dataValidation type="list" allowBlank="1" showInputMessage="1" showErrorMessage="1" sqref="H16:J16" xr:uid="{2AC0BA30-9759-4DA0-85C7-BC739BB9A6FA}">
      <formula1>maatregeloorsprong</formula1>
    </dataValidation>
    <dataValidation type="decimal" operator="greaterThanOrEqual" showInputMessage="1" showErrorMessage="1" sqref="J26:J27 J19:J23" xr:uid="{971EFCF9-F77D-4018-8A75-0F0BF0B0A2CD}">
      <formula1>0</formula1>
    </dataValidation>
    <dataValidation type="list" allowBlank="1" showInputMessage="1" showErrorMessage="1" sqref="D16:E16" xr:uid="{05C6BF8C-7A8B-4313-A6DA-8809B27851C9}">
      <formula1>MaatregelCategorie</formula1>
    </dataValidation>
    <dataValidation type="list" allowBlank="1" showInputMessage="1" showErrorMessage="1" sqref="F36" xr:uid="{FAB215A3-DCA2-4C58-9B88-CFDEBC281A77}">
      <formula1>MaatregelKwalificatie</formula1>
    </dataValidation>
  </dataValidations>
  <printOptions horizontalCentered="1"/>
  <pageMargins left="0.39370078740157483" right="0.39370078740157483" top="0.98425196850393704" bottom="0.39370078740157483" header="0.31496062992125984" footer="0.31496062992125984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12F4-D533-4342-AA84-F23465DE100F}">
  <sheetPr>
    <tabColor rgb="FFFF0000"/>
  </sheetPr>
  <dimension ref="B1:I57"/>
  <sheetViews>
    <sheetView workbookViewId="0">
      <selection activeCell="G13" sqref="G13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73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74</v>
      </c>
      <c r="D6" s="224"/>
      <c r="E6" s="224"/>
      <c r="F6" s="224"/>
      <c r="G6" s="224"/>
      <c r="H6" s="113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77</v>
      </c>
      <c r="D13" s="112">
        <v>2200</v>
      </c>
      <c r="E13" s="138" t="s">
        <v>78</v>
      </c>
      <c r="F13" s="135">
        <v>70</v>
      </c>
      <c r="G13" s="128">
        <f>D13*F13</f>
        <v>154000</v>
      </c>
      <c r="H13" s="113" t="s">
        <v>79</v>
      </c>
    </row>
    <row r="14" spans="2:9" ht="12.75" customHeight="1" x14ac:dyDescent="0.25">
      <c r="B14" s="111">
        <v>1</v>
      </c>
      <c r="C14" s="138" t="s">
        <v>80</v>
      </c>
      <c r="D14" s="112"/>
      <c r="E14" s="138" t="s">
        <v>78</v>
      </c>
      <c r="F14" s="135">
        <v>14.5</v>
      </c>
      <c r="G14" s="128">
        <f t="shared" ref="G14:G17" si="0">D14*F14</f>
        <v>0</v>
      </c>
      <c r="H14" s="113"/>
    </row>
    <row r="15" spans="2:9" ht="12.75" customHeight="1" x14ac:dyDescent="0.25">
      <c r="B15" s="111"/>
      <c r="C15" s="138"/>
      <c r="D15" s="112"/>
      <c r="E15" s="138"/>
      <c r="F15" s="135"/>
      <c r="G15" s="128">
        <f t="shared" si="0"/>
        <v>0</v>
      </c>
      <c r="H15" s="113"/>
    </row>
    <row r="16" spans="2:9" ht="12.75" customHeight="1" x14ac:dyDescent="0.25">
      <c r="B16" s="111"/>
      <c r="C16" s="138"/>
      <c r="D16" s="112"/>
      <c r="E16" s="138"/>
      <c r="F16" s="135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154000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80</v>
      </c>
      <c r="E21" s="168" t="s">
        <v>30</v>
      </c>
      <c r="F21" s="5">
        <v>70</v>
      </c>
      <c r="G21" s="130">
        <f>D21*F21</f>
        <v>5600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10</v>
      </c>
      <c r="E22" s="169" t="s">
        <v>33</v>
      </c>
      <c r="F22" s="23">
        <v>900</v>
      </c>
      <c r="G22" s="131">
        <f t="shared" ref="G22" si="1">D22*F22</f>
        <v>9000</v>
      </c>
      <c r="H22" s="141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41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41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16860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185460</v>
      </c>
      <c r="H27" s="141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41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77</v>
      </c>
      <c r="D32" s="112">
        <v>2200</v>
      </c>
      <c r="E32" s="138" t="s">
        <v>78</v>
      </c>
      <c r="F32" s="135">
        <f>F13/2</f>
        <v>35</v>
      </c>
      <c r="G32" s="128">
        <f>D32*F32*-1</f>
        <v>-77000</v>
      </c>
      <c r="H32" s="113"/>
    </row>
    <row r="33" spans="2:8" ht="12.75" customHeight="1" x14ac:dyDescent="0.25">
      <c r="B33" s="111">
        <v>1</v>
      </c>
      <c r="C33" s="138" t="s">
        <v>80</v>
      </c>
      <c r="D33" s="112"/>
      <c r="E33" s="138" t="s">
        <v>78</v>
      </c>
      <c r="F33" s="135">
        <f>F14/2</f>
        <v>7.25</v>
      </c>
      <c r="G33" s="128">
        <f>D33*F33*-1</f>
        <v>0</v>
      </c>
      <c r="H33" s="113"/>
    </row>
    <row r="34" spans="2:8" ht="12.75" customHeight="1" x14ac:dyDescent="0.25">
      <c r="B34" s="111"/>
      <c r="C34" s="170"/>
      <c r="D34" s="112"/>
      <c r="E34" s="138"/>
      <c r="F34" s="135"/>
      <c r="G34" s="128">
        <f t="shared" ref="G34:G35" si="2">D34*F34*-1</f>
        <v>0</v>
      </c>
      <c r="H34" s="141"/>
    </row>
    <row r="35" spans="2:8" ht="12.75" customHeight="1" x14ac:dyDescent="0.25">
      <c r="B35" s="111"/>
      <c r="C35" s="138"/>
      <c r="D35" s="112"/>
      <c r="E35" s="138"/>
      <c r="F35" s="135"/>
      <c r="G35" s="128">
        <f t="shared" si="2"/>
        <v>0</v>
      </c>
      <c r="H35" s="141"/>
    </row>
    <row r="36" spans="2:8" ht="12.75" customHeight="1" x14ac:dyDescent="0.25">
      <c r="B36" s="125"/>
      <c r="C36" s="171"/>
      <c r="D36" s="124"/>
      <c r="E36" s="169"/>
      <c r="F36" s="23"/>
      <c r="G36" s="131">
        <f t="shared" ref="G36" si="3">D36*F36</f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-77000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32</v>
      </c>
      <c r="E40" s="168" t="s">
        <v>30</v>
      </c>
      <c r="F40" s="5">
        <v>70</v>
      </c>
      <c r="G40" s="130">
        <f>D40*F40*-1</f>
        <v>-2240</v>
      </c>
      <c r="H40" s="113"/>
    </row>
    <row r="41" spans="2:8" x14ac:dyDescent="0.25">
      <c r="B41" s="123">
        <v>3</v>
      </c>
      <c r="C41" s="169" t="s">
        <v>32</v>
      </c>
      <c r="D41" s="124">
        <v>4</v>
      </c>
      <c r="E41" s="169" t="s">
        <v>33</v>
      </c>
      <c r="F41" s="23">
        <v>900</v>
      </c>
      <c r="G41" s="131">
        <f>D41*F41*-1</f>
        <v>-3600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41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-8284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41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-91124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169400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9900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6160.0000000000009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84700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5940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3696.0000000000009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740D-9FC6-4A94-B3E6-383C7E8C2C4B}">
  <sheetPr>
    <tabColor rgb="FFFF0000"/>
  </sheetPr>
  <dimension ref="B1:I57"/>
  <sheetViews>
    <sheetView workbookViewId="0">
      <selection activeCell="E22" sqref="E22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88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89</v>
      </c>
      <c r="D6" s="224"/>
      <c r="E6" s="224"/>
      <c r="F6" s="224"/>
      <c r="G6" s="224"/>
      <c r="H6" s="113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90</v>
      </c>
      <c r="D13" s="112">
        <v>2200</v>
      </c>
      <c r="E13" s="138" t="s">
        <v>78</v>
      </c>
      <c r="F13" s="135">
        <v>24.87</v>
      </c>
      <c r="G13" s="128">
        <f>D13*F13</f>
        <v>54714</v>
      </c>
      <c r="H13" s="113" t="s">
        <v>91</v>
      </c>
    </row>
    <row r="14" spans="2:9" ht="12.75" customHeight="1" x14ac:dyDescent="0.25">
      <c r="B14" s="111">
        <v>1</v>
      </c>
      <c r="C14" s="138" t="s">
        <v>92</v>
      </c>
      <c r="D14" s="112"/>
      <c r="E14" s="138" t="s">
        <v>78</v>
      </c>
      <c r="F14" s="135">
        <v>56.4</v>
      </c>
      <c r="G14" s="128"/>
      <c r="H14" s="113" t="s">
        <v>93</v>
      </c>
    </row>
    <row r="15" spans="2:9" ht="12.75" customHeight="1" x14ac:dyDescent="0.25">
      <c r="B15" s="111">
        <v>1</v>
      </c>
      <c r="C15" s="138" t="s">
        <v>94</v>
      </c>
      <c r="D15" s="112"/>
      <c r="E15" s="138" t="s">
        <v>78</v>
      </c>
      <c r="F15" s="135">
        <v>62.42</v>
      </c>
      <c r="G15" s="128">
        <f t="shared" ref="G15:G17" si="0">D15*F15</f>
        <v>0</v>
      </c>
      <c r="H15" s="113"/>
    </row>
    <row r="16" spans="2:9" ht="12.75" customHeight="1" x14ac:dyDescent="0.25">
      <c r="B16" s="111">
        <v>1</v>
      </c>
      <c r="C16" s="138" t="s">
        <v>95</v>
      </c>
      <c r="D16" s="112">
        <v>2200</v>
      </c>
      <c r="E16" s="138" t="s">
        <v>78</v>
      </c>
      <c r="F16" s="135">
        <v>15.6</v>
      </c>
      <c r="G16" s="128">
        <f t="shared" si="0"/>
        <v>34320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89034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30">
        <f>D21*F21</f>
        <v>11200</v>
      </c>
      <c r="H21" s="141">
        <f>G22+G25</f>
        <v>29823.4</v>
      </c>
    </row>
    <row r="22" spans="2:8" ht="12.75" customHeight="1" x14ac:dyDescent="0.25">
      <c r="B22" s="123">
        <v>3</v>
      </c>
      <c r="C22" s="169" t="s">
        <v>32</v>
      </c>
      <c r="D22" s="124">
        <v>20</v>
      </c>
      <c r="E22" s="169" t="s">
        <v>33</v>
      </c>
      <c r="F22" s="23">
        <v>900</v>
      </c>
      <c r="G22" s="131">
        <f t="shared" ref="G22" si="1">D22*F22</f>
        <v>18000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11823.400000000001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130057.4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96</v>
      </c>
      <c r="D32" s="112">
        <v>2200</v>
      </c>
      <c r="E32" s="138" t="s">
        <v>78</v>
      </c>
      <c r="F32" s="135">
        <v>8.7100000000000009</v>
      </c>
      <c r="G32" s="128">
        <f>D32*F32*-1</f>
        <v>-19162.000000000004</v>
      </c>
      <c r="H32" s="141">
        <f>G19+G38</f>
        <v>42416</v>
      </c>
    </row>
    <row r="33" spans="2:8" ht="12.75" customHeight="1" x14ac:dyDescent="0.25">
      <c r="B33" s="111">
        <v>1</v>
      </c>
      <c r="C33" s="138" t="s">
        <v>97</v>
      </c>
      <c r="D33" s="112"/>
      <c r="E33" s="138" t="s">
        <v>78</v>
      </c>
      <c r="F33" s="135">
        <v>9.2799999999999994</v>
      </c>
      <c r="G33" s="128">
        <f>D33*F33*-1</f>
        <v>0</v>
      </c>
      <c r="H33" s="113"/>
    </row>
    <row r="34" spans="2:8" ht="12.75" customHeight="1" x14ac:dyDescent="0.25">
      <c r="B34" s="111">
        <v>1</v>
      </c>
      <c r="C34" s="170" t="s">
        <v>98</v>
      </c>
      <c r="D34" s="112"/>
      <c r="E34" s="138" t="s">
        <v>78</v>
      </c>
      <c r="F34" s="135">
        <v>13.92</v>
      </c>
      <c r="G34" s="128">
        <f t="shared" ref="G34:G35" si="2">D34*F34*-1</f>
        <v>0</v>
      </c>
      <c r="H34" s="113"/>
    </row>
    <row r="35" spans="2:8" ht="12.75" customHeight="1" x14ac:dyDescent="0.25">
      <c r="B35" s="111">
        <v>1</v>
      </c>
      <c r="C35" s="138" t="s">
        <v>99</v>
      </c>
      <c r="D35" s="112">
        <v>2200</v>
      </c>
      <c r="E35" s="138" t="s">
        <v>78</v>
      </c>
      <c r="F35" s="135">
        <v>12.48</v>
      </c>
      <c r="G35" s="128">
        <f t="shared" si="2"/>
        <v>-27456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ref="G36" si="3">D36*F36</f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41">
        <f>G21+G40</f>
        <v>6720</v>
      </c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-46618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41">
        <f>G22+G25+G41+G44</f>
        <v>21743.600000000002</v>
      </c>
    </row>
    <row r="40" spans="2:8" x14ac:dyDescent="0.25">
      <c r="B40" s="121">
        <v>2</v>
      </c>
      <c r="C40" s="168" t="s">
        <v>29</v>
      </c>
      <c r="D40" s="122">
        <v>64</v>
      </c>
      <c r="E40" s="168" t="s">
        <v>30</v>
      </c>
      <c r="F40" s="5">
        <v>70</v>
      </c>
      <c r="G40" s="130">
        <f>D40*F40*-1</f>
        <v>-4480</v>
      </c>
      <c r="H40" s="141"/>
    </row>
    <row r="41" spans="2:8" x14ac:dyDescent="0.25">
      <c r="B41" s="123">
        <v>3</v>
      </c>
      <c r="C41" s="169" t="s">
        <v>32</v>
      </c>
      <c r="D41" s="124">
        <v>3</v>
      </c>
      <c r="E41" s="169" t="s">
        <v>33</v>
      </c>
      <c r="F41" s="23">
        <v>900</v>
      </c>
      <c r="G41" s="131">
        <f>D41*F41*-1</f>
        <v>-2700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-5379.8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-59177.8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97937.400000000009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19800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12320.000000000002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46657.600000000006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16830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7392.0000000000018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D44F-C329-42DD-BDBA-269FFE047A89}">
  <sheetPr>
    <tabColor rgb="FFFF0000"/>
  </sheetPr>
  <dimension ref="B1:I57"/>
  <sheetViews>
    <sheetView tabSelected="1" topLeftCell="A4" workbookViewId="0">
      <selection activeCell="H20" sqref="H20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88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89</v>
      </c>
      <c r="D6" s="224"/>
      <c r="E6" s="224"/>
      <c r="F6" s="224"/>
      <c r="G6" s="224"/>
      <c r="H6" s="113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90</v>
      </c>
      <c r="D13" s="112">
        <v>2200</v>
      </c>
      <c r="E13" s="138" t="s">
        <v>78</v>
      </c>
      <c r="F13" s="135">
        <v>24.87</v>
      </c>
      <c r="G13" s="128">
        <f>D13*F13</f>
        <v>54714</v>
      </c>
      <c r="H13" s="113" t="s">
        <v>91</v>
      </c>
    </row>
    <row r="14" spans="2:9" ht="12.75" customHeight="1" x14ac:dyDescent="0.25">
      <c r="B14" s="111">
        <v>1</v>
      </c>
      <c r="C14" s="138" t="s">
        <v>92</v>
      </c>
      <c r="D14" s="112"/>
      <c r="E14" s="138" t="s">
        <v>78</v>
      </c>
      <c r="F14" s="135">
        <v>56.4</v>
      </c>
      <c r="G14" s="128"/>
      <c r="H14" s="113" t="s">
        <v>93</v>
      </c>
    </row>
    <row r="15" spans="2:9" ht="12.75" customHeight="1" x14ac:dyDescent="0.25">
      <c r="B15" s="111">
        <v>1</v>
      </c>
      <c r="C15" s="138" t="s">
        <v>94</v>
      </c>
      <c r="D15" s="112"/>
      <c r="E15" s="138" t="s">
        <v>78</v>
      </c>
      <c r="F15" s="135">
        <v>62.42</v>
      </c>
      <c r="G15" s="128">
        <f t="shared" ref="G15:G17" si="0">D15*F15</f>
        <v>0</v>
      </c>
      <c r="H15" s="113"/>
    </row>
    <row r="16" spans="2:9" ht="12.75" customHeight="1" x14ac:dyDescent="0.25">
      <c r="B16" s="111">
        <v>1</v>
      </c>
      <c r="C16" s="138" t="s">
        <v>95</v>
      </c>
      <c r="D16" s="112">
        <v>2200</v>
      </c>
      <c r="E16" s="138" t="s">
        <v>78</v>
      </c>
      <c r="F16" s="135">
        <v>15.6</v>
      </c>
      <c r="G16" s="128">
        <f t="shared" si="0"/>
        <v>34320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89034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30">
        <f>D21*F21</f>
        <v>11200</v>
      </c>
      <c r="H21" s="141">
        <f>G22+G25</f>
        <v>29823.4</v>
      </c>
    </row>
    <row r="22" spans="2:8" ht="12.75" customHeight="1" x14ac:dyDescent="0.25">
      <c r="B22" s="123">
        <v>3</v>
      </c>
      <c r="C22" s="169" t="s">
        <v>32</v>
      </c>
      <c r="D22" s="124">
        <v>20</v>
      </c>
      <c r="E22" s="169" t="s">
        <v>33</v>
      </c>
      <c r="F22" s="23">
        <v>900</v>
      </c>
      <c r="G22" s="131">
        <f t="shared" ref="G22" si="1">D22*F22</f>
        <v>18000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11823.400000000001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130057.4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96</v>
      </c>
      <c r="D32" s="112">
        <v>2200</v>
      </c>
      <c r="E32" s="138" t="s">
        <v>78</v>
      </c>
      <c r="F32" s="135">
        <v>8.7100000000000009</v>
      </c>
      <c r="G32" s="128">
        <f>D32*F32*-1</f>
        <v>-19162.000000000004</v>
      </c>
      <c r="H32" s="141">
        <f>G19+G38</f>
        <v>42416</v>
      </c>
    </row>
    <row r="33" spans="2:8" ht="12.75" customHeight="1" x14ac:dyDescent="0.25">
      <c r="B33" s="111">
        <v>1</v>
      </c>
      <c r="C33" s="138" t="s">
        <v>97</v>
      </c>
      <c r="D33" s="112"/>
      <c r="E33" s="138" t="s">
        <v>78</v>
      </c>
      <c r="F33" s="135">
        <v>9.2799999999999994</v>
      </c>
      <c r="G33" s="128">
        <f>D33*F33*-1</f>
        <v>0</v>
      </c>
      <c r="H33" s="113"/>
    </row>
    <row r="34" spans="2:8" ht="12.75" customHeight="1" x14ac:dyDescent="0.25">
      <c r="B34" s="111">
        <v>1</v>
      </c>
      <c r="C34" s="170" t="s">
        <v>98</v>
      </c>
      <c r="D34" s="112"/>
      <c r="E34" s="138" t="s">
        <v>78</v>
      </c>
      <c r="F34" s="135">
        <v>13.92</v>
      </c>
      <c r="G34" s="128">
        <f t="shared" ref="G34:G35" si="2">D34*F34*-1</f>
        <v>0</v>
      </c>
      <c r="H34" s="113"/>
    </row>
    <row r="35" spans="2:8" ht="12.75" customHeight="1" x14ac:dyDescent="0.25">
      <c r="B35" s="111">
        <v>1</v>
      </c>
      <c r="C35" s="138" t="s">
        <v>99</v>
      </c>
      <c r="D35" s="112">
        <v>2200</v>
      </c>
      <c r="E35" s="138" t="s">
        <v>78</v>
      </c>
      <c r="F35" s="135">
        <v>12.48</v>
      </c>
      <c r="G35" s="128">
        <f t="shared" si="2"/>
        <v>-27456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ref="G36" si="3">D36*F36</f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41">
        <f>G21+G40</f>
        <v>6720</v>
      </c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-46618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41">
        <f>G22+G25+G41+G44</f>
        <v>21743.600000000002</v>
      </c>
    </row>
    <row r="40" spans="2:8" x14ac:dyDescent="0.25">
      <c r="B40" s="121">
        <v>2</v>
      </c>
      <c r="C40" s="168" t="s">
        <v>29</v>
      </c>
      <c r="D40" s="122">
        <v>64</v>
      </c>
      <c r="E40" s="168" t="s">
        <v>30</v>
      </c>
      <c r="F40" s="5">
        <v>70</v>
      </c>
      <c r="G40" s="130">
        <f>D40*F40*-1</f>
        <v>-4480</v>
      </c>
      <c r="H40" s="141"/>
    </row>
    <row r="41" spans="2:8" x14ac:dyDescent="0.25">
      <c r="B41" s="123">
        <v>3</v>
      </c>
      <c r="C41" s="169" t="s">
        <v>32</v>
      </c>
      <c r="D41" s="124">
        <v>3</v>
      </c>
      <c r="E41" s="169" t="s">
        <v>33</v>
      </c>
      <c r="F41" s="23">
        <v>900</v>
      </c>
      <c r="G41" s="131">
        <f>D41*F41*-1</f>
        <v>-2700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-5379.8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-59177.8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97937.400000000009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19800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12320.000000000002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46657.600000000006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16830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7392.0000000000018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honeticPr fontId="1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0364-F4DD-4523-A5A3-D5BFEE562D0E}">
  <sheetPr>
    <tabColor theme="5" tint="0.59999389629810485"/>
  </sheetPr>
  <dimension ref="B1:I57"/>
  <sheetViews>
    <sheetView workbookViewId="0">
      <selection activeCell="N30" sqref="N30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88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89</v>
      </c>
      <c r="D6" s="224"/>
      <c r="E6" s="224"/>
      <c r="F6" s="224"/>
      <c r="G6" s="224"/>
      <c r="H6" s="113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90</v>
      </c>
      <c r="D13" s="112">
        <v>0</v>
      </c>
      <c r="E13" s="138" t="s">
        <v>78</v>
      </c>
      <c r="F13" s="135">
        <v>24.87</v>
      </c>
      <c r="G13" s="128">
        <f>D13*F13</f>
        <v>0</v>
      </c>
      <c r="H13" s="113" t="s">
        <v>91</v>
      </c>
    </row>
    <row r="14" spans="2:9" ht="12.75" customHeight="1" x14ac:dyDescent="0.25">
      <c r="B14" s="111">
        <v>1</v>
      </c>
      <c r="C14" s="138" t="s">
        <v>92</v>
      </c>
      <c r="D14" s="112">
        <v>2200</v>
      </c>
      <c r="E14" s="138" t="s">
        <v>78</v>
      </c>
      <c r="F14" s="135">
        <v>56.4</v>
      </c>
      <c r="G14" s="128">
        <f>D14*F14</f>
        <v>124080</v>
      </c>
      <c r="H14" s="113" t="s">
        <v>93</v>
      </c>
    </row>
    <row r="15" spans="2:9" ht="12.75" customHeight="1" x14ac:dyDescent="0.25">
      <c r="B15" s="111">
        <v>1</v>
      </c>
      <c r="C15" s="138" t="s">
        <v>94</v>
      </c>
      <c r="D15" s="112"/>
      <c r="E15" s="138" t="s">
        <v>78</v>
      </c>
      <c r="F15" s="135">
        <v>62.42</v>
      </c>
      <c r="G15" s="128">
        <f>D15*F15</f>
        <v>0</v>
      </c>
      <c r="H15" s="113"/>
    </row>
    <row r="16" spans="2:9" ht="12.75" customHeight="1" x14ac:dyDescent="0.25">
      <c r="B16" s="111">
        <v>1</v>
      </c>
      <c r="C16" s="138" t="s">
        <v>95</v>
      </c>
      <c r="D16" s="112">
        <v>2200</v>
      </c>
      <c r="E16" s="138" t="s">
        <v>78</v>
      </c>
      <c r="F16" s="135">
        <v>15.6</v>
      </c>
      <c r="G16" s="128">
        <f>D16*F16</f>
        <v>34320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>D17*F17</f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158400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30">
        <f>D21*F21</f>
        <v>11200</v>
      </c>
      <c r="H21" s="141">
        <f>G22+G25</f>
        <v>36760</v>
      </c>
    </row>
    <row r="22" spans="2:8" ht="12.75" customHeight="1" x14ac:dyDescent="0.25">
      <c r="B22" s="123">
        <v>3</v>
      </c>
      <c r="C22" s="169" t="s">
        <v>32</v>
      </c>
      <c r="D22" s="124">
        <v>20</v>
      </c>
      <c r="E22" s="169" t="s">
        <v>33</v>
      </c>
      <c r="F22" s="23">
        <v>900</v>
      </c>
      <c r="G22" s="131">
        <f>D22*F22</f>
        <v>18000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18760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206360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96</v>
      </c>
      <c r="D32" s="112">
        <v>0</v>
      </c>
      <c r="E32" s="138" t="s">
        <v>78</v>
      </c>
      <c r="F32" s="135">
        <v>8.7100000000000009</v>
      </c>
      <c r="G32" s="128">
        <f>D32*F32*-1</f>
        <v>0</v>
      </c>
      <c r="H32" s="141">
        <f>G19+G38</f>
        <v>110528</v>
      </c>
    </row>
    <row r="33" spans="2:8" ht="12.75" customHeight="1" x14ac:dyDescent="0.25">
      <c r="B33" s="111">
        <v>1</v>
      </c>
      <c r="C33" s="138" t="s">
        <v>97</v>
      </c>
      <c r="D33" s="112">
        <v>2200</v>
      </c>
      <c r="E33" s="138" t="s">
        <v>78</v>
      </c>
      <c r="F33" s="135">
        <v>9.2799999999999994</v>
      </c>
      <c r="G33" s="128">
        <f>D33*F33*-1</f>
        <v>-20416</v>
      </c>
      <c r="H33" s="113"/>
    </row>
    <row r="34" spans="2:8" ht="12.75" customHeight="1" x14ac:dyDescent="0.25">
      <c r="B34" s="111">
        <v>1</v>
      </c>
      <c r="C34" s="170" t="s">
        <v>98</v>
      </c>
      <c r="D34" s="112"/>
      <c r="E34" s="138" t="s">
        <v>78</v>
      </c>
      <c r="F34" s="135">
        <v>13.92</v>
      </c>
      <c r="G34" s="128">
        <f>D34*F34*-1</f>
        <v>0</v>
      </c>
      <c r="H34" s="113"/>
    </row>
    <row r="35" spans="2:8" ht="12.75" customHeight="1" x14ac:dyDescent="0.25">
      <c r="B35" s="111">
        <v>1</v>
      </c>
      <c r="C35" s="138" t="s">
        <v>99</v>
      </c>
      <c r="D35" s="112">
        <v>2200</v>
      </c>
      <c r="E35" s="138" t="s">
        <v>78</v>
      </c>
      <c r="F35" s="135">
        <v>12.48</v>
      </c>
      <c r="G35" s="128">
        <f>D35*F35*-1</f>
        <v>-27456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>D36*F36</f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41">
        <f>G21+G40</f>
        <v>6720</v>
      </c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-47872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41">
        <f>G22+G25+G41+G44</f>
        <v>28554.799999999999</v>
      </c>
    </row>
    <row r="40" spans="2:8" x14ac:dyDescent="0.25">
      <c r="B40" s="121">
        <v>2</v>
      </c>
      <c r="C40" s="168" t="s">
        <v>29</v>
      </c>
      <c r="D40" s="122">
        <v>64</v>
      </c>
      <c r="E40" s="168" t="s">
        <v>30</v>
      </c>
      <c r="F40" s="5">
        <v>70</v>
      </c>
      <c r="G40" s="130">
        <f>D40*F40*-1</f>
        <v>-4480</v>
      </c>
      <c r="H40" s="141"/>
    </row>
    <row r="41" spans="2:8" x14ac:dyDescent="0.25">
      <c r="B41" s="123">
        <v>3</v>
      </c>
      <c r="C41" s="169" t="s">
        <v>32</v>
      </c>
      <c r="D41" s="124">
        <v>3</v>
      </c>
      <c r="E41" s="169" t="s">
        <v>33</v>
      </c>
      <c r="F41" s="23">
        <v>900</v>
      </c>
      <c r="G41" s="131">
        <f>D41*F41*-1</f>
        <v>-2700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-5505.2000000000007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-60557.2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174240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19800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12320.000000000002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121580.79999999999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16830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7392.0000000000018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4A2D-67F6-4B8E-A2F2-A6100776DCB9}">
  <sheetPr>
    <tabColor theme="5" tint="0.59999389629810485"/>
  </sheetPr>
  <dimension ref="B1:I57"/>
  <sheetViews>
    <sheetView topLeftCell="A4" workbookViewId="0">
      <selection activeCell="N30" sqref="N30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88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89</v>
      </c>
      <c r="D6" s="224"/>
      <c r="E6" s="224"/>
      <c r="F6" s="224"/>
      <c r="G6" s="224"/>
      <c r="H6" s="113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90</v>
      </c>
      <c r="D13" s="112">
        <v>0</v>
      </c>
      <c r="E13" s="138" t="s">
        <v>78</v>
      </c>
      <c r="F13" s="135">
        <v>24.87</v>
      </c>
      <c r="G13" s="128">
        <f>D13*F13</f>
        <v>0</v>
      </c>
      <c r="H13" s="113" t="s">
        <v>91</v>
      </c>
    </row>
    <row r="14" spans="2:9" ht="12.75" customHeight="1" x14ac:dyDescent="0.25">
      <c r="B14" s="111">
        <v>1</v>
      </c>
      <c r="C14" s="138" t="s">
        <v>92</v>
      </c>
      <c r="D14" s="112"/>
      <c r="E14" s="138" t="s">
        <v>78</v>
      </c>
      <c r="F14" s="135">
        <v>56.4</v>
      </c>
      <c r="G14" s="128"/>
      <c r="H14" s="113" t="s">
        <v>93</v>
      </c>
    </row>
    <row r="15" spans="2:9" ht="12.75" customHeight="1" x14ac:dyDescent="0.25">
      <c r="B15" s="111">
        <v>1</v>
      </c>
      <c r="C15" s="138" t="s">
        <v>94</v>
      </c>
      <c r="D15" s="112">
        <v>2200</v>
      </c>
      <c r="E15" s="138" t="s">
        <v>78</v>
      </c>
      <c r="F15" s="135">
        <v>62.42</v>
      </c>
      <c r="G15" s="128">
        <f>D15*F15</f>
        <v>137324</v>
      </c>
      <c r="H15" s="113"/>
    </row>
    <row r="16" spans="2:9" ht="12.75" customHeight="1" x14ac:dyDescent="0.25">
      <c r="B16" s="111">
        <v>1</v>
      </c>
      <c r="C16" s="138" t="s">
        <v>95</v>
      </c>
      <c r="D16" s="112">
        <v>2200</v>
      </c>
      <c r="E16" s="138" t="s">
        <v>78</v>
      </c>
      <c r="F16" s="135">
        <v>15.6</v>
      </c>
      <c r="G16" s="128">
        <f>D16*F16</f>
        <v>34320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>D17*F17</f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171644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30">
        <f>D21*F21</f>
        <v>11200</v>
      </c>
      <c r="H21" s="141">
        <f>G22+G25</f>
        <v>38084.400000000001</v>
      </c>
    </row>
    <row r="22" spans="2:8" ht="12.75" customHeight="1" x14ac:dyDescent="0.25">
      <c r="B22" s="123">
        <v>3</v>
      </c>
      <c r="C22" s="169" t="s">
        <v>32</v>
      </c>
      <c r="D22" s="124">
        <v>20</v>
      </c>
      <c r="E22" s="169" t="s">
        <v>33</v>
      </c>
      <c r="F22" s="23">
        <v>900</v>
      </c>
      <c r="G22" s="131">
        <f>D22*F22</f>
        <v>18000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20084.400000000001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220928.4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96</v>
      </c>
      <c r="D32" s="112">
        <v>0</v>
      </c>
      <c r="E32" s="138" t="s">
        <v>78</v>
      </c>
      <c r="F32" s="135">
        <v>8.7100000000000009</v>
      </c>
      <c r="G32" s="128">
        <f>D32*F32*-1</f>
        <v>0</v>
      </c>
      <c r="H32" s="141">
        <f>G19+G38</f>
        <v>113564</v>
      </c>
    </row>
    <row r="33" spans="2:8" ht="12.75" customHeight="1" x14ac:dyDescent="0.25">
      <c r="B33" s="111">
        <v>1</v>
      </c>
      <c r="C33" s="138" t="s">
        <v>97</v>
      </c>
      <c r="D33" s="112"/>
      <c r="E33" s="138" t="s">
        <v>78</v>
      </c>
      <c r="F33" s="135">
        <v>9.2799999999999994</v>
      </c>
      <c r="G33" s="128">
        <f>D33*F33*-1</f>
        <v>0</v>
      </c>
      <c r="H33" s="113"/>
    </row>
    <row r="34" spans="2:8" ht="12.75" customHeight="1" x14ac:dyDescent="0.25">
      <c r="B34" s="111">
        <v>1</v>
      </c>
      <c r="C34" s="170" t="s">
        <v>98</v>
      </c>
      <c r="D34" s="112">
        <v>2200</v>
      </c>
      <c r="E34" s="138" t="s">
        <v>78</v>
      </c>
      <c r="F34" s="135">
        <v>13.92</v>
      </c>
      <c r="G34" s="128">
        <f>D34*F34*-1</f>
        <v>-30624</v>
      </c>
      <c r="H34" s="113"/>
    </row>
    <row r="35" spans="2:8" ht="12.75" customHeight="1" x14ac:dyDescent="0.25">
      <c r="B35" s="111">
        <v>1</v>
      </c>
      <c r="C35" s="138" t="s">
        <v>99</v>
      </c>
      <c r="D35" s="112">
        <v>2200</v>
      </c>
      <c r="E35" s="138" t="s">
        <v>78</v>
      </c>
      <c r="F35" s="135">
        <v>12.48</v>
      </c>
      <c r="G35" s="128">
        <f>D35*F35*-1</f>
        <v>-27456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>D36*F36</f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41">
        <f>G21+G40</f>
        <v>6720</v>
      </c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-58080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41">
        <f>G22+G25+G41+G44</f>
        <v>28858.400000000001</v>
      </c>
    </row>
    <row r="40" spans="2:8" x14ac:dyDescent="0.25">
      <c r="B40" s="121">
        <v>2</v>
      </c>
      <c r="C40" s="168" t="s">
        <v>29</v>
      </c>
      <c r="D40" s="122">
        <v>64</v>
      </c>
      <c r="E40" s="168" t="s">
        <v>30</v>
      </c>
      <c r="F40" s="5">
        <v>70</v>
      </c>
      <c r="G40" s="130">
        <f>D40*F40*-1</f>
        <v>-4480</v>
      </c>
      <c r="H40" s="141"/>
    </row>
    <row r="41" spans="2:8" x14ac:dyDescent="0.25">
      <c r="B41" s="123">
        <v>3</v>
      </c>
      <c r="C41" s="169" t="s">
        <v>32</v>
      </c>
      <c r="D41" s="124">
        <v>3</v>
      </c>
      <c r="E41" s="169" t="s">
        <v>33</v>
      </c>
      <c r="F41" s="23">
        <v>900</v>
      </c>
      <c r="G41" s="131">
        <f>D41*F41*-1</f>
        <v>-2700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-6526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-71786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188808.40000000002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19800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12320.000000000002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124920.40000000002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16830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7392.0000000000018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868D-D50E-4972-A0A0-D72FB20849BC}">
  <sheetPr>
    <tabColor rgb="FFFF0000"/>
  </sheetPr>
  <dimension ref="B1:J57"/>
  <sheetViews>
    <sheetView workbookViewId="0">
      <selection activeCell="C6" sqref="C6:G6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100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101</v>
      </c>
      <c r="D6" s="224"/>
      <c r="E6" s="224"/>
      <c r="F6" s="224"/>
      <c r="G6" s="224"/>
      <c r="H6" s="113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102</v>
      </c>
      <c r="D13" s="112">
        <v>12000</v>
      </c>
      <c r="E13" s="138" t="s">
        <v>78</v>
      </c>
      <c r="F13" s="135">
        <v>3.2</v>
      </c>
      <c r="G13" s="128">
        <f>D13*F13</f>
        <v>38400</v>
      </c>
      <c r="H13" s="113"/>
    </row>
    <row r="14" spans="2:9" ht="12.75" customHeight="1" x14ac:dyDescent="0.25">
      <c r="B14" s="111">
        <v>1</v>
      </c>
      <c r="C14" s="138" t="s">
        <v>103</v>
      </c>
      <c r="D14" s="112">
        <v>12000</v>
      </c>
      <c r="E14" s="138" t="s">
        <v>78</v>
      </c>
      <c r="F14" s="135">
        <v>1.1000000000000001</v>
      </c>
      <c r="G14" s="128">
        <f t="shared" ref="G14:G16" si="0">D14*F14</f>
        <v>13200.000000000002</v>
      </c>
      <c r="H14" s="113"/>
    </row>
    <row r="15" spans="2:9" ht="12.75" customHeight="1" x14ac:dyDescent="0.25">
      <c r="B15" s="111">
        <v>1</v>
      </c>
      <c r="C15" s="138" t="s">
        <v>104</v>
      </c>
      <c r="D15" s="112">
        <v>12000</v>
      </c>
      <c r="E15" s="138" t="s">
        <v>78</v>
      </c>
      <c r="F15" s="135">
        <v>1.35</v>
      </c>
      <c r="G15" s="128">
        <f t="shared" si="0"/>
        <v>16200.000000000002</v>
      </c>
      <c r="H15" s="113"/>
    </row>
    <row r="16" spans="2:9" ht="12.75" customHeight="1" x14ac:dyDescent="0.25">
      <c r="B16" s="111">
        <v>1</v>
      </c>
      <c r="C16" s="138" t="s">
        <v>105</v>
      </c>
      <c r="D16" s="112">
        <v>12000</v>
      </c>
      <c r="E16" s="138" t="s">
        <v>78</v>
      </c>
      <c r="F16" s="135">
        <v>1.45</v>
      </c>
      <c r="G16" s="128">
        <f t="shared" si="0"/>
        <v>17400</v>
      </c>
      <c r="H16" s="113"/>
    </row>
    <row r="17" spans="2:10" ht="12.75" customHeight="1" x14ac:dyDescent="0.25">
      <c r="B17" s="113"/>
      <c r="C17" s="138"/>
      <c r="D17" s="112"/>
      <c r="E17" s="138"/>
      <c r="F17" s="20"/>
      <c r="G17" s="128">
        <f t="shared" ref="G17" si="1">D17*F17</f>
        <v>0</v>
      </c>
      <c r="H17" s="113"/>
    </row>
    <row r="18" spans="2:10" ht="12.75" customHeight="1" x14ac:dyDescent="0.25">
      <c r="B18" s="114"/>
      <c r="C18" s="166"/>
      <c r="D18" s="115"/>
      <c r="E18" s="167"/>
      <c r="F18" s="116"/>
      <c r="G18" s="116"/>
      <c r="H18" s="113"/>
    </row>
    <row r="19" spans="2:10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85200</v>
      </c>
      <c r="H19" s="113"/>
      <c r="J19">
        <f>24000+12600</f>
        <v>36600</v>
      </c>
    </row>
    <row r="20" spans="2:10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  <c r="J20">
        <v>3660</v>
      </c>
    </row>
    <row r="21" spans="2:10" ht="12.75" customHeight="1" x14ac:dyDescent="0.25">
      <c r="B21" s="121">
        <v>2</v>
      </c>
      <c r="C21" s="168" t="s">
        <v>29</v>
      </c>
      <c r="D21" s="122">
        <v>240</v>
      </c>
      <c r="E21" s="168" t="s">
        <v>30</v>
      </c>
      <c r="F21" s="5">
        <v>70</v>
      </c>
      <c r="G21" s="130">
        <f>D21*F21</f>
        <v>16800</v>
      </c>
      <c r="H21" s="113"/>
    </row>
    <row r="22" spans="2:10" ht="12.75" customHeight="1" x14ac:dyDescent="0.25">
      <c r="B22" s="123">
        <v>3</v>
      </c>
      <c r="C22" s="169" t="s">
        <v>32</v>
      </c>
      <c r="D22" s="124">
        <v>20</v>
      </c>
      <c r="E22" s="169" t="s">
        <v>33</v>
      </c>
      <c r="F22" s="23">
        <v>1200</v>
      </c>
      <c r="G22" s="131">
        <f t="shared" ref="G22" si="2">D22*F22</f>
        <v>24000</v>
      </c>
      <c r="H22" s="113"/>
    </row>
    <row r="23" spans="2:10" ht="12.75" customHeight="1" x14ac:dyDescent="0.25">
      <c r="B23" s="117"/>
      <c r="C23" s="118" t="s">
        <v>35</v>
      </c>
      <c r="D23" s="119"/>
      <c r="E23" s="120"/>
      <c r="F23" s="120"/>
      <c r="G23" s="120"/>
      <c r="H23" s="141">
        <f>G21+G40</f>
        <v>11200</v>
      </c>
    </row>
    <row r="24" spans="2:10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41">
        <f>G19+G38</f>
        <v>70500</v>
      </c>
    </row>
    <row r="25" spans="2:10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12600</v>
      </c>
      <c r="H25" s="141">
        <f>G41+G22+G25+G44</f>
        <v>27970</v>
      </c>
    </row>
    <row r="26" spans="2:10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10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138600</v>
      </c>
      <c r="H27" s="113"/>
    </row>
    <row r="28" spans="2:10" x14ac:dyDescent="0.25">
      <c r="H28" s="113"/>
    </row>
    <row r="29" spans="2:10" x14ac:dyDescent="0.25">
      <c r="B29" s="105" t="s">
        <v>50</v>
      </c>
      <c r="C29" s="106"/>
      <c r="D29" s="106"/>
      <c r="E29" s="106"/>
      <c r="F29" s="106"/>
      <c r="G29" s="106"/>
      <c r="H29" s="141"/>
    </row>
    <row r="30" spans="2:10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10" ht="12.75" customHeight="1" x14ac:dyDescent="0.25">
      <c r="B31" s="107"/>
      <c r="C31" s="108"/>
      <c r="D31" s="109"/>
      <c r="E31" s="110"/>
      <c r="F31" s="110"/>
      <c r="G31" s="110"/>
      <c r="H31" s="113"/>
    </row>
    <row r="32" spans="2:10" ht="12.75" customHeight="1" x14ac:dyDescent="0.25">
      <c r="B32" s="111">
        <v>1</v>
      </c>
      <c r="C32" s="138" t="s">
        <v>102</v>
      </c>
      <c r="D32" s="112"/>
      <c r="E32" s="138" t="s">
        <v>78</v>
      </c>
      <c r="F32" s="135">
        <v>3.2</v>
      </c>
      <c r="G32" s="128">
        <f>D32*F32*-1</f>
        <v>0</v>
      </c>
      <c r="H32" s="113"/>
    </row>
    <row r="33" spans="2:8" ht="12.75" customHeight="1" x14ac:dyDescent="0.25">
      <c r="B33" s="111">
        <v>1</v>
      </c>
      <c r="C33" s="138" t="s">
        <v>103</v>
      </c>
      <c r="D33" s="112">
        <v>6000</v>
      </c>
      <c r="E33" s="138" t="s">
        <v>78</v>
      </c>
      <c r="F33" s="135">
        <v>1.1000000000000001</v>
      </c>
      <c r="G33" s="128">
        <f>D33*F33*-1</f>
        <v>-6600.0000000000009</v>
      </c>
      <c r="H33" s="113"/>
    </row>
    <row r="34" spans="2:8" ht="12.75" customHeight="1" x14ac:dyDescent="0.25">
      <c r="B34" s="111">
        <v>1</v>
      </c>
      <c r="C34" s="138" t="s">
        <v>104</v>
      </c>
      <c r="D34" s="112">
        <v>6000</v>
      </c>
      <c r="E34" s="138" t="s">
        <v>78</v>
      </c>
      <c r="F34" s="135">
        <v>1.35</v>
      </c>
      <c r="G34" s="128">
        <f t="shared" ref="G34:G35" si="3">D34*F34*-1</f>
        <v>-8100.0000000000009</v>
      </c>
      <c r="H34" s="113"/>
    </row>
    <row r="35" spans="2:8" ht="12.75" customHeight="1" x14ac:dyDescent="0.25">
      <c r="B35" s="111">
        <v>1</v>
      </c>
      <c r="C35" s="138" t="s">
        <v>105</v>
      </c>
      <c r="D35" s="112"/>
      <c r="E35" s="138" t="s">
        <v>78</v>
      </c>
      <c r="F35" s="135">
        <v>1.45</v>
      </c>
      <c r="G35" s="128">
        <f t="shared" si="3"/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ref="G36" si="4">D36*F36</f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-14700.000000000002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80</v>
      </c>
      <c r="E40" s="168" t="s">
        <v>30</v>
      </c>
      <c r="F40" s="5">
        <v>70</v>
      </c>
      <c r="G40" s="130">
        <f>D40*F40*-1</f>
        <v>-5600</v>
      </c>
      <c r="H40" s="113"/>
    </row>
    <row r="41" spans="2:8" x14ac:dyDescent="0.25">
      <c r="B41" s="123">
        <v>3</v>
      </c>
      <c r="C41" s="169" t="s">
        <v>32</v>
      </c>
      <c r="D41" s="124">
        <v>5</v>
      </c>
      <c r="E41" s="169" t="s">
        <v>33</v>
      </c>
      <c r="F41" s="23">
        <v>1200</v>
      </c>
      <c r="G41" s="131">
        <f>D41*F41*-1</f>
        <v>-6000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-2630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-28930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93720.000000000015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26400.000000000004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18480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77550.000000000015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19800.000000000004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12320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41B7C-0E24-4F64-BAE4-1B18C026D227}">
  <sheetPr>
    <tabColor rgb="FFFF0000"/>
  </sheetPr>
  <dimension ref="B1:J57"/>
  <sheetViews>
    <sheetView workbookViewId="0">
      <selection activeCell="D41" sqref="D41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106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107</v>
      </c>
      <c r="D6" s="224"/>
      <c r="E6" s="224"/>
      <c r="F6" s="224"/>
      <c r="G6" s="224"/>
      <c r="H6" s="134" t="s">
        <v>108</v>
      </c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109</v>
      </c>
      <c r="D13" s="112"/>
      <c r="E13" s="138" t="s">
        <v>20</v>
      </c>
      <c r="F13" s="20">
        <v>110</v>
      </c>
      <c r="G13" s="128">
        <f>D13*F13</f>
        <v>0</v>
      </c>
      <c r="H13" s="113" t="s">
        <v>110</v>
      </c>
    </row>
    <row r="14" spans="2:9" ht="12.75" customHeight="1" x14ac:dyDescent="0.25">
      <c r="B14" s="111">
        <v>1</v>
      </c>
      <c r="C14" s="138" t="s">
        <v>111</v>
      </c>
      <c r="D14" s="112">
        <v>1</v>
      </c>
      <c r="E14" s="138" t="s">
        <v>20</v>
      </c>
      <c r="F14" s="20">
        <v>280</v>
      </c>
      <c r="G14" s="128">
        <f t="shared" ref="G14:G17" si="0">D14*F14</f>
        <v>280</v>
      </c>
      <c r="H14" s="113"/>
    </row>
    <row r="15" spans="2:9" ht="12.75" customHeight="1" x14ac:dyDescent="0.25">
      <c r="B15" s="111">
        <v>1</v>
      </c>
      <c r="C15" s="138" t="s">
        <v>112</v>
      </c>
      <c r="D15" s="112">
        <v>1</v>
      </c>
      <c r="E15" s="138" t="s">
        <v>20</v>
      </c>
      <c r="F15" s="20">
        <v>34</v>
      </c>
      <c r="G15" s="128">
        <f t="shared" si="0"/>
        <v>34</v>
      </c>
      <c r="H15" s="113"/>
    </row>
    <row r="16" spans="2:9" ht="12.75" customHeight="1" x14ac:dyDescent="0.25">
      <c r="B16" s="111">
        <v>1</v>
      </c>
      <c r="C16" s="138" t="s">
        <v>113</v>
      </c>
      <c r="D16" s="112">
        <v>1</v>
      </c>
      <c r="E16" s="138" t="s">
        <v>20</v>
      </c>
      <c r="F16" s="20">
        <v>95</v>
      </c>
      <c r="G16" s="128">
        <f>D16*F16</f>
        <v>95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409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6</v>
      </c>
      <c r="E21" s="168" t="s">
        <v>30</v>
      </c>
      <c r="F21" s="5">
        <v>70</v>
      </c>
      <c r="G21" s="130">
        <f>D21*F21</f>
        <v>420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0</v>
      </c>
      <c r="E22" s="169" t="s">
        <v>33</v>
      </c>
      <c r="F22" s="23">
        <v>900</v>
      </c>
      <c r="G22" s="131">
        <f t="shared" ref="G22" si="1">D22*F22</f>
        <v>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82.9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911.9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109</v>
      </c>
      <c r="D32" s="112">
        <v>-1</v>
      </c>
      <c r="E32" s="138" t="s">
        <v>20</v>
      </c>
      <c r="F32" s="20">
        <v>110</v>
      </c>
      <c r="G32" s="128">
        <f>D32*F32*-1</f>
        <v>110</v>
      </c>
      <c r="H32" s="141"/>
    </row>
    <row r="33" spans="2:10" ht="12.75" customHeight="1" x14ac:dyDescent="0.25">
      <c r="B33" s="111">
        <v>1</v>
      </c>
      <c r="C33" s="138" t="s">
        <v>111</v>
      </c>
      <c r="D33" s="112">
        <v>1</v>
      </c>
      <c r="E33" s="138" t="s">
        <v>20</v>
      </c>
      <c r="F33" s="20">
        <v>280</v>
      </c>
      <c r="G33" s="128">
        <f t="shared" ref="G33:G36" si="2">D33*F33*-1</f>
        <v>-280</v>
      </c>
      <c r="H33" s="113"/>
    </row>
    <row r="34" spans="2:10" ht="12.75" customHeight="1" x14ac:dyDescent="0.25">
      <c r="B34" s="111">
        <v>1</v>
      </c>
      <c r="C34" s="138" t="s">
        <v>112</v>
      </c>
      <c r="D34" s="112">
        <v>1</v>
      </c>
      <c r="E34" s="138" t="s">
        <v>20</v>
      </c>
      <c r="F34" s="20">
        <v>34</v>
      </c>
      <c r="G34" s="128">
        <f t="shared" si="2"/>
        <v>-34</v>
      </c>
      <c r="H34" s="113"/>
    </row>
    <row r="35" spans="2:10" ht="12.75" customHeight="1" x14ac:dyDescent="0.25">
      <c r="B35" s="111">
        <v>1</v>
      </c>
      <c r="C35" s="138" t="s">
        <v>113</v>
      </c>
      <c r="D35" s="112">
        <v>0</v>
      </c>
      <c r="E35" s="138" t="s">
        <v>20</v>
      </c>
      <c r="F35" s="20">
        <v>95</v>
      </c>
      <c r="G35" s="128">
        <f t="shared" si="2"/>
        <v>0</v>
      </c>
      <c r="H35" s="113"/>
      <c r="J35" s="142"/>
    </row>
    <row r="36" spans="2:10" ht="12.75" customHeight="1" x14ac:dyDescent="0.25">
      <c r="B36" s="125"/>
      <c r="C36" s="171"/>
      <c r="D36" s="124"/>
      <c r="E36" s="169"/>
      <c r="F36" s="23"/>
      <c r="G36" s="128">
        <f t="shared" si="2"/>
        <v>0</v>
      </c>
      <c r="H36" s="113"/>
    </row>
    <row r="37" spans="2:10" x14ac:dyDescent="0.25">
      <c r="B37" s="117"/>
      <c r="C37" s="172"/>
      <c r="D37" s="119"/>
      <c r="E37" s="173"/>
      <c r="F37" s="34"/>
      <c r="G37" s="34"/>
      <c r="H37" s="113"/>
    </row>
    <row r="38" spans="2:10" x14ac:dyDescent="0.25">
      <c r="B38" s="225" t="s">
        <v>22</v>
      </c>
      <c r="C38" s="226"/>
      <c r="D38" s="226"/>
      <c r="E38" s="226"/>
      <c r="F38" s="227"/>
      <c r="G38" s="129">
        <f>SUM(G31:G37)</f>
        <v>-204</v>
      </c>
      <c r="H38" s="141">
        <f>G27+G46</f>
        <v>225.5</v>
      </c>
    </row>
    <row r="39" spans="2:10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10" x14ac:dyDescent="0.25">
      <c r="B40" s="121">
        <v>2</v>
      </c>
      <c r="C40" s="168" t="s">
        <v>29</v>
      </c>
      <c r="D40" s="122">
        <v>6</v>
      </c>
      <c r="E40" s="168" t="s">
        <v>30</v>
      </c>
      <c r="F40" s="5">
        <v>70</v>
      </c>
      <c r="G40" s="130">
        <f>D40*F40*-1</f>
        <v>-420</v>
      </c>
      <c r="H40" s="113"/>
    </row>
    <row r="41" spans="2:10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41"/>
    </row>
    <row r="42" spans="2:10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10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10" x14ac:dyDescent="0.25">
      <c r="B44" s="219" t="s">
        <v>35</v>
      </c>
      <c r="C44" s="219"/>
      <c r="D44" s="219"/>
      <c r="E44" s="219"/>
      <c r="F44" s="219"/>
      <c r="G44" s="128">
        <f>G43*SUM(G38,G40:G41)</f>
        <v>-62.400000000000006</v>
      </c>
      <c r="H44" s="113"/>
    </row>
    <row r="45" spans="2:10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10" x14ac:dyDescent="0.25">
      <c r="B46" s="228" t="s">
        <v>63</v>
      </c>
      <c r="C46" s="229"/>
      <c r="D46" s="229"/>
      <c r="E46" s="229"/>
      <c r="F46" s="230"/>
      <c r="G46" s="130">
        <f>G38+G40+G41+G44</f>
        <v>-686.4</v>
      </c>
      <c r="H46" s="113"/>
    </row>
    <row r="47" spans="2:10" x14ac:dyDescent="0.25">
      <c r="D47"/>
      <c r="H47" s="113"/>
    </row>
    <row r="48" spans="2:10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449.90000000000003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462.00000000000006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225.50000000000003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0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27B9-E16A-415E-AB90-B3B111FBB5B2}">
  <sheetPr>
    <tabColor rgb="FFFF0000"/>
  </sheetPr>
  <dimension ref="B1:I57"/>
  <sheetViews>
    <sheetView workbookViewId="0">
      <selection activeCell="H25" sqref="H25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114</v>
      </c>
      <c r="D5" s="224"/>
      <c r="E5" s="224"/>
      <c r="F5" s="224"/>
      <c r="G5" s="224"/>
      <c r="H5" s="113" t="s">
        <v>115</v>
      </c>
      <c r="I5" s="161"/>
    </row>
    <row r="6" spans="2:9" ht="12.75" customHeight="1" x14ac:dyDescent="0.25">
      <c r="B6" s="160" t="s">
        <v>5</v>
      </c>
      <c r="C6" s="223" t="s">
        <v>116</v>
      </c>
      <c r="D6" s="224"/>
      <c r="E6" s="224"/>
      <c r="F6" s="224"/>
      <c r="G6" s="224"/>
      <c r="H6" s="134" t="s">
        <v>117</v>
      </c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118</v>
      </c>
      <c r="D13" s="112">
        <v>6</v>
      </c>
      <c r="E13" s="138" t="s">
        <v>18</v>
      </c>
      <c r="F13" s="20">
        <v>500</v>
      </c>
      <c r="G13" s="128">
        <f>D13*F13</f>
        <v>3000</v>
      </c>
      <c r="H13" s="113" t="s">
        <v>119</v>
      </c>
    </row>
    <row r="14" spans="2:9" ht="12.75" customHeight="1" x14ac:dyDescent="0.25">
      <c r="B14" s="111">
        <v>1</v>
      </c>
      <c r="C14" s="138" t="s">
        <v>19</v>
      </c>
      <c r="D14" s="112">
        <v>1</v>
      </c>
      <c r="E14" s="138" t="s">
        <v>20</v>
      </c>
      <c r="F14" s="20">
        <v>300</v>
      </c>
      <c r="G14" s="128">
        <f t="shared" ref="G14:G17" si="0">D14*F14</f>
        <v>300</v>
      </c>
      <c r="H14" s="113"/>
    </row>
    <row r="15" spans="2:9" ht="12.75" customHeight="1" x14ac:dyDescent="0.25">
      <c r="B15" s="111">
        <v>1</v>
      </c>
      <c r="C15" s="138" t="s">
        <v>120</v>
      </c>
      <c r="D15" s="112">
        <v>1</v>
      </c>
      <c r="E15" s="138" t="s">
        <v>20</v>
      </c>
      <c r="F15" s="20">
        <v>1200</v>
      </c>
      <c r="G15" s="128">
        <f t="shared" si="0"/>
        <v>1200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4500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12</v>
      </c>
      <c r="E21" s="168" t="s">
        <v>30</v>
      </c>
      <c r="F21" s="5">
        <v>70</v>
      </c>
      <c r="G21" s="130">
        <f>D21*F21</f>
        <v>840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0</v>
      </c>
      <c r="E22" s="169" t="s">
        <v>33</v>
      </c>
      <c r="F22" s="23">
        <v>900</v>
      </c>
      <c r="G22" s="131">
        <f t="shared" ref="G22" si="1">D22*F22</f>
        <v>0</v>
      </c>
      <c r="H22" s="141">
        <f>G19+G38</f>
        <v>4200</v>
      </c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41">
        <f>G21+G40</f>
        <v>280</v>
      </c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41">
        <f>G25+G44</f>
        <v>448</v>
      </c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534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5874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17</v>
      </c>
      <c r="D32" s="112">
        <v>6</v>
      </c>
      <c r="E32" s="138" t="s">
        <v>18</v>
      </c>
      <c r="F32" s="20">
        <v>200</v>
      </c>
      <c r="G32" s="128">
        <f>D32*F32*-1</f>
        <v>-1200</v>
      </c>
      <c r="H32" s="113"/>
    </row>
    <row r="33" spans="2:8" ht="12.75" customHeight="1" x14ac:dyDescent="0.25">
      <c r="B33" s="111">
        <v>1</v>
      </c>
      <c r="C33" s="138" t="s">
        <v>19</v>
      </c>
      <c r="D33" s="112">
        <v>1</v>
      </c>
      <c r="E33" s="138" t="s">
        <v>20</v>
      </c>
      <c r="F33" s="20">
        <v>300</v>
      </c>
      <c r="G33" s="128">
        <f>D33*F33*-1</f>
        <v>-300</v>
      </c>
      <c r="H33" s="113"/>
    </row>
    <row r="34" spans="2:8" ht="12.75" customHeight="1" x14ac:dyDescent="0.25">
      <c r="B34" s="111">
        <v>1</v>
      </c>
      <c r="C34" s="138" t="s">
        <v>120</v>
      </c>
      <c r="D34" s="112">
        <v>1</v>
      </c>
      <c r="E34" s="138" t="s">
        <v>20</v>
      </c>
      <c r="F34" s="20">
        <v>1200</v>
      </c>
      <c r="G34" s="128">
        <f>D34*F34</f>
        <v>1200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ref="G35:G36" si="2">D35*F35</f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-300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8</v>
      </c>
      <c r="E40" s="168" t="s">
        <v>30</v>
      </c>
      <c r="F40" s="5">
        <v>70</v>
      </c>
      <c r="G40" s="130">
        <f>D40*F40*-1</f>
        <v>-560</v>
      </c>
      <c r="H40" s="113"/>
    </row>
    <row r="41" spans="2:8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-86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-946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4950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924.00000000000011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4620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308.00000000000011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8A0C-2DF6-40E0-984E-8576BA3296A7}">
  <sheetPr>
    <tabColor rgb="FFFF0000"/>
  </sheetPr>
  <dimension ref="B1:I57"/>
  <sheetViews>
    <sheetView workbookViewId="0">
      <selection activeCell="H41" sqref="H41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121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122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/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123</v>
      </c>
      <c r="D13" s="112">
        <v>1</v>
      </c>
      <c r="E13" s="138" t="s">
        <v>20</v>
      </c>
      <c r="F13" s="20">
        <v>6000</v>
      </c>
      <c r="G13" s="128">
        <f>D13*F13</f>
        <v>6000</v>
      </c>
      <c r="H13" s="113"/>
    </row>
    <row r="14" spans="2:9" ht="12.75" customHeight="1" x14ac:dyDescent="0.25">
      <c r="B14" s="111">
        <v>1</v>
      </c>
      <c r="C14" s="138" t="s">
        <v>19</v>
      </c>
      <c r="D14" s="112">
        <v>1</v>
      </c>
      <c r="E14" s="138" t="s">
        <v>20</v>
      </c>
      <c r="F14" s="20">
        <v>500</v>
      </c>
      <c r="G14" s="128">
        <f t="shared" ref="G14:G17" si="0">D14*F14</f>
        <v>500</v>
      </c>
      <c r="H14" s="113"/>
    </row>
    <row r="15" spans="2:9" ht="12.75" customHeight="1" x14ac:dyDescent="0.25">
      <c r="B15" s="111"/>
      <c r="C15" s="138"/>
      <c r="D15" s="112"/>
      <c r="E15" s="138"/>
      <c r="F15" s="20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6500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16</v>
      </c>
      <c r="E21" s="168" t="s">
        <v>30</v>
      </c>
      <c r="F21" s="5">
        <v>70</v>
      </c>
      <c r="G21" s="130">
        <f>D21*F21</f>
        <v>1120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0</v>
      </c>
      <c r="E22" s="169" t="s">
        <v>33</v>
      </c>
      <c r="F22" s="23">
        <v>900</v>
      </c>
      <c r="G22" s="131">
        <f t="shared" ref="G22" si="1">D22*F22</f>
        <v>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762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41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8382</v>
      </c>
      <c r="H27" s="141"/>
    </row>
    <row r="28" spans="2:8" x14ac:dyDescent="0.25">
      <c r="H28" s="141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123</v>
      </c>
      <c r="D32" s="112">
        <v>1</v>
      </c>
      <c r="E32" s="138" t="s">
        <v>20</v>
      </c>
      <c r="F32" s="20">
        <v>1000</v>
      </c>
      <c r="G32" s="128">
        <f>D32*F32*-1</f>
        <v>-1000</v>
      </c>
      <c r="H32" s="113"/>
    </row>
    <row r="33" spans="2:8" ht="12.75" customHeight="1" x14ac:dyDescent="0.25">
      <c r="B33" s="111">
        <v>1</v>
      </c>
      <c r="C33" s="138" t="s">
        <v>19</v>
      </c>
      <c r="D33" s="112">
        <v>1</v>
      </c>
      <c r="E33" s="138" t="s">
        <v>20</v>
      </c>
      <c r="F33" s="20">
        <v>0</v>
      </c>
      <c r="G33" s="128">
        <f>D33*F33*-1</f>
        <v>0</v>
      </c>
      <c r="H33" s="113"/>
    </row>
    <row r="34" spans="2:8" ht="12.75" customHeight="1" x14ac:dyDescent="0.25">
      <c r="B34" s="113"/>
      <c r="C34" s="170"/>
      <c r="D34" s="112"/>
      <c r="E34" s="138"/>
      <c r="F34" s="20"/>
      <c r="G34" s="128">
        <f t="shared" ref="G34:G36" si="2">D34*F34</f>
        <v>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si="2"/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-1000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4</v>
      </c>
      <c r="E40" s="168" t="s">
        <v>30</v>
      </c>
      <c r="F40" s="5">
        <v>70</v>
      </c>
      <c r="G40" s="130">
        <f>D40*F40*-1</f>
        <v>-280</v>
      </c>
      <c r="H40" s="113"/>
    </row>
    <row r="41" spans="2:8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-128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-1408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7150.0000000000009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1232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6050.0000000000009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924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4CBF-EE5A-4C57-8199-1FFFDCA726B0}">
  <sheetPr>
    <tabColor rgb="FFFF0000"/>
  </sheetPr>
  <dimension ref="B1:I57"/>
  <sheetViews>
    <sheetView workbookViewId="0">
      <selection activeCell="G13" sqref="G13:G14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124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125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126</v>
      </c>
      <c r="D13" s="112">
        <v>260</v>
      </c>
      <c r="E13" s="138" t="s">
        <v>127</v>
      </c>
      <c r="F13" s="135">
        <v>26.306999999999999</v>
      </c>
      <c r="G13" s="128">
        <f>D13*F13</f>
        <v>6839.82</v>
      </c>
      <c r="H13" s="113" t="s">
        <v>128</v>
      </c>
    </row>
    <row r="14" spans="2:9" ht="12.75" customHeight="1" x14ac:dyDescent="0.25">
      <c r="B14" s="111">
        <v>1</v>
      </c>
      <c r="C14" s="138" t="s">
        <v>129</v>
      </c>
      <c r="D14" s="112">
        <v>260</v>
      </c>
      <c r="E14" s="138" t="s">
        <v>127</v>
      </c>
      <c r="F14" s="135">
        <v>43.844999999999999</v>
      </c>
      <c r="G14" s="128">
        <f t="shared" ref="G14:G17" si="0">D14*F14</f>
        <v>11399.699999999999</v>
      </c>
      <c r="H14" s="113"/>
    </row>
    <row r="15" spans="2:9" ht="12.75" customHeight="1" x14ac:dyDescent="0.25">
      <c r="B15" s="111"/>
      <c r="C15" s="138"/>
      <c r="D15" s="112"/>
      <c r="E15" s="138"/>
      <c r="F15" s="20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18239.519999999997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32</v>
      </c>
      <c r="E21" s="168" t="s">
        <v>30</v>
      </c>
      <c r="F21" s="5">
        <v>70</v>
      </c>
      <c r="G21" s="130">
        <f>D21*F21</f>
        <v>2240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2</v>
      </c>
      <c r="E22" s="169" t="s">
        <v>33</v>
      </c>
      <c r="F22" s="23">
        <v>900</v>
      </c>
      <c r="G22" s="131">
        <f t="shared" ref="G22" si="1">D22*F22</f>
        <v>1800</v>
      </c>
      <c r="H22" s="141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2227.9519999999998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24507.471999999998</v>
      </c>
      <c r="H27" s="113"/>
    </row>
    <row r="28" spans="2:8" x14ac:dyDescent="0.25">
      <c r="H28" s="141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41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41"/>
    </row>
    <row r="32" spans="2:8" ht="12.75" customHeight="1" x14ac:dyDescent="0.25">
      <c r="B32" s="111">
        <v>1</v>
      </c>
      <c r="C32" s="138" t="s">
        <v>126</v>
      </c>
      <c r="D32" s="112">
        <v>260</v>
      </c>
      <c r="E32" s="138" t="s">
        <v>127</v>
      </c>
      <c r="F32" s="135">
        <v>26.306999999999999</v>
      </c>
      <c r="G32" s="128">
        <f>D32*F32*-1</f>
        <v>-6839.82</v>
      </c>
      <c r="H32" s="141"/>
    </row>
    <row r="33" spans="2:9" ht="12.75" customHeight="1" x14ac:dyDescent="0.25">
      <c r="B33" s="111">
        <v>1</v>
      </c>
      <c r="C33" s="138" t="s">
        <v>129</v>
      </c>
      <c r="D33" s="112"/>
      <c r="E33" s="138" t="s">
        <v>127</v>
      </c>
      <c r="F33" s="135">
        <v>43.844999999999999</v>
      </c>
      <c r="G33" s="128">
        <f t="shared" ref="G33" si="2">D33*F33</f>
        <v>0</v>
      </c>
      <c r="H33" s="141"/>
    </row>
    <row r="34" spans="2:9" ht="12.75" customHeight="1" x14ac:dyDescent="0.25">
      <c r="B34" s="113"/>
      <c r="C34" s="170"/>
      <c r="D34" s="112"/>
      <c r="E34" s="138"/>
      <c r="F34" s="20"/>
      <c r="G34" s="128">
        <f t="shared" ref="G34:G36" si="3">D34*F34</f>
        <v>0</v>
      </c>
      <c r="H34" s="113"/>
    </row>
    <row r="35" spans="2:9" ht="12.75" customHeight="1" x14ac:dyDescent="0.25">
      <c r="B35" s="113"/>
      <c r="C35" s="170"/>
      <c r="D35" s="112"/>
      <c r="E35" s="138"/>
      <c r="F35" s="20"/>
      <c r="G35" s="128">
        <f t="shared" si="3"/>
        <v>0</v>
      </c>
      <c r="H35" s="113"/>
    </row>
    <row r="36" spans="2:9" ht="12.75" customHeight="1" x14ac:dyDescent="0.25">
      <c r="B36" s="125"/>
      <c r="C36" s="171"/>
      <c r="D36" s="124"/>
      <c r="E36" s="169"/>
      <c r="F36" s="23"/>
      <c r="G36" s="131">
        <f t="shared" si="3"/>
        <v>0</v>
      </c>
      <c r="H36" s="113"/>
    </row>
    <row r="37" spans="2:9" x14ac:dyDescent="0.25">
      <c r="B37" s="117"/>
      <c r="C37" s="172"/>
      <c r="D37" s="119"/>
      <c r="E37" s="173"/>
      <c r="F37" s="34"/>
      <c r="G37" s="34"/>
      <c r="H37" s="113"/>
    </row>
    <row r="38" spans="2:9" x14ac:dyDescent="0.25">
      <c r="B38" s="225" t="s">
        <v>22</v>
      </c>
      <c r="C38" s="226"/>
      <c r="D38" s="226"/>
      <c r="E38" s="226"/>
      <c r="F38" s="227"/>
      <c r="G38" s="129">
        <f>SUM(G31:G37)</f>
        <v>-6839.82</v>
      </c>
      <c r="H38" s="141"/>
    </row>
    <row r="39" spans="2:9" x14ac:dyDescent="0.25">
      <c r="B39" s="117"/>
      <c r="C39" s="118" t="s">
        <v>27</v>
      </c>
      <c r="D39" s="119"/>
      <c r="E39" s="120"/>
      <c r="F39" s="120"/>
      <c r="G39" s="120"/>
      <c r="H39" s="141"/>
    </row>
    <row r="40" spans="2:9" x14ac:dyDescent="0.25">
      <c r="B40" s="121">
        <v>2</v>
      </c>
      <c r="C40" s="168" t="s">
        <v>29</v>
      </c>
      <c r="D40" s="122">
        <v>8</v>
      </c>
      <c r="E40" s="168" t="s">
        <v>30</v>
      </c>
      <c r="F40" s="5">
        <v>70</v>
      </c>
      <c r="G40" s="130">
        <f>D40*F40*-1</f>
        <v>-560</v>
      </c>
      <c r="H40" s="113"/>
    </row>
    <row r="41" spans="2:9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4">D41*F41</f>
        <v>0</v>
      </c>
      <c r="H41" s="113"/>
    </row>
    <row r="42" spans="2:9" x14ac:dyDescent="0.25">
      <c r="B42" s="117"/>
      <c r="C42" s="118" t="s">
        <v>35</v>
      </c>
      <c r="D42" s="119"/>
      <c r="E42" s="120"/>
      <c r="F42" s="120"/>
      <c r="G42" s="120"/>
      <c r="H42" s="113"/>
      <c r="I42" s="142"/>
    </row>
    <row r="43" spans="2:9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9" x14ac:dyDescent="0.25">
      <c r="B44" s="219" t="s">
        <v>35</v>
      </c>
      <c r="C44" s="219"/>
      <c r="D44" s="219"/>
      <c r="E44" s="219"/>
      <c r="F44" s="219"/>
      <c r="G44" s="128">
        <f>G43*SUM(G38,G40:G41)</f>
        <v>-739.98199999999997</v>
      </c>
      <c r="H44" s="113"/>
    </row>
    <row r="45" spans="2:9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9" x14ac:dyDescent="0.25">
      <c r="B46" s="228" t="s">
        <v>63</v>
      </c>
      <c r="C46" s="229"/>
      <c r="D46" s="229"/>
      <c r="E46" s="229"/>
      <c r="F46" s="230"/>
      <c r="G46" s="130">
        <f>G38+G40+G41+G44</f>
        <v>-8139.8019999999997</v>
      </c>
      <c r="H46" s="113"/>
    </row>
    <row r="47" spans="2:9" x14ac:dyDescent="0.25">
      <c r="D47"/>
      <c r="H47" s="113"/>
    </row>
    <row r="48" spans="2:9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20063.471999999998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1980.0000000000002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2464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12539.669999999998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1980.0000000000002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1848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B94F-655D-4F31-A32D-4162A5FE88B0}">
  <sheetPr>
    <tabColor rgb="FFFF0000"/>
  </sheetPr>
  <dimension ref="B1:J57"/>
  <sheetViews>
    <sheetView workbookViewId="0">
      <selection activeCell="J14" sqref="J14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10" ht="18.75" customHeight="1" x14ac:dyDescent="0.25"/>
    <row r="2" spans="2:10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10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10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10" ht="12.75" customHeight="1" x14ac:dyDescent="0.25">
      <c r="B5" s="160" t="s">
        <v>72</v>
      </c>
      <c r="C5" s="223" t="s">
        <v>130</v>
      </c>
      <c r="D5" s="224"/>
      <c r="E5" s="224"/>
      <c r="F5" s="224"/>
      <c r="G5" s="224"/>
      <c r="H5" s="113"/>
      <c r="I5" s="161"/>
    </row>
    <row r="6" spans="2:10" ht="12.75" customHeight="1" x14ac:dyDescent="0.25">
      <c r="B6" s="160" t="s">
        <v>5</v>
      </c>
      <c r="C6" s="223" t="s">
        <v>131</v>
      </c>
      <c r="D6" s="224"/>
      <c r="E6" s="224"/>
      <c r="F6" s="224"/>
      <c r="G6" s="224"/>
      <c r="H6" s="134"/>
      <c r="I6" s="161"/>
    </row>
    <row r="7" spans="2:10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10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10" ht="12.75" customHeight="1" x14ac:dyDescent="0.25">
      <c r="H9" s="113"/>
    </row>
    <row r="10" spans="2:10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10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10" ht="12.75" customHeight="1" x14ac:dyDescent="0.25">
      <c r="B12" s="107"/>
      <c r="C12" s="108"/>
      <c r="D12" s="109"/>
      <c r="E12" s="110"/>
      <c r="F12" s="110"/>
      <c r="G12" s="110"/>
      <c r="H12" s="113"/>
    </row>
    <row r="13" spans="2:10" ht="12.75" customHeight="1" x14ac:dyDescent="0.25">
      <c r="B13" s="111">
        <v>1</v>
      </c>
      <c r="C13" s="138" t="s">
        <v>132</v>
      </c>
      <c r="D13" s="112">
        <f>12000*120</f>
        <v>1440000</v>
      </c>
      <c r="E13" s="138" t="s">
        <v>133</v>
      </c>
      <c r="F13" s="135">
        <v>0.45</v>
      </c>
      <c r="G13" s="128">
        <f>D13*F13</f>
        <v>648000</v>
      </c>
      <c r="H13" s="113" t="s">
        <v>134</v>
      </c>
    </row>
    <row r="14" spans="2:10" ht="12.75" customHeight="1" x14ac:dyDescent="0.25">
      <c r="B14" s="111">
        <v>1</v>
      </c>
      <c r="C14" s="138" t="s">
        <v>135</v>
      </c>
      <c r="D14" s="112">
        <f>12000*120</f>
        <v>1440000</v>
      </c>
      <c r="E14" s="138" t="s">
        <v>133</v>
      </c>
      <c r="F14" s="135">
        <v>0.23</v>
      </c>
      <c r="G14" s="128">
        <f t="shared" ref="G14:G17" si="0">D14*F14</f>
        <v>331200</v>
      </c>
      <c r="H14" s="113" t="s">
        <v>136</v>
      </c>
      <c r="J14">
        <f>1000000/20</f>
        <v>50000</v>
      </c>
    </row>
    <row r="15" spans="2:10" ht="12.75" customHeight="1" x14ac:dyDescent="0.25">
      <c r="B15" s="111">
        <v>1</v>
      </c>
      <c r="C15" s="138" t="s">
        <v>137</v>
      </c>
      <c r="D15" s="112">
        <v>12000</v>
      </c>
      <c r="E15" s="138" t="s">
        <v>138</v>
      </c>
      <c r="F15" s="135">
        <v>0.5</v>
      </c>
      <c r="G15" s="128">
        <f t="shared" si="0"/>
        <v>6000</v>
      </c>
      <c r="H15" s="113"/>
    </row>
    <row r="16" spans="2:10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985200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80</v>
      </c>
      <c r="E21" s="168" t="s">
        <v>30</v>
      </c>
      <c r="F21" s="5">
        <v>70</v>
      </c>
      <c r="G21" s="130">
        <f>D21*F21</f>
        <v>5600</v>
      </c>
      <c r="H21" s="141">
        <f>G22+G25</f>
        <v>105680</v>
      </c>
    </row>
    <row r="22" spans="2:8" ht="12.75" customHeight="1" x14ac:dyDescent="0.25">
      <c r="B22" s="123">
        <v>3</v>
      </c>
      <c r="C22" s="169" t="s">
        <v>32</v>
      </c>
      <c r="D22" s="124">
        <v>5</v>
      </c>
      <c r="E22" s="169" t="s">
        <v>33</v>
      </c>
      <c r="F22" s="23">
        <v>1200</v>
      </c>
      <c r="G22" s="131">
        <f t="shared" ref="G22" si="1">D22*F22</f>
        <v>6000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99680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1096480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139</v>
      </c>
      <c r="D32" s="112">
        <f>12000*120</f>
        <v>1440000</v>
      </c>
      <c r="E32" s="138" t="s">
        <v>133</v>
      </c>
      <c r="F32" s="135">
        <f>0.27*0.45</f>
        <v>0.12150000000000001</v>
      </c>
      <c r="G32" s="128">
        <f>D32*F32*-1</f>
        <v>-174960.00000000003</v>
      </c>
      <c r="H32" s="113"/>
    </row>
    <row r="33" spans="2:8" ht="12.75" customHeight="1" x14ac:dyDescent="0.25">
      <c r="B33" s="111">
        <v>1</v>
      </c>
      <c r="C33" s="138" t="s">
        <v>135</v>
      </c>
      <c r="D33" s="112"/>
      <c r="E33" s="138" t="s">
        <v>133</v>
      </c>
      <c r="F33" s="135">
        <v>0.23</v>
      </c>
      <c r="G33" s="128">
        <f>D33*F33*-1</f>
        <v>0</v>
      </c>
      <c r="H33" s="113"/>
    </row>
    <row r="34" spans="2:8" ht="12.75" customHeight="1" x14ac:dyDescent="0.25">
      <c r="B34" s="111">
        <v>1</v>
      </c>
      <c r="C34" s="138" t="s">
        <v>137</v>
      </c>
      <c r="D34" s="112">
        <v>12000</v>
      </c>
      <c r="E34" s="138" t="s">
        <v>138</v>
      </c>
      <c r="F34" s="135">
        <v>0.5</v>
      </c>
      <c r="G34" s="128">
        <f>D34*F34*-1</f>
        <v>-6000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ref="G35:G36" si="2">D35*F35</f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-180960.00000000003</v>
      </c>
      <c r="H38" s="141">
        <f>G19+G38</f>
        <v>804240</v>
      </c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41">
        <f>G21+G40</f>
        <v>4480</v>
      </c>
    </row>
    <row r="40" spans="2:8" x14ac:dyDescent="0.25">
      <c r="B40" s="121">
        <v>2</v>
      </c>
      <c r="C40" s="168" t="s">
        <v>29</v>
      </c>
      <c r="D40" s="122">
        <v>16</v>
      </c>
      <c r="E40" s="168" t="s">
        <v>30</v>
      </c>
      <c r="F40" s="5">
        <v>70</v>
      </c>
      <c r="G40" s="130">
        <f>D40*F40*-1</f>
        <v>-1120</v>
      </c>
      <c r="H40" s="141">
        <f>G22+G25+G41+G44</f>
        <v>86152</v>
      </c>
    </row>
    <row r="41" spans="2:8" x14ac:dyDescent="0.25">
      <c r="B41" s="123">
        <v>3</v>
      </c>
      <c r="C41" s="169" t="s">
        <v>32</v>
      </c>
      <c r="D41" s="124">
        <v>1</v>
      </c>
      <c r="E41" s="169" t="s">
        <v>33</v>
      </c>
      <c r="F41" s="23">
        <v>1200</v>
      </c>
      <c r="G41" s="131">
        <f>D41*F41*-1</f>
        <v>-1200</v>
      </c>
      <c r="H41" s="113">
        <v>86152</v>
      </c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41">
        <f>G27+G46</f>
        <v>894872</v>
      </c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-18328.000000000004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-201608.00000000003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1083720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6600.0000000000009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6160.0000000000009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884664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5280.0000000000009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4928.0000000000009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955D-C3E0-4831-AF63-B5DD975B61E4}">
  <sheetPr>
    <tabColor rgb="FFFF0000"/>
  </sheetPr>
  <dimension ref="B1:I57"/>
  <sheetViews>
    <sheetView workbookViewId="0">
      <selection activeCell="G13" sqref="G13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140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141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142</v>
      </c>
      <c r="D13" s="112">
        <v>12000</v>
      </c>
      <c r="E13" s="138" t="s">
        <v>138</v>
      </c>
      <c r="F13" s="135">
        <v>1.5</v>
      </c>
      <c r="G13" s="128">
        <f>D13*F13</f>
        <v>18000</v>
      </c>
      <c r="H13" s="113" t="s">
        <v>143</v>
      </c>
    </row>
    <row r="14" spans="2:9" ht="12.75" customHeight="1" x14ac:dyDescent="0.25">
      <c r="B14" s="111">
        <v>1</v>
      </c>
      <c r="C14" s="138" t="s">
        <v>144</v>
      </c>
      <c r="D14" s="112">
        <v>12000</v>
      </c>
      <c r="E14" s="138" t="s">
        <v>138</v>
      </c>
      <c r="F14" s="135">
        <v>0.25</v>
      </c>
      <c r="G14" s="128">
        <f t="shared" ref="G14:G17" si="0">D14*F14</f>
        <v>3000</v>
      </c>
      <c r="H14" s="113" t="s">
        <v>145</v>
      </c>
    </row>
    <row r="15" spans="2:9" ht="12.75" customHeight="1" x14ac:dyDescent="0.25">
      <c r="B15" s="111"/>
      <c r="C15" s="138"/>
      <c r="D15" s="112"/>
      <c r="E15" s="138"/>
      <c r="F15" s="135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135"/>
      <c r="G16" s="128">
        <f t="shared" si="0"/>
        <v>0</v>
      </c>
      <c r="H16" s="113"/>
    </row>
    <row r="17" spans="2:9" ht="12.75" customHeight="1" x14ac:dyDescent="0.25">
      <c r="B17" s="113"/>
      <c r="C17" s="138"/>
      <c r="D17" s="112"/>
      <c r="E17" s="138"/>
      <c r="F17" s="135"/>
      <c r="G17" s="128">
        <f t="shared" si="0"/>
        <v>0</v>
      </c>
      <c r="H17" s="113"/>
    </row>
    <row r="18" spans="2:9" ht="12.75" customHeight="1" x14ac:dyDescent="0.25">
      <c r="B18" s="114"/>
      <c r="C18" s="166"/>
      <c r="D18" s="115"/>
      <c r="E18" s="167"/>
      <c r="F18" s="116"/>
      <c r="G18" s="116"/>
      <c r="H18" s="113"/>
    </row>
    <row r="19" spans="2:9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21000</v>
      </c>
      <c r="H19" s="141">
        <f>G21+G40</f>
        <v>4200</v>
      </c>
    </row>
    <row r="20" spans="2:9" ht="12.75" customHeight="1" x14ac:dyDescent="0.25">
      <c r="B20" s="117"/>
      <c r="C20" s="118" t="s">
        <v>27</v>
      </c>
      <c r="D20" s="119"/>
      <c r="E20" s="120"/>
      <c r="F20" s="120"/>
      <c r="G20" s="120"/>
      <c r="H20" s="113">
        <v>420</v>
      </c>
    </row>
    <row r="21" spans="2:9" ht="12.75" customHeight="1" x14ac:dyDescent="0.25">
      <c r="B21" s="121">
        <v>2</v>
      </c>
      <c r="C21" s="168" t="s">
        <v>29</v>
      </c>
      <c r="D21" s="122">
        <v>80</v>
      </c>
      <c r="E21" s="168" t="s">
        <v>30</v>
      </c>
      <c r="F21" s="5">
        <v>70</v>
      </c>
      <c r="G21" s="130">
        <f>D21*F21</f>
        <v>5600</v>
      </c>
      <c r="H21" s="113"/>
    </row>
    <row r="22" spans="2:9" ht="12.75" customHeight="1" x14ac:dyDescent="0.25">
      <c r="B22" s="123">
        <v>3</v>
      </c>
      <c r="C22" s="169" t="s">
        <v>32</v>
      </c>
      <c r="D22" s="124">
        <v>10</v>
      </c>
      <c r="E22" s="169" t="s">
        <v>33</v>
      </c>
      <c r="F22" s="23">
        <v>900</v>
      </c>
      <c r="G22" s="131">
        <f t="shared" ref="G22" si="1">D22*F22</f>
        <v>9000</v>
      </c>
      <c r="H22" s="113"/>
      <c r="I22">
        <f>3560+9000</f>
        <v>12560</v>
      </c>
    </row>
    <row r="23" spans="2:9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9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9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3560</v>
      </c>
      <c r="H25" s="113"/>
    </row>
    <row r="26" spans="2:9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9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39160</v>
      </c>
      <c r="H27" s="113"/>
    </row>
    <row r="28" spans="2:9" x14ac:dyDescent="0.25">
      <c r="H28" s="113"/>
    </row>
    <row r="29" spans="2:9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9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9" ht="12.75" customHeight="1" x14ac:dyDescent="0.25">
      <c r="B31" s="107"/>
      <c r="C31" s="108"/>
      <c r="D31" s="109"/>
      <c r="E31" s="110"/>
      <c r="F31" s="110"/>
      <c r="G31" s="110"/>
      <c r="H31" s="113"/>
    </row>
    <row r="32" spans="2:9" ht="12.75" customHeight="1" x14ac:dyDescent="0.25">
      <c r="B32" s="111">
        <v>1</v>
      </c>
      <c r="C32" s="138" t="s">
        <v>142</v>
      </c>
      <c r="D32" s="112">
        <v>12000</v>
      </c>
      <c r="E32" s="138" t="s">
        <v>138</v>
      </c>
      <c r="F32" s="135">
        <v>1.5</v>
      </c>
      <c r="G32" s="128">
        <f>D32*F32*-1</f>
        <v>-18000</v>
      </c>
      <c r="H32" s="113"/>
    </row>
    <row r="33" spans="2:8" ht="12.75" customHeight="1" x14ac:dyDescent="0.25">
      <c r="B33" s="111">
        <v>1</v>
      </c>
      <c r="C33" s="138" t="s">
        <v>144</v>
      </c>
      <c r="D33" s="112">
        <v>12000</v>
      </c>
      <c r="E33" s="138" t="s">
        <v>138</v>
      </c>
      <c r="F33" s="135">
        <v>0.25</v>
      </c>
      <c r="G33" s="128">
        <f>D33*F33*-1</f>
        <v>-3000</v>
      </c>
      <c r="H33" s="141">
        <f>G22+G41+G25+G44</f>
        <v>8340</v>
      </c>
    </row>
    <row r="34" spans="2:8" ht="12.75" customHeight="1" x14ac:dyDescent="0.25">
      <c r="B34" s="113"/>
      <c r="C34" s="170"/>
      <c r="D34" s="112"/>
      <c r="E34" s="138"/>
      <c r="F34" s="20"/>
      <c r="G34" s="128">
        <f t="shared" ref="G34:G36" si="2">D34*F34</f>
        <v>0</v>
      </c>
      <c r="H34" s="113">
        <f>39160-12540</f>
        <v>26620</v>
      </c>
    </row>
    <row r="35" spans="2:8" ht="12.75" customHeight="1" x14ac:dyDescent="0.25">
      <c r="B35" s="113"/>
      <c r="C35" s="170"/>
      <c r="D35" s="112"/>
      <c r="E35" s="138"/>
      <c r="F35" s="20"/>
      <c r="G35" s="128">
        <f t="shared" si="2"/>
        <v>0</v>
      </c>
      <c r="H35" s="141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-21000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20</v>
      </c>
      <c r="E40" s="168" t="s">
        <v>30</v>
      </c>
      <c r="F40" s="5">
        <v>70</v>
      </c>
      <c r="G40" s="130">
        <f>D40*F40*-1</f>
        <v>-1400</v>
      </c>
      <c r="H40" s="113"/>
    </row>
    <row r="41" spans="2:8" x14ac:dyDescent="0.25">
      <c r="B41" s="123">
        <v>3</v>
      </c>
      <c r="C41" s="169" t="s">
        <v>32</v>
      </c>
      <c r="D41" s="124">
        <v>2</v>
      </c>
      <c r="E41" s="169" t="s">
        <v>33</v>
      </c>
      <c r="F41" s="23">
        <v>900</v>
      </c>
      <c r="G41" s="131">
        <f>D41*F41*-1</f>
        <v>-1800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-2420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-26620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23100.000000000004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9900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6160.0000000000009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0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7920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4620.0000000000009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8B3A-9C9B-4D79-8CC4-ABBC9DDD8D08}">
  <sheetPr>
    <tabColor rgb="FFFF0000"/>
  </sheetPr>
  <dimension ref="B1:J57"/>
  <sheetViews>
    <sheetView workbookViewId="0">
      <selection activeCell="H29" sqref="H29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146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147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148</v>
      </c>
      <c r="D13" s="112">
        <v>1</v>
      </c>
      <c r="E13" s="138" t="s">
        <v>138</v>
      </c>
      <c r="F13" s="135">
        <v>13</v>
      </c>
      <c r="G13" s="128">
        <f>D13*F13</f>
        <v>13</v>
      </c>
      <c r="H13" s="113" t="s">
        <v>149</v>
      </c>
    </row>
    <row r="14" spans="2:9" ht="12.75" customHeight="1" x14ac:dyDescent="0.25">
      <c r="B14" s="111">
        <v>1</v>
      </c>
      <c r="C14" s="138" t="s">
        <v>150</v>
      </c>
      <c r="D14" s="112"/>
      <c r="E14" s="138" t="s">
        <v>138</v>
      </c>
      <c r="F14" s="135">
        <v>12.5</v>
      </c>
      <c r="G14" s="128">
        <f t="shared" ref="G14:G17" si="0">D14*F14</f>
        <v>0</v>
      </c>
      <c r="H14" s="113"/>
    </row>
    <row r="15" spans="2:9" ht="12.75" customHeight="1" x14ac:dyDescent="0.25">
      <c r="B15" s="111">
        <v>1</v>
      </c>
      <c r="C15" s="138" t="s">
        <v>151</v>
      </c>
      <c r="D15" s="112"/>
      <c r="E15" s="138" t="s">
        <v>138</v>
      </c>
      <c r="F15" s="135">
        <v>8.5</v>
      </c>
      <c r="G15" s="128">
        <f t="shared" si="0"/>
        <v>0</v>
      </c>
      <c r="H15" s="113"/>
    </row>
    <row r="16" spans="2:9" ht="12.75" customHeight="1" x14ac:dyDescent="0.25">
      <c r="B16" s="111">
        <v>1</v>
      </c>
      <c r="C16" s="138" t="s">
        <v>152</v>
      </c>
      <c r="D16" s="112">
        <v>1</v>
      </c>
      <c r="E16" s="138" t="s">
        <v>138</v>
      </c>
      <c r="F16" s="135">
        <v>1.2</v>
      </c>
      <c r="G16" s="128">
        <f>D16*F16</f>
        <v>1.2</v>
      </c>
      <c r="H16" s="113"/>
    </row>
    <row r="17" spans="2:9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9" ht="12.75" customHeight="1" x14ac:dyDescent="0.25">
      <c r="B18" s="114"/>
      <c r="C18" s="166"/>
      <c r="D18" s="115"/>
      <c r="E18" s="167"/>
      <c r="F18" s="116"/>
      <c r="G18" s="116"/>
      <c r="H18" s="113"/>
    </row>
    <row r="19" spans="2:9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14.2</v>
      </c>
      <c r="H19" s="113"/>
    </row>
    <row r="20" spans="2:9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9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44">
        <f>D21*F21/12000</f>
        <v>0.93333333333333335</v>
      </c>
      <c r="H21" s="113"/>
    </row>
    <row r="22" spans="2:9" ht="12.75" customHeight="1" x14ac:dyDescent="0.25">
      <c r="B22" s="123">
        <v>3</v>
      </c>
      <c r="C22" s="169" t="s">
        <v>32</v>
      </c>
      <c r="D22" s="124">
        <v>5</v>
      </c>
      <c r="E22" s="169" t="s">
        <v>33</v>
      </c>
      <c r="F22" s="23">
        <v>900</v>
      </c>
      <c r="G22" s="143">
        <f>D22*F22/12000</f>
        <v>0.375</v>
      </c>
      <c r="H22" s="113"/>
      <c r="I22" s="146"/>
    </row>
    <row r="23" spans="2:9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9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  <c r="I24" s="142"/>
    </row>
    <row r="25" spans="2:9" ht="12.75" customHeight="1" x14ac:dyDescent="0.25">
      <c r="B25" s="219" t="s">
        <v>35</v>
      </c>
      <c r="C25" s="219"/>
      <c r="D25" s="219"/>
      <c r="E25" s="219"/>
      <c r="F25" s="219"/>
      <c r="G25" s="145">
        <f>G24*SUM(G19,G21:G22)</f>
        <v>1.5508333333333333</v>
      </c>
      <c r="H25" s="113"/>
    </row>
    <row r="26" spans="2:9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  <c r="I26" s="142"/>
    </row>
    <row r="27" spans="2:9" ht="12.75" customHeight="1" x14ac:dyDescent="0.25">
      <c r="B27" s="228" t="s">
        <v>42</v>
      </c>
      <c r="C27" s="229"/>
      <c r="D27" s="229"/>
      <c r="E27" s="229"/>
      <c r="F27" s="230"/>
      <c r="G27" s="144">
        <f>G19+G21+G22+G25</f>
        <v>17.059166666666666</v>
      </c>
      <c r="H27" s="113"/>
    </row>
    <row r="28" spans="2:9" x14ac:dyDescent="0.25">
      <c r="H28" s="113"/>
    </row>
    <row r="29" spans="2:9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9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9" ht="12.75" customHeight="1" x14ac:dyDescent="0.25">
      <c r="B31" s="107"/>
      <c r="C31" s="108"/>
      <c r="D31" s="109"/>
      <c r="E31" s="110"/>
      <c r="F31" s="110"/>
      <c r="G31" s="110"/>
      <c r="H31" s="113"/>
    </row>
    <row r="32" spans="2:9" ht="12.75" customHeight="1" x14ac:dyDescent="0.25">
      <c r="B32" s="111">
        <v>1</v>
      </c>
      <c r="C32" s="138" t="s">
        <v>148</v>
      </c>
      <c r="D32" s="112"/>
      <c r="E32" s="138" t="s">
        <v>138</v>
      </c>
      <c r="F32" s="135">
        <v>13</v>
      </c>
      <c r="G32" s="128">
        <f>D32*F32*-1</f>
        <v>0</v>
      </c>
      <c r="H32" s="113"/>
    </row>
    <row r="33" spans="2:10" ht="12.75" customHeight="1" x14ac:dyDescent="0.25">
      <c r="B33" s="111">
        <v>1</v>
      </c>
      <c r="C33" s="138" t="s">
        <v>150</v>
      </c>
      <c r="D33" s="112"/>
      <c r="E33" s="138" t="s">
        <v>138</v>
      </c>
      <c r="F33" s="135">
        <v>12.5</v>
      </c>
      <c r="G33" s="128">
        <f>D33*F33*-1</f>
        <v>0</v>
      </c>
      <c r="H33" s="113"/>
    </row>
    <row r="34" spans="2:10" ht="12.75" customHeight="1" x14ac:dyDescent="0.25">
      <c r="B34" s="111">
        <v>1</v>
      </c>
      <c r="C34" s="138" t="s">
        <v>151</v>
      </c>
      <c r="D34" s="112"/>
      <c r="E34" s="138" t="s">
        <v>138</v>
      </c>
      <c r="F34" s="135">
        <v>8.5</v>
      </c>
      <c r="G34" s="128">
        <f t="shared" ref="G34:G36" si="1">D34*F34</f>
        <v>0</v>
      </c>
      <c r="H34" s="113"/>
    </row>
    <row r="35" spans="2:10" ht="12.75" customHeight="1" x14ac:dyDescent="0.25">
      <c r="B35" s="111">
        <v>1</v>
      </c>
      <c r="C35" s="138" t="s">
        <v>152</v>
      </c>
      <c r="D35" s="112"/>
      <c r="E35" s="138" t="s">
        <v>138</v>
      </c>
      <c r="F35" s="135">
        <v>1.2</v>
      </c>
      <c r="G35" s="128">
        <f t="shared" si="1"/>
        <v>0</v>
      </c>
      <c r="H35" s="113"/>
    </row>
    <row r="36" spans="2:10" ht="12.75" customHeight="1" x14ac:dyDescent="0.25">
      <c r="B36" s="125"/>
      <c r="C36" s="171"/>
      <c r="D36" s="124"/>
      <c r="E36" s="169"/>
      <c r="F36" s="23"/>
      <c r="G36" s="131">
        <f t="shared" si="1"/>
        <v>0</v>
      </c>
      <c r="H36" s="113"/>
    </row>
    <row r="37" spans="2:10" x14ac:dyDescent="0.25">
      <c r="B37" s="117"/>
      <c r="C37" s="172"/>
      <c r="D37" s="119"/>
      <c r="E37" s="173"/>
      <c r="F37" s="34"/>
      <c r="G37" s="34"/>
      <c r="H37" s="113"/>
    </row>
    <row r="38" spans="2:10" x14ac:dyDescent="0.25">
      <c r="B38" s="225" t="s">
        <v>22</v>
      </c>
      <c r="C38" s="226"/>
      <c r="D38" s="226"/>
      <c r="E38" s="226"/>
      <c r="F38" s="227"/>
      <c r="G38" s="129">
        <f>SUM(G31:G37)</f>
        <v>0</v>
      </c>
      <c r="H38" s="113"/>
    </row>
    <row r="39" spans="2:10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10" x14ac:dyDescent="0.25">
      <c r="B40" s="121">
        <v>2</v>
      </c>
      <c r="C40" s="168" t="s">
        <v>29</v>
      </c>
      <c r="D40" s="122">
        <v>16</v>
      </c>
      <c r="E40" s="168" t="s">
        <v>30</v>
      </c>
      <c r="F40" s="5">
        <v>70</v>
      </c>
      <c r="G40" s="144">
        <f>D40*F40*-1/12000</f>
        <v>-9.3333333333333338E-2</v>
      </c>
      <c r="H40" s="113"/>
      <c r="J40" s="142"/>
    </row>
    <row r="41" spans="2:10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2">D41*F41</f>
        <v>0</v>
      </c>
      <c r="H41" s="113"/>
    </row>
    <row r="42" spans="2:10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10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10" x14ac:dyDescent="0.25">
      <c r="B44" s="219" t="s">
        <v>35</v>
      </c>
      <c r="C44" s="219"/>
      <c r="D44" s="219"/>
      <c r="E44" s="219"/>
      <c r="F44" s="219"/>
      <c r="G44" s="145">
        <f>G43*SUM(G38,G40:G41)</f>
        <v>-9.3333333333333341E-3</v>
      </c>
      <c r="H44" s="113"/>
    </row>
    <row r="45" spans="2:10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10" x14ac:dyDescent="0.25">
      <c r="B46" s="228" t="s">
        <v>63</v>
      </c>
      <c r="C46" s="229"/>
      <c r="D46" s="229"/>
      <c r="E46" s="229"/>
      <c r="F46" s="230"/>
      <c r="G46" s="144">
        <f>G38+G40+G41+G44</f>
        <v>-0.10266666666666667</v>
      </c>
      <c r="H46" s="113"/>
    </row>
    <row r="47" spans="2:10" x14ac:dyDescent="0.25">
      <c r="D47"/>
      <c r="H47" s="113"/>
    </row>
    <row r="48" spans="2:10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15.620000000000001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0.41250000000000003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1.0266666666666668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15.620000000000001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0.41250000000000003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0.92400000000000015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5791-9158-4BFB-A7CA-7E9E088E9BD3}">
  <sheetPr>
    <tabColor rgb="FFFF0000"/>
  </sheetPr>
  <dimension ref="B1:J57"/>
  <sheetViews>
    <sheetView workbookViewId="0">
      <selection activeCell="H29" sqref="H29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146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147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148</v>
      </c>
      <c r="D13" s="112">
        <v>0</v>
      </c>
      <c r="E13" s="138" t="s">
        <v>138</v>
      </c>
      <c r="F13" s="135">
        <v>13</v>
      </c>
      <c r="G13" s="128">
        <f>D13*F13</f>
        <v>0</v>
      </c>
      <c r="H13" s="113" t="s">
        <v>149</v>
      </c>
    </row>
    <row r="14" spans="2:9" ht="12.75" customHeight="1" x14ac:dyDescent="0.25">
      <c r="B14" s="111">
        <v>1</v>
      </c>
      <c r="C14" s="138" t="s">
        <v>150</v>
      </c>
      <c r="D14" s="112">
        <v>1</v>
      </c>
      <c r="E14" s="138" t="s">
        <v>138</v>
      </c>
      <c r="F14" s="135">
        <v>12.5</v>
      </c>
      <c r="G14" s="128">
        <f>D14*F14</f>
        <v>12.5</v>
      </c>
      <c r="H14" s="113"/>
    </row>
    <row r="15" spans="2:9" ht="12.75" customHeight="1" x14ac:dyDescent="0.25">
      <c r="B15" s="111">
        <v>1</v>
      </c>
      <c r="C15" s="138" t="s">
        <v>151</v>
      </c>
      <c r="D15" s="112"/>
      <c r="E15" s="138" t="s">
        <v>138</v>
      </c>
      <c r="F15" s="135">
        <v>8.5</v>
      </c>
      <c r="G15" s="128">
        <f>D15*F15</f>
        <v>0</v>
      </c>
      <c r="H15" s="113"/>
    </row>
    <row r="16" spans="2:9" ht="12.75" customHeight="1" x14ac:dyDescent="0.25">
      <c r="B16" s="111">
        <v>1</v>
      </c>
      <c r="C16" s="138" t="s">
        <v>152</v>
      </c>
      <c r="D16" s="112">
        <v>1</v>
      </c>
      <c r="E16" s="138" t="s">
        <v>138</v>
      </c>
      <c r="F16" s="135">
        <v>1.2</v>
      </c>
      <c r="G16" s="128">
        <f>D16*F16</f>
        <v>1.2</v>
      </c>
      <c r="H16" s="113"/>
    </row>
    <row r="17" spans="2:9" ht="12.75" customHeight="1" x14ac:dyDescent="0.25">
      <c r="B17" s="113"/>
      <c r="C17" s="138"/>
      <c r="D17" s="112"/>
      <c r="E17" s="138"/>
      <c r="F17" s="20"/>
      <c r="G17" s="128">
        <f>D17*F17</f>
        <v>0</v>
      </c>
      <c r="H17" s="113"/>
    </row>
    <row r="18" spans="2:9" ht="12.75" customHeight="1" x14ac:dyDescent="0.25">
      <c r="B18" s="114"/>
      <c r="C18" s="166"/>
      <c r="D18" s="115"/>
      <c r="E18" s="167"/>
      <c r="F18" s="116"/>
      <c r="G18" s="116"/>
      <c r="H18" s="113"/>
    </row>
    <row r="19" spans="2:9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13.7</v>
      </c>
      <c r="H19" s="113"/>
    </row>
    <row r="20" spans="2:9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9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44">
        <f>D21*F21/12000</f>
        <v>0.93333333333333335</v>
      </c>
      <c r="H21" s="113"/>
    </row>
    <row r="22" spans="2:9" ht="12.75" customHeight="1" x14ac:dyDescent="0.25">
      <c r="B22" s="123">
        <v>3</v>
      </c>
      <c r="C22" s="169" t="s">
        <v>32</v>
      </c>
      <c r="D22" s="124">
        <v>5</v>
      </c>
      <c r="E22" s="169" t="s">
        <v>33</v>
      </c>
      <c r="F22" s="23">
        <v>900</v>
      </c>
      <c r="G22" s="143">
        <f>D22*F22/12000</f>
        <v>0.375</v>
      </c>
      <c r="H22" s="113"/>
      <c r="I22" s="146"/>
    </row>
    <row r="23" spans="2:9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9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  <c r="I24" s="142"/>
    </row>
    <row r="25" spans="2:9" ht="12.75" customHeight="1" x14ac:dyDescent="0.25">
      <c r="B25" s="219" t="s">
        <v>35</v>
      </c>
      <c r="C25" s="219"/>
      <c r="D25" s="219"/>
      <c r="E25" s="219"/>
      <c r="F25" s="219"/>
      <c r="G25" s="145">
        <f>G24*SUM(G19,G21:G22)</f>
        <v>1.5008333333333335</v>
      </c>
      <c r="H25" s="113"/>
    </row>
    <row r="26" spans="2:9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  <c r="I26" s="142"/>
    </row>
    <row r="27" spans="2:9" ht="12.75" customHeight="1" x14ac:dyDescent="0.25">
      <c r="B27" s="228" t="s">
        <v>42</v>
      </c>
      <c r="C27" s="229"/>
      <c r="D27" s="229"/>
      <c r="E27" s="229"/>
      <c r="F27" s="230"/>
      <c r="G27" s="144">
        <f>G19+G21+G22+G25</f>
        <v>16.509166666666665</v>
      </c>
      <c r="H27" s="113"/>
    </row>
    <row r="28" spans="2:9" x14ac:dyDescent="0.25">
      <c r="H28" s="113"/>
    </row>
    <row r="29" spans="2:9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9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9" ht="12.75" customHeight="1" x14ac:dyDescent="0.25">
      <c r="B31" s="107"/>
      <c r="C31" s="108"/>
      <c r="D31" s="109"/>
      <c r="E31" s="110"/>
      <c r="F31" s="110"/>
      <c r="G31" s="110"/>
      <c r="H31" s="113"/>
    </row>
    <row r="32" spans="2:9" ht="12.75" customHeight="1" x14ac:dyDescent="0.25">
      <c r="B32" s="111">
        <v>1</v>
      </c>
      <c r="C32" s="138" t="s">
        <v>148</v>
      </c>
      <c r="D32" s="112"/>
      <c r="E32" s="138" t="s">
        <v>138</v>
      </c>
      <c r="F32" s="135">
        <v>13</v>
      </c>
      <c r="G32" s="128">
        <f>D32*F32*-1</f>
        <v>0</v>
      </c>
      <c r="H32" s="113"/>
    </row>
    <row r="33" spans="2:10" ht="12.75" customHeight="1" x14ac:dyDescent="0.25">
      <c r="B33" s="111">
        <v>1</v>
      </c>
      <c r="C33" s="138" t="s">
        <v>150</v>
      </c>
      <c r="D33" s="112"/>
      <c r="E33" s="138" t="s">
        <v>138</v>
      </c>
      <c r="F33" s="135">
        <v>12.5</v>
      </c>
      <c r="G33" s="128">
        <f>D33*F33*-1</f>
        <v>0</v>
      </c>
      <c r="H33" s="113"/>
    </row>
    <row r="34" spans="2:10" ht="12.75" customHeight="1" x14ac:dyDescent="0.25">
      <c r="B34" s="111">
        <v>1</v>
      </c>
      <c r="C34" s="138" t="s">
        <v>151</v>
      </c>
      <c r="D34" s="112"/>
      <c r="E34" s="138" t="s">
        <v>138</v>
      </c>
      <c r="F34" s="135">
        <v>8.5</v>
      </c>
      <c r="G34" s="128">
        <f>D34*F34</f>
        <v>0</v>
      </c>
      <c r="H34" s="113"/>
    </row>
    <row r="35" spans="2:10" ht="12.75" customHeight="1" x14ac:dyDescent="0.25">
      <c r="B35" s="111">
        <v>1</v>
      </c>
      <c r="C35" s="138" t="s">
        <v>152</v>
      </c>
      <c r="D35" s="112"/>
      <c r="E35" s="138" t="s">
        <v>138</v>
      </c>
      <c r="F35" s="135">
        <v>1.2</v>
      </c>
      <c r="G35" s="128">
        <f>D35*F35</f>
        <v>0</v>
      </c>
      <c r="H35" s="113"/>
    </row>
    <row r="36" spans="2:10" ht="12.75" customHeight="1" x14ac:dyDescent="0.25">
      <c r="B36" s="125"/>
      <c r="C36" s="171"/>
      <c r="D36" s="124"/>
      <c r="E36" s="169"/>
      <c r="F36" s="23"/>
      <c r="G36" s="131">
        <f>D36*F36</f>
        <v>0</v>
      </c>
      <c r="H36" s="113"/>
    </row>
    <row r="37" spans="2:10" x14ac:dyDescent="0.25">
      <c r="B37" s="117"/>
      <c r="C37" s="172"/>
      <c r="D37" s="119"/>
      <c r="E37" s="173"/>
      <c r="F37" s="34"/>
      <c r="G37" s="34"/>
      <c r="H37" s="113"/>
    </row>
    <row r="38" spans="2:10" x14ac:dyDescent="0.25">
      <c r="B38" s="225" t="s">
        <v>22</v>
      </c>
      <c r="C38" s="226"/>
      <c r="D38" s="226"/>
      <c r="E38" s="226"/>
      <c r="F38" s="227"/>
      <c r="G38" s="129">
        <f>SUM(G31:G37)</f>
        <v>0</v>
      </c>
      <c r="H38" s="113"/>
    </row>
    <row r="39" spans="2:10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10" x14ac:dyDescent="0.25">
      <c r="B40" s="121">
        <v>2</v>
      </c>
      <c r="C40" s="168" t="s">
        <v>29</v>
      </c>
      <c r="D40" s="122">
        <v>16</v>
      </c>
      <c r="E40" s="168" t="s">
        <v>30</v>
      </c>
      <c r="F40" s="5">
        <v>70</v>
      </c>
      <c r="G40" s="144">
        <f>D40*F40*-1/12000</f>
        <v>-9.3333333333333338E-2</v>
      </c>
      <c r="H40" s="113"/>
      <c r="J40" s="142"/>
    </row>
    <row r="41" spans="2:10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>D41*F41</f>
        <v>0</v>
      </c>
      <c r="H41" s="113"/>
    </row>
    <row r="42" spans="2:10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10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10" x14ac:dyDescent="0.25">
      <c r="B44" s="219" t="s">
        <v>35</v>
      </c>
      <c r="C44" s="219"/>
      <c r="D44" s="219"/>
      <c r="E44" s="219"/>
      <c r="F44" s="219"/>
      <c r="G44" s="145">
        <f>G43*SUM(G38,G40:G41)</f>
        <v>-9.3333333333333341E-3</v>
      </c>
      <c r="H44" s="113"/>
    </row>
    <row r="45" spans="2:10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10" x14ac:dyDescent="0.25">
      <c r="B46" s="228" t="s">
        <v>63</v>
      </c>
      <c r="C46" s="229"/>
      <c r="D46" s="229"/>
      <c r="E46" s="229"/>
      <c r="F46" s="230"/>
      <c r="G46" s="144">
        <f>G38+G40+G41+G44</f>
        <v>-0.10266666666666667</v>
      </c>
      <c r="H46" s="113"/>
    </row>
    <row r="47" spans="2:10" x14ac:dyDescent="0.25">
      <c r="D47"/>
      <c r="H47" s="113"/>
    </row>
    <row r="48" spans="2:10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15.07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0.41250000000000003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1.0266666666666668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15.07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0.41250000000000003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0.92400000000000015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9FA64-B818-4AC8-A914-82EA901F3C39}">
  <sheetPr>
    <tabColor rgb="FFFF0000"/>
  </sheetPr>
  <dimension ref="B1:J57"/>
  <sheetViews>
    <sheetView workbookViewId="0">
      <selection activeCell="H29" sqref="H29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146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147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148</v>
      </c>
      <c r="D13" s="112">
        <v>0</v>
      </c>
      <c r="E13" s="138" t="s">
        <v>138</v>
      </c>
      <c r="F13" s="135">
        <v>13</v>
      </c>
      <c r="G13" s="128">
        <f>D13*F13</f>
        <v>0</v>
      </c>
      <c r="H13" s="113" t="s">
        <v>149</v>
      </c>
    </row>
    <row r="14" spans="2:9" ht="12.75" customHeight="1" x14ac:dyDescent="0.25">
      <c r="B14" s="111">
        <v>1</v>
      </c>
      <c r="C14" s="138" t="s">
        <v>150</v>
      </c>
      <c r="D14" s="112"/>
      <c r="E14" s="138" t="s">
        <v>138</v>
      </c>
      <c r="F14" s="135">
        <v>12.5</v>
      </c>
      <c r="G14" s="128">
        <f>D14*F14</f>
        <v>0</v>
      </c>
      <c r="H14" s="113"/>
    </row>
    <row r="15" spans="2:9" ht="12.75" customHeight="1" x14ac:dyDescent="0.25">
      <c r="B15" s="111">
        <v>1</v>
      </c>
      <c r="C15" s="138" t="s">
        <v>151</v>
      </c>
      <c r="D15" s="112">
        <v>1</v>
      </c>
      <c r="E15" s="138" t="s">
        <v>138</v>
      </c>
      <c r="F15" s="135">
        <v>8.5</v>
      </c>
      <c r="G15" s="128">
        <f>D15*F15</f>
        <v>8.5</v>
      </c>
      <c r="H15" s="113"/>
    </row>
    <row r="16" spans="2:9" ht="12.75" customHeight="1" x14ac:dyDescent="0.25">
      <c r="B16" s="111">
        <v>1</v>
      </c>
      <c r="C16" s="138" t="s">
        <v>152</v>
      </c>
      <c r="D16" s="112">
        <v>1</v>
      </c>
      <c r="E16" s="138" t="s">
        <v>138</v>
      </c>
      <c r="F16" s="135">
        <v>1.2</v>
      </c>
      <c r="G16" s="128">
        <f>D16*F16</f>
        <v>1.2</v>
      </c>
      <c r="H16" s="113"/>
    </row>
    <row r="17" spans="2:9" ht="12.75" customHeight="1" x14ac:dyDescent="0.25">
      <c r="B17" s="113"/>
      <c r="C17" s="138"/>
      <c r="D17" s="112"/>
      <c r="E17" s="138"/>
      <c r="F17" s="20"/>
      <c r="G17" s="128">
        <f>D17*F17</f>
        <v>0</v>
      </c>
      <c r="H17" s="113"/>
    </row>
    <row r="18" spans="2:9" ht="12.75" customHeight="1" x14ac:dyDescent="0.25">
      <c r="B18" s="114"/>
      <c r="C18" s="166"/>
      <c r="D18" s="115"/>
      <c r="E18" s="167"/>
      <c r="F18" s="116"/>
      <c r="G18" s="116"/>
      <c r="H18" s="113"/>
    </row>
    <row r="19" spans="2:9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9.6999999999999993</v>
      </c>
      <c r="H19" s="113"/>
    </row>
    <row r="20" spans="2:9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9" ht="12.75" customHeight="1" x14ac:dyDescent="0.25">
      <c r="B21" s="121">
        <v>2</v>
      </c>
      <c r="C21" s="168" t="s">
        <v>29</v>
      </c>
      <c r="D21" s="122">
        <v>160</v>
      </c>
      <c r="E21" s="168" t="s">
        <v>30</v>
      </c>
      <c r="F21" s="5">
        <v>70</v>
      </c>
      <c r="G21" s="144">
        <f>D21*F21/12000</f>
        <v>0.93333333333333335</v>
      </c>
      <c r="H21" s="113"/>
    </row>
    <row r="22" spans="2:9" ht="12.75" customHeight="1" x14ac:dyDescent="0.25">
      <c r="B22" s="123">
        <v>3</v>
      </c>
      <c r="C22" s="169" t="s">
        <v>32</v>
      </c>
      <c r="D22" s="124">
        <v>5</v>
      </c>
      <c r="E22" s="169" t="s">
        <v>33</v>
      </c>
      <c r="F22" s="23">
        <v>900</v>
      </c>
      <c r="G22" s="143">
        <f>D22*F22/12000</f>
        <v>0.375</v>
      </c>
      <c r="H22" s="113"/>
      <c r="I22" s="146"/>
    </row>
    <row r="23" spans="2:9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9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  <c r="I24" s="142"/>
    </row>
    <row r="25" spans="2:9" ht="12.75" customHeight="1" x14ac:dyDescent="0.25">
      <c r="B25" s="219" t="s">
        <v>35</v>
      </c>
      <c r="C25" s="219"/>
      <c r="D25" s="219"/>
      <c r="E25" s="219"/>
      <c r="F25" s="219"/>
      <c r="G25" s="145">
        <f>G24*SUM(G19,G21:G22)</f>
        <v>1.1008333333333333</v>
      </c>
      <c r="H25" s="113"/>
    </row>
    <row r="26" spans="2:9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  <c r="I26" s="142"/>
    </row>
    <row r="27" spans="2:9" ht="12.75" customHeight="1" x14ac:dyDescent="0.25">
      <c r="B27" s="228" t="s">
        <v>42</v>
      </c>
      <c r="C27" s="229"/>
      <c r="D27" s="229"/>
      <c r="E27" s="229"/>
      <c r="F27" s="230"/>
      <c r="G27" s="144">
        <f>G19+G21+G22+G25</f>
        <v>12.109166666666667</v>
      </c>
      <c r="H27" s="113"/>
    </row>
    <row r="28" spans="2:9" x14ac:dyDescent="0.25">
      <c r="H28" s="113"/>
    </row>
    <row r="29" spans="2:9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9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9" ht="12.75" customHeight="1" x14ac:dyDescent="0.25">
      <c r="B31" s="107"/>
      <c r="C31" s="108"/>
      <c r="D31" s="109"/>
      <c r="E31" s="110"/>
      <c r="F31" s="110"/>
      <c r="G31" s="110"/>
      <c r="H31" s="113"/>
    </row>
    <row r="32" spans="2:9" ht="12.75" customHeight="1" x14ac:dyDescent="0.25">
      <c r="B32" s="111">
        <v>1</v>
      </c>
      <c r="C32" s="138" t="s">
        <v>148</v>
      </c>
      <c r="D32" s="112"/>
      <c r="E32" s="138" t="s">
        <v>138</v>
      </c>
      <c r="F32" s="135">
        <v>13</v>
      </c>
      <c r="G32" s="128">
        <f>D32*F32*-1</f>
        <v>0</v>
      </c>
      <c r="H32" s="113"/>
    </row>
    <row r="33" spans="2:10" ht="12.75" customHeight="1" x14ac:dyDescent="0.25">
      <c r="B33" s="111">
        <v>1</v>
      </c>
      <c r="C33" s="138" t="s">
        <v>150</v>
      </c>
      <c r="D33" s="112"/>
      <c r="E33" s="138" t="s">
        <v>138</v>
      </c>
      <c r="F33" s="135">
        <v>12.5</v>
      </c>
      <c r="G33" s="128">
        <f>D33*F33*-1</f>
        <v>0</v>
      </c>
      <c r="H33" s="113"/>
    </row>
    <row r="34" spans="2:10" ht="12.75" customHeight="1" x14ac:dyDescent="0.25">
      <c r="B34" s="111">
        <v>1</v>
      </c>
      <c r="C34" s="138" t="s">
        <v>151</v>
      </c>
      <c r="D34" s="112"/>
      <c r="E34" s="138" t="s">
        <v>138</v>
      </c>
      <c r="F34" s="135">
        <v>8.5</v>
      </c>
      <c r="G34" s="128">
        <f>D34*F34</f>
        <v>0</v>
      </c>
      <c r="H34" s="113"/>
    </row>
    <row r="35" spans="2:10" ht="12.75" customHeight="1" x14ac:dyDescent="0.25">
      <c r="B35" s="111">
        <v>1</v>
      </c>
      <c r="C35" s="138" t="s">
        <v>152</v>
      </c>
      <c r="D35" s="112"/>
      <c r="E35" s="138" t="s">
        <v>138</v>
      </c>
      <c r="F35" s="135">
        <v>1.2</v>
      </c>
      <c r="G35" s="128">
        <f>D35*F35</f>
        <v>0</v>
      </c>
      <c r="H35" s="113"/>
    </row>
    <row r="36" spans="2:10" ht="12.75" customHeight="1" x14ac:dyDescent="0.25">
      <c r="B36" s="125"/>
      <c r="C36" s="171"/>
      <c r="D36" s="124"/>
      <c r="E36" s="169"/>
      <c r="F36" s="23"/>
      <c r="G36" s="131">
        <f>D36*F36</f>
        <v>0</v>
      </c>
      <c r="H36" s="113"/>
    </row>
    <row r="37" spans="2:10" x14ac:dyDescent="0.25">
      <c r="B37" s="117"/>
      <c r="C37" s="172"/>
      <c r="D37" s="119"/>
      <c r="E37" s="173"/>
      <c r="F37" s="34"/>
      <c r="G37" s="34"/>
      <c r="H37" s="113"/>
    </row>
    <row r="38" spans="2:10" x14ac:dyDescent="0.25">
      <c r="B38" s="225" t="s">
        <v>22</v>
      </c>
      <c r="C38" s="226"/>
      <c r="D38" s="226"/>
      <c r="E38" s="226"/>
      <c r="F38" s="227"/>
      <c r="G38" s="129">
        <f>SUM(G31:G37)</f>
        <v>0</v>
      </c>
      <c r="H38" s="113"/>
    </row>
    <row r="39" spans="2:10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10" x14ac:dyDescent="0.25">
      <c r="B40" s="121">
        <v>2</v>
      </c>
      <c r="C40" s="168" t="s">
        <v>29</v>
      </c>
      <c r="D40" s="122">
        <v>16</v>
      </c>
      <c r="E40" s="168" t="s">
        <v>30</v>
      </c>
      <c r="F40" s="5">
        <v>70</v>
      </c>
      <c r="G40" s="144">
        <f>D40*F40*-1/12000</f>
        <v>-9.3333333333333338E-2</v>
      </c>
      <c r="H40" s="113"/>
      <c r="J40" s="142"/>
    </row>
    <row r="41" spans="2:10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>D41*F41</f>
        <v>0</v>
      </c>
      <c r="H41" s="113"/>
    </row>
    <row r="42" spans="2:10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10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10" x14ac:dyDescent="0.25">
      <c r="B44" s="219" t="s">
        <v>35</v>
      </c>
      <c r="C44" s="219"/>
      <c r="D44" s="219"/>
      <c r="E44" s="219"/>
      <c r="F44" s="219"/>
      <c r="G44" s="145">
        <f>G43*SUM(G38,G40:G41)</f>
        <v>-9.3333333333333341E-3</v>
      </c>
      <c r="H44" s="113"/>
    </row>
    <row r="45" spans="2:10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10" x14ac:dyDescent="0.25">
      <c r="B46" s="228" t="s">
        <v>63</v>
      </c>
      <c r="C46" s="229"/>
      <c r="D46" s="229"/>
      <c r="E46" s="229"/>
      <c r="F46" s="230"/>
      <c r="G46" s="144">
        <f>G38+G40+G41+G44</f>
        <v>-0.10266666666666667</v>
      </c>
      <c r="H46" s="113"/>
    </row>
    <row r="47" spans="2:10" x14ac:dyDescent="0.25">
      <c r="D47"/>
      <c r="H47" s="113"/>
    </row>
    <row r="48" spans="2:10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10.67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0.41250000000000003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1.0266666666666668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10.67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0.41250000000000003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0.92400000000000015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F36C4-99EB-4369-B87B-D4755F9BDAC3}">
  <sheetPr>
    <tabColor rgb="FFFF0000"/>
  </sheetPr>
  <dimension ref="B1:I57"/>
  <sheetViews>
    <sheetView workbookViewId="0">
      <selection activeCell="C22" sqref="C22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2.42578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153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154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155</v>
      </c>
      <c r="D13" s="112">
        <v>1</v>
      </c>
      <c r="E13" s="138" t="s">
        <v>156</v>
      </c>
      <c r="F13" s="20">
        <v>4000</v>
      </c>
      <c r="G13" s="128">
        <f>D13*F13</f>
        <v>4000</v>
      </c>
      <c r="H13" s="113" t="s">
        <v>143</v>
      </c>
    </row>
    <row r="14" spans="2:9" ht="12.75" customHeight="1" x14ac:dyDescent="0.25">
      <c r="B14" s="111">
        <v>1</v>
      </c>
      <c r="C14" s="138" t="s">
        <v>157</v>
      </c>
      <c r="D14" s="112">
        <v>1</v>
      </c>
      <c r="E14" s="138" t="s">
        <v>156</v>
      </c>
      <c r="F14" s="20">
        <v>1200</v>
      </c>
      <c r="G14" s="128">
        <f t="shared" ref="G14:G17" si="0">D14*F14</f>
        <v>1200</v>
      </c>
      <c r="H14" s="113" t="s">
        <v>145</v>
      </c>
    </row>
    <row r="15" spans="2:9" ht="12.75" customHeight="1" x14ac:dyDescent="0.25">
      <c r="B15" s="111"/>
      <c r="C15" s="138"/>
      <c r="D15" s="112"/>
      <c r="E15" s="138"/>
      <c r="F15" s="20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5200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16</v>
      </c>
      <c r="E21" s="168" t="s">
        <v>30</v>
      </c>
      <c r="F21" s="5">
        <v>70</v>
      </c>
      <c r="G21" s="130">
        <f>D21*F21</f>
        <v>1120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1</v>
      </c>
      <c r="E22" s="169" t="s">
        <v>33</v>
      </c>
      <c r="F22" s="23">
        <v>900</v>
      </c>
      <c r="G22" s="131">
        <f t="shared" ref="G22" si="1">D22*F22</f>
        <v>900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722</v>
      </c>
      <c r="H25" s="141">
        <f>G25+G22</f>
        <v>1622</v>
      </c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41">
        <f>G21+G40</f>
        <v>560</v>
      </c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7942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155</v>
      </c>
      <c r="D32" s="112"/>
      <c r="E32" s="138" t="s">
        <v>156</v>
      </c>
      <c r="F32" s="20">
        <v>4000</v>
      </c>
      <c r="G32" s="128">
        <f>D32*F32*-1</f>
        <v>0</v>
      </c>
      <c r="H32" s="113"/>
    </row>
    <row r="33" spans="2:8" ht="12.75" customHeight="1" x14ac:dyDescent="0.25">
      <c r="B33" s="111">
        <v>1</v>
      </c>
      <c r="C33" s="138" t="s">
        <v>157</v>
      </c>
      <c r="D33" s="112"/>
      <c r="E33" s="138" t="s">
        <v>156</v>
      </c>
      <c r="F33" s="20">
        <v>1200</v>
      </c>
      <c r="G33" s="128">
        <f>D33*F33*-1</f>
        <v>0</v>
      </c>
      <c r="H33" s="113"/>
    </row>
    <row r="34" spans="2:8" ht="12.75" customHeight="1" x14ac:dyDescent="0.25">
      <c r="B34" s="113"/>
      <c r="C34" s="170"/>
      <c r="D34" s="112"/>
      <c r="E34" s="138"/>
      <c r="F34" s="20"/>
      <c r="G34" s="128">
        <f t="shared" ref="G34:G36" si="2">D34*F34</f>
        <v>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si="2"/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8</v>
      </c>
      <c r="E40" s="168" t="s">
        <v>30</v>
      </c>
      <c r="F40" s="5">
        <v>70</v>
      </c>
      <c r="G40" s="130">
        <f>D40*F40*-1</f>
        <v>-560</v>
      </c>
      <c r="H40" s="113"/>
    </row>
    <row r="41" spans="2:8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-56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-616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5720.0000000000009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990.00000000000011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1232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5720.0000000000009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990.00000000000011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616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54DB5-6A18-4E5D-8BDD-A58F1C6BF075}">
  <sheetPr>
    <tabColor rgb="FFFF0000"/>
  </sheetPr>
  <dimension ref="B1:I57"/>
  <sheetViews>
    <sheetView workbookViewId="0">
      <selection activeCell="G22" sqref="G22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4.5703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158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159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160</v>
      </c>
      <c r="D13" s="112">
        <v>1</v>
      </c>
      <c r="E13" s="138" t="s">
        <v>156</v>
      </c>
      <c r="F13" s="20">
        <v>15000</v>
      </c>
      <c r="G13" s="128">
        <f>D13*F13</f>
        <v>15000</v>
      </c>
      <c r="H13" s="113" t="s">
        <v>143</v>
      </c>
    </row>
    <row r="14" spans="2:9" ht="12.75" customHeight="1" x14ac:dyDescent="0.25">
      <c r="B14" s="111">
        <v>1</v>
      </c>
      <c r="C14" s="138" t="s">
        <v>161</v>
      </c>
      <c r="D14" s="112">
        <v>1</v>
      </c>
      <c r="E14" s="138" t="s">
        <v>156</v>
      </c>
      <c r="F14" s="20">
        <v>3500</v>
      </c>
      <c r="G14" s="128">
        <f t="shared" ref="G14:G17" si="0">D14*F14</f>
        <v>3500</v>
      </c>
      <c r="H14" s="113" t="s">
        <v>145</v>
      </c>
    </row>
    <row r="15" spans="2:9" ht="12.75" customHeight="1" x14ac:dyDescent="0.25">
      <c r="B15" s="111"/>
      <c r="C15" s="138"/>
      <c r="D15" s="112"/>
      <c r="E15" s="138"/>
      <c r="F15" s="20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18500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4</v>
      </c>
      <c r="E21" s="168" t="s">
        <v>30</v>
      </c>
      <c r="F21" s="5">
        <v>70</v>
      </c>
      <c r="G21" s="130">
        <f>D21*F21</f>
        <v>280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0</v>
      </c>
      <c r="E22" s="169" t="s">
        <v>33</v>
      </c>
      <c r="F22" s="23">
        <v>900</v>
      </c>
      <c r="G22" s="131">
        <f t="shared" ref="G22" si="1">D22*F22</f>
        <v>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1878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20658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160</v>
      </c>
      <c r="D32" s="112"/>
      <c r="E32" s="138" t="s">
        <v>156</v>
      </c>
      <c r="F32" s="20">
        <v>15000</v>
      </c>
      <c r="G32" s="128">
        <f>D32*F32*-1</f>
        <v>0</v>
      </c>
      <c r="H32" s="113"/>
    </row>
    <row r="33" spans="2:8" ht="12.75" customHeight="1" x14ac:dyDescent="0.25">
      <c r="B33" s="111">
        <v>1</v>
      </c>
      <c r="C33" s="138" t="s">
        <v>161</v>
      </c>
      <c r="D33" s="112"/>
      <c r="E33" s="138" t="s">
        <v>156</v>
      </c>
      <c r="F33" s="20">
        <v>3500</v>
      </c>
      <c r="G33" s="128">
        <f>D33*F33*-1</f>
        <v>0</v>
      </c>
      <c r="H33" s="113"/>
    </row>
    <row r="34" spans="2:8" ht="12.75" customHeight="1" x14ac:dyDescent="0.25">
      <c r="B34" s="113"/>
      <c r="C34" s="170"/>
      <c r="D34" s="112"/>
      <c r="E34" s="138"/>
      <c r="F34" s="20"/>
      <c r="G34" s="128">
        <f t="shared" ref="G34:G36" si="2">D34*F34</f>
        <v>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si="2"/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4</v>
      </c>
      <c r="E40" s="168" t="s">
        <v>30</v>
      </c>
      <c r="F40" s="5">
        <v>70</v>
      </c>
      <c r="G40" s="130">
        <f>D40*F40*-1</f>
        <v>-280</v>
      </c>
      <c r="H40" s="113"/>
    </row>
    <row r="41" spans="2:8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-28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-308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20350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308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20350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0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0EAE-6B34-4435-A95D-4D2D1F29AC1D}">
  <sheetPr>
    <tabColor rgb="FFFF0000"/>
  </sheetPr>
  <dimension ref="B1:I57"/>
  <sheetViews>
    <sheetView workbookViewId="0">
      <selection activeCell="K44" sqref="K44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4.5703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162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163</v>
      </c>
      <c r="D6" s="224"/>
      <c r="E6" s="224"/>
      <c r="F6" s="224"/>
      <c r="G6" s="224"/>
      <c r="H6" s="134"/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/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/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164</v>
      </c>
      <c r="D13" s="112">
        <v>1</v>
      </c>
      <c r="E13" s="138" t="s">
        <v>20</v>
      </c>
      <c r="F13" s="20">
        <v>22000</v>
      </c>
      <c r="G13" s="128">
        <f>D13*F13</f>
        <v>22000</v>
      </c>
      <c r="H13" s="113"/>
    </row>
    <row r="14" spans="2:9" ht="12.75" customHeight="1" x14ac:dyDescent="0.25">
      <c r="B14" s="111">
        <v>1</v>
      </c>
      <c r="C14" s="138" t="s">
        <v>165</v>
      </c>
      <c r="D14" s="112">
        <v>1</v>
      </c>
      <c r="E14" s="138" t="s">
        <v>20</v>
      </c>
      <c r="F14" s="20">
        <f>0.4*F13</f>
        <v>8800</v>
      </c>
      <c r="G14" s="128">
        <f t="shared" ref="G14:G17" si="0">D14*F14</f>
        <v>8800</v>
      </c>
      <c r="H14" s="113"/>
    </row>
    <row r="15" spans="2:9" ht="12.75" customHeight="1" x14ac:dyDescent="0.25">
      <c r="B15" s="111"/>
      <c r="C15" s="138"/>
      <c r="D15" s="112"/>
      <c r="E15" s="138"/>
      <c r="F15" s="20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30800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32</v>
      </c>
      <c r="E21" s="168" t="s">
        <v>30</v>
      </c>
      <c r="F21" s="5">
        <v>70</v>
      </c>
      <c r="G21" s="130">
        <f>D21*F21</f>
        <v>2240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2</v>
      </c>
      <c r="E22" s="169" t="s">
        <v>33</v>
      </c>
      <c r="F22" s="23">
        <v>900</v>
      </c>
      <c r="G22" s="131">
        <f t="shared" ref="G22" si="1">D22*F22</f>
        <v>1800</v>
      </c>
      <c r="H22" s="141">
        <f>G22+G25</f>
        <v>5284</v>
      </c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13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41">
        <f>G21+G40</f>
        <v>1680</v>
      </c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3484</v>
      </c>
      <c r="H25" s="141">
        <f>5284+G44</f>
        <v>3028</v>
      </c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41">
        <f>G19+G32</f>
        <v>8800</v>
      </c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38324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164</v>
      </c>
      <c r="D32" s="112">
        <v>1</v>
      </c>
      <c r="E32" s="138" t="s">
        <v>20</v>
      </c>
      <c r="F32" s="20">
        <v>22000</v>
      </c>
      <c r="G32" s="128">
        <f>D32*F32*-1</f>
        <v>-22000</v>
      </c>
      <c r="H32" s="113"/>
    </row>
    <row r="33" spans="2:8" ht="12.75" customHeight="1" x14ac:dyDescent="0.25">
      <c r="B33" s="111">
        <v>1</v>
      </c>
      <c r="C33" s="138" t="s">
        <v>165</v>
      </c>
      <c r="D33" s="112"/>
      <c r="E33" s="138" t="s">
        <v>20</v>
      </c>
      <c r="F33" s="20">
        <f>0.4*F32</f>
        <v>8800</v>
      </c>
      <c r="G33" s="128">
        <f>D33*F33*-1</f>
        <v>0</v>
      </c>
      <c r="H33" s="141"/>
    </row>
    <row r="34" spans="2:8" ht="12.75" customHeight="1" x14ac:dyDescent="0.25">
      <c r="B34" s="113"/>
      <c r="C34" s="170"/>
      <c r="D34" s="112"/>
      <c r="E34" s="138"/>
      <c r="F34" s="20"/>
      <c r="G34" s="128">
        <f t="shared" ref="G34:G36" si="2">D34*F34</f>
        <v>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si="2"/>
        <v>0</v>
      </c>
      <c r="H35" s="113"/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-22000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8</v>
      </c>
      <c r="E40" s="168" t="s">
        <v>30</v>
      </c>
      <c r="F40" s="5">
        <v>70</v>
      </c>
      <c r="G40" s="130">
        <f>D40*F40*-1</f>
        <v>-560</v>
      </c>
      <c r="H40" s="113"/>
    </row>
    <row r="41" spans="2:8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-2256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-24816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33880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1980.0000000000002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2464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9679.9999999999964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1980.0000000000002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1848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5" customHeight="1" x14ac:dyDescent="0.25"/>
  </sheetData>
  <mergeCells count="22"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D92E-CBDD-4713-90E2-B3F86E097E5B}">
  <sheetPr>
    <tabColor rgb="FFFF0000"/>
  </sheetPr>
  <dimension ref="B1:I57"/>
  <sheetViews>
    <sheetView topLeftCell="A4" workbookViewId="0">
      <selection activeCell="C3" sqref="C3:G3"/>
    </sheetView>
  </sheetViews>
  <sheetFormatPr defaultColWidth="9.140625" defaultRowHeight="15" x14ac:dyDescent="0.25"/>
  <cols>
    <col min="1" max="1" width="3.5703125" customWidth="1"/>
    <col min="2" max="2" width="17.42578125" customWidth="1"/>
    <col min="3" max="3" width="34" customWidth="1"/>
    <col min="4" max="4" width="8.5703125" style="104" customWidth="1"/>
    <col min="5" max="6" width="8.5703125" customWidth="1"/>
    <col min="7" max="7" width="14.5703125" customWidth="1"/>
    <col min="8" max="8" width="44.42578125" customWidth="1"/>
    <col min="9" max="25" width="12.42578125" customWidth="1"/>
  </cols>
  <sheetData>
    <row r="1" spans="2:9" ht="18.75" customHeight="1" x14ac:dyDescent="0.25"/>
    <row r="2" spans="2:9" ht="12.75" customHeight="1" x14ac:dyDescent="0.25">
      <c r="B2" s="220" t="s">
        <v>0</v>
      </c>
      <c r="C2" s="221"/>
      <c r="D2" s="221"/>
      <c r="E2" s="221"/>
      <c r="F2" s="221"/>
      <c r="G2" s="222"/>
      <c r="H2" s="127" t="s">
        <v>68</v>
      </c>
    </row>
    <row r="3" spans="2:9" ht="12.75" customHeight="1" x14ac:dyDescent="0.25">
      <c r="B3" s="157" t="s">
        <v>69</v>
      </c>
      <c r="C3" s="223" t="s">
        <v>70</v>
      </c>
      <c r="D3" s="224"/>
      <c r="E3" s="224"/>
      <c r="F3" s="224"/>
      <c r="G3" s="224"/>
      <c r="H3" s="113"/>
    </row>
    <row r="4" spans="2:9" ht="12.75" customHeight="1" x14ac:dyDescent="0.25">
      <c r="B4" s="157" t="s">
        <v>71</v>
      </c>
      <c r="C4" s="158"/>
      <c r="D4" s="159"/>
      <c r="E4" s="159"/>
      <c r="F4" s="159"/>
      <c r="G4" s="159"/>
      <c r="H4" s="113"/>
    </row>
    <row r="5" spans="2:9" ht="12.75" customHeight="1" x14ac:dyDescent="0.25">
      <c r="B5" s="160" t="s">
        <v>72</v>
      </c>
      <c r="C5" s="223" t="s">
        <v>166</v>
      </c>
      <c r="D5" s="224"/>
      <c r="E5" s="224"/>
      <c r="F5" s="224"/>
      <c r="G5" s="224"/>
      <c r="H5" s="113"/>
      <c r="I5" s="161"/>
    </row>
    <row r="6" spans="2:9" ht="12.75" customHeight="1" x14ac:dyDescent="0.25">
      <c r="B6" s="160" t="s">
        <v>5</v>
      </c>
      <c r="C6" s="223" t="s">
        <v>167</v>
      </c>
      <c r="D6" s="224"/>
      <c r="E6" s="224"/>
      <c r="F6" s="224"/>
      <c r="G6" s="224"/>
      <c r="H6" s="136" t="s">
        <v>168</v>
      </c>
      <c r="I6" s="161"/>
    </row>
    <row r="7" spans="2:9" ht="12.75" customHeight="1" x14ac:dyDescent="0.25">
      <c r="B7" s="160" t="s">
        <v>8</v>
      </c>
      <c r="C7" s="223" t="s">
        <v>75</v>
      </c>
      <c r="D7" s="224"/>
      <c r="E7" s="224"/>
      <c r="F7" s="224"/>
      <c r="G7" s="224"/>
      <c r="H7" s="113" t="s">
        <v>169</v>
      </c>
    </row>
    <row r="8" spans="2:9" ht="12.75" customHeight="1" x14ac:dyDescent="0.25">
      <c r="B8" s="162" t="s">
        <v>9</v>
      </c>
      <c r="C8" s="223">
        <v>2023</v>
      </c>
      <c r="D8" s="224"/>
      <c r="E8" s="224"/>
      <c r="F8" s="224"/>
      <c r="G8" s="224"/>
      <c r="H8" s="113" t="s">
        <v>170</v>
      </c>
    </row>
    <row r="9" spans="2:9" ht="12.75" customHeight="1" x14ac:dyDescent="0.25">
      <c r="H9" s="113"/>
    </row>
    <row r="10" spans="2:9" x14ac:dyDescent="0.25">
      <c r="B10" s="105" t="s">
        <v>10</v>
      </c>
      <c r="C10" s="106"/>
      <c r="D10" s="106"/>
      <c r="E10" s="106"/>
      <c r="F10" s="106"/>
      <c r="G10" s="106"/>
      <c r="H10" s="113"/>
    </row>
    <row r="11" spans="2:9" ht="12.75" customHeight="1" x14ac:dyDescent="0.25">
      <c r="B11" s="163" t="s">
        <v>11</v>
      </c>
      <c r="C11" s="164" t="s">
        <v>12</v>
      </c>
      <c r="D11" s="165" t="s">
        <v>76</v>
      </c>
      <c r="E11" s="163" t="s">
        <v>14</v>
      </c>
      <c r="F11" s="163" t="s">
        <v>15</v>
      </c>
      <c r="G11" s="147" t="s">
        <v>16</v>
      </c>
      <c r="H11" s="113"/>
    </row>
    <row r="12" spans="2:9" ht="12.75" customHeight="1" x14ac:dyDescent="0.25">
      <c r="B12" s="107"/>
      <c r="C12" s="108"/>
      <c r="D12" s="109"/>
      <c r="E12" s="110"/>
      <c r="F12" s="110"/>
      <c r="G12" s="110"/>
      <c r="H12" s="113"/>
    </row>
    <row r="13" spans="2:9" ht="12.75" customHeight="1" x14ac:dyDescent="0.25">
      <c r="B13" s="111">
        <v>1</v>
      </c>
      <c r="C13" s="138" t="s">
        <v>171</v>
      </c>
      <c r="D13" s="137">
        <v>5</v>
      </c>
      <c r="E13" s="138" t="s">
        <v>172</v>
      </c>
      <c r="F13" s="20">
        <v>87</v>
      </c>
      <c r="G13" s="20">
        <f>1540+D13*F13</f>
        <v>1975</v>
      </c>
      <c r="H13" s="113"/>
    </row>
    <row r="14" spans="2:9" ht="12.75" customHeight="1" x14ac:dyDescent="0.25">
      <c r="B14" s="111">
        <v>1</v>
      </c>
      <c r="C14" s="138" t="s">
        <v>173</v>
      </c>
      <c r="D14" s="112">
        <v>1</v>
      </c>
      <c r="E14" s="138" t="s">
        <v>20</v>
      </c>
      <c r="F14" s="20">
        <f>G13*0.2</f>
        <v>395</v>
      </c>
      <c r="G14" s="128">
        <f t="shared" ref="G14:G17" si="0">D14*F14</f>
        <v>395</v>
      </c>
      <c r="H14" s="113"/>
    </row>
    <row r="15" spans="2:9" ht="12.75" customHeight="1" x14ac:dyDescent="0.25">
      <c r="B15" s="111"/>
      <c r="C15" s="138"/>
      <c r="D15" s="112"/>
      <c r="E15" s="138"/>
      <c r="F15" s="20"/>
      <c r="G15" s="128">
        <f t="shared" si="0"/>
        <v>0</v>
      </c>
      <c r="H15" s="113"/>
    </row>
    <row r="16" spans="2:9" ht="12.75" customHeight="1" x14ac:dyDescent="0.25">
      <c r="B16" s="113"/>
      <c r="C16" s="138"/>
      <c r="D16" s="112"/>
      <c r="E16" s="138"/>
      <c r="F16" s="20"/>
      <c r="G16" s="128">
        <f t="shared" si="0"/>
        <v>0</v>
      </c>
      <c r="H16" s="113"/>
    </row>
    <row r="17" spans="2:8" ht="12.75" customHeight="1" x14ac:dyDescent="0.25">
      <c r="B17" s="113"/>
      <c r="C17" s="138"/>
      <c r="D17" s="112"/>
      <c r="E17" s="138"/>
      <c r="F17" s="20"/>
      <c r="G17" s="128">
        <f t="shared" si="0"/>
        <v>0</v>
      </c>
      <c r="H17" s="113"/>
    </row>
    <row r="18" spans="2:8" ht="12.75" customHeight="1" x14ac:dyDescent="0.25">
      <c r="B18" s="114"/>
      <c r="C18" s="166"/>
      <c r="D18" s="115"/>
      <c r="E18" s="167"/>
      <c r="F18" s="116"/>
      <c r="G18" s="116"/>
      <c r="H18" s="113"/>
    </row>
    <row r="19" spans="2:8" ht="12.75" customHeight="1" x14ac:dyDescent="0.25">
      <c r="B19" s="225" t="s">
        <v>22</v>
      </c>
      <c r="C19" s="226"/>
      <c r="D19" s="226"/>
      <c r="E19" s="226"/>
      <c r="F19" s="227"/>
      <c r="G19" s="129">
        <f>SUM(G12:G18)</f>
        <v>2370</v>
      </c>
      <c r="H19" s="113"/>
    </row>
    <row r="20" spans="2:8" ht="12.75" customHeight="1" x14ac:dyDescent="0.25">
      <c r="B20" s="117"/>
      <c r="C20" s="118" t="s">
        <v>27</v>
      </c>
      <c r="D20" s="119"/>
      <c r="E20" s="120"/>
      <c r="F20" s="120"/>
      <c r="G20" s="120"/>
      <c r="H20" s="113"/>
    </row>
    <row r="21" spans="2:8" ht="12.75" customHeight="1" x14ac:dyDescent="0.25">
      <c r="B21" s="121">
        <v>2</v>
      </c>
      <c r="C21" s="168" t="s">
        <v>29</v>
      </c>
      <c r="D21" s="122">
        <v>8</v>
      </c>
      <c r="E21" s="168" t="s">
        <v>30</v>
      </c>
      <c r="F21" s="5">
        <v>70</v>
      </c>
      <c r="G21" s="130">
        <f>D21*F21</f>
        <v>560</v>
      </c>
      <c r="H21" s="113"/>
    </row>
    <row r="22" spans="2:8" ht="12.75" customHeight="1" x14ac:dyDescent="0.25">
      <c r="B22" s="123">
        <v>3</v>
      </c>
      <c r="C22" s="169" t="s">
        <v>32</v>
      </c>
      <c r="D22" s="124">
        <v>0</v>
      </c>
      <c r="E22" s="169" t="s">
        <v>33</v>
      </c>
      <c r="F22" s="23">
        <v>900</v>
      </c>
      <c r="G22" s="131">
        <f t="shared" ref="G22" si="1">D22*F22</f>
        <v>0</v>
      </c>
      <c r="H22" s="113"/>
    </row>
    <row r="23" spans="2:8" ht="12.75" customHeight="1" x14ac:dyDescent="0.25">
      <c r="B23" s="117"/>
      <c r="C23" s="118" t="s">
        <v>35</v>
      </c>
      <c r="D23" s="119"/>
      <c r="E23" s="120"/>
      <c r="F23" s="120"/>
      <c r="G23" s="120"/>
      <c r="H23" s="141"/>
    </row>
    <row r="24" spans="2:8" ht="12.75" customHeight="1" x14ac:dyDescent="0.25">
      <c r="B24" s="219" t="s">
        <v>37</v>
      </c>
      <c r="C24" s="219"/>
      <c r="D24" s="219"/>
      <c r="E24" s="219"/>
      <c r="F24" s="219"/>
      <c r="G24" s="132">
        <v>0.1</v>
      </c>
      <c r="H24" s="113"/>
    </row>
    <row r="25" spans="2:8" ht="12.75" customHeight="1" x14ac:dyDescent="0.25">
      <c r="B25" s="219" t="s">
        <v>35</v>
      </c>
      <c r="C25" s="219"/>
      <c r="D25" s="219"/>
      <c r="E25" s="219"/>
      <c r="F25" s="219"/>
      <c r="G25" s="128">
        <f>G24*SUM(G19,G21:G22)</f>
        <v>293</v>
      </c>
      <c r="H25" s="113"/>
    </row>
    <row r="26" spans="2:8" ht="12.75" customHeight="1" x14ac:dyDescent="0.25">
      <c r="B26" s="117"/>
      <c r="C26" s="118" t="s">
        <v>40</v>
      </c>
      <c r="D26" s="119"/>
      <c r="E26" s="120"/>
      <c r="F26" s="120"/>
      <c r="G26" s="120"/>
      <c r="H26" s="113"/>
    </row>
    <row r="27" spans="2:8" ht="12.75" customHeight="1" x14ac:dyDescent="0.25">
      <c r="B27" s="228" t="s">
        <v>42</v>
      </c>
      <c r="C27" s="229"/>
      <c r="D27" s="229"/>
      <c r="E27" s="229"/>
      <c r="F27" s="230"/>
      <c r="G27" s="130">
        <f>G19+G21+G22+G25</f>
        <v>3223</v>
      </c>
      <c r="H27" s="113"/>
    </row>
    <row r="28" spans="2:8" x14ac:dyDescent="0.25">
      <c r="H28" s="113"/>
    </row>
    <row r="29" spans="2:8" x14ac:dyDescent="0.25">
      <c r="B29" s="105" t="s">
        <v>50</v>
      </c>
      <c r="C29" s="106"/>
      <c r="D29" s="106"/>
      <c r="E29" s="106"/>
      <c r="F29" s="106"/>
      <c r="G29" s="106"/>
      <c r="H29" s="113"/>
    </row>
    <row r="30" spans="2:8" x14ac:dyDescent="0.25">
      <c r="B30" s="163" t="s">
        <v>11</v>
      </c>
      <c r="C30" s="164" t="s">
        <v>12</v>
      </c>
      <c r="D30" s="165" t="s">
        <v>76</v>
      </c>
      <c r="E30" s="163" t="s">
        <v>14</v>
      </c>
      <c r="F30" s="163" t="s">
        <v>15</v>
      </c>
      <c r="G30" s="147" t="s">
        <v>16</v>
      </c>
      <c r="H30" s="113"/>
    </row>
    <row r="31" spans="2:8" ht="12.75" customHeight="1" x14ac:dyDescent="0.25">
      <c r="B31" s="107"/>
      <c r="C31" s="108"/>
      <c r="D31" s="109"/>
      <c r="E31" s="110"/>
      <c r="F31" s="110"/>
      <c r="G31" s="110"/>
      <c r="H31" s="113"/>
    </row>
    <row r="32" spans="2:8" ht="12.75" customHeight="1" x14ac:dyDescent="0.25">
      <c r="B32" s="111">
        <v>1</v>
      </c>
      <c r="C32" s="138" t="s">
        <v>17</v>
      </c>
      <c r="D32" s="137">
        <v>0</v>
      </c>
      <c r="E32" s="138" t="s">
        <v>172</v>
      </c>
      <c r="F32" s="20">
        <f>1540+D32*87</f>
        <v>1540</v>
      </c>
      <c r="G32" s="128">
        <f>D32*F32*-1</f>
        <v>0</v>
      </c>
      <c r="H32" s="113"/>
    </row>
    <row r="33" spans="2:8" ht="12.75" customHeight="1" x14ac:dyDescent="0.25">
      <c r="B33" s="111">
        <v>1</v>
      </c>
      <c r="C33" s="138" t="s">
        <v>173</v>
      </c>
      <c r="D33" s="112">
        <v>1</v>
      </c>
      <c r="E33" s="138" t="s">
        <v>20</v>
      </c>
      <c r="F33" s="20">
        <f>G32*0.2</f>
        <v>0</v>
      </c>
      <c r="G33" s="128">
        <f>D33*F33*-1</f>
        <v>0</v>
      </c>
      <c r="H33" s="113"/>
    </row>
    <row r="34" spans="2:8" ht="12.75" customHeight="1" x14ac:dyDescent="0.25">
      <c r="B34" s="113"/>
      <c r="C34" s="170"/>
      <c r="D34" s="112"/>
      <c r="E34" s="138"/>
      <c r="F34" s="20"/>
      <c r="G34" s="128">
        <f t="shared" ref="G34:G36" si="2">D34*F34</f>
        <v>0</v>
      </c>
      <c r="H34" s="113"/>
    </row>
    <row r="35" spans="2:8" ht="12.75" customHeight="1" x14ac:dyDescent="0.25">
      <c r="B35" s="113"/>
      <c r="C35" s="170"/>
      <c r="D35" s="112"/>
      <c r="E35" s="138"/>
      <c r="F35" s="20"/>
      <c r="G35" s="128">
        <f t="shared" si="2"/>
        <v>0</v>
      </c>
      <c r="H35" s="141">
        <f>G27+G46</f>
        <v>3069</v>
      </c>
    </row>
    <row r="36" spans="2:8" ht="12.75" customHeight="1" x14ac:dyDescent="0.25">
      <c r="B36" s="125"/>
      <c r="C36" s="171"/>
      <c r="D36" s="124"/>
      <c r="E36" s="169"/>
      <c r="F36" s="23"/>
      <c r="G36" s="131">
        <f t="shared" si="2"/>
        <v>0</v>
      </c>
      <c r="H36" s="113"/>
    </row>
    <row r="37" spans="2:8" x14ac:dyDescent="0.25">
      <c r="B37" s="117"/>
      <c r="C37" s="172"/>
      <c r="D37" s="119"/>
      <c r="E37" s="173"/>
      <c r="F37" s="34"/>
      <c r="G37" s="34"/>
      <c r="H37" s="113"/>
    </row>
    <row r="38" spans="2:8" x14ac:dyDescent="0.25">
      <c r="B38" s="225" t="s">
        <v>22</v>
      </c>
      <c r="C38" s="226"/>
      <c r="D38" s="226"/>
      <c r="E38" s="226"/>
      <c r="F38" s="227"/>
      <c r="G38" s="129">
        <f>SUM(G31:G37)</f>
        <v>0</v>
      </c>
      <c r="H38" s="113"/>
    </row>
    <row r="39" spans="2:8" x14ac:dyDescent="0.25">
      <c r="B39" s="117"/>
      <c r="C39" s="118" t="s">
        <v>27</v>
      </c>
      <c r="D39" s="119"/>
      <c r="E39" s="120"/>
      <c r="F39" s="120"/>
      <c r="G39" s="120"/>
      <c r="H39" s="113"/>
    </row>
    <row r="40" spans="2:8" x14ac:dyDescent="0.25">
      <c r="B40" s="121">
        <v>2</v>
      </c>
      <c r="C40" s="168" t="s">
        <v>29</v>
      </c>
      <c r="D40" s="122">
        <v>2</v>
      </c>
      <c r="E40" s="168" t="s">
        <v>30</v>
      </c>
      <c r="F40" s="5">
        <v>70</v>
      </c>
      <c r="G40" s="130">
        <f>D40*F40*-1</f>
        <v>-140</v>
      </c>
      <c r="H40" s="113"/>
    </row>
    <row r="41" spans="2:8" x14ac:dyDescent="0.25">
      <c r="B41" s="123">
        <v>3</v>
      </c>
      <c r="C41" s="169" t="s">
        <v>32</v>
      </c>
      <c r="D41" s="124">
        <v>0</v>
      </c>
      <c r="E41" s="169" t="s">
        <v>33</v>
      </c>
      <c r="F41" s="23">
        <v>900</v>
      </c>
      <c r="G41" s="131">
        <f t="shared" ref="G41" si="3">D41*F41</f>
        <v>0</v>
      </c>
      <c r="H41" s="113"/>
    </row>
    <row r="42" spans="2:8" x14ac:dyDescent="0.25">
      <c r="B42" s="117"/>
      <c r="C42" s="118" t="s">
        <v>35</v>
      </c>
      <c r="D42" s="119"/>
      <c r="E42" s="120"/>
      <c r="F42" s="120"/>
      <c r="G42" s="120"/>
      <c r="H42" s="113"/>
    </row>
    <row r="43" spans="2:8" x14ac:dyDescent="0.25">
      <c r="B43" s="219" t="s">
        <v>37</v>
      </c>
      <c r="C43" s="219"/>
      <c r="D43" s="219"/>
      <c r="E43" s="219"/>
      <c r="F43" s="219"/>
      <c r="G43" s="132">
        <v>0.1</v>
      </c>
      <c r="H43" s="113"/>
    </row>
    <row r="44" spans="2:8" x14ac:dyDescent="0.25">
      <c r="B44" s="219" t="s">
        <v>35</v>
      </c>
      <c r="C44" s="219"/>
      <c r="D44" s="219"/>
      <c r="E44" s="219"/>
      <c r="F44" s="219"/>
      <c r="G44" s="128">
        <f>G43*SUM(G38,G40:G41)</f>
        <v>-14</v>
      </c>
      <c r="H44" s="113"/>
    </row>
    <row r="45" spans="2:8" x14ac:dyDescent="0.25">
      <c r="B45" s="117"/>
      <c r="C45" s="118" t="s">
        <v>40</v>
      </c>
      <c r="D45" s="119"/>
      <c r="E45" s="120"/>
      <c r="F45" s="120"/>
      <c r="G45" s="120"/>
      <c r="H45" s="113"/>
    </row>
    <row r="46" spans="2:8" x14ac:dyDescent="0.25">
      <c r="B46" s="228" t="s">
        <v>63</v>
      </c>
      <c r="C46" s="229"/>
      <c r="D46" s="229"/>
      <c r="E46" s="229"/>
      <c r="F46" s="230"/>
      <c r="G46" s="130">
        <f>G38+G40+G41+G44</f>
        <v>-154</v>
      </c>
      <c r="H46" s="113"/>
    </row>
    <row r="47" spans="2:8" x14ac:dyDescent="0.25">
      <c r="D47"/>
      <c r="H47" s="113"/>
    </row>
    <row r="48" spans="2:8" x14ac:dyDescent="0.25">
      <c r="B48" s="105" t="s">
        <v>81</v>
      </c>
      <c r="C48" s="106"/>
      <c r="D48" s="106"/>
      <c r="E48" s="106"/>
      <c r="F48" s="106"/>
      <c r="G48" s="106"/>
      <c r="H48" s="113"/>
    </row>
    <row r="49" spans="2:8" x14ac:dyDescent="0.25">
      <c r="B49" s="231" t="s">
        <v>82</v>
      </c>
      <c r="C49" s="232"/>
      <c r="D49" s="232"/>
      <c r="E49" s="232"/>
      <c r="F49" s="233"/>
      <c r="G49" s="133">
        <f>G19*(1+G24)</f>
        <v>2607</v>
      </c>
      <c r="H49" s="113"/>
    </row>
    <row r="50" spans="2:8" x14ac:dyDescent="0.25">
      <c r="B50" s="231" t="s">
        <v>83</v>
      </c>
      <c r="C50" s="232"/>
      <c r="D50" s="232"/>
      <c r="E50" s="232"/>
      <c r="F50" s="233"/>
      <c r="G50" s="133">
        <f>G22*(1+G24)</f>
        <v>0</v>
      </c>
      <c r="H50" s="113"/>
    </row>
    <row r="51" spans="2:8" x14ac:dyDescent="0.25">
      <c r="B51" s="231" t="s">
        <v>84</v>
      </c>
      <c r="C51" s="232"/>
      <c r="D51" s="232"/>
      <c r="E51" s="232"/>
      <c r="F51" s="233"/>
      <c r="G51" s="133">
        <f>G21*(1+G24)</f>
        <v>616</v>
      </c>
      <c r="H51" s="113"/>
    </row>
    <row r="52" spans="2:8" x14ac:dyDescent="0.25">
      <c r="B52" s="231" t="s">
        <v>85</v>
      </c>
      <c r="C52" s="232"/>
      <c r="D52" s="232"/>
      <c r="E52" s="232"/>
      <c r="F52" s="233"/>
      <c r="G52" s="133">
        <f>G49+G38*(1+G43)</f>
        <v>2607</v>
      </c>
      <c r="H52" s="113"/>
    </row>
    <row r="53" spans="2:8" x14ac:dyDescent="0.25">
      <c r="B53" s="231" t="s">
        <v>86</v>
      </c>
      <c r="C53" s="232"/>
      <c r="D53" s="232"/>
      <c r="E53" s="232"/>
      <c r="F53" s="233"/>
      <c r="G53" s="133">
        <f>G50+G41*(1+G43)</f>
        <v>0</v>
      </c>
      <c r="H53" s="113"/>
    </row>
    <row r="54" spans="2:8" x14ac:dyDescent="0.25">
      <c r="B54" s="231" t="s">
        <v>87</v>
      </c>
      <c r="C54" s="232"/>
      <c r="D54" s="232"/>
      <c r="E54" s="232"/>
      <c r="F54" s="233"/>
      <c r="G54" s="133">
        <f>G51+G40*(1+G43)</f>
        <v>462</v>
      </c>
      <c r="H54" s="113"/>
    </row>
    <row r="55" spans="2:8" x14ac:dyDescent="0.25">
      <c r="B55" s="231" t="s">
        <v>66</v>
      </c>
      <c r="C55" s="234"/>
      <c r="D55" s="234"/>
      <c r="E55" s="234"/>
      <c r="F55" s="235"/>
      <c r="G55" s="130">
        <v>0</v>
      </c>
      <c r="H55" s="113"/>
    </row>
    <row r="56" spans="2:8" x14ac:dyDescent="0.25">
      <c r="B56" s="231" t="s">
        <v>67</v>
      </c>
      <c r="C56" s="234"/>
      <c r="D56" s="234"/>
      <c r="E56" s="234"/>
      <c r="F56" s="126"/>
      <c r="G56" s="130">
        <v>0</v>
      </c>
      <c r="H56" s="113"/>
    </row>
    <row r="57" spans="2:8" ht="18.75" customHeight="1" x14ac:dyDescent="0.25"/>
  </sheetData>
  <mergeCells count="22">
    <mergeCell ref="B43:F43"/>
    <mergeCell ref="B2:G2"/>
    <mergeCell ref="C3:G3"/>
    <mergeCell ref="C5:G5"/>
    <mergeCell ref="C6:G6"/>
    <mergeCell ref="C7:G7"/>
    <mergeCell ref="C8:G8"/>
    <mergeCell ref="B19:F19"/>
    <mergeCell ref="B24:F24"/>
    <mergeCell ref="B25:F25"/>
    <mergeCell ref="B27:F27"/>
    <mergeCell ref="B38:F38"/>
    <mergeCell ref="B53:F53"/>
    <mergeCell ref="B54:F54"/>
    <mergeCell ref="B55:F55"/>
    <mergeCell ref="B56:E56"/>
    <mergeCell ref="B44:F44"/>
    <mergeCell ref="B46:F46"/>
    <mergeCell ref="B49:F49"/>
    <mergeCell ref="B50:F50"/>
    <mergeCell ref="B51:F51"/>
    <mergeCell ref="B52:F5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B417-782F-4C00-838E-648D0FAC732F}">
  <dimension ref="B5:U39"/>
  <sheetViews>
    <sheetView topLeftCell="A10" workbookViewId="0">
      <selection activeCell="C30" sqref="C30:D30"/>
    </sheetView>
  </sheetViews>
  <sheetFormatPr defaultRowHeight="15" x14ac:dyDescent="0.25"/>
  <cols>
    <col min="2" max="2" width="35.85546875" bestFit="1" customWidth="1"/>
    <col min="3" max="3" width="10.5703125" bestFit="1" customWidth="1"/>
    <col min="4" max="4" width="10.5703125" customWidth="1"/>
    <col min="5" max="5" width="10.140625" bestFit="1" customWidth="1"/>
    <col min="11" max="11" width="10.5703125" bestFit="1" customWidth="1"/>
    <col min="13" max="13" width="10.5703125" bestFit="1" customWidth="1"/>
  </cols>
  <sheetData>
    <row r="5" spans="2:21" x14ac:dyDescent="0.25">
      <c r="C5" t="s">
        <v>73</v>
      </c>
      <c r="D5" t="s">
        <v>88</v>
      </c>
      <c r="E5" t="s">
        <v>174</v>
      </c>
      <c r="F5" t="s">
        <v>175</v>
      </c>
      <c r="G5" t="s">
        <v>176</v>
      </c>
      <c r="H5" t="s">
        <v>100</v>
      </c>
      <c r="I5" t="s">
        <v>106</v>
      </c>
      <c r="J5" t="s">
        <v>114</v>
      </c>
      <c r="K5" t="s">
        <v>121</v>
      </c>
      <c r="L5" t="s">
        <v>124</v>
      </c>
      <c r="M5" t="s">
        <v>130</v>
      </c>
      <c r="N5" t="s">
        <v>140</v>
      </c>
      <c r="O5" t="s">
        <v>177</v>
      </c>
      <c r="P5" t="s">
        <v>178</v>
      </c>
      <c r="Q5" t="s">
        <v>179</v>
      </c>
      <c r="R5" t="s">
        <v>153</v>
      </c>
      <c r="S5" t="s">
        <v>158</v>
      </c>
      <c r="T5" t="s">
        <v>162</v>
      </c>
      <c r="U5" t="s">
        <v>180</v>
      </c>
    </row>
    <row r="6" spans="2:21" x14ac:dyDescent="0.25">
      <c r="B6" s="174" t="s">
        <v>82</v>
      </c>
      <c r="C6" s="139" cm="1">
        <f t="array" aca="1" ref="C6" ca="1">INDIRECT("'"&amp;C$5&amp;"'!G49")</f>
        <v>169400</v>
      </c>
      <c r="D6" s="139" cm="1">
        <f t="array" aca="1" ref="D6" ca="1">INDIRECT("'"&amp;D$5&amp;"'!G49")</f>
        <v>97937.400000000009</v>
      </c>
      <c r="E6" s="139" cm="1">
        <f t="array" aca="1" ref="E6" ca="1">INDIRECT("'"&amp;E$5&amp;"'!G49")</f>
        <v>97937.400000000009</v>
      </c>
      <c r="F6" s="139" cm="1">
        <f t="array" aca="1" ref="F6" ca="1">INDIRECT("'"&amp;F$5&amp;"'!G49")</f>
        <v>174240</v>
      </c>
      <c r="G6" s="139" cm="1">
        <f t="array" aca="1" ref="G6" ca="1">INDIRECT("'"&amp;G$5&amp;"'!G49")</f>
        <v>188808.40000000002</v>
      </c>
      <c r="H6" s="139" cm="1">
        <f t="array" aca="1" ref="H6" ca="1">INDIRECT("'"&amp;H$5&amp;"'!G49")</f>
        <v>93720.000000000015</v>
      </c>
      <c r="I6" s="139" cm="1">
        <f t="array" aca="1" ref="I6" ca="1">INDIRECT("'"&amp;I$5&amp;"'!G49")</f>
        <v>449.90000000000003</v>
      </c>
      <c r="J6" s="139" cm="1">
        <f t="array" aca="1" ref="J6" ca="1">INDIRECT("'"&amp;J$5&amp;"'!G49")</f>
        <v>4950</v>
      </c>
      <c r="K6" s="139" cm="1">
        <f t="array" aca="1" ref="K6" ca="1">INDIRECT("'"&amp;K$5&amp;"'!G49")</f>
        <v>7150.0000000000009</v>
      </c>
      <c r="L6" s="139" cm="1">
        <f t="array" aca="1" ref="L6" ca="1">INDIRECT("'"&amp;L$5&amp;"'!G49")</f>
        <v>20063.471999999998</v>
      </c>
      <c r="M6" s="139" cm="1">
        <f t="array" aca="1" ref="M6" ca="1">INDIRECT("'"&amp;M$5&amp;"'!G49")</f>
        <v>1083720</v>
      </c>
      <c r="N6" s="139" cm="1">
        <f t="array" aca="1" ref="N6" ca="1">INDIRECT("'"&amp;N$5&amp;"'!G49")</f>
        <v>23100.000000000004</v>
      </c>
      <c r="O6" s="139" cm="1">
        <f t="array" aca="1" ref="O6" ca="1">INDIRECT("'"&amp;O$5&amp;"'!G49")</f>
        <v>15.620000000000001</v>
      </c>
      <c r="P6" s="139" cm="1">
        <f t="array" aca="1" ref="P6" ca="1">INDIRECT("'"&amp;P$5&amp;"'!G49")</f>
        <v>15.07</v>
      </c>
      <c r="Q6" s="139" cm="1">
        <f t="array" aca="1" ref="Q6" ca="1">INDIRECT("'"&amp;Q$5&amp;"'!G49")</f>
        <v>10.67</v>
      </c>
      <c r="R6" s="139" cm="1">
        <f t="array" aca="1" ref="R6" ca="1">INDIRECT("'"&amp;R$5&amp;"'!G49")</f>
        <v>5720.0000000000009</v>
      </c>
      <c r="S6" s="139" cm="1">
        <f t="array" aca="1" ref="S6" ca="1">INDIRECT("'"&amp;S$5&amp;"'!G49")</f>
        <v>20350</v>
      </c>
      <c r="T6" s="139" cm="1">
        <f t="array" aca="1" ref="T6" ca="1">INDIRECT("'"&amp;T$5&amp;"'!G49")</f>
        <v>33880</v>
      </c>
      <c r="U6" s="139" cm="1">
        <f t="array" aca="1" ref="U6" ca="1">INDIRECT("'"&amp;U$5&amp;"'!G49")</f>
        <v>2607</v>
      </c>
    </row>
    <row r="7" spans="2:21" x14ac:dyDescent="0.25">
      <c r="B7" s="174" t="s">
        <v>83</v>
      </c>
      <c r="C7" s="139" cm="1">
        <f t="array" aca="1" ref="C7" ca="1">INDIRECT("'"&amp;C$5&amp;"'!G50")</f>
        <v>9900</v>
      </c>
      <c r="D7" s="139" cm="1">
        <f t="array" aca="1" ref="D7" ca="1">INDIRECT("'"&amp;D$5&amp;"'!G50")</f>
        <v>19800</v>
      </c>
      <c r="E7" s="139" cm="1">
        <f t="array" aca="1" ref="E7" ca="1">INDIRECT("'"&amp;E$5&amp;"'!G50")</f>
        <v>19800</v>
      </c>
      <c r="F7" s="139" cm="1">
        <f t="array" aca="1" ref="F7" ca="1">INDIRECT("'"&amp;F$5&amp;"'!G50")</f>
        <v>19800</v>
      </c>
      <c r="G7" s="139" cm="1">
        <f t="array" aca="1" ref="G7" ca="1">INDIRECT("'"&amp;G$5&amp;"'!G50")</f>
        <v>19800</v>
      </c>
      <c r="H7" s="139" cm="1">
        <f t="array" aca="1" ref="H7" ca="1">INDIRECT("'"&amp;H$5&amp;"'!G50")</f>
        <v>26400.000000000004</v>
      </c>
      <c r="I7" s="139" cm="1">
        <f t="array" aca="1" ref="I7" ca="1">INDIRECT("'"&amp;I$5&amp;"'!G50")</f>
        <v>0</v>
      </c>
      <c r="J7" s="139" cm="1">
        <f t="array" aca="1" ref="J7" ca="1">INDIRECT("'"&amp;J$5&amp;"'!G50")</f>
        <v>0</v>
      </c>
      <c r="K7" s="139" cm="1">
        <f t="array" aca="1" ref="K7" ca="1">INDIRECT("'"&amp;K$5&amp;"'!G50")</f>
        <v>0</v>
      </c>
      <c r="L7" s="139" cm="1">
        <f t="array" aca="1" ref="L7" ca="1">INDIRECT("'"&amp;L$5&amp;"'!G50")</f>
        <v>1980.0000000000002</v>
      </c>
      <c r="M7" s="139" cm="1">
        <f t="array" aca="1" ref="M7" ca="1">INDIRECT("'"&amp;M$5&amp;"'!G50")</f>
        <v>6600.0000000000009</v>
      </c>
      <c r="N7" s="139" cm="1">
        <f t="array" aca="1" ref="N7" ca="1">INDIRECT("'"&amp;N$5&amp;"'!G50")</f>
        <v>9900</v>
      </c>
      <c r="O7" s="139" cm="1">
        <f t="array" aca="1" ref="O7" ca="1">INDIRECT("'"&amp;O$5&amp;"'!G50")</f>
        <v>0.41250000000000003</v>
      </c>
      <c r="P7" s="139" cm="1">
        <f t="array" aca="1" ref="P7" ca="1">INDIRECT("'"&amp;P$5&amp;"'!G50")</f>
        <v>0.41250000000000003</v>
      </c>
      <c r="Q7" s="139" cm="1">
        <f t="array" aca="1" ref="Q7" ca="1">INDIRECT("'"&amp;Q$5&amp;"'!G50")</f>
        <v>0.41250000000000003</v>
      </c>
      <c r="R7" s="139" cm="1">
        <f t="array" aca="1" ref="R7" ca="1">INDIRECT("'"&amp;R$5&amp;"'!G50")</f>
        <v>990.00000000000011</v>
      </c>
      <c r="S7" s="139" cm="1">
        <f t="array" aca="1" ref="S7" ca="1">INDIRECT("'"&amp;S$5&amp;"'!G50")</f>
        <v>0</v>
      </c>
      <c r="T7" s="139" cm="1">
        <f t="array" aca="1" ref="T7" ca="1">INDIRECT("'"&amp;T$5&amp;"'!G50")</f>
        <v>1980.0000000000002</v>
      </c>
      <c r="U7" s="139" cm="1">
        <f t="array" aca="1" ref="U7" ca="1">INDIRECT("'"&amp;U$5&amp;"'!G50")</f>
        <v>0</v>
      </c>
    </row>
    <row r="8" spans="2:21" x14ac:dyDescent="0.25">
      <c r="B8" s="174" t="s">
        <v>84</v>
      </c>
      <c r="C8" s="139" cm="1">
        <f t="array" aca="1" ref="C8" ca="1">INDIRECT("'"&amp;C$5&amp;"'!G51")</f>
        <v>6160.0000000000009</v>
      </c>
      <c r="D8" s="139" cm="1">
        <f t="array" aca="1" ref="D8" ca="1">INDIRECT("'"&amp;D$5&amp;"'!G51")</f>
        <v>12320.000000000002</v>
      </c>
      <c r="E8" s="139" cm="1">
        <f t="array" aca="1" ref="E8" ca="1">INDIRECT("'"&amp;E$5&amp;"'!G51")</f>
        <v>12320.000000000002</v>
      </c>
      <c r="F8" s="139" cm="1">
        <f t="array" aca="1" ref="F8" ca="1">INDIRECT("'"&amp;F$5&amp;"'!G51")</f>
        <v>12320.000000000002</v>
      </c>
      <c r="G8" s="139" cm="1">
        <f t="array" aca="1" ref="G8" ca="1">INDIRECT("'"&amp;G$5&amp;"'!G51")</f>
        <v>12320.000000000002</v>
      </c>
      <c r="H8" s="139" cm="1">
        <f t="array" aca="1" ref="H8" ca="1">INDIRECT("'"&amp;H$5&amp;"'!G51")</f>
        <v>18480</v>
      </c>
      <c r="I8" s="139" cm="1">
        <f t="array" aca="1" ref="I8" ca="1">INDIRECT("'"&amp;I$5&amp;"'!G51")</f>
        <v>462.00000000000006</v>
      </c>
      <c r="J8" s="139" cm="1">
        <f t="array" aca="1" ref="J8" ca="1">INDIRECT("'"&amp;J$5&amp;"'!G51")</f>
        <v>924.00000000000011</v>
      </c>
      <c r="K8" s="139" cm="1">
        <f t="array" aca="1" ref="K8" ca="1">INDIRECT("'"&amp;K$5&amp;"'!G51")</f>
        <v>1232</v>
      </c>
      <c r="L8" s="139" cm="1">
        <f t="array" aca="1" ref="L8" ca="1">INDIRECT("'"&amp;L$5&amp;"'!G51")</f>
        <v>2464</v>
      </c>
      <c r="M8" s="139" cm="1">
        <f t="array" aca="1" ref="M8" ca="1">INDIRECT("'"&amp;M$5&amp;"'!G51")</f>
        <v>6160.0000000000009</v>
      </c>
      <c r="N8" s="139" cm="1">
        <f t="array" aca="1" ref="N8" ca="1">INDIRECT("'"&amp;N$5&amp;"'!G51")</f>
        <v>6160.0000000000009</v>
      </c>
      <c r="O8" s="139" cm="1">
        <f t="array" aca="1" ref="O8" ca="1">INDIRECT("'"&amp;O$5&amp;"'!G51")</f>
        <v>1.0266666666666668</v>
      </c>
      <c r="P8" s="139" cm="1">
        <f t="array" aca="1" ref="P8" ca="1">INDIRECT("'"&amp;P$5&amp;"'!G51")</f>
        <v>1.0266666666666668</v>
      </c>
      <c r="Q8" s="139" cm="1">
        <f t="array" aca="1" ref="Q8" ca="1">INDIRECT("'"&amp;Q$5&amp;"'!G51")</f>
        <v>1.0266666666666668</v>
      </c>
      <c r="R8" s="139" cm="1">
        <f t="array" aca="1" ref="R8" ca="1">INDIRECT("'"&amp;R$5&amp;"'!G51")</f>
        <v>1232</v>
      </c>
      <c r="S8" s="139" cm="1">
        <f t="array" aca="1" ref="S8" ca="1">INDIRECT("'"&amp;S$5&amp;"'!G51")</f>
        <v>308</v>
      </c>
      <c r="T8" s="139" cm="1">
        <f t="array" aca="1" ref="T8" ca="1">INDIRECT("'"&amp;T$5&amp;"'!G51")</f>
        <v>2464</v>
      </c>
      <c r="U8" s="139" cm="1">
        <f t="array" aca="1" ref="U8" ca="1">INDIRECT("'"&amp;U$5&amp;"'!G51")</f>
        <v>616</v>
      </c>
    </row>
    <row r="9" spans="2:21" x14ac:dyDescent="0.25">
      <c r="B9" s="174" t="s">
        <v>85</v>
      </c>
      <c r="C9" s="139" cm="1">
        <f t="array" aca="1" ref="C9" ca="1">INDIRECT("'"&amp;C$5&amp;"'!G52")</f>
        <v>84700</v>
      </c>
      <c r="D9" s="139" cm="1">
        <f t="array" aca="1" ref="D9" ca="1">INDIRECT("'"&amp;D$5&amp;"'!G52")</f>
        <v>46657.600000000006</v>
      </c>
      <c r="E9" s="139" cm="1">
        <f t="array" aca="1" ref="E9" ca="1">INDIRECT("'"&amp;E$5&amp;"'!G52")</f>
        <v>46657.600000000006</v>
      </c>
      <c r="F9" s="139" cm="1">
        <f t="array" aca="1" ref="F9" ca="1">INDIRECT("'"&amp;F$5&amp;"'!G52")</f>
        <v>121580.79999999999</v>
      </c>
      <c r="G9" s="139" cm="1">
        <f t="array" aca="1" ref="G9" ca="1">INDIRECT("'"&amp;G$5&amp;"'!G52")</f>
        <v>124920.40000000002</v>
      </c>
      <c r="H9" s="139" cm="1">
        <f t="array" aca="1" ref="H9" ca="1">INDIRECT("'"&amp;H$5&amp;"'!G52")</f>
        <v>77550.000000000015</v>
      </c>
      <c r="I9" s="139" cm="1">
        <f t="array" aca="1" ref="I9" ca="1">INDIRECT("'"&amp;I$5&amp;"'!G52")</f>
        <v>225.50000000000003</v>
      </c>
      <c r="J9" s="139" cm="1">
        <f t="array" aca="1" ref="J9" ca="1">INDIRECT("'"&amp;J$5&amp;"'!G52")</f>
        <v>4620</v>
      </c>
      <c r="K9" s="139" cm="1">
        <f t="array" aca="1" ref="K9" ca="1">INDIRECT("'"&amp;K$5&amp;"'!G52")</f>
        <v>6050.0000000000009</v>
      </c>
      <c r="L9" s="139" cm="1">
        <f t="array" aca="1" ref="L9" ca="1">INDIRECT("'"&amp;L$5&amp;"'!G52")</f>
        <v>12539.669999999998</v>
      </c>
      <c r="M9" s="139" cm="1">
        <f t="array" aca="1" ref="M9" ca="1">INDIRECT("'"&amp;M$5&amp;"'!G52")</f>
        <v>884664</v>
      </c>
      <c r="N9" s="139" cm="1">
        <f t="array" aca="1" ref="N9" ca="1">INDIRECT("'"&amp;N$5&amp;"'!G52")</f>
        <v>0</v>
      </c>
      <c r="O9" s="139" cm="1">
        <f t="array" aca="1" ref="O9" ca="1">INDIRECT("'"&amp;O$5&amp;"'!G52")</f>
        <v>15.620000000000001</v>
      </c>
      <c r="P9" s="139" cm="1">
        <f t="array" aca="1" ref="P9" ca="1">INDIRECT("'"&amp;P$5&amp;"'!G52")</f>
        <v>15.07</v>
      </c>
      <c r="Q9" s="139" cm="1">
        <f t="array" aca="1" ref="Q9" ca="1">INDIRECT("'"&amp;Q$5&amp;"'!G52")</f>
        <v>10.67</v>
      </c>
      <c r="R9" s="139" cm="1">
        <f t="array" aca="1" ref="R9" ca="1">INDIRECT("'"&amp;R$5&amp;"'!G52")</f>
        <v>5720.0000000000009</v>
      </c>
      <c r="S9" s="139" cm="1">
        <f t="array" aca="1" ref="S9" ca="1">INDIRECT("'"&amp;S$5&amp;"'!G52")</f>
        <v>20350</v>
      </c>
      <c r="T9" s="139" cm="1">
        <f t="array" aca="1" ref="T9" ca="1">INDIRECT("'"&amp;T$5&amp;"'!G52")</f>
        <v>9679.9999999999964</v>
      </c>
      <c r="U9" s="139" cm="1">
        <f t="array" aca="1" ref="U9" ca="1">INDIRECT("'"&amp;U$5&amp;"'!G52")</f>
        <v>2607</v>
      </c>
    </row>
    <row r="10" spans="2:21" x14ac:dyDescent="0.25">
      <c r="B10" s="174" t="s">
        <v>86</v>
      </c>
      <c r="C10" s="139" cm="1">
        <f t="array" aca="1" ref="C10" ca="1">INDIRECT("'"&amp;C$5&amp;"'!G53")</f>
        <v>5940</v>
      </c>
      <c r="D10" s="139" cm="1">
        <f t="array" aca="1" ref="D10" ca="1">INDIRECT("'"&amp;D$5&amp;"'!G53")</f>
        <v>16830</v>
      </c>
      <c r="E10" s="139" cm="1">
        <f t="array" aca="1" ref="E10" ca="1">INDIRECT("'"&amp;E$5&amp;"'!G53")</f>
        <v>16830</v>
      </c>
      <c r="F10" s="139" cm="1">
        <f t="array" aca="1" ref="F10" ca="1">INDIRECT("'"&amp;F$5&amp;"'!G53")</f>
        <v>16830</v>
      </c>
      <c r="G10" s="139" cm="1">
        <f t="array" aca="1" ref="G10" ca="1">INDIRECT("'"&amp;G$5&amp;"'!G53")</f>
        <v>16830</v>
      </c>
      <c r="H10" s="139" cm="1">
        <f t="array" aca="1" ref="H10" ca="1">INDIRECT("'"&amp;H$5&amp;"'!G53")</f>
        <v>19800.000000000004</v>
      </c>
      <c r="I10" s="139" cm="1">
        <f t="array" aca="1" ref="I10" ca="1">INDIRECT("'"&amp;I$5&amp;"'!G53")</f>
        <v>0</v>
      </c>
      <c r="J10" s="139" cm="1">
        <f t="array" aca="1" ref="J10" ca="1">INDIRECT("'"&amp;J$5&amp;"'!G53")</f>
        <v>0</v>
      </c>
      <c r="K10" s="139" cm="1">
        <f t="array" aca="1" ref="K10" ca="1">INDIRECT("'"&amp;K$5&amp;"'!G53")</f>
        <v>0</v>
      </c>
      <c r="L10" s="139" cm="1">
        <f t="array" aca="1" ref="L10" ca="1">INDIRECT("'"&amp;L$5&amp;"'!G53")</f>
        <v>1980.0000000000002</v>
      </c>
      <c r="M10" s="139" cm="1">
        <f t="array" aca="1" ref="M10" ca="1">INDIRECT("'"&amp;M$5&amp;"'!G53")</f>
        <v>5280.0000000000009</v>
      </c>
      <c r="N10" s="139" cm="1">
        <f t="array" aca="1" ref="N10" ca="1">INDIRECT("'"&amp;N$5&amp;"'!G53")</f>
        <v>7920</v>
      </c>
      <c r="O10" s="139" cm="1">
        <f t="array" aca="1" ref="O10" ca="1">INDIRECT("'"&amp;O$5&amp;"'!G53")</f>
        <v>0.41250000000000003</v>
      </c>
      <c r="P10" s="139" cm="1">
        <f t="array" aca="1" ref="P10" ca="1">INDIRECT("'"&amp;P$5&amp;"'!G53")</f>
        <v>0.41250000000000003</v>
      </c>
      <c r="Q10" s="139" cm="1">
        <f t="array" aca="1" ref="Q10" ca="1">INDIRECT("'"&amp;Q$5&amp;"'!G53")</f>
        <v>0.41250000000000003</v>
      </c>
      <c r="R10" s="139" cm="1">
        <f t="array" aca="1" ref="R10" ca="1">INDIRECT("'"&amp;R$5&amp;"'!G53")</f>
        <v>990.00000000000011</v>
      </c>
      <c r="S10" s="139" cm="1">
        <f t="array" aca="1" ref="S10" ca="1">INDIRECT("'"&amp;S$5&amp;"'!G53")</f>
        <v>0</v>
      </c>
      <c r="T10" s="139" cm="1">
        <f t="array" aca="1" ref="T10" ca="1">INDIRECT("'"&amp;T$5&amp;"'!G53")</f>
        <v>1980.0000000000002</v>
      </c>
      <c r="U10" s="139" cm="1">
        <f t="array" aca="1" ref="U10" ca="1">INDIRECT("'"&amp;U$5&amp;"'!G53")</f>
        <v>0</v>
      </c>
    </row>
    <row r="11" spans="2:21" x14ac:dyDescent="0.25">
      <c r="B11" s="174" t="s">
        <v>87</v>
      </c>
      <c r="C11" s="139" cm="1">
        <f t="array" aca="1" ref="C11" ca="1">INDIRECT("'"&amp;C$5&amp;"'!G54")</f>
        <v>3696.0000000000009</v>
      </c>
      <c r="D11" s="139" cm="1">
        <f t="array" aca="1" ref="D11" ca="1">INDIRECT("'"&amp;D$5&amp;"'!G54")</f>
        <v>7392.0000000000018</v>
      </c>
      <c r="E11" s="139" cm="1">
        <f t="array" aca="1" ref="E11" ca="1">INDIRECT("'"&amp;E$5&amp;"'!G54")</f>
        <v>7392.0000000000018</v>
      </c>
      <c r="F11" s="139" cm="1">
        <f t="array" aca="1" ref="F11" ca="1">INDIRECT("'"&amp;F$5&amp;"'!G54")</f>
        <v>7392.0000000000018</v>
      </c>
      <c r="G11" s="139" cm="1">
        <f t="array" aca="1" ref="G11" ca="1">INDIRECT("'"&amp;G$5&amp;"'!G54")</f>
        <v>7392.0000000000018</v>
      </c>
      <c r="H11" s="139" cm="1">
        <f t="array" aca="1" ref="H11" ca="1">INDIRECT("'"&amp;H$5&amp;"'!G54")</f>
        <v>12320</v>
      </c>
      <c r="I11" s="139" cm="1">
        <f t="array" aca="1" ref="I11" ca="1">INDIRECT("'"&amp;I$5&amp;"'!G54")</f>
        <v>0</v>
      </c>
      <c r="J11" s="139" cm="1">
        <f t="array" aca="1" ref="J11" ca="1">INDIRECT("'"&amp;J$5&amp;"'!G54")</f>
        <v>308.00000000000011</v>
      </c>
      <c r="K11" s="139" cm="1">
        <f t="array" aca="1" ref="K11" ca="1">INDIRECT("'"&amp;K$5&amp;"'!G54")</f>
        <v>924</v>
      </c>
      <c r="L11" s="139" cm="1">
        <f t="array" aca="1" ref="L11" ca="1">INDIRECT("'"&amp;L$5&amp;"'!G54")</f>
        <v>1848</v>
      </c>
      <c r="M11" s="139" cm="1">
        <f t="array" aca="1" ref="M11" ca="1">INDIRECT("'"&amp;M$5&amp;"'!G54")</f>
        <v>4928.0000000000009</v>
      </c>
      <c r="N11" s="139" cm="1">
        <f t="array" aca="1" ref="N11" ca="1">INDIRECT("'"&amp;N$5&amp;"'!G54")</f>
        <v>4620.0000000000009</v>
      </c>
      <c r="O11" s="139" cm="1">
        <f t="array" aca="1" ref="O11" ca="1">INDIRECT("'"&amp;O$5&amp;"'!G54")</f>
        <v>0.92400000000000015</v>
      </c>
      <c r="P11" s="139" cm="1">
        <f t="array" aca="1" ref="P11" ca="1">INDIRECT("'"&amp;P$5&amp;"'!G54")</f>
        <v>0.92400000000000015</v>
      </c>
      <c r="Q11" s="139" cm="1">
        <f t="array" aca="1" ref="Q11" ca="1">INDIRECT("'"&amp;Q$5&amp;"'!G54")</f>
        <v>0.92400000000000015</v>
      </c>
      <c r="R11" s="139" cm="1">
        <f t="array" aca="1" ref="R11" ca="1">INDIRECT("'"&amp;R$5&amp;"'!G54")</f>
        <v>616</v>
      </c>
      <c r="S11" s="139" cm="1">
        <f t="array" aca="1" ref="S11" ca="1">INDIRECT("'"&amp;S$5&amp;"'!G54")</f>
        <v>0</v>
      </c>
      <c r="T11" s="139" cm="1">
        <f t="array" aca="1" ref="T11" ca="1">INDIRECT("'"&amp;T$5&amp;"'!G54")</f>
        <v>1848</v>
      </c>
      <c r="U11" s="139" cm="1">
        <f t="array" aca="1" ref="U11" ca="1">INDIRECT("'"&amp;U$5&amp;"'!G54")</f>
        <v>462</v>
      </c>
    </row>
    <row r="12" spans="2:21" x14ac:dyDescent="0.25">
      <c r="B12" s="174" t="s">
        <v>66</v>
      </c>
      <c r="C12" s="139" cm="1">
        <f t="array" aca="1" ref="C12" ca="1">INDIRECT("'"&amp;C$5&amp;"'!G55")</f>
        <v>0</v>
      </c>
      <c r="D12" s="139" cm="1">
        <f t="array" aca="1" ref="D12" ca="1">INDIRECT("'"&amp;D$5&amp;"'!G55")</f>
        <v>0</v>
      </c>
      <c r="E12" s="139" cm="1">
        <f t="array" aca="1" ref="E12" ca="1">INDIRECT("'"&amp;E$5&amp;"'!G55")</f>
        <v>0</v>
      </c>
      <c r="F12" s="139" cm="1">
        <f t="array" aca="1" ref="F12" ca="1">INDIRECT("'"&amp;F$5&amp;"'!G55")</f>
        <v>0</v>
      </c>
      <c r="G12" s="139" cm="1">
        <f t="array" aca="1" ref="G12" ca="1">INDIRECT("'"&amp;G$5&amp;"'!G55")</f>
        <v>0</v>
      </c>
      <c r="H12" s="139" cm="1">
        <f t="array" aca="1" ref="H12" ca="1">INDIRECT("'"&amp;H$5&amp;"'!G55")</f>
        <v>0</v>
      </c>
      <c r="I12" s="139" cm="1">
        <f t="array" aca="1" ref="I12" ca="1">INDIRECT("'"&amp;I$5&amp;"'!G55")</f>
        <v>0</v>
      </c>
      <c r="J12" s="139" cm="1">
        <f t="array" aca="1" ref="J12" ca="1">INDIRECT("'"&amp;J$5&amp;"'!G55")</f>
        <v>0</v>
      </c>
      <c r="K12" s="139" cm="1">
        <f t="array" aca="1" ref="K12" ca="1">INDIRECT("'"&amp;K$5&amp;"'!G55")</f>
        <v>0</v>
      </c>
      <c r="L12" s="139" cm="1">
        <f t="array" aca="1" ref="L12" ca="1">INDIRECT("'"&amp;L$5&amp;"'!G55")</f>
        <v>0</v>
      </c>
      <c r="M12" s="139" cm="1">
        <f t="array" aca="1" ref="M12" ca="1">INDIRECT("'"&amp;M$5&amp;"'!G55")</f>
        <v>0</v>
      </c>
      <c r="N12" s="139" cm="1">
        <f t="array" aca="1" ref="N12" ca="1">INDIRECT("'"&amp;N$5&amp;"'!G55")</f>
        <v>0</v>
      </c>
      <c r="O12" s="139" cm="1">
        <f t="array" aca="1" ref="O12" ca="1">INDIRECT("'"&amp;O$5&amp;"'!G55")</f>
        <v>0</v>
      </c>
      <c r="P12" s="139" cm="1">
        <f t="array" aca="1" ref="P12" ca="1">INDIRECT("'"&amp;P$5&amp;"'!G55")</f>
        <v>0</v>
      </c>
      <c r="Q12" s="139" cm="1">
        <f t="array" aca="1" ref="Q12" ca="1">INDIRECT("'"&amp;Q$5&amp;"'!G55")</f>
        <v>0</v>
      </c>
      <c r="R12" s="139" cm="1">
        <f t="array" aca="1" ref="R12" ca="1">INDIRECT("'"&amp;R$5&amp;"'!G55")</f>
        <v>0</v>
      </c>
      <c r="S12" s="139" cm="1">
        <f t="array" aca="1" ref="S12" ca="1">INDIRECT("'"&amp;S$5&amp;"'!G55")</f>
        <v>0</v>
      </c>
      <c r="T12" s="139" cm="1">
        <f t="array" aca="1" ref="T12" ca="1">INDIRECT("'"&amp;T$5&amp;"'!G55")</f>
        <v>0</v>
      </c>
      <c r="U12" s="139" cm="1">
        <f t="array" aca="1" ref="U12" ca="1">INDIRECT("'"&amp;U$5&amp;"'!G55")</f>
        <v>0</v>
      </c>
    </row>
    <row r="13" spans="2:21" x14ac:dyDescent="0.25">
      <c r="B13" s="174" t="s">
        <v>67</v>
      </c>
      <c r="C13" s="139" cm="1">
        <f t="array" aca="1" ref="C13" ca="1">INDIRECT("'"&amp;C$5&amp;"'!G56")</f>
        <v>0</v>
      </c>
      <c r="D13" s="139" cm="1">
        <f t="array" aca="1" ref="D13" ca="1">INDIRECT("'"&amp;D$5&amp;"'!G56")</f>
        <v>0</v>
      </c>
      <c r="E13" s="139" cm="1">
        <f t="array" aca="1" ref="E13" ca="1">INDIRECT("'"&amp;E$5&amp;"'!G56")</f>
        <v>0</v>
      </c>
      <c r="F13" s="139" cm="1">
        <f t="array" aca="1" ref="F13" ca="1">INDIRECT("'"&amp;F$5&amp;"'!G56")</f>
        <v>0</v>
      </c>
      <c r="G13" s="139" cm="1">
        <f t="array" aca="1" ref="G13" ca="1">INDIRECT("'"&amp;G$5&amp;"'!G56")</f>
        <v>0</v>
      </c>
      <c r="H13" s="139" cm="1">
        <f t="array" aca="1" ref="H13" ca="1">INDIRECT("'"&amp;H$5&amp;"'!G56")</f>
        <v>0</v>
      </c>
      <c r="I13" s="139" cm="1">
        <f t="array" aca="1" ref="I13" ca="1">INDIRECT("'"&amp;I$5&amp;"'!G56")</f>
        <v>0</v>
      </c>
      <c r="J13" s="139" cm="1">
        <f t="array" aca="1" ref="J13" ca="1">INDIRECT("'"&amp;J$5&amp;"'!G56")</f>
        <v>0</v>
      </c>
      <c r="K13" s="139" cm="1">
        <f t="array" aca="1" ref="K13" ca="1">INDIRECT("'"&amp;K$5&amp;"'!G56")</f>
        <v>0</v>
      </c>
      <c r="L13" s="139" cm="1">
        <f t="array" aca="1" ref="L13" ca="1">INDIRECT("'"&amp;L$5&amp;"'!G56")</f>
        <v>0</v>
      </c>
      <c r="M13" s="139" cm="1">
        <f t="array" aca="1" ref="M13" ca="1">INDIRECT("'"&amp;M$5&amp;"'!G56")</f>
        <v>0</v>
      </c>
      <c r="N13" s="139" cm="1">
        <f t="array" aca="1" ref="N13" ca="1">INDIRECT("'"&amp;N$5&amp;"'!G56")</f>
        <v>0</v>
      </c>
      <c r="O13" s="139" cm="1">
        <f t="array" aca="1" ref="O13" ca="1">INDIRECT("'"&amp;O$5&amp;"'!G56")</f>
        <v>0</v>
      </c>
      <c r="P13" s="139" cm="1">
        <f t="array" aca="1" ref="P13" ca="1">INDIRECT("'"&amp;P$5&amp;"'!G56")</f>
        <v>0</v>
      </c>
      <c r="Q13" s="139" cm="1">
        <f t="array" aca="1" ref="Q13" ca="1">INDIRECT("'"&amp;Q$5&amp;"'!G56")</f>
        <v>0</v>
      </c>
      <c r="R13" s="139" cm="1">
        <f t="array" aca="1" ref="R13" ca="1">INDIRECT("'"&amp;R$5&amp;"'!G56")</f>
        <v>0</v>
      </c>
      <c r="S13" s="139" cm="1">
        <f t="array" aca="1" ref="S13" ca="1">INDIRECT("'"&amp;S$5&amp;"'!G56")</f>
        <v>0</v>
      </c>
      <c r="T13" s="139" cm="1">
        <f t="array" aca="1" ref="T13" ca="1">INDIRECT("'"&amp;T$5&amp;"'!G56")</f>
        <v>0</v>
      </c>
      <c r="U13" s="139" cm="1">
        <f t="array" aca="1" ref="U13" ca="1">INDIRECT("'"&amp;U$5&amp;"'!G56")</f>
        <v>0</v>
      </c>
    </row>
    <row r="16" spans="2:21" x14ac:dyDescent="0.25">
      <c r="B16" s="140" t="s">
        <v>181</v>
      </c>
      <c r="C16" s="139">
        <f ca="1">SUM(C6:C8)</f>
        <v>185460</v>
      </c>
      <c r="D16" s="139">
        <f ca="1">SUM(D6:D8)</f>
        <v>130057.40000000001</v>
      </c>
      <c r="E16" s="139">
        <f t="shared" ref="E16:U16" ca="1" si="0">SUM(E6:E8)</f>
        <v>130057.40000000001</v>
      </c>
      <c r="F16" s="139">
        <f t="shared" ca="1" si="0"/>
        <v>206360</v>
      </c>
      <c r="G16" s="139">
        <f t="shared" ca="1" si="0"/>
        <v>220928.40000000002</v>
      </c>
      <c r="H16" s="139">
        <f t="shared" ca="1" si="0"/>
        <v>138600</v>
      </c>
      <c r="I16" s="139">
        <f t="shared" ca="1" si="0"/>
        <v>911.90000000000009</v>
      </c>
      <c r="J16" s="139">
        <f t="shared" ca="1" si="0"/>
        <v>5874</v>
      </c>
      <c r="K16" s="139">
        <f t="shared" ca="1" si="0"/>
        <v>8382</v>
      </c>
      <c r="L16" s="139">
        <f t="shared" ca="1" si="0"/>
        <v>24507.471999999998</v>
      </c>
      <c r="M16" s="139">
        <f t="shared" ca="1" si="0"/>
        <v>1096480</v>
      </c>
      <c r="N16" s="139">
        <f t="shared" ca="1" si="0"/>
        <v>39160</v>
      </c>
      <c r="O16" s="139">
        <f t="shared" ca="1" si="0"/>
        <v>17.05916666666667</v>
      </c>
      <c r="P16" s="139">
        <f t="shared" ca="1" si="0"/>
        <v>16.509166666666665</v>
      </c>
      <c r="Q16" s="139">
        <f t="shared" ca="1" si="0"/>
        <v>12.109166666666667</v>
      </c>
      <c r="R16" s="139">
        <f t="shared" ca="1" si="0"/>
        <v>7942.0000000000009</v>
      </c>
      <c r="S16" s="139">
        <f t="shared" ca="1" si="0"/>
        <v>20658</v>
      </c>
      <c r="T16" s="139">
        <f t="shared" ca="1" si="0"/>
        <v>38324</v>
      </c>
      <c r="U16" s="139">
        <f t="shared" ca="1" si="0"/>
        <v>3223</v>
      </c>
    </row>
    <row r="17" spans="2:21" x14ac:dyDescent="0.25">
      <c r="B17" s="140" t="s">
        <v>182</v>
      </c>
      <c r="C17" s="139">
        <f t="shared" ref="C17:D17" ca="1" si="1">SUM(C9:C11)</f>
        <v>94336</v>
      </c>
      <c r="D17" s="139">
        <f t="shared" ca="1" si="1"/>
        <v>70879.600000000006</v>
      </c>
      <c r="E17" s="139">
        <f t="shared" ref="E17:U17" ca="1" si="2">SUM(E9:E11)</f>
        <v>70879.600000000006</v>
      </c>
      <c r="F17" s="139">
        <f t="shared" ca="1" si="2"/>
        <v>145802.79999999999</v>
      </c>
      <c r="G17" s="139">
        <f t="shared" ca="1" si="2"/>
        <v>149142.40000000002</v>
      </c>
      <c r="H17" s="139">
        <f t="shared" ca="1" si="2"/>
        <v>109670.00000000001</v>
      </c>
      <c r="I17" s="139">
        <f t="shared" ca="1" si="2"/>
        <v>225.50000000000003</v>
      </c>
      <c r="J17" s="139">
        <f t="shared" ca="1" si="2"/>
        <v>4928</v>
      </c>
      <c r="K17" s="139">
        <f t="shared" ca="1" si="2"/>
        <v>6974.0000000000009</v>
      </c>
      <c r="L17" s="139">
        <f t="shared" ca="1" si="2"/>
        <v>16367.669999999998</v>
      </c>
      <c r="M17" s="139">
        <f t="shared" ca="1" si="2"/>
        <v>894872</v>
      </c>
      <c r="N17" s="139">
        <f t="shared" ca="1" si="2"/>
        <v>12540</v>
      </c>
      <c r="O17" s="139">
        <f t="shared" ca="1" si="2"/>
        <v>16.956500000000002</v>
      </c>
      <c r="P17" s="139">
        <f t="shared" ca="1" si="2"/>
        <v>16.406500000000001</v>
      </c>
      <c r="Q17" s="139">
        <f t="shared" ca="1" si="2"/>
        <v>12.006499999999999</v>
      </c>
      <c r="R17" s="139">
        <f t="shared" ca="1" si="2"/>
        <v>7326.0000000000009</v>
      </c>
      <c r="S17" s="139">
        <f t="shared" ca="1" si="2"/>
        <v>20350</v>
      </c>
      <c r="T17" s="139">
        <f t="shared" ca="1" si="2"/>
        <v>13507.999999999996</v>
      </c>
      <c r="U17" s="139">
        <f t="shared" ca="1" si="2"/>
        <v>3069</v>
      </c>
    </row>
    <row r="20" spans="2:21" x14ac:dyDescent="0.25">
      <c r="C20" s="140" t="s">
        <v>181</v>
      </c>
      <c r="D20" s="140" t="s">
        <v>182</v>
      </c>
    </row>
    <row r="21" spans="2:21" x14ac:dyDescent="0.25">
      <c r="B21" t="str" cm="1">
        <f t="array" ref="B21:B39">TRANSPOSE(C5:U5)</f>
        <v>PT1</v>
      </c>
      <c r="C21" s="139" cm="1">
        <f t="array" aca="1" ref="C21:D39" ca="1">TRANSPOSE(C16:U17)</f>
        <v>185460</v>
      </c>
      <c r="D21" s="139">
        <f ca="1"/>
        <v>94336</v>
      </c>
      <c r="E21" s="139"/>
    </row>
    <row r="22" spans="2:21" x14ac:dyDescent="0.25">
      <c r="B22" t="str">
        <v>PT2</v>
      </c>
      <c r="C22" s="139">
        <f ca="1"/>
        <v>130057.40000000001</v>
      </c>
      <c r="D22" s="139">
        <f ca="1"/>
        <v>70879.600000000006</v>
      </c>
      <c r="E22" s="139"/>
    </row>
    <row r="23" spans="2:21" x14ac:dyDescent="0.25">
      <c r="B23" t="str">
        <v>PT2a</v>
      </c>
      <c r="C23" s="139">
        <f ca="1"/>
        <v>130057.40000000001</v>
      </c>
      <c r="D23" s="139">
        <f ca="1"/>
        <v>70879.600000000006</v>
      </c>
      <c r="E23" s="139"/>
    </row>
    <row r="24" spans="2:21" x14ac:dyDescent="0.25">
      <c r="B24" t="str">
        <v>PT2b</v>
      </c>
      <c r="C24" s="139">
        <f ca="1"/>
        <v>206360</v>
      </c>
      <c r="D24" s="139">
        <f ca="1"/>
        <v>145802.79999999999</v>
      </c>
      <c r="E24" s="139"/>
    </row>
    <row r="25" spans="2:21" x14ac:dyDescent="0.25">
      <c r="B25" t="str">
        <v>PT2c</v>
      </c>
      <c r="C25" s="139">
        <f ca="1"/>
        <v>220928.40000000002</v>
      </c>
      <c r="D25" s="139">
        <f ca="1"/>
        <v>149142.40000000002</v>
      </c>
      <c r="E25" s="139"/>
    </row>
    <row r="26" spans="2:21" x14ac:dyDescent="0.25">
      <c r="B26" t="str">
        <v>PT3</v>
      </c>
      <c r="C26" s="139">
        <f ca="1"/>
        <v>138600</v>
      </c>
      <c r="D26" s="139">
        <f ca="1"/>
        <v>109670.00000000001</v>
      </c>
      <c r="E26" s="139"/>
    </row>
    <row r="27" spans="2:21" x14ac:dyDescent="0.25">
      <c r="B27" t="str">
        <v>PT4</v>
      </c>
      <c r="C27" s="139">
        <f ca="1"/>
        <v>911.90000000000009</v>
      </c>
      <c r="D27" s="139">
        <f ca="1"/>
        <v>225.50000000000003</v>
      </c>
      <c r="E27" s="139"/>
    </row>
    <row r="28" spans="2:21" x14ac:dyDescent="0.25">
      <c r="B28" t="str">
        <v>PT5</v>
      </c>
      <c r="C28" s="139">
        <f ca="1"/>
        <v>5874</v>
      </c>
      <c r="D28" s="139">
        <f ca="1"/>
        <v>4928</v>
      </c>
      <c r="E28" s="139"/>
    </row>
    <row r="29" spans="2:21" x14ac:dyDescent="0.25">
      <c r="B29" t="str">
        <v>PT6</v>
      </c>
      <c r="C29" s="139">
        <f ca="1"/>
        <v>8382</v>
      </c>
      <c r="D29" s="139">
        <f ca="1"/>
        <v>6974.0000000000009</v>
      </c>
      <c r="E29" s="139"/>
    </row>
    <row r="30" spans="2:21" x14ac:dyDescent="0.25">
      <c r="B30" t="str">
        <v>PT7</v>
      </c>
      <c r="C30" s="139">
        <f ca="1"/>
        <v>24507.471999999998</v>
      </c>
      <c r="D30" s="139">
        <f ca="1"/>
        <v>16367.669999999998</v>
      </c>
      <c r="E30" s="139"/>
    </row>
    <row r="31" spans="2:21" x14ac:dyDescent="0.25">
      <c r="B31" t="str">
        <v>PT8</v>
      </c>
      <c r="C31" s="139">
        <f ca="1"/>
        <v>1096480</v>
      </c>
      <c r="D31" s="139">
        <f ca="1"/>
        <v>894872</v>
      </c>
      <c r="E31" s="139"/>
    </row>
    <row r="32" spans="2:21" x14ac:dyDescent="0.25">
      <c r="B32" t="str">
        <v>PT9</v>
      </c>
      <c r="C32" s="139">
        <f ca="1"/>
        <v>39160</v>
      </c>
      <c r="D32" s="139">
        <f ca="1"/>
        <v>12540</v>
      </c>
      <c r="E32" s="139"/>
    </row>
    <row r="33" spans="2:5" x14ac:dyDescent="0.25">
      <c r="B33" t="str">
        <v>PT10a</v>
      </c>
      <c r="C33" s="139">
        <f ca="1"/>
        <v>17.05916666666667</v>
      </c>
      <c r="D33" s="139">
        <f ca="1"/>
        <v>16.956500000000002</v>
      </c>
      <c r="E33" s="139"/>
    </row>
    <row r="34" spans="2:5" x14ac:dyDescent="0.25">
      <c r="B34" t="str">
        <v>PT10b</v>
      </c>
      <c r="C34" s="139">
        <f ca="1"/>
        <v>16.509166666666665</v>
      </c>
      <c r="D34" s="139">
        <f ca="1"/>
        <v>16.406500000000001</v>
      </c>
      <c r="E34" s="139"/>
    </row>
    <row r="35" spans="2:5" x14ac:dyDescent="0.25">
      <c r="B35" t="str">
        <v>PT10c</v>
      </c>
      <c r="C35" s="139">
        <f ca="1"/>
        <v>12.109166666666667</v>
      </c>
      <c r="D35" s="139">
        <f ca="1"/>
        <v>12.006499999999999</v>
      </c>
      <c r="E35" s="139"/>
    </row>
    <row r="36" spans="2:5" x14ac:dyDescent="0.25">
      <c r="B36" t="str">
        <v>PT11</v>
      </c>
      <c r="C36" s="139">
        <f ca="1"/>
        <v>7942.0000000000009</v>
      </c>
      <c r="D36" s="139">
        <f ca="1"/>
        <v>7326.0000000000009</v>
      </c>
      <c r="E36" s="139"/>
    </row>
    <row r="37" spans="2:5" x14ac:dyDescent="0.25">
      <c r="B37" t="str">
        <v>PT12</v>
      </c>
      <c r="C37" s="139">
        <f ca="1"/>
        <v>20658</v>
      </c>
      <c r="D37" s="139">
        <f ca="1"/>
        <v>20350</v>
      </c>
      <c r="E37" s="139"/>
    </row>
    <row r="38" spans="2:5" x14ac:dyDescent="0.25">
      <c r="B38" t="str">
        <v>PT13</v>
      </c>
      <c r="C38" s="139">
        <f ca="1"/>
        <v>38324</v>
      </c>
      <c r="D38" s="139">
        <f ca="1"/>
        <v>13507.999999999996</v>
      </c>
      <c r="E38" s="139"/>
    </row>
    <row r="39" spans="2:5" x14ac:dyDescent="0.25">
      <c r="B39" t="str">
        <v>PT14</v>
      </c>
      <c r="C39">
        <f ca="1"/>
        <v>3223</v>
      </c>
      <c r="D39">
        <f ca="1"/>
        <v>3069</v>
      </c>
    </row>
  </sheetData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09ED2CD2BFEA49A8EFDA317D1E7D36" ma:contentTypeVersion="4" ma:contentTypeDescription="Een nieuw document maken." ma:contentTypeScope="" ma:versionID="2d37e593970f23ab5ab8e6b28acdedce">
  <xsd:schema xmlns:xsd="http://www.w3.org/2001/XMLSchema" xmlns:xs="http://www.w3.org/2001/XMLSchema" xmlns:p="http://schemas.microsoft.com/office/2006/metadata/properties" xmlns:ns2="391414ee-60c0-4886-9479-3bf1e8ea173a" targetNamespace="http://schemas.microsoft.com/office/2006/metadata/properties" ma:root="true" ma:fieldsID="f4f78b55a2c93736c72cda2a739b76dd" ns2:_="">
    <xsd:import namespace="391414ee-60c0-4886-9479-3bf1e8ea17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414ee-60c0-4886-9479-3bf1e8ea1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093132-5086-465D-8298-FF6608E18A61}">
  <ds:schemaRefs>
    <ds:schemaRef ds:uri="http://purl.org/dc/dcmitype/"/>
    <ds:schemaRef ds:uri="http://www.w3.org/XML/1998/namespace"/>
    <ds:schemaRef ds:uri="391414ee-60c0-4886-9479-3bf1e8ea173a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0CA8A4E-2FDD-4A50-8A14-A6512B0638ED}"/>
</file>

<file path=customXml/itemProps3.xml><?xml version="1.0" encoding="utf-8"?>
<ds:datastoreItem xmlns:ds="http://schemas.openxmlformats.org/officeDocument/2006/customXml" ds:itemID="{D32BBB59-6A89-4C18-8255-0A3EA4DD3B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21</vt:i4>
      </vt:variant>
    </vt:vector>
  </HeadingPairs>
  <TitlesOfParts>
    <vt:vector size="21" baseType="lpstr">
      <vt:lpstr>blanco</vt:lpstr>
      <vt:lpstr>PT1</vt:lpstr>
      <vt:lpstr>PT2</vt:lpstr>
      <vt:lpstr>PT2a</vt:lpstr>
      <vt:lpstr>PT2b</vt:lpstr>
      <vt:lpstr>PT2c</vt:lpstr>
      <vt:lpstr>PT3</vt:lpstr>
      <vt:lpstr>PT4</vt:lpstr>
      <vt:lpstr>PT5</vt:lpstr>
      <vt:lpstr>PT6</vt:lpstr>
      <vt:lpstr>PT7</vt:lpstr>
      <vt:lpstr>PT8</vt:lpstr>
      <vt:lpstr>PT9</vt:lpstr>
      <vt:lpstr>PT10a</vt:lpstr>
      <vt:lpstr>PT10b</vt:lpstr>
      <vt:lpstr>PT10c</vt:lpstr>
      <vt:lpstr>PT11</vt:lpstr>
      <vt:lpstr>PT12</vt:lpstr>
      <vt:lpstr>PT13</vt:lpstr>
      <vt:lpstr>PT14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AABnl Ingrid Zwinkels</dc:creator>
  <cp:keywords/>
  <dc:description/>
  <cp:lastModifiedBy>AABnl Ingrid Zwinkels</cp:lastModifiedBy>
  <cp:revision/>
  <dcterms:created xsi:type="dcterms:W3CDTF">2023-02-23T11:28:36Z</dcterms:created>
  <dcterms:modified xsi:type="dcterms:W3CDTF">2024-02-16T15:41:18Z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0x010100DD09ED2CD2BFEA49A8EFDA317D1E7D36</vt:lpwstr>
  </property>
</Properties>
</file>