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ROC Noorderpoort\5) Definitieve stukken\"/>
    </mc:Choice>
  </mc:AlternateContent>
  <bookViews>
    <workbookView xWindow="0" yWindow="0" windowWidth="28800" windowHeight="12300"/>
  </bookViews>
  <sheets>
    <sheet name="Blad1 " sheetId="3" r:id="rId1"/>
  </sheets>
  <definedNames>
    <definedName name="_xlnm._FilterDatabase" localSheetId="0" hidden="1">'Blad1 '!$B$6:$AC$41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3" l="1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7" i="3"/>
  <c r="X39" i="3"/>
  <c r="W39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U39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W7" i="3"/>
  <c r="U7" i="3"/>
  <c r="V38" i="3" l="1"/>
  <c r="V37" i="3"/>
  <c r="R20" i="3" l="1"/>
  <c r="S20" i="3" s="1"/>
  <c r="P19" i="3"/>
  <c r="R19" i="3"/>
  <c r="S19" i="3" s="1"/>
  <c r="E39" i="3"/>
  <c r="S36" i="3"/>
  <c r="V36" i="3" s="1"/>
  <c r="N36" i="3"/>
  <c r="T36" i="3" s="1"/>
  <c r="V35" i="3"/>
  <c r="Q35" i="3"/>
  <c r="R35" i="3" s="1"/>
  <c r="M35" i="3"/>
  <c r="N35" i="3" s="1"/>
  <c r="T35" i="3" s="1"/>
  <c r="J34" i="3"/>
  <c r="P34" i="3" s="1"/>
  <c r="Q34" i="3" s="1"/>
  <c r="R34" i="3" s="1"/>
  <c r="S34" i="3" s="1"/>
  <c r="V34" i="3" s="1"/>
  <c r="H34" i="3"/>
  <c r="L34" i="3" s="1"/>
  <c r="M34" i="3" s="1"/>
  <c r="N34" i="3" s="1"/>
  <c r="T34" i="3" s="1"/>
  <c r="V12" i="3"/>
  <c r="R12" i="3"/>
  <c r="M12" i="3"/>
  <c r="N12" i="3" s="1"/>
  <c r="T12" i="3" s="1"/>
  <c r="V32" i="3"/>
  <c r="P32" i="3"/>
  <c r="Q32" i="3" s="1"/>
  <c r="R32" i="3" s="1"/>
  <c r="H32" i="3"/>
  <c r="L32" i="3" s="1"/>
  <c r="M32" i="3" s="1"/>
  <c r="N32" i="3" s="1"/>
  <c r="T32" i="3" s="1"/>
  <c r="V31" i="3"/>
  <c r="J31" i="3"/>
  <c r="P31" i="3" s="1"/>
  <c r="Q31" i="3" s="1"/>
  <c r="R31" i="3" s="1"/>
  <c r="H31" i="3"/>
  <c r="L31" i="3" s="1"/>
  <c r="M31" i="3" s="1"/>
  <c r="N31" i="3" s="1"/>
  <c r="T31" i="3" s="1"/>
  <c r="Q29" i="3"/>
  <c r="R29" i="3" s="1"/>
  <c r="S29" i="3" s="1"/>
  <c r="J29" i="3"/>
  <c r="P29" i="3" s="1"/>
  <c r="H29" i="3"/>
  <c r="L29" i="3" s="1"/>
  <c r="M29" i="3" s="1"/>
  <c r="N29" i="3" s="1"/>
  <c r="T29" i="3" s="1"/>
  <c r="J28" i="3"/>
  <c r="P28" i="3" s="1"/>
  <c r="Q28" i="3" s="1"/>
  <c r="R28" i="3" s="1"/>
  <c r="S28" i="3" s="1"/>
  <c r="V28" i="3" s="1"/>
  <c r="H28" i="3"/>
  <c r="L28" i="3" s="1"/>
  <c r="M28" i="3" s="1"/>
  <c r="N28" i="3" s="1"/>
  <c r="T28" i="3" s="1"/>
  <c r="R33" i="3"/>
  <c r="S33" i="3" s="1"/>
  <c r="P33" i="3"/>
  <c r="H33" i="3"/>
  <c r="L33" i="3" s="1"/>
  <c r="M33" i="3" s="1"/>
  <c r="N33" i="3" s="1"/>
  <c r="T33" i="3" s="1"/>
  <c r="J26" i="3"/>
  <c r="P26" i="3" s="1"/>
  <c r="Q26" i="3" s="1"/>
  <c r="R26" i="3" s="1"/>
  <c r="S26" i="3" s="1"/>
  <c r="V26" i="3" s="1"/>
  <c r="H26" i="3"/>
  <c r="L26" i="3" s="1"/>
  <c r="M26" i="3" s="1"/>
  <c r="N26" i="3" s="1"/>
  <c r="T26" i="3" s="1"/>
  <c r="R25" i="3"/>
  <c r="S25" i="3" s="1"/>
  <c r="V25" i="3" s="1"/>
  <c r="P25" i="3"/>
  <c r="H25" i="3"/>
  <c r="L25" i="3" s="1"/>
  <c r="M25" i="3" s="1"/>
  <c r="N25" i="3" s="1"/>
  <c r="T25" i="3" s="1"/>
  <c r="J24" i="3"/>
  <c r="P24" i="3" s="1"/>
  <c r="Q24" i="3" s="1"/>
  <c r="R24" i="3" s="1"/>
  <c r="S24" i="3" s="1"/>
  <c r="V24" i="3" s="1"/>
  <c r="H24" i="3"/>
  <c r="L24" i="3" s="1"/>
  <c r="M24" i="3" s="1"/>
  <c r="N24" i="3" s="1"/>
  <c r="T24" i="3" s="1"/>
  <c r="P23" i="3"/>
  <c r="Q23" i="3" s="1"/>
  <c r="H23" i="3"/>
  <c r="L23" i="3" s="1"/>
  <c r="M23" i="3" s="1"/>
  <c r="N23" i="3" s="1"/>
  <c r="T23" i="3" s="1"/>
  <c r="R22" i="3"/>
  <c r="S22" i="3" s="1"/>
  <c r="J22" i="3"/>
  <c r="P22" i="3" s="1"/>
  <c r="H22" i="3"/>
  <c r="L22" i="3" s="1"/>
  <c r="M22" i="3" s="1"/>
  <c r="N22" i="3" s="1"/>
  <c r="T22" i="3" s="1"/>
  <c r="T17" i="3"/>
  <c r="R17" i="3"/>
  <c r="S17" i="3" s="1"/>
  <c r="P17" i="3"/>
  <c r="F17" i="3"/>
  <c r="H17" i="3" s="1"/>
  <c r="L17" i="3" s="1"/>
  <c r="M17" i="3" s="1"/>
  <c r="V13" i="3"/>
  <c r="T13" i="3"/>
  <c r="R13" i="3"/>
  <c r="J13" i="3"/>
  <c r="P13" i="3" s="1"/>
  <c r="F13" i="3"/>
  <c r="H13" i="3" s="1"/>
  <c r="L13" i="3" s="1"/>
  <c r="M13" i="3" s="1"/>
  <c r="R18" i="3"/>
  <c r="S18" i="3" s="1"/>
  <c r="M18" i="3"/>
  <c r="N18" i="3" s="1"/>
  <c r="T18" i="3" s="1"/>
  <c r="J18" i="3"/>
  <c r="P18" i="3" s="1"/>
  <c r="F18" i="3"/>
  <c r="H18" i="3" s="1"/>
  <c r="A19" i="3"/>
  <c r="R11" i="3"/>
  <c r="S11" i="3" s="1"/>
  <c r="V11" i="3" s="1"/>
  <c r="J11" i="3"/>
  <c r="P11" i="3" s="1"/>
  <c r="H11" i="3"/>
  <c r="L11" i="3" s="1"/>
  <c r="M11" i="3" s="1"/>
  <c r="N11" i="3" s="1"/>
  <c r="T11" i="3" s="1"/>
  <c r="R10" i="3"/>
  <c r="S10" i="3" s="1"/>
  <c r="P10" i="3"/>
  <c r="M10" i="3"/>
  <c r="N10" i="3" s="1"/>
  <c r="T10" i="3" s="1"/>
  <c r="H10" i="3"/>
  <c r="R21" i="3"/>
  <c r="S21" i="3" s="1"/>
  <c r="P21" i="3"/>
  <c r="M21" i="3"/>
  <c r="N21" i="3" s="1"/>
  <c r="T21" i="3" s="1"/>
  <c r="F21" i="3"/>
  <c r="H21" i="3" s="1"/>
  <c r="A16" i="3"/>
  <c r="J20" i="3"/>
  <c r="P20" i="3" s="1"/>
  <c r="H20" i="3"/>
  <c r="V16" i="3"/>
  <c r="R16" i="3"/>
  <c r="P16" i="3"/>
  <c r="M16" i="3"/>
  <c r="N16" i="3" s="1"/>
  <c r="T16" i="3" s="1"/>
  <c r="F16" i="3"/>
  <c r="H16" i="3" s="1"/>
  <c r="M19" i="3"/>
  <c r="N19" i="3" s="1"/>
  <c r="T19" i="3" s="1"/>
  <c r="F19" i="3"/>
  <c r="H19" i="3" s="1"/>
  <c r="R27" i="3"/>
  <c r="S27" i="3" s="1"/>
  <c r="P27" i="3"/>
  <c r="M27" i="3"/>
  <c r="N27" i="3" s="1"/>
  <c r="T27" i="3" s="1"/>
  <c r="F27" i="3"/>
  <c r="H27" i="3" s="1"/>
  <c r="A12" i="3"/>
  <c r="R15" i="3"/>
  <c r="P15" i="3"/>
  <c r="M15" i="3"/>
  <c r="N15" i="3" s="1"/>
  <c r="T15" i="3" s="1"/>
  <c r="F15" i="3"/>
  <c r="H15" i="3" s="1"/>
  <c r="V14" i="3"/>
  <c r="R14" i="3"/>
  <c r="I14" i="3"/>
  <c r="H14" i="3"/>
  <c r="L14" i="3" s="1"/>
  <c r="M14" i="3" s="1"/>
  <c r="N14" i="3" s="1"/>
  <c r="T14" i="3" s="1"/>
  <c r="V9" i="3"/>
  <c r="T9" i="3"/>
  <c r="R9" i="3"/>
  <c r="J9" i="3"/>
  <c r="P9" i="3" s="1"/>
  <c r="F9" i="3"/>
  <c r="R8" i="3"/>
  <c r="S8" i="3" s="1"/>
  <c r="J8" i="3"/>
  <c r="H8" i="3"/>
  <c r="R7" i="3"/>
  <c r="P7" i="3"/>
  <c r="M7" i="3"/>
  <c r="A7" i="3"/>
  <c r="A13" i="3" l="1"/>
  <c r="A11" i="3"/>
  <c r="A14" i="3"/>
  <c r="L20" i="3"/>
  <c r="M20" i="3" s="1"/>
  <c r="N20" i="3" s="1"/>
  <c r="N7" i="3"/>
  <c r="S7" i="3"/>
  <c r="L8" i="3"/>
  <c r="P8" i="3"/>
  <c r="F39" i="3"/>
  <c r="H9" i="3"/>
  <c r="I39" i="3"/>
  <c r="J14" i="3"/>
  <c r="Q39" i="3"/>
  <c r="R23" i="3"/>
  <c r="A40" i="3" l="1"/>
  <c r="A41" i="3" s="1"/>
  <c r="S23" i="3"/>
  <c r="V23" i="3" s="1"/>
  <c r="V39" i="3" s="1"/>
  <c r="R39" i="3"/>
  <c r="P14" i="3"/>
  <c r="P39" i="3" s="1"/>
  <c r="J39" i="3"/>
  <c r="L9" i="3"/>
  <c r="M9" i="3" s="1"/>
  <c r="H39" i="3"/>
  <c r="M8" i="3"/>
  <c r="T7" i="3"/>
  <c r="S39" i="3" l="1"/>
  <c r="L39" i="3"/>
  <c r="N8" i="3"/>
  <c r="M39" i="3"/>
  <c r="T8" i="3" l="1"/>
  <c r="N39" i="3"/>
  <c r="X41" i="3" l="1"/>
  <c r="T39" i="3"/>
</calcChain>
</file>

<file path=xl/sharedStrings.xml><?xml version="1.0" encoding="utf-8"?>
<sst xmlns="http://schemas.openxmlformats.org/spreadsheetml/2006/main" count="215" uniqueCount="113">
  <si>
    <t>Noorderpoort locaties</t>
  </si>
  <si>
    <t>oud</t>
  </si>
  <si>
    <t xml:space="preserve">Nr. </t>
  </si>
  <si>
    <t>PLAATS</t>
  </si>
  <si>
    <t>ADRES</t>
  </si>
  <si>
    <t xml:space="preserve">GEBOUWEN </t>
  </si>
  <si>
    <t>Incl. Index</t>
  </si>
  <si>
    <t>nummer tax rap</t>
  </si>
  <si>
    <t>Opstal Troostwijk index 141,4</t>
  </si>
  <si>
    <t xml:space="preserve"> INVENTARIS </t>
  </si>
  <si>
    <t>Taxatiedatum opstal</t>
  </si>
  <si>
    <t>Opstal Troostwijk index 105</t>
  </si>
  <si>
    <t>opstal 01-06-2022 index 113.9</t>
  </si>
  <si>
    <t>opstal 01-06-2023 index 130</t>
  </si>
  <si>
    <t>taxatiedatum inventaris</t>
  </si>
  <si>
    <t>Inventaris Troostwijk index 123,6</t>
  </si>
  <si>
    <t>Inventaris Troostwijk index 101,6</t>
  </si>
  <si>
    <t>inventaris 01-06-2022 index 109.2</t>
  </si>
  <si>
    <t>inventaris 01-06-2023 index 126,4</t>
  </si>
  <si>
    <t>opstal 01-06-2024 index 130</t>
  </si>
  <si>
    <t>inventaris 01-06-2024 index 126,8</t>
  </si>
  <si>
    <t>TOTAAL</t>
  </si>
  <si>
    <t>Opmerkingen</t>
  </si>
  <si>
    <t>Groningen</t>
  </si>
  <si>
    <t>Bornholmstraat 31</t>
  </si>
  <si>
    <t>Boumaboulevard 113</t>
  </si>
  <si>
    <t xml:space="preserve">opstal zit in verzekering VvE, </t>
  </si>
  <si>
    <t>Diamantlaan 16</t>
  </si>
  <si>
    <t>200340.001-12</t>
  </si>
  <si>
    <t>Opstalwaarde vermeerderd met investering mechanische ventilatie middels biddles + koeling, uitgevoerd in einde 2020, begin 2021 bedrag € 900.000</t>
  </si>
  <si>
    <t>Hora Siccamasingel 177</t>
  </si>
  <si>
    <t>200340.001-4</t>
  </si>
  <si>
    <t>Opstalwaarde vermeerderd met investering zonnepanelen € 198.000 (2020 geplaatst)</t>
  </si>
  <si>
    <t>Melkweg 1 (Kasteel)</t>
  </si>
  <si>
    <t>N172440</t>
  </si>
  <si>
    <t>Melkweg wordt niet langer gebruikt door onderwijs</t>
  </si>
  <si>
    <t>Westersingel 32 en 34</t>
  </si>
  <si>
    <t>Verlengde Visserstraat 20</t>
  </si>
  <si>
    <t>Muntinglaan 3</t>
  </si>
  <si>
    <t>Opstalwaarde vermeerderd met investering zonnepanelen € 166.500 augustus 2020</t>
  </si>
  <si>
    <t>Verzetstrijderslaan 2</t>
  </si>
  <si>
    <t>200340.001-7</t>
  </si>
  <si>
    <t>Verzetstrijderslaan 4</t>
  </si>
  <si>
    <t>Farmsum</t>
  </si>
  <si>
    <t xml:space="preserve">Duurswoldlaan 2a </t>
  </si>
  <si>
    <t>enige locatie waarbij ook fundering is meeverzekerd.</t>
  </si>
  <si>
    <t>Duurswoldlaan ponton</t>
  </si>
  <si>
    <t xml:space="preserve"> zeecontainer met inventaris (ponton)</t>
  </si>
  <si>
    <t>Stadskanaal</t>
  </si>
  <si>
    <t>Sportparklaan 5</t>
  </si>
  <si>
    <t>Veendam</t>
  </si>
  <si>
    <t>Hertenkampstraat 6</t>
  </si>
  <si>
    <t>N184111</t>
  </si>
  <si>
    <t>Winschoten</t>
  </si>
  <si>
    <t>PC Hooftlaan 1</t>
  </si>
  <si>
    <t>190,164,001</t>
  </si>
  <si>
    <t>Boumaboulevard 99</t>
  </si>
  <si>
    <t>Zernikeplein 11 (Hanze techniek)</t>
  </si>
  <si>
    <t>Zernikelaan 17</t>
  </si>
  <si>
    <t>De Bunders 1</t>
  </si>
  <si>
    <t>Liverpoolweg 10</t>
  </si>
  <si>
    <t>Winschoterdiep 50</t>
  </si>
  <si>
    <t>Amsterdam</t>
  </si>
  <si>
    <t>Rustenburgerstraat 436 
(Lucia Marthas dansen)</t>
  </si>
  <si>
    <t>Assen</t>
  </si>
  <si>
    <t>Paul Krugerstraat 1</t>
  </si>
  <si>
    <t xml:space="preserve">Anne de Vriesstraat 70 </t>
  </si>
  <si>
    <t>Inventaris Zeemanstraat is verhuisd naar Anne de Vriesstraat.</t>
  </si>
  <si>
    <t>Winsum</t>
  </si>
  <si>
    <t>Warfstraat 1</t>
  </si>
  <si>
    <t>Boumaboulevard 400
(gebouw Hete Kolen)</t>
  </si>
  <si>
    <t>Helperpark 306 (Sportcentrum Europapark)</t>
  </si>
  <si>
    <t>Navolaan 34</t>
  </si>
  <si>
    <t>Zernikepark 21</t>
  </si>
  <si>
    <t>huurdersbelang 3 ton meegenomen in (nieuwe) inventaris taxatie huurpand + 4000 Verder doseer pomp (vergeten door taxateur)</t>
  </si>
  <si>
    <t>Appingedam</t>
  </si>
  <si>
    <t>Pastorielaan 4, 9901 CE Appingedam</t>
  </si>
  <si>
    <t>nieuwe huurlocatie waarde opgenomen obv offerte Eromes Marko</t>
  </si>
  <si>
    <t>SUB 3,4,5</t>
  </si>
  <si>
    <t>Totaal</t>
  </si>
  <si>
    <t>Hereweg 101</t>
  </si>
  <si>
    <t>huurlocatie vanaf 1 januari 2024, meubilair, huurdersbelang en ICT middelen</t>
  </si>
  <si>
    <t>Eelde</t>
  </si>
  <si>
    <t>Burg. J.G. Legroweg 45 A Eelde</t>
  </si>
  <si>
    <t>huurlocatie vanaf 1 januari 2025, meubilair, huurdersbelang en ICT middelen</t>
  </si>
  <si>
    <t>Beveliging</t>
  </si>
  <si>
    <t>Zonnepanelen</t>
  </si>
  <si>
    <t>Leegstand</t>
  </si>
  <si>
    <t>Asbest</t>
  </si>
  <si>
    <t>soort</t>
  </si>
  <si>
    <t>J/N</t>
  </si>
  <si>
    <t>J</t>
  </si>
  <si>
    <t>j</t>
  </si>
  <si>
    <t>N</t>
  </si>
  <si>
    <t>?</t>
  </si>
  <si>
    <t>J medio 2025</t>
  </si>
  <si>
    <t>BMI + IBSI</t>
  </si>
  <si>
    <t>IBSI</t>
  </si>
  <si>
    <t>Carex</t>
  </si>
  <si>
    <t>BMI + IBSI Hoofdgebouw. Het Groengebouw is aan het hoofdgebouw gekoppeld</t>
  </si>
  <si>
    <t>BMI + IBSI begin mei 2025 gereed</t>
  </si>
  <si>
    <t>BMI en IBSI gekoppeld aan de Verlengde Visserstraat 20</t>
  </si>
  <si>
    <t>IBSI .  Opm: BMI wordt door verhuurder uitgezocht. Beide installaties zijn verantwoordelijkheid verhuurder.</t>
  </si>
  <si>
    <t>? Vermoedelijk wel BMI en IBSI</t>
  </si>
  <si>
    <t>IBSI.   BMI is niet bekend bij Spie. Waarschijnlijk wel aanwezig, maar verantwoordelijkheid van verhuurder</t>
  </si>
  <si>
    <t>Verhuur GemGron. Vast wel IBSI en BMI</t>
  </si>
  <si>
    <t>Niet bekend</t>
  </si>
  <si>
    <t>Bijlage C.2 Objectenoverzicht</t>
  </si>
  <si>
    <t>ROC Noorderpoort per 01-06-2025</t>
  </si>
  <si>
    <t>Overzicht 01-06-2024</t>
  </si>
  <si>
    <t>opstal 01-06-2024 index 138,2</t>
  </si>
  <si>
    <t>inventaris 01-06-2024 index 131,5</t>
  </si>
  <si>
    <t>Bijlage C.2 Objectenoverzicht Noorderpoort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</si>
</sst>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4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wrapText="1"/>
    </xf>
    <xf numFmtId="44" fontId="0" fillId="0" borderId="0" xfId="0" applyNumberFormat="1" applyFill="1"/>
    <xf numFmtId="0" fontId="4" fillId="0" borderId="0" xfId="0" applyFont="1" applyFill="1"/>
    <xf numFmtId="49" fontId="0" fillId="0" borderId="0" xfId="0" applyNumberFormat="1" applyFill="1"/>
    <xf numFmtId="0" fontId="5" fillId="0" borderId="0" xfId="0" applyFont="1" applyFill="1"/>
    <xf numFmtId="0" fontId="1" fillId="0" borderId="0" xfId="0" applyFont="1" applyFill="1" applyAlignment="1">
      <alignment horizontal="left" vertical="top" wrapText="1"/>
    </xf>
    <xf numFmtId="0" fontId="6" fillId="0" borderId="0" xfId="0" applyFont="1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2" fillId="0" borderId="12" xfId="0" applyFont="1" applyFill="1" applyBorder="1"/>
    <xf numFmtId="0" fontId="7" fillId="0" borderId="2" xfId="0" applyFont="1" applyFill="1" applyBorder="1"/>
    <xf numFmtId="0" fontId="8" fillId="0" borderId="2" xfId="0" applyFont="1" applyFill="1" applyBorder="1"/>
    <xf numFmtId="0" fontId="8" fillId="0" borderId="3" xfId="0" applyFont="1" applyFill="1" applyBorder="1" applyAlignment="1">
      <alignment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44" fontId="8" fillId="0" borderId="5" xfId="0" applyNumberFormat="1" applyFont="1" applyFill="1" applyBorder="1" applyAlignment="1">
      <alignment horizontal="center" wrapText="1"/>
    </xf>
    <xf numFmtId="0" fontId="8" fillId="0" borderId="5" xfId="0" applyFont="1" applyFill="1" applyBorder="1"/>
    <xf numFmtId="44" fontId="9" fillId="0" borderId="5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 vertical="top" wrapText="1"/>
    </xf>
    <xf numFmtId="0" fontId="12" fillId="0" borderId="13" xfId="0" applyFont="1" applyFill="1" applyBorder="1"/>
    <xf numFmtId="1" fontId="0" fillId="0" borderId="2" xfId="0" applyNumberFormat="1" applyFill="1" applyBorder="1" applyAlignment="1">
      <alignment horizontal="center"/>
    </xf>
    <xf numFmtId="0" fontId="10" fillId="0" borderId="6" xfId="0" applyFont="1" applyFill="1" applyBorder="1"/>
    <xf numFmtId="0" fontId="10" fillId="0" borderId="7" xfId="0" applyFont="1" applyFill="1" applyBorder="1" applyAlignment="1">
      <alignment wrapText="1"/>
    </xf>
    <xf numFmtId="4" fontId="10" fillId="0" borderId="1" xfId="0" applyNumberFormat="1" applyFont="1" applyFill="1" applyBorder="1" applyAlignment="1">
      <alignment horizontal="right"/>
    </xf>
    <xf numFmtId="4" fontId="10" fillId="0" borderId="7" xfId="0" applyNumberFormat="1" applyFont="1" applyFill="1" applyBorder="1" applyAlignment="1">
      <alignment horizontal="right"/>
    </xf>
    <xf numFmtId="49" fontId="10" fillId="0" borderId="7" xfId="0" applyNumberFormat="1" applyFont="1" applyFill="1" applyBorder="1" applyAlignment="1">
      <alignment horizontal="center"/>
    </xf>
    <xf numFmtId="44" fontId="10" fillId="0" borderId="7" xfId="0" applyNumberFormat="1" applyFont="1" applyFill="1" applyBorder="1" applyAlignment="1">
      <alignment horizontal="right"/>
    </xf>
    <xf numFmtId="14" fontId="10" fillId="0" borderId="7" xfId="0" applyNumberFormat="1" applyFont="1" applyFill="1" applyBorder="1" applyAlignment="1">
      <alignment horizontal="right"/>
    </xf>
    <xf numFmtId="164" fontId="10" fillId="0" borderId="7" xfId="0" applyNumberFormat="1" applyFont="1" applyFill="1" applyBorder="1" applyAlignment="1">
      <alignment horizontal="right"/>
    </xf>
    <xf numFmtId="3" fontId="10" fillId="0" borderId="7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10" fillId="0" borderId="1" xfId="0" applyFont="1" applyFill="1" applyBorder="1" applyAlignment="1">
      <alignment horizontal="center"/>
    </xf>
    <xf numFmtId="4" fontId="10" fillId="0" borderId="7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wrapText="1"/>
    </xf>
    <xf numFmtId="0" fontId="0" fillId="0" borderId="14" xfId="0" applyFill="1" applyBorder="1"/>
    <xf numFmtId="14" fontId="10" fillId="0" borderId="7" xfId="0" applyNumberFormat="1" applyFont="1" applyFill="1" applyBorder="1" applyAlignment="1">
      <alignment horizontal="center"/>
    </xf>
    <xf numFmtId="164" fontId="11" fillId="0" borderId="7" xfId="0" applyNumberFormat="1" applyFont="1" applyFill="1" applyBorder="1" applyAlignment="1">
      <alignment horizontal="right"/>
    </xf>
    <xf numFmtId="14" fontId="10" fillId="0" borderId="7" xfId="0" applyNumberFormat="1" applyFont="1" applyFill="1" applyBorder="1" applyAlignment="1">
      <alignment horizontal="right" wrapText="1"/>
    </xf>
    <xf numFmtId="0" fontId="10" fillId="0" borderId="8" xfId="0" applyFont="1" applyFill="1" applyBorder="1"/>
    <xf numFmtId="4" fontId="10" fillId="0" borderId="8" xfId="0" applyNumberFormat="1" applyFont="1" applyFill="1" applyBorder="1" applyAlignment="1">
      <alignment horizontal="right"/>
    </xf>
    <xf numFmtId="4" fontId="10" fillId="0" borderId="5" xfId="0" applyNumberFormat="1" applyFont="1" applyFill="1" applyBorder="1" applyAlignment="1">
      <alignment horizontal="right"/>
    </xf>
    <xf numFmtId="4" fontId="10" fillId="0" borderId="2" xfId="0" applyNumberFormat="1" applyFont="1" applyFill="1" applyBorder="1" applyAlignment="1">
      <alignment horizontal="center"/>
    </xf>
    <xf numFmtId="4" fontId="10" fillId="0" borderId="6" xfId="0" applyNumberFormat="1" applyFont="1" applyFill="1" applyBorder="1" applyAlignment="1">
      <alignment horizontal="right"/>
    </xf>
    <xf numFmtId="14" fontId="10" fillId="0" borderId="2" xfId="0" applyNumberFormat="1" applyFont="1" applyFill="1" applyBorder="1" applyAlignment="1">
      <alignment horizontal="right"/>
    </xf>
    <xf numFmtId="0" fontId="10" fillId="0" borderId="2" xfId="0" applyFont="1" applyFill="1" applyBorder="1"/>
    <xf numFmtId="4" fontId="10" fillId="0" borderId="2" xfId="0" applyNumberFormat="1" applyFont="1" applyFill="1" applyBorder="1" applyAlignment="1">
      <alignment horizontal="right"/>
    </xf>
    <xf numFmtId="14" fontId="10" fillId="0" borderId="6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4" fontId="10" fillId="0" borderId="4" xfId="0" applyNumberFormat="1" applyFont="1" applyFill="1" applyBorder="1" applyAlignment="1">
      <alignment horizontal="right"/>
    </xf>
    <xf numFmtId="0" fontId="10" fillId="0" borderId="6" xfId="0" applyFont="1" applyFill="1" applyBorder="1" applyAlignment="1">
      <alignment horizontal="left" vertical="top" wrapText="1"/>
    </xf>
    <xf numFmtId="0" fontId="10" fillId="0" borderId="4" xfId="0" applyFont="1" applyFill="1" applyBorder="1"/>
    <xf numFmtId="0" fontId="10" fillId="0" borderId="5" xfId="0" applyFont="1" applyFill="1" applyBorder="1"/>
    <xf numFmtId="0" fontId="10" fillId="0" borderId="2" xfId="0" applyFont="1" applyFill="1" applyBorder="1" applyAlignment="1">
      <alignment horizontal="center"/>
    </xf>
    <xf numFmtId="4" fontId="10" fillId="0" borderId="8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horizontal="center"/>
    </xf>
    <xf numFmtId="4" fontId="10" fillId="0" borderId="5" xfId="0" applyNumberFormat="1" applyFont="1" applyFill="1" applyBorder="1" applyAlignment="1">
      <alignment horizontal="center"/>
    </xf>
    <xf numFmtId="14" fontId="10" fillId="0" borderId="2" xfId="0" applyNumberFormat="1" applyFont="1" applyFill="1" applyBorder="1" applyAlignment="1">
      <alignment horizontal="center"/>
    </xf>
    <xf numFmtId="0" fontId="10" fillId="0" borderId="3" xfId="0" applyFont="1" applyFill="1" applyBorder="1"/>
    <xf numFmtId="0" fontId="0" fillId="0" borderId="11" xfId="0" applyFill="1" applyBorder="1"/>
    <xf numFmtId="0" fontId="10" fillId="0" borderId="4" xfId="0" applyFont="1" applyFill="1" applyBorder="1" applyAlignment="1">
      <alignment horizontal="center"/>
    </xf>
    <xf numFmtId="0" fontId="10" fillId="0" borderId="7" xfId="0" applyFont="1" applyFill="1" applyBorder="1"/>
    <xf numFmtId="4" fontId="10" fillId="0" borderId="1" xfId="0" applyNumberFormat="1" applyFont="1" applyFill="1" applyBorder="1"/>
    <xf numFmtId="0" fontId="10" fillId="0" borderId="11" xfId="0" applyFont="1" applyFill="1" applyBorder="1"/>
    <xf numFmtId="4" fontId="10" fillId="0" borderId="0" xfId="0" applyNumberFormat="1" applyFont="1" applyFill="1" applyAlignment="1">
      <alignment horizontal="right"/>
    </xf>
    <xf numFmtId="1" fontId="0" fillId="0" borderId="4" xfId="0" applyNumberFormat="1" applyFill="1" applyBorder="1" applyAlignment="1">
      <alignment horizontal="center"/>
    </xf>
    <xf numFmtId="0" fontId="10" fillId="0" borderId="10" xfId="0" applyFont="1" applyFill="1" applyBorder="1"/>
    <xf numFmtId="4" fontId="10" fillId="0" borderId="10" xfId="0" applyNumberFormat="1" applyFont="1" applyFill="1" applyBorder="1" applyAlignment="1">
      <alignment horizontal="right"/>
    </xf>
    <xf numFmtId="0" fontId="8" fillId="0" borderId="8" xfId="0" applyFont="1" applyFill="1" applyBorder="1"/>
    <xf numFmtId="0" fontId="8" fillId="0" borderId="1" xfId="0" applyFont="1" applyFill="1" applyBorder="1" applyAlignment="1">
      <alignment wrapText="1"/>
    </xf>
    <xf numFmtId="4" fontId="8" fillId="0" borderId="8" xfId="0" applyNumberFormat="1" applyFont="1" applyFill="1" applyBorder="1" applyAlignment="1">
      <alignment horizontal="center"/>
    </xf>
    <xf numFmtId="4" fontId="8" fillId="0" borderId="6" xfId="0" applyNumberFormat="1" applyFont="1" applyFill="1" applyBorder="1" applyAlignment="1">
      <alignment horizontal="center"/>
    </xf>
    <xf numFmtId="4" fontId="8" fillId="0" borderId="1" xfId="0" applyNumberFormat="1" applyFont="1" applyFill="1" applyBorder="1"/>
    <xf numFmtId="44" fontId="8" fillId="0" borderId="6" xfId="0" applyNumberFormat="1" applyFont="1" applyFill="1" applyBorder="1" applyAlignment="1">
      <alignment horizontal="right"/>
    </xf>
    <xf numFmtId="4" fontId="8" fillId="0" borderId="6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center"/>
    </xf>
    <xf numFmtId="44" fontId="8" fillId="0" borderId="7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left" vertical="top" wrapText="1"/>
    </xf>
    <xf numFmtId="44" fontId="0" fillId="0" borderId="9" xfId="0" applyNumberFormat="1" applyFill="1" applyBorder="1"/>
    <xf numFmtId="3" fontId="10" fillId="0" borderId="2" xfId="0" applyNumberFormat="1" applyFont="1" applyFill="1" applyBorder="1" applyAlignment="1">
      <alignment horizontal="right"/>
    </xf>
    <xf numFmtId="0" fontId="7" fillId="0" borderId="0" xfId="0" applyFont="1" applyFill="1"/>
    <xf numFmtId="3" fontId="10" fillId="0" borderId="6" xfId="0" applyNumberFormat="1" applyFont="1" applyFill="1" applyBorder="1" applyAlignment="1">
      <alignment horizontal="right"/>
    </xf>
    <xf numFmtId="14" fontId="10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wrapText="1"/>
    </xf>
    <xf numFmtId="14" fontId="10" fillId="0" borderId="0" xfId="0" applyNumberFormat="1" applyFont="1" applyFill="1" applyAlignment="1">
      <alignment horizontal="center"/>
    </xf>
    <xf numFmtId="44" fontId="10" fillId="0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B1" zoomScaleNormal="100" workbookViewId="0">
      <pane xSplit="9" ySplit="6" topLeftCell="O7" activePane="bottomRight" state="frozen"/>
      <selection activeCell="B1" sqref="B1"/>
      <selection pane="topRight" activeCell="K1" sqref="K1"/>
      <selection pane="bottomLeft" activeCell="B7" sqref="B7"/>
      <selection pane="bottomRight" activeCell="D4" sqref="D4"/>
    </sheetView>
  </sheetViews>
  <sheetFormatPr defaultRowHeight="15" x14ac:dyDescent="0.25"/>
  <cols>
    <col min="1" max="1" width="11.42578125" style="2" hidden="1" customWidth="1"/>
    <col min="2" max="2" width="18.7109375" style="2" customWidth="1"/>
    <col min="3" max="3" width="21.28515625" style="2" customWidth="1"/>
    <col min="4" max="4" width="30.5703125" style="2" customWidth="1"/>
    <col min="5" max="6" width="13.42578125" style="2" hidden="1" customWidth="1"/>
    <col min="7" max="7" width="14.140625" style="2" hidden="1" customWidth="1"/>
    <col min="8" max="8" width="15.7109375" style="2" hidden="1" customWidth="1"/>
    <col min="9" max="10" width="12.28515625" style="2" hidden="1" customWidth="1"/>
    <col min="11" max="11" width="13.5703125" style="2" customWidth="1"/>
    <col min="12" max="12" width="15.7109375" style="2" hidden="1" customWidth="1"/>
    <col min="13" max="13" width="16.140625" style="2" hidden="1" customWidth="1"/>
    <col min="14" max="14" width="20.7109375" style="2" bestFit="1" customWidth="1"/>
    <col min="15" max="15" width="11.7109375" style="2" bestFit="1" customWidth="1"/>
    <col min="16" max="17" width="14.7109375" style="2" hidden="1" customWidth="1"/>
    <col min="18" max="20" width="19.28515625" style="2" hidden="1" customWidth="1"/>
    <col min="21" max="21" width="19.28515625" style="2" customWidth="1"/>
    <col min="22" max="22" width="19.28515625" style="2" hidden="1" customWidth="1"/>
    <col min="23" max="23" width="19.28515625" style="2" customWidth="1"/>
    <col min="24" max="24" width="14.28515625" style="2" customWidth="1"/>
    <col min="25" max="25" width="56.28515625" style="3" bestFit="1" customWidth="1"/>
    <col min="26" max="26" width="21.28515625" style="2" customWidth="1"/>
    <col min="27" max="27" width="15.5703125" style="2" bestFit="1" customWidth="1"/>
    <col min="28" max="28" width="11.7109375" style="2" bestFit="1" customWidth="1"/>
    <col min="29" max="29" width="8.140625" style="2" bestFit="1" customWidth="1"/>
    <col min="30" max="16384" width="9.140625" style="2"/>
  </cols>
  <sheetData>
    <row r="1" spans="1:30" ht="15.75" customHeight="1" x14ac:dyDescent="0.25">
      <c r="B1" s="2" t="s">
        <v>112</v>
      </c>
      <c r="D1" s="2" t="s">
        <v>107</v>
      </c>
    </row>
    <row r="2" spans="1:30" x14ac:dyDescent="0.25">
      <c r="C2" s="4" t="s">
        <v>0</v>
      </c>
      <c r="D2" s="2" t="s">
        <v>108</v>
      </c>
    </row>
    <row r="3" spans="1:30" ht="18" x14ac:dyDescent="0.25">
      <c r="D3" s="5"/>
      <c r="H3" s="6"/>
      <c r="J3" s="7"/>
      <c r="L3" s="8"/>
      <c r="M3" s="8"/>
      <c r="N3" s="8"/>
      <c r="O3" s="9"/>
      <c r="P3" s="6"/>
      <c r="Q3" s="6"/>
      <c r="R3" s="6"/>
      <c r="S3" s="6"/>
      <c r="T3" s="6"/>
      <c r="U3" s="6"/>
      <c r="V3" s="6"/>
      <c r="W3" s="6"/>
      <c r="Y3" s="10"/>
    </row>
    <row r="4" spans="1:30" ht="18" x14ac:dyDescent="0.25">
      <c r="B4" s="7" t="s">
        <v>109</v>
      </c>
      <c r="C4" s="1"/>
      <c r="D4" s="5"/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L4" s="8"/>
      <c r="M4" s="8"/>
      <c r="N4" s="8"/>
      <c r="P4" s="6"/>
      <c r="Q4" s="6"/>
      <c r="R4" s="6"/>
      <c r="S4" s="6"/>
      <c r="T4" s="6"/>
      <c r="U4" s="6"/>
      <c r="V4" s="6"/>
      <c r="W4" s="6"/>
      <c r="Y4" s="10"/>
    </row>
    <row r="5" spans="1:30" ht="15.75" thickBot="1" x14ac:dyDescent="0.3">
      <c r="C5" s="11"/>
      <c r="D5" s="12"/>
      <c r="H5" s="6"/>
      <c r="J5" s="7"/>
      <c r="L5" s="8"/>
      <c r="M5" s="8"/>
      <c r="N5" s="8"/>
      <c r="P5" s="6"/>
      <c r="Q5" s="6"/>
      <c r="R5" s="6"/>
      <c r="S5" s="6"/>
      <c r="T5" s="6"/>
      <c r="U5" s="6"/>
      <c r="V5" s="6"/>
      <c r="W5" s="6"/>
      <c r="Y5" s="13"/>
      <c r="Z5" s="14" t="s">
        <v>85</v>
      </c>
      <c r="AA5" s="14" t="s">
        <v>86</v>
      </c>
      <c r="AB5" s="14" t="s">
        <v>87</v>
      </c>
      <c r="AC5" s="14" t="s">
        <v>88</v>
      </c>
    </row>
    <row r="6" spans="1:30" ht="37.5" thickBot="1" x14ac:dyDescent="0.3">
      <c r="B6" s="15" t="s">
        <v>2</v>
      </c>
      <c r="C6" s="16" t="s">
        <v>3</v>
      </c>
      <c r="D6" s="17" t="s">
        <v>4</v>
      </c>
      <c r="E6" s="18" t="s">
        <v>5</v>
      </c>
      <c r="F6" s="19" t="s">
        <v>6</v>
      </c>
      <c r="G6" s="19" t="s">
        <v>7</v>
      </c>
      <c r="H6" s="20" t="s">
        <v>8</v>
      </c>
      <c r="I6" s="21" t="s">
        <v>9</v>
      </c>
      <c r="J6" s="21" t="s">
        <v>6</v>
      </c>
      <c r="K6" s="20" t="s">
        <v>10</v>
      </c>
      <c r="L6" s="22" t="s">
        <v>11</v>
      </c>
      <c r="M6" s="22" t="s">
        <v>12</v>
      </c>
      <c r="N6" s="22" t="s">
        <v>13</v>
      </c>
      <c r="O6" s="20" t="s">
        <v>14</v>
      </c>
      <c r="P6" s="20" t="s">
        <v>15</v>
      </c>
      <c r="Q6" s="22" t="s">
        <v>16</v>
      </c>
      <c r="R6" s="22" t="s">
        <v>17</v>
      </c>
      <c r="S6" s="22" t="s">
        <v>18</v>
      </c>
      <c r="T6" s="20" t="s">
        <v>19</v>
      </c>
      <c r="U6" s="20" t="s">
        <v>110</v>
      </c>
      <c r="V6" s="20" t="s">
        <v>20</v>
      </c>
      <c r="W6" s="20" t="s">
        <v>111</v>
      </c>
      <c r="X6" s="21" t="s">
        <v>21</v>
      </c>
      <c r="Y6" s="23" t="s">
        <v>22</v>
      </c>
      <c r="Z6" s="24" t="s">
        <v>89</v>
      </c>
      <c r="AA6" s="24" t="s">
        <v>90</v>
      </c>
      <c r="AB6" s="24" t="s">
        <v>90</v>
      </c>
      <c r="AC6" s="24" t="s">
        <v>90</v>
      </c>
    </row>
    <row r="7" spans="1:30" ht="15.75" thickBot="1" x14ac:dyDescent="0.3">
      <c r="A7" s="6">
        <f>(0.12/1000)*L7</f>
        <v>1767.6</v>
      </c>
      <c r="B7" s="25">
        <v>1</v>
      </c>
      <c r="C7" s="26" t="s">
        <v>23</v>
      </c>
      <c r="D7" s="27" t="s">
        <v>24</v>
      </c>
      <c r="E7" s="28">
        <v>11250000</v>
      </c>
      <c r="F7" s="29">
        <v>11850000</v>
      </c>
      <c r="G7" s="30">
        <v>219414001</v>
      </c>
      <c r="H7" s="31">
        <v>11250000</v>
      </c>
      <c r="I7" s="29">
        <v>3460000</v>
      </c>
      <c r="J7" s="29">
        <v>3460000</v>
      </c>
      <c r="K7" s="32">
        <v>44397</v>
      </c>
      <c r="L7" s="31">
        <v>14730000</v>
      </c>
      <c r="M7" s="33">
        <f t="shared" ref="M7:M29" si="0">113.9/108*L7</f>
        <v>15534694.444444444</v>
      </c>
      <c r="N7" s="33">
        <f>130/113.9*M7</f>
        <v>17730555.555555552</v>
      </c>
      <c r="O7" s="32">
        <v>45631</v>
      </c>
      <c r="P7" s="31">
        <f>ROUNDUP(123.6/118.3,3)*J7</f>
        <v>3615699.9999999995</v>
      </c>
      <c r="Q7" s="31">
        <v>4295000</v>
      </c>
      <c r="R7" s="33">
        <f t="shared" ref="R7:R29" si="1">109.2/103.5*Q7</f>
        <v>4531536.2318840576</v>
      </c>
      <c r="S7" s="33">
        <f>126.4/109.2*R7</f>
        <v>5245294.6859903382</v>
      </c>
      <c r="T7" s="33">
        <f t="shared" ref="T7:T19" si="2">N7</f>
        <v>17730555.555555552</v>
      </c>
      <c r="U7" s="33">
        <f>138.2/130*T7</f>
        <v>18848944.44444444</v>
      </c>
      <c r="V7" s="33">
        <v>5820000</v>
      </c>
      <c r="W7" s="33">
        <f>131.5/126.8*V7</f>
        <v>6035725.5520504732</v>
      </c>
      <c r="X7" s="34">
        <f>U7+W7</f>
        <v>24884669.996494912</v>
      </c>
      <c r="Y7" s="35"/>
      <c r="Z7" s="36" t="s">
        <v>96</v>
      </c>
      <c r="AA7" s="37" t="s">
        <v>91</v>
      </c>
      <c r="AB7" s="37"/>
      <c r="AC7" s="37" t="s">
        <v>93</v>
      </c>
    </row>
    <row r="8" spans="1:30" ht="15.75" thickBot="1" x14ac:dyDescent="0.3">
      <c r="B8" s="25">
        <v>2</v>
      </c>
      <c r="C8" s="26" t="s">
        <v>23</v>
      </c>
      <c r="D8" s="27" t="s">
        <v>25</v>
      </c>
      <c r="E8" s="38"/>
      <c r="F8" s="39"/>
      <c r="G8" s="40"/>
      <c r="H8" s="31">
        <f>(141.4/125.8)*F8</f>
        <v>0</v>
      </c>
      <c r="I8" s="29">
        <v>6600000</v>
      </c>
      <c r="J8" s="29">
        <f>ROUNDUP(I8*118.3/116.6,-3)</f>
        <v>6697000</v>
      </c>
      <c r="K8" s="32"/>
      <c r="L8" s="31">
        <f>H8*1.05</f>
        <v>0</v>
      </c>
      <c r="M8" s="33">
        <f t="shared" si="0"/>
        <v>0</v>
      </c>
      <c r="N8" s="33">
        <f>130/113.9*M8</f>
        <v>0</v>
      </c>
      <c r="O8" s="32">
        <v>45631</v>
      </c>
      <c r="P8" s="31">
        <f>ROUNDUP(J8*123.6/118.3,-2)</f>
        <v>6997100</v>
      </c>
      <c r="Q8" s="31">
        <v>7190000</v>
      </c>
      <c r="R8" s="33">
        <f t="shared" si="1"/>
        <v>7585971.0144927539</v>
      </c>
      <c r="S8" s="33">
        <f>126.4/109.2*R8</f>
        <v>8780830.9178743977</v>
      </c>
      <c r="T8" s="33">
        <f t="shared" si="2"/>
        <v>0</v>
      </c>
      <c r="U8" s="33">
        <f t="shared" ref="U8:U38" si="3">138.2/130*T8</f>
        <v>0</v>
      </c>
      <c r="V8" s="33">
        <v>8640000</v>
      </c>
      <c r="W8" s="33">
        <f t="shared" ref="W8:W38" si="4">131.5/126.8*V8</f>
        <v>8960252.3659306001</v>
      </c>
      <c r="X8" s="34">
        <f t="shared" ref="X8:X38" si="5">U8+W8</f>
        <v>8960252.3659306001</v>
      </c>
      <c r="Y8" s="35" t="s">
        <v>26</v>
      </c>
      <c r="Z8" s="37" t="s">
        <v>96</v>
      </c>
      <c r="AA8" s="37" t="s">
        <v>92</v>
      </c>
      <c r="AB8" s="37"/>
      <c r="AC8" s="37" t="s">
        <v>93</v>
      </c>
    </row>
    <row r="9" spans="1:30" ht="36.75" thickBot="1" x14ac:dyDescent="0.3">
      <c r="B9" s="25">
        <v>3</v>
      </c>
      <c r="C9" s="26" t="s">
        <v>23</v>
      </c>
      <c r="D9" s="27" t="s">
        <v>27</v>
      </c>
      <c r="E9" s="41">
        <v>10700000</v>
      </c>
      <c r="F9" s="39">
        <f>ROUNDUP(E9*125.8/123.1,-3)</f>
        <v>10935000</v>
      </c>
      <c r="G9" s="39" t="s">
        <v>28</v>
      </c>
      <c r="H9" s="31">
        <f>ROUNDUP(F9*141.4/125.8,-2)</f>
        <v>12291100</v>
      </c>
      <c r="I9" s="29">
        <v>2455000</v>
      </c>
      <c r="J9" s="29">
        <f>ROUNDUP(I9*118.3/116.6,-3)</f>
        <v>2491000</v>
      </c>
      <c r="K9" s="32">
        <v>45118</v>
      </c>
      <c r="L9" s="31">
        <f>(H9*1.05)+900000</f>
        <v>13805655</v>
      </c>
      <c r="M9" s="33">
        <f t="shared" si="0"/>
        <v>14559852.819444444</v>
      </c>
      <c r="N9" s="33">
        <v>15100000</v>
      </c>
      <c r="O9" s="32">
        <v>45118</v>
      </c>
      <c r="P9" s="31">
        <f>ROUNDUP(J9*123.6/118.3,-2)</f>
        <v>2602700</v>
      </c>
      <c r="Q9" s="31">
        <v>1950000</v>
      </c>
      <c r="R9" s="33">
        <f t="shared" si="1"/>
        <v>2057391.3043478259</v>
      </c>
      <c r="S9" s="33">
        <v>2365000</v>
      </c>
      <c r="T9" s="33">
        <f t="shared" si="2"/>
        <v>15100000</v>
      </c>
      <c r="U9" s="33">
        <f t="shared" si="3"/>
        <v>16052461.538461538</v>
      </c>
      <c r="V9" s="33">
        <f>126.8/126.4*S9</f>
        <v>2372484.1772151901</v>
      </c>
      <c r="W9" s="33">
        <f t="shared" si="4"/>
        <v>2460423.2594936714</v>
      </c>
      <c r="X9" s="34">
        <f t="shared" si="5"/>
        <v>18512884.797955208</v>
      </c>
      <c r="Y9" s="35" t="s">
        <v>29</v>
      </c>
      <c r="Z9" s="37" t="s">
        <v>96</v>
      </c>
      <c r="AA9" s="37" t="s">
        <v>93</v>
      </c>
      <c r="AB9" s="37"/>
      <c r="AC9" s="37" t="s">
        <v>91</v>
      </c>
    </row>
    <row r="10" spans="1:30" ht="15.75" thickBot="1" x14ac:dyDescent="0.3">
      <c r="B10" s="25">
        <v>14</v>
      </c>
      <c r="C10" s="26" t="s">
        <v>43</v>
      </c>
      <c r="D10" s="27" t="s">
        <v>44</v>
      </c>
      <c r="E10" s="41">
        <v>7500000</v>
      </c>
      <c r="F10" s="39">
        <v>7500000</v>
      </c>
      <c r="G10" s="40"/>
      <c r="H10" s="31">
        <f>ROUNDUP(F10*141.4/125.8,-2)</f>
        <v>8430100</v>
      </c>
      <c r="I10" s="29">
        <v>5370000</v>
      </c>
      <c r="J10" s="29">
        <v>5370000</v>
      </c>
      <c r="K10" s="32">
        <v>43927</v>
      </c>
      <c r="L10" s="31">
        <v>9600000</v>
      </c>
      <c r="M10" s="33">
        <f t="shared" si="0"/>
        <v>10124444.444444444</v>
      </c>
      <c r="N10" s="33">
        <f>130/113.9*M10</f>
        <v>11555555.555555554</v>
      </c>
      <c r="O10" s="32">
        <v>45638</v>
      </c>
      <c r="P10" s="31">
        <f>ROUNDUP(J10*123.6/118.3,-2)</f>
        <v>5610600</v>
      </c>
      <c r="Q10" s="31">
        <v>5845000</v>
      </c>
      <c r="R10" s="33">
        <f t="shared" si="1"/>
        <v>6166898.5507246377</v>
      </c>
      <c r="S10" s="33">
        <f>126.4/109.2*R10</f>
        <v>7138241.5458937204</v>
      </c>
      <c r="T10" s="33">
        <f t="shared" si="2"/>
        <v>11555555.555555554</v>
      </c>
      <c r="U10" s="33">
        <f t="shared" si="3"/>
        <v>12284444.444444442</v>
      </c>
      <c r="V10" s="33">
        <v>2890000</v>
      </c>
      <c r="W10" s="33">
        <f t="shared" si="4"/>
        <v>2997121.4511041008</v>
      </c>
      <c r="X10" s="34">
        <f t="shared" si="5"/>
        <v>15281565.895548543</v>
      </c>
      <c r="Y10" s="35" t="s">
        <v>45</v>
      </c>
      <c r="Z10" s="36" t="s">
        <v>97</v>
      </c>
      <c r="AA10" s="37" t="s">
        <v>91</v>
      </c>
      <c r="AB10" s="37"/>
      <c r="AC10" s="37" t="s">
        <v>93</v>
      </c>
    </row>
    <row r="11" spans="1:30" ht="15.75" thickBot="1" x14ac:dyDescent="0.3">
      <c r="A11" s="6">
        <f>(0.12/1000)*L11</f>
        <v>0</v>
      </c>
      <c r="B11" s="25">
        <v>30</v>
      </c>
      <c r="C11" s="26" t="s">
        <v>43</v>
      </c>
      <c r="D11" s="27" t="s">
        <v>46</v>
      </c>
      <c r="E11" s="41"/>
      <c r="F11" s="39"/>
      <c r="G11" s="40"/>
      <c r="H11" s="31">
        <f>ROUNDUP(F11*141.4/125.8,-2)</f>
        <v>0</v>
      </c>
      <c r="I11" s="29">
        <v>125000</v>
      </c>
      <c r="J11" s="29">
        <f>ROUNDUP(I11*118.3/116.6,-3)</f>
        <v>127000</v>
      </c>
      <c r="K11" s="32"/>
      <c r="L11" s="31">
        <f>H11*1.05</f>
        <v>0</v>
      </c>
      <c r="M11" s="33">
        <f t="shared" si="0"/>
        <v>0</v>
      </c>
      <c r="N11" s="33">
        <f>130/113.9*M11</f>
        <v>0</v>
      </c>
      <c r="O11" s="32">
        <v>43985</v>
      </c>
      <c r="P11" s="31">
        <f>ROUNDUP(J11*123.6/118.3,-2)</f>
        <v>132700</v>
      </c>
      <c r="Q11" s="31">
        <v>100000</v>
      </c>
      <c r="R11" s="33">
        <f t="shared" si="1"/>
        <v>105507.24637681158</v>
      </c>
      <c r="S11" s="33">
        <f>126.4/109.2*R11</f>
        <v>122125.60386473429</v>
      </c>
      <c r="T11" s="33">
        <f t="shared" si="2"/>
        <v>0</v>
      </c>
      <c r="U11" s="33">
        <f t="shared" si="3"/>
        <v>0</v>
      </c>
      <c r="V11" s="33">
        <f>126.8/126.4*S11</f>
        <v>122512.07729468598</v>
      </c>
      <c r="W11" s="33">
        <f t="shared" si="4"/>
        <v>127053.14009661834</v>
      </c>
      <c r="X11" s="34">
        <f t="shared" si="5"/>
        <v>127053.14009661834</v>
      </c>
      <c r="Y11" s="42" t="s">
        <v>47</v>
      </c>
      <c r="Z11" s="37" t="s">
        <v>96</v>
      </c>
      <c r="AA11" s="37" t="s">
        <v>93</v>
      </c>
      <c r="AB11" s="37"/>
      <c r="AC11" s="37"/>
      <c r="AD11" s="43" t="s">
        <v>106</v>
      </c>
    </row>
    <row r="12" spans="1:30" ht="25.5" thickBot="1" x14ac:dyDescent="0.3">
      <c r="A12" s="6">
        <f t="shared" ref="A12:A14" si="6">(0.12/1000)*L12</f>
        <v>0</v>
      </c>
      <c r="B12" s="25">
        <v>34</v>
      </c>
      <c r="C12" s="26" t="s">
        <v>23</v>
      </c>
      <c r="D12" s="27" t="s">
        <v>71</v>
      </c>
      <c r="E12" s="38"/>
      <c r="F12" s="39"/>
      <c r="G12" s="40"/>
      <c r="H12" s="31"/>
      <c r="I12" s="29">
        <v>425000</v>
      </c>
      <c r="J12" s="29"/>
      <c r="K12" s="44"/>
      <c r="L12" s="31"/>
      <c r="M12" s="33">
        <f t="shared" si="0"/>
        <v>0</v>
      </c>
      <c r="N12" s="33">
        <f>130/113.9*M12</f>
        <v>0</v>
      </c>
      <c r="O12" s="32">
        <v>45119</v>
      </c>
      <c r="P12" s="31"/>
      <c r="Q12" s="31">
        <v>265000</v>
      </c>
      <c r="R12" s="33">
        <f t="shared" si="1"/>
        <v>279594.20289855072</v>
      </c>
      <c r="S12" s="33">
        <v>425000</v>
      </c>
      <c r="T12" s="33">
        <f t="shared" si="2"/>
        <v>0</v>
      </c>
      <c r="U12" s="33">
        <f t="shared" si="3"/>
        <v>0</v>
      </c>
      <c r="V12" s="45">
        <f>126.8/126.4*S12</f>
        <v>426344.93670886074</v>
      </c>
      <c r="W12" s="33">
        <f t="shared" si="4"/>
        <v>442147.94303797465</v>
      </c>
      <c r="X12" s="34">
        <f t="shared" si="5"/>
        <v>442147.94303797465</v>
      </c>
      <c r="Y12" s="35"/>
      <c r="Z12" s="37" t="s">
        <v>105</v>
      </c>
      <c r="AA12" s="37" t="s">
        <v>91</v>
      </c>
      <c r="AB12" s="37"/>
      <c r="AC12" s="37" t="s">
        <v>93</v>
      </c>
    </row>
    <row r="13" spans="1:30" ht="15.75" thickBot="1" x14ac:dyDescent="0.3">
      <c r="A13" s="6">
        <f t="shared" si="6"/>
        <v>1396.7099999999998</v>
      </c>
      <c r="B13" s="25">
        <v>17</v>
      </c>
      <c r="C13" s="26" t="s">
        <v>50</v>
      </c>
      <c r="D13" s="27" t="s">
        <v>51</v>
      </c>
      <c r="E13" s="41">
        <v>9650000</v>
      </c>
      <c r="F13" s="39">
        <f>ROUNDUP(E13*125.8/123.1,-3)</f>
        <v>9862000</v>
      </c>
      <c r="G13" s="39" t="s">
        <v>52</v>
      </c>
      <c r="H13" s="31">
        <f t="shared" ref="H13:H29" si="7">ROUNDUP(F13*141.4/125.8,-2)</f>
        <v>11085000</v>
      </c>
      <c r="I13" s="29">
        <v>1240000</v>
      </c>
      <c r="J13" s="29">
        <f>ROUNDUP(I13*118.3/116.6,-3)</f>
        <v>1259000</v>
      </c>
      <c r="K13" s="32">
        <v>45118</v>
      </c>
      <c r="L13" s="31">
        <f>H13*1.05</f>
        <v>11639250</v>
      </c>
      <c r="M13" s="33">
        <f t="shared" si="0"/>
        <v>12275097.916666666</v>
      </c>
      <c r="N13" s="33">
        <v>14300000</v>
      </c>
      <c r="O13" s="32">
        <v>45118</v>
      </c>
      <c r="P13" s="31">
        <f>ROUNDUP(J13*123.6/118.3,-2)</f>
        <v>1315500</v>
      </c>
      <c r="Q13" s="31">
        <v>1235000</v>
      </c>
      <c r="R13" s="33">
        <f t="shared" si="1"/>
        <v>1303014.4927536231</v>
      </c>
      <c r="S13" s="33">
        <v>1350000</v>
      </c>
      <c r="T13" s="33">
        <f t="shared" si="2"/>
        <v>14300000</v>
      </c>
      <c r="U13" s="33">
        <f t="shared" si="3"/>
        <v>15202000</v>
      </c>
      <c r="V13" s="33">
        <f>126.8/126.4*S13</f>
        <v>1354272.1518987343</v>
      </c>
      <c r="W13" s="33">
        <f t="shared" si="4"/>
        <v>1404469.9367088608</v>
      </c>
      <c r="X13" s="34">
        <f t="shared" si="5"/>
        <v>16606469.93670886</v>
      </c>
      <c r="Y13" s="35"/>
      <c r="Z13" s="37" t="s">
        <v>100</v>
      </c>
      <c r="AA13" s="37" t="s">
        <v>95</v>
      </c>
      <c r="AB13" s="37"/>
      <c r="AC13" s="37" t="s">
        <v>91</v>
      </c>
    </row>
    <row r="14" spans="1:30" ht="24.75" thickBot="1" x14ac:dyDescent="0.3">
      <c r="A14" s="6">
        <f t="shared" si="6"/>
        <v>3720.1715999999997</v>
      </c>
      <c r="B14" s="25">
        <v>4</v>
      </c>
      <c r="C14" s="26" t="s">
        <v>23</v>
      </c>
      <c r="D14" s="27" t="s">
        <v>30</v>
      </c>
      <c r="E14" s="41">
        <v>26100000</v>
      </c>
      <c r="F14" s="39">
        <v>26100000</v>
      </c>
      <c r="G14" s="39" t="s">
        <v>31</v>
      </c>
      <c r="H14" s="31">
        <f t="shared" si="7"/>
        <v>29336600</v>
      </c>
      <c r="I14" s="29">
        <f>3370000+25000</f>
        <v>3395000</v>
      </c>
      <c r="J14" s="29">
        <f>ROUNDUP(I14*118.3/116.6,-3)</f>
        <v>3445000</v>
      </c>
      <c r="K14" s="32">
        <v>43543</v>
      </c>
      <c r="L14" s="31">
        <f>(H14*1.05)+198000</f>
        <v>31001430</v>
      </c>
      <c r="M14" s="33">
        <f t="shared" si="0"/>
        <v>32695026.638888888</v>
      </c>
      <c r="N14" s="33">
        <f>130/113.9*M14</f>
        <v>37316536.111111104</v>
      </c>
      <c r="O14" s="32">
        <v>45121</v>
      </c>
      <c r="P14" s="31">
        <f>ROUNDUP(J14*123.6/118.3,-2)</f>
        <v>3599400</v>
      </c>
      <c r="Q14" s="31">
        <v>3555000</v>
      </c>
      <c r="R14" s="33">
        <f t="shared" si="1"/>
        <v>3750782.6086956519</v>
      </c>
      <c r="S14" s="33">
        <v>4090000</v>
      </c>
      <c r="T14" s="33">
        <f t="shared" si="2"/>
        <v>37316536.111111104</v>
      </c>
      <c r="U14" s="33">
        <f t="shared" si="3"/>
        <v>39670348.388888881</v>
      </c>
      <c r="V14" s="33">
        <f>126.8/126.4*S14</f>
        <v>4102943.0379746836</v>
      </c>
      <c r="W14" s="33">
        <f t="shared" si="4"/>
        <v>4255023.734177215</v>
      </c>
      <c r="X14" s="34">
        <f t="shared" si="5"/>
        <v>43925372.123066097</v>
      </c>
      <c r="Y14" s="35" t="s">
        <v>32</v>
      </c>
      <c r="Z14" s="37" t="s">
        <v>96</v>
      </c>
      <c r="AA14" s="37" t="s">
        <v>91</v>
      </c>
      <c r="AB14" s="37"/>
      <c r="AC14" s="37" t="s">
        <v>91</v>
      </c>
    </row>
    <row r="15" spans="1:30" ht="15.75" thickBot="1" x14ac:dyDescent="0.3">
      <c r="B15" s="25">
        <v>5</v>
      </c>
      <c r="C15" s="26" t="s">
        <v>23</v>
      </c>
      <c r="D15" s="27" t="s">
        <v>33</v>
      </c>
      <c r="E15" s="41">
        <v>12954000</v>
      </c>
      <c r="F15" s="39">
        <f>ROUNDUP(E15*125.8/123.1,-3)</f>
        <v>13239000</v>
      </c>
      <c r="G15" s="39" t="s">
        <v>34</v>
      </c>
      <c r="H15" s="31">
        <f t="shared" si="7"/>
        <v>14880800</v>
      </c>
      <c r="I15" s="29">
        <v>720000</v>
      </c>
      <c r="J15" s="29">
        <v>720000</v>
      </c>
      <c r="K15" s="32">
        <v>44403</v>
      </c>
      <c r="L15" s="31">
        <v>16100000</v>
      </c>
      <c r="M15" s="33">
        <f t="shared" si="0"/>
        <v>16979537.037037037</v>
      </c>
      <c r="N15" s="33">
        <f>130/113.9*M15</f>
        <v>19379629.629629627</v>
      </c>
      <c r="O15" s="32">
        <v>44403</v>
      </c>
      <c r="P15" s="31">
        <f>ROUNDUP(J15*123.6/118.3,-2)</f>
        <v>752300</v>
      </c>
      <c r="Q15" s="31">
        <v>1080000</v>
      </c>
      <c r="R15" s="33">
        <f t="shared" si="1"/>
        <v>1139478.2608695652</v>
      </c>
      <c r="S15" s="33">
        <v>100000</v>
      </c>
      <c r="T15" s="33">
        <f t="shared" si="2"/>
        <v>19379629.629629627</v>
      </c>
      <c r="U15" s="33">
        <f t="shared" si="3"/>
        <v>20602037.037037034</v>
      </c>
      <c r="V15" s="33">
        <v>75000</v>
      </c>
      <c r="W15" s="33">
        <f t="shared" si="4"/>
        <v>77779.968454258677</v>
      </c>
      <c r="X15" s="34">
        <f t="shared" si="5"/>
        <v>20679817.005491294</v>
      </c>
      <c r="Y15" s="35" t="s">
        <v>35</v>
      </c>
      <c r="Z15" s="37" t="s">
        <v>96</v>
      </c>
      <c r="AA15" s="37" t="s">
        <v>93</v>
      </c>
      <c r="AB15" s="37" t="s">
        <v>98</v>
      </c>
      <c r="AC15" s="37" t="s">
        <v>91</v>
      </c>
    </row>
    <row r="16" spans="1:30" ht="24.75" thickBot="1" x14ac:dyDescent="0.3">
      <c r="A16" s="6">
        <f t="shared" ref="A16" si="8">(0.12/1000)*L16</f>
        <v>2855.9999999999995</v>
      </c>
      <c r="B16" s="25">
        <v>9</v>
      </c>
      <c r="C16" s="26" t="s">
        <v>23</v>
      </c>
      <c r="D16" s="27" t="s">
        <v>38</v>
      </c>
      <c r="E16" s="41">
        <v>18250000</v>
      </c>
      <c r="F16" s="39">
        <f>ROUNDUP(E16*123.1/120.7,-3)+175000</f>
        <v>18788000</v>
      </c>
      <c r="G16" s="39">
        <v>218376001</v>
      </c>
      <c r="H16" s="31">
        <f t="shared" si="7"/>
        <v>21117900</v>
      </c>
      <c r="I16" s="29">
        <v>4310000</v>
      </c>
      <c r="J16" s="29">
        <v>4310000</v>
      </c>
      <c r="K16" s="32">
        <v>44483</v>
      </c>
      <c r="L16" s="31">
        <v>23800000</v>
      </c>
      <c r="M16" s="33">
        <f t="shared" si="0"/>
        <v>25100185.185185183</v>
      </c>
      <c r="N16" s="33">
        <f>130/113.9*M16</f>
        <v>28648148.148148142</v>
      </c>
      <c r="O16" s="46">
        <v>45120</v>
      </c>
      <c r="P16" s="31">
        <f>ROUNDUP(J16*123.6/118.3,-2)+260000</f>
        <v>4763100</v>
      </c>
      <c r="Q16" s="31">
        <v>4200000</v>
      </c>
      <c r="R16" s="33">
        <f t="shared" si="1"/>
        <v>4431304.3478260869</v>
      </c>
      <c r="S16" s="33">
        <v>5210000</v>
      </c>
      <c r="T16" s="33">
        <f t="shared" si="2"/>
        <v>28648148.148148142</v>
      </c>
      <c r="U16" s="33">
        <f t="shared" si="3"/>
        <v>30455185.185185175</v>
      </c>
      <c r="V16" s="33">
        <f>126.8/126.4*S16</f>
        <v>5226487.3417721521</v>
      </c>
      <c r="W16" s="33">
        <f t="shared" si="4"/>
        <v>5420213.6075949371</v>
      </c>
      <c r="X16" s="34">
        <f t="shared" si="5"/>
        <v>35875398.792780116</v>
      </c>
      <c r="Y16" s="35" t="s">
        <v>39</v>
      </c>
      <c r="Z16" s="37" t="s">
        <v>96</v>
      </c>
      <c r="AA16" s="37" t="s">
        <v>91</v>
      </c>
      <c r="AB16" s="37"/>
      <c r="AC16" s="37" t="s">
        <v>91</v>
      </c>
    </row>
    <row r="17" spans="1:30" ht="15.75" thickBot="1" x14ac:dyDescent="0.3">
      <c r="B17" s="25">
        <v>18</v>
      </c>
      <c r="C17" s="26" t="s">
        <v>53</v>
      </c>
      <c r="D17" s="27" t="s">
        <v>54</v>
      </c>
      <c r="E17" s="41">
        <v>26730000</v>
      </c>
      <c r="F17" s="39">
        <f>ROUNDUP(E17*125.8/123.1,-3)</f>
        <v>27317000</v>
      </c>
      <c r="G17" s="39" t="s">
        <v>55</v>
      </c>
      <c r="H17" s="31">
        <f t="shared" si="7"/>
        <v>30704500</v>
      </c>
      <c r="I17" s="29">
        <v>7750000</v>
      </c>
      <c r="J17" s="29">
        <v>7750000</v>
      </c>
      <c r="K17" s="32">
        <v>45119</v>
      </c>
      <c r="L17" s="31">
        <f>H17*1.05</f>
        <v>32239725</v>
      </c>
      <c r="M17" s="33">
        <f t="shared" si="0"/>
        <v>34000969.236111112</v>
      </c>
      <c r="N17" s="33">
        <v>38570000</v>
      </c>
      <c r="O17" s="32">
        <v>45643</v>
      </c>
      <c r="P17" s="31">
        <f t="shared" ref="P17:P29" si="9">ROUNDUP(J17*123.6/118.3,-2)</f>
        <v>8097300</v>
      </c>
      <c r="Q17" s="31">
        <v>7960000</v>
      </c>
      <c r="R17" s="33">
        <f t="shared" si="1"/>
        <v>8398376.8115942031</v>
      </c>
      <c r="S17" s="33">
        <f t="shared" ref="S17:S29" si="10">126.4/109.2*R17</f>
        <v>9721198.0676328521</v>
      </c>
      <c r="T17" s="33">
        <f t="shared" si="2"/>
        <v>38570000</v>
      </c>
      <c r="U17" s="33">
        <f t="shared" si="3"/>
        <v>41002876.92307692</v>
      </c>
      <c r="V17" s="33">
        <v>9055000</v>
      </c>
      <c r="W17" s="33">
        <f t="shared" si="4"/>
        <v>9390634.8580441643</v>
      </c>
      <c r="X17" s="34">
        <f t="shared" si="5"/>
        <v>50393511.781121083</v>
      </c>
      <c r="Y17" s="35"/>
      <c r="Z17" s="37" t="s">
        <v>99</v>
      </c>
      <c r="AA17" s="37" t="s">
        <v>91</v>
      </c>
      <c r="AB17" s="37"/>
      <c r="AC17" s="37" t="s">
        <v>93</v>
      </c>
    </row>
    <row r="18" spans="1:30" ht="15.75" thickBot="1" x14ac:dyDescent="0.3">
      <c r="B18" s="25">
        <v>16</v>
      </c>
      <c r="C18" s="47" t="s">
        <v>48</v>
      </c>
      <c r="D18" s="27" t="s">
        <v>49</v>
      </c>
      <c r="E18" s="48">
        <v>16000000</v>
      </c>
      <c r="F18" s="49">
        <f>ROUNDUP(E18*123.1/120.7,-3)+25000</f>
        <v>16344000</v>
      </c>
      <c r="G18" s="50">
        <v>221637001</v>
      </c>
      <c r="H18" s="31">
        <f t="shared" si="7"/>
        <v>18370800</v>
      </c>
      <c r="I18" s="51">
        <v>5615000</v>
      </c>
      <c r="J18" s="29">
        <f>ROUNDUP(I18*118.3/116.6,-3)</f>
        <v>5697000</v>
      </c>
      <c r="K18" s="32">
        <v>44511</v>
      </c>
      <c r="L18" s="31">
        <v>21100000</v>
      </c>
      <c r="M18" s="33">
        <f t="shared" si="0"/>
        <v>22252685.185185183</v>
      </c>
      <c r="N18" s="33">
        <f t="shared" ref="N18:N29" si="11">130/113.9*M18</f>
        <v>25398148.148148142</v>
      </c>
      <c r="O18" s="52">
        <v>45534</v>
      </c>
      <c r="P18" s="31">
        <f t="shared" si="9"/>
        <v>5952300</v>
      </c>
      <c r="Q18" s="31">
        <v>6500000</v>
      </c>
      <c r="R18" s="33">
        <f t="shared" si="1"/>
        <v>6857971.0144927539</v>
      </c>
      <c r="S18" s="33">
        <f t="shared" si="10"/>
        <v>7938164.2512077307</v>
      </c>
      <c r="T18" s="33">
        <f t="shared" si="2"/>
        <v>25398148.148148142</v>
      </c>
      <c r="U18" s="33">
        <f t="shared" si="3"/>
        <v>27000185.185185179</v>
      </c>
      <c r="V18" s="33">
        <v>7600000</v>
      </c>
      <c r="W18" s="33">
        <f t="shared" si="4"/>
        <v>7881703.4700315455</v>
      </c>
      <c r="X18" s="34">
        <f t="shared" si="5"/>
        <v>34881888.655216724</v>
      </c>
      <c r="Y18" s="35"/>
      <c r="Z18" s="36" t="s">
        <v>96</v>
      </c>
      <c r="AA18" s="37" t="s">
        <v>91</v>
      </c>
      <c r="AB18" s="37"/>
      <c r="AC18" s="37" t="s">
        <v>93</v>
      </c>
    </row>
    <row r="19" spans="1:30" ht="15.75" thickBot="1" x14ac:dyDescent="0.3">
      <c r="A19" s="6">
        <f>(0.12/1000)*L19</f>
        <v>3023.9999999999995</v>
      </c>
      <c r="B19" s="25">
        <v>8</v>
      </c>
      <c r="C19" s="26" t="s">
        <v>23</v>
      </c>
      <c r="D19" s="27" t="s">
        <v>37</v>
      </c>
      <c r="E19" s="41">
        <v>19000000</v>
      </c>
      <c r="F19" s="39">
        <f>ROUNDUP(E19*125.8/123.1,-3)</f>
        <v>19417000</v>
      </c>
      <c r="G19" s="30">
        <v>219250001</v>
      </c>
      <c r="H19" s="31">
        <f t="shared" si="7"/>
        <v>21824900</v>
      </c>
      <c r="I19" s="29">
        <v>4570000</v>
      </c>
      <c r="J19" s="29">
        <v>4570000</v>
      </c>
      <c r="K19" s="32">
        <v>44403</v>
      </c>
      <c r="L19" s="31">
        <v>25200000</v>
      </c>
      <c r="M19" s="33">
        <f t="shared" si="0"/>
        <v>26576666.666666664</v>
      </c>
      <c r="N19" s="33">
        <f t="shared" si="11"/>
        <v>30333333.333333328</v>
      </c>
      <c r="O19" s="32">
        <v>45630</v>
      </c>
      <c r="P19" s="31">
        <f t="shared" si="9"/>
        <v>4774800</v>
      </c>
      <c r="Q19" s="31">
        <v>5050000</v>
      </c>
      <c r="R19" s="33">
        <f t="shared" si="1"/>
        <v>5328115.9420289854</v>
      </c>
      <c r="S19" s="33">
        <f t="shared" si="10"/>
        <v>6167342.9951690827</v>
      </c>
      <c r="T19" s="33">
        <f t="shared" si="2"/>
        <v>30333333.333333328</v>
      </c>
      <c r="U19" s="33">
        <f t="shared" si="3"/>
        <v>32246666.66666666</v>
      </c>
      <c r="V19" s="33">
        <v>6030000</v>
      </c>
      <c r="W19" s="33">
        <f t="shared" si="4"/>
        <v>6253509.4637223976</v>
      </c>
      <c r="X19" s="34">
        <f t="shared" si="5"/>
        <v>38500176.130389057</v>
      </c>
      <c r="Y19" s="35"/>
      <c r="Z19" s="36" t="s">
        <v>96</v>
      </c>
      <c r="AA19" s="37" t="s">
        <v>91</v>
      </c>
      <c r="AB19" s="37"/>
      <c r="AC19" s="37" t="s">
        <v>93</v>
      </c>
    </row>
    <row r="20" spans="1:30" ht="15.75" thickBot="1" x14ac:dyDescent="0.3">
      <c r="B20" s="25">
        <v>11</v>
      </c>
      <c r="C20" s="26" t="s">
        <v>23</v>
      </c>
      <c r="D20" s="27" t="s">
        <v>40</v>
      </c>
      <c r="E20" s="41">
        <v>12150000</v>
      </c>
      <c r="F20" s="39">
        <v>12150000</v>
      </c>
      <c r="G20" s="39" t="s">
        <v>41</v>
      </c>
      <c r="H20" s="31">
        <f t="shared" si="7"/>
        <v>13656700</v>
      </c>
      <c r="I20" s="29">
        <v>2675000</v>
      </c>
      <c r="J20" s="29">
        <f>ROUNDUP(I20*118.3/116.6,-3)</f>
        <v>2715000</v>
      </c>
      <c r="K20" s="32">
        <v>45532</v>
      </c>
      <c r="L20" s="31">
        <f>H20*1.05</f>
        <v>14339535</v>
      </c>
      <c r="M20" s="33">
        <f t="shared" si="0"/>
        <v>15122898.48611111</v>
      </c>
      <c r="N20" s="33">
        <f t="shared" si="11"/>
        <v>17260551.388888884</v>
      </c>
      <c r="O20" s="32">
        <v>45532</v>
      </c>
      <c r="P20" s="31">
        <f t="shared" si="9"/>
        <v>2836700</v>
      </c>
      <c r="Q20" s="31">
        <v>2790000</v>
      </c>
      <c r="R20" s="33">
        <f t="shared" si="1"/>
        <v>2943652.1739130435</v>
      </c>
      <c r="S20" s="33">
        <f t="shared" si="10"/>
        <v>3407304.3478260874</v>
      </c>
      <c r="T20" s="33">
        <v>17600000</v>
      </c>
      <c r="U20" s="33">
        <f t="shared" si="3"/>
        <v>18710153.846153844</v>
      </c>
      <c r="V20" s="33">
        <v>3100000</v>
      </c>
      <c r="W20" s="33">
        <f t="shared" si="4"/>
        <v>3214905.3627760252</v>
      </c>
      <c r="X20" s="34">
        <f t="shared" si="5"/>
        <v>21925059.20892987</v>
      </c>
      <c r="Y20" s="35"/>
      <c r="Z20" s="37" t="s">
        <v>96</v>
      </c>
      <c r="AA20" s="37" t="s">
        <v>93</v>
      </c>
      <c r="AB20" s="37"/>
      <c r="AC20" s="37" t="s">
        <v>91</v>
      </c>
    </row>
    <row r="21" spans="1:30" ht="15.75" thickBot="1" x14ac:dyDescent="0.3">
      <c r="B21" s="25">
        <v>12</v>
      </c>
      <c r="C21" s="26" t="s">
        <v>23</v>
      </c>
      <c r="D21" s="27" t="s">
        <v>42</v>
      </c>
      <c r="E21" s="41">
        <v>4900000</v>
      </c>
      <c r="F21" s="39">
        <f>ROUNDUP(E21*125.8/123.1,-3)</f>
        <v>5008000</v>
      </c>
      <c r="G21" s="39">
        <v>218393001</v>
      </c>
      <c r="H21" s="31">
        <f t="shared" si="7"/>
        <v>5629100</v>
      </c>
      <c r="I21" s="29">
        <v>1340000</v>
      </c>
      <c r="J21" s="29">
        <v>1340000</v>
      </c>
      <c r="K21" s="32">
        <v>44424</v>
      </c>
      <c r="L21" s="31">
        <v>6520000</v>
      </c>
      <c r="M21" s="33">
        <f t="shared" si="0"/>
        <v>6876185.1851851847</v>
      </c>
      <c r="N21" s="33">
        <f t="shared" si="11"/>
        <v>7848148.1481481465</v>
      </c>
      <c r="O21" s="32">
        <v>45532</v>
      </c>
      <c r="P21" s="31">
        <f t="shared" si="9"/>
        <v>1400100</v>
      </c>
      <c r="Q21" s="31">
        <v>1280000</v>
      </c>
      <c r="R21" s="33">
        <f t="shared" si="1"/>
        <v>1350492.7536231885</v>
      </c>
      <c r="S21" s="33">
        <f t="shared" si="10"/>
        <v>1563207.7294685992</v>
      </c>
      <c r="T21" s="33">
        <f t="shared" ref="T21:T29" si="12">N21</f>
        <v>7848148.1481481465</v>
      </c>
      <c r="U21" s="33">
        <f t="shared" si="3"/>
        <v>8343185.1851851828</v>
      </c>
      <c r="V21" s="33">
        <v>1290000</v>
      </c>
      <c r="W21" s="33">
        <f t="shared" si="4"/>
        <v>1337815.4574132492</v>
      </c>
      <c r="X21" s="34">
        <f t="shared" si="5"/>
        <v>9681000.6425984316</v>
      </c>
      <c r="Y21" s="35"/>
      <c r="Z21" s="37" t="s">
        <v>96</v>
      </c>
      <c r="AA21" s="37" t="s">
        <v>91</v>
      </c>
      <c r="AB21" s="37"/>
      <c r="AC21" s="37" t="s">
        <v>93</v>
      </c>
    </row>
    <row r="22" spans="1:30" ht="15.75" thickBot="1" x14ac:dyDescent="0.3">
      <c r="B22" s="25">
        <v>20</v>
      </c>
      <c r="C22" s="53" t="s">
        <v>23</v>
      </c>
      <c r="D22" s="42" t="s">
        <v>56</v>
      </c>
      <c r="E22" s="41"/>
      <c r="F22" s="39"/>
      <c r="G22" s="50"/>
      <c r="H22" s="31">
        <f t="shared" si="7"/>
        <v>0</v>
      </c>
      <c r="I22" s="54">
        <v>1015000</v>
      </c>
      <c r="J22" s="54">
        <f>ROUNDUP(I22*118.3/116.6,-3)</f>
        <v>1030000</v>
      </c>
      <c r="K22" s="55"/>
      <c r="L22" s="31">
        <f>H22*1.05</f>
        <v>0</v>
      </c>
      <c r="M22" s="33">
        <f t="shared" si="0"/>
        <v>0</v>
      </c>
      <c r="N22" s="33">
        <f t="shared" si="11"/>
        <v>0</v>
      </c>
      <c r="O22" s="32">
        <v>45631</v>
      </c>
      <c r="P22" s="31">
        <f t="shared" si="9"/>
        <v>1076200</v>
      </c>
      <c r="Q22" s="31">
        <v>1090000</v>
      </c>
      <c r="R22" s="33">
        <f t="shared" si="1"/>
        <v>1150028.9855072463</v>
      </c>
      <c r="S22" s="33">
        <f t="shared" si="10"/>
        <v>1331169.0821256039</v>
      </c>
      <c r="T22" s="33">
        <f t="shared" si="12"/>
        <v>0</v>
      </c>
      <c r="U22" s="33">
        <f t="shared" si="3"/>
        <v>0</v>
      </c>
      <c r="V22" s="33">
        <v>1360000</v>
      </c>
      <c r="W22" s="33">
        <f t="shared" si="4"/>
        <v>1410410.094637224</v>
      </c>
      <c r="X22" s="34">
        <f t="shared" si="5"/>
        <v>1410410.094637224</v>
      </c>
      <c r="Y22" s="35"/>
      <c r="Z22" s="37" t="s">
        <v>94</v>
      </c>
      <c r="AA22" s="37" t="s">
        <v>94</v>
      </c>
      <c r="AB22" s="37"/>
      <c r="AC22" s="37" t="s">
        <v>93</v>
      </c>
    </row>
    <row r="23" spans="1:30" ht="15.75" thickBot="1" x14ac:dyDescent="0.3">
      <c r="B23" s="25">
        <v>22</v>
      </c>
      <c r="C23" s="53" t="s">
        <v>23</v>
      </c>
      <c r="D23" s="56" t="s">
        <v>57</v>
      </c>
      <c r="E23" s="57"/>
      <c r="F23" s="49"/>
      <c r="G23" s="41"/>
      <c r="H23" s="31">
        <f t="shared" si="7"/>
        <v>0</v>
      </c>
      <c r="I23" s="51">
        <v>60600</v>
      </c>
      <c r="J23" s="29">
        <v>6060000</v>
      </c>
      <c r="K23" s="51"/>
      <c r="L23" s="31">
        <f>H23*1.05</f>
        <v>0</v>
      </c>
      <c r="M23" s="33">
        <f t="shared" si="0"/>
        <v>0</v>
      </c>
      <c r="N23" s="33">
        <f t="shared" si="11"/>
        <v>0</v>
      </c>
      <c r="O23" s="32"/>
      <c r="P23" s="31">
        <f t="shared" si="9"/>
        <v>6331500</v>
      </c>
      <c r="Q23" s="31">
        <f>P23*1.016/100</f>
        <v>64328.04</v>
      </c>
      <c r="R23" s="33">
        <f t="shared" si="1"/>
        <v>67870.743652173915</v>
      </c>
      <c r="S23" s="33">
        <f t="shared" si="10"/>
        <v>78561.007304347833</v>
      </c>
      <c r="T23" s="33">
        <f t="shared" si="12"/>
        <v>0</v>
      </c>
      <c r="U23" s="33">
        <f t="shared" si="3"/>
        <v>0</v>
      </c>
      <c r="V23" s="33">
        <f>126.8/126.4*S23</f>
        <v>78809.618086956529</v>
      </c>
      <c r="W23" s="33">
        <f t="shared" si="4"/>
        <v>81730.794782608704</v>
      </c>
      <c r="X23" s="34">
        <f t="shared" si="5"/>
        <v>81730.794782608704</v>
      </c>
      <c r="Y23" s="58"/>
      <c r="Z23" s="37" t="s">
        <v>94</v>
      </c>
      <c r="AA23" s="37" t="s">
        <v>94</v>
      </c>
      <c r="AB23" s="37"/>
      <c r="AC23" s="37"/>
      <c r="AD23" s="2" t="s">
        <v>106</v>
      </c>
    </row>
    <row r="24" spans="1:30" ht="15.75" thickBot="1" x14ac:dyDescent="0.3">
      <c r="B24" s="25">
        <v>23</v>
      </c>
      <c r="C24" s="53" t="s">
        <v>23</v>
      </c>
      <c r="D24" s="42" t="s">
        <v>58</v>
      </c>
      <c r="E24" s="57"/>
      <c r="F24" s="49"/>
      <c r="G24" s="50"/>
      <c r="H24" s="31">
        <f t="shared" si="7"/>
        <v>0</v>
      </c>
      <c r="I24" s="54">
        <v>70000</v>
      </c>
      <c r="J24" s="49">
        <f>ROUNDUP(I24*118.3/116.6,-3)</f>
        <v>72000</v>
      </c>
      <c r="K24" s="54"/>
      <c r="L24" s="31">
        <f>H24*1.05</f>
        <v>0</v>
      </c>
      <c r="M24" s="33">
        <f t="shared" si="0"/>
        <v>0</v>
      </c>
      <c r="N24" s="33">
        <f t="shared" si="11"/>
        <v>0</v>
      </c>
      <c r="O24" s="52"/>
      <c r="P24" s="31">
        <f t="shared" si="9"/>
        <v>75300</v>
      </c>
      <c r="Q24" s="31">
        <f>P24*1.016</f>
        <v>76504.800000000003</v>
      </c>
      <c r="R24" s="33">
        <f t="shared" si="1"/>
        <v>80718.107826086954</v>
      </c>
      <c r="S24" s="33">
        <f t="shared" si="10"/>
        <v>93431.948985507246</v>
      </c>
      <c r="T24" s="33">
        <f t="shared" si="12"/>
        <v>0</v>
      </c>
      <c r="U24" s="33">
        <f t="shared" si="3"/>
        <v>0</v>
      </c>
      <c r="V24" s="33">
        <f>126.8/126.4*S24</f>
        <v>93727.619710144936</v>
      </c>
      <c r="W24" s="33">
        <f t="shared" si="4"/>
        <v>97201.750724637692</v>
      </c>
      <c r="X24" s="34">
        <f t="shared" si="5"/>
        <v>97201.750724637692</v>
      </c>
      <c r="Y24" s="35"/>
      <c r="Z24" s="37" t="s">
        <v>94</v>
      </c>
      <c r="AA24" s="37" t="s">
        <v>94</v>
      </c>
      <c r="AB24" s="37"/>
      <c r="AC24" s="37"/>
      <c r="AD24" s="2" t="s">
        <v>106</v>
      </c>
    </row>
    <row r="25" spans="1:30" ht="15.75" thickBot="1" x14ac:dyDescent="0.3">
      <c r="B25" s="25">
        <v>24</v>
      </c>
      <c r="C25" s="53" t="s">
        <v>23</v>
      </c>
      <c r="D25" s="42" t="s">
        <v>59</v>
      </c>
      <c r="E25" s="59"/>
      <c r="F25" s="60"/>
      <c r="G25" s="61"/>
      <c r="H25" s="31">
        <f t="shared" si="7"/>
        <v>0</v>
      </c>
      <c r="I25" s="54">
        <v>755000</v>
      </c>
      <c r="J25" s="49"/>
      <c r="K25" s="53"/>
      <c r="L25" s="31">
        <f>H25*1.05</f>
        <v>0</v>
      </c>
      <c r="M25" s="33">
        <f t="shared" si="0"/>
        <v>0</v>
      </c>
      <c r="N25" s="33">
        <f t="shared" si="11"/>
        <v>0</v>
      </c>
      <c r="O25" s="52"/>
      <c r="P25" s="31">
        <f t="shared" si="9"/>
        <v>0</v>
      </c>
      <c r="Q25" s="31">
        <v>814222.4</v>
      </c>
      <c r="R25" s="33">
        <f t="shared" si="1"/>
        <v>859063.63362318836</v>
      </c>
      <c r="S25" s="33">
        <f t="shared" si="10"/>
        <v>994374.02280193241</v>
      </c>
      <c r="T25" s="33">
        <f t="shared" si="12"/>
        <v>0</v>
      </c>
      <c r="U25" s="33">
        <f t="shared" si="3"/>
        <v>0</v>
      </c>
      <c r="V25" s="33">
        <f>126.8/126.4*S25</f>
        <v>997520.7760386474</v>
      </c>
      <c r="W25" s="33">
        <f t="shared" si="4"/>
        <v>1034495.1265700484</v>
      </c>
      <c r="X25" s="34">
        <f t="shared" si="5"/>
        <v>1034495.1265700484</v>
      </c>
      <c r="Y25" s="58"/>
      <c r="Z25" s="37" t="s">
        <v>94</v>
      </c>
      <c r="AA25" s="37" t="s">
        <v>94</v>
      </c>
      <c r="AB25" s="37"/>
      <c r="AC25" s="37"/>
      <c r="AD25" s="2" t="s">
        <v>106</v>
      </c>
    </row>
    <row r="26" spans="1:30" ht="15.75" thickBot="1" x14ac:dyDescent="0.3">
      <c r="B26" s="25">
        <v>25</v>
      </c>
      <c r="C26" s="53" t="s">
        <v>23</v>
      </c>
      <c r="D26" s="42" t="s">
        <v>60</v>
      </c>
      <c r="E26" s="59"/>
      <c r="F26" s="60"/>
      <c r="G26" s="61"/>
      <c r="H26" s="31">
        <f t="shared" si="7"/>
        <v>0</v>
      </c>
      <c r="I26" s="54">
        <v>755000</v>
      </c>
      <c r="J26" s="49">
        <f>ROUNDUP(I26*118.3/116.6,-3)</f>
        <v>767000</v>
      </c>
      <c r="K26" s="53"/>
      <c r="L26" s="31">
        <f>H26*1.05</f>
        <v>0</v>
      </c>
      <c r="M26" s="33">
        <f t="shared" si="0"/>
        <v>0</v>
      </c>
      <c r="N26" s="33">
        <f t="shared" si="11"/>
        <v>0</v>
      </c>
      <c r="O26" s="52"/>
      <c r="P26" s="31">
        <f t="shared" si="9"/>
        <v>801400</v>
      </c>
      <c r="Q26" s="31">
        <f>P26*1.016</f>
        <v>814222.4</v>
      </c>
      <c r="R26" s="33">
        <f t="shared" si="1"/>
        <v>859063.63362318836</v>
      </c>
      <c r="S26" s="33">
        <f t="shared" si="10"/>
        <v>994374.02280193241</v>
      </c>
      <c r="T26" s="33">
        <f t="shared" si="12"/>
        <v>0</v>
      </c>
      <c r="U26" s="33">
        <f t="shared" si="3"/>
        <v>0</v>
      </c>
      <c r="V26" s="33">
        <f>126.8/126.4*S26</f>
        <v>997520.7760386474</v>
      </c>
      <c r="W26" s="33">
        <f t="shared" si="4"/>
        <v>1034495.1265700484</v>
      </c>
      <c r="X26" s="34">
        <f t="shared" si="5"/>
        <v>1034495.1265700484</v>
      </c>
      <c r="Y26" s="58"/>
      <c r="Z26" s="37" t="s">
        <v>94</v>
      </c>
      <c r="AA26" s="37" t="s">
        <v>94</v>
      </c>
      <c r="AB26" s="37"/>
      <c r="AC26" s="37"/>
      <c r="AD26" s="2" t="s">
        <v>106</v>
      </c>
    </row>
    <row r="27" spans="1:30" ht="15.75" thickBot="1" x14ac:dyDescent="0.3">
      <c r="B27" s="25">
        <v>7</v>
      </c>
      <c r="C27" s="47" t="s">
        <v>23</v>
      </c>
      <c r="D27" s="42" t="s">
        <v>36</v>
      </c>
      <c r="E27" s="62">
        <v>4700000</v>
      </c>
      <c r="F27" s="63">
        <f>ROUNDUP(E27*123.1/120.7,-3)</f>
        <v>4794000</v>
      </c>
      <c r="G27" s="64">
        <v>218392001</v>
      </c>
      <c r="H27" s="31">
        <f t="shared" si="7"/>
        <v>5388500</v>
      </c>
      <c r="I27" s="51">
        <v>530000</v>
      </c>
      <c r="J27" s="49">
        <v>530000</v>
      </c>
      <c r="K27" s="52">
        <v>44406</v>
      </c>
      <c r="L27" s="31">
        <v>7100000</v>
      </c>
      <c r="M27" s="33">
        <f t="shared" si="0"/>
        <v>7487870.3703703703</v>
      </c>
      <c r="N27" s="33">
        <f t="shared" si="11"/>
        <v>8546296.2962962948</v>
      </c>
      <c r="O27" s="52">
        <v>45630</v>
      </c>
      <c r="P27" s="31">
        <f t="shared" si="9"/>
        <v>553800</v>
      </c>
      <c r="Q27" s="31">
        <v>615000</v>
      </c>
      <c r="R27" s="33">
        <f t="shared" si="1"/>
        <v>648869.56521739124</v>
      </c>
      <c r="S27" s="33">
        <f t="shared" si="10"/>
        <v>751072.46376811597</v>
      </c>
      <c r="T27" s="33">
        <f t="shared" si="12"/>
        <v>8546296.2962962948</v>
      </c>
      <c r="U27" s="33">
        <f t="shared" si="3"/>
        <v>9085370.3703703675</v>
      </c>
      <c r="V27" s="33">
        <v>800000</v>
      </c>
      <c r="W27" s="33">
        <f t="shared" si="4"/>
        <v>829652.99684542581</v>
      </c>
      <c r="X27" s="34">
        <f t="shared" si="5"/>
        <v>9915023.3672157936</v>
      </c>
      <c r="Y27" s="58"/>
      <c r="Z27" s="37" t="s">
        <v>101</v>
      </c>
      <c r="AA27" s="37" t="s">
        <v>93</v>
      </c>
      <c r="AB27" s="37"/>
      <c r="AC27" s="37" t="s">
        <v>91</v>
      </c>
    </row>
    <row r="28" spans="1:30" ht="25.5" thickBot="1" x14ac:dyDescent="0.3">
      <c r="B28" s="25">
        <v>27</v>
      </c>
      <c r="C28" s="47" t="s">
        <v>62</v>
      </c>
      <c r="D28" s="42" t="s">
        <v>63</v>
      </c>
      <c r="E28" s="48"/>
      <c r="F28" s="65"/>
      <c r="G28" s="50"/>
      <c r="H28" s="31">
        <f t="shared" si="7"/>
        <v>0</v>
      </c>
      <c r="I28" s="51">
        <v>125000</v>
      </c>
      <c r="J28" s="49">
        <f>ROUNDUP(I28*118.3/116.6,-3)</f>
        <v>127000</v>
      </c>
      <c r="K28" s="54"/>
      <c r="L28" s="31">
        <f>H28*1.05</f>
        <v>0</v>
      </c>
      <c r="M28" s="33">
        <f t="shared" si="0"/>
        <v>0</v>
      </c>
      <c r="N28" s="33">
        <f t="shared" si="11"/>
        <v>0</v>
      </c>
      <c r="O28" s="52"/>
      <c r="P28" s="31">
        <f t="shared" si="9"/>
        <v>132700</v>
      </c>
      <c r="Q28" s="31">
        <f>P28*1.016</f>
        <v>134823.20000000001</v>
      </c>
      <c r="R28" s="33">
        <f t="shared" si="1"/>
        <v>142248.24579710147</v>
      </c>
      <c r="S28" s="33">
        <f t="shared" si="10"/>
        <v>164653.6471497585</v>
      </c>
      <c r="T28" s="33">
        <f t="shared" si="12"/>
        <v>0</v>
      </c>
      <c r="U28" s="33">
        <f t="shared" si="3"/>
        <v>0</v>
      </c>
      <c r="V28" s="33">
        <f>126.8/126.4*S28</f>
        <v>165174.70299516912</v>
      </c>
      <c r="W28" s="33">
        <f t="shared" si="4"/>
        <v>171297.10917874399</v>
      </c>
      <c r="X28" s="34">
        <f t="shared" si="5"/>
        <v>171297.10917874399</v>
      </c>
      <c r="Y28" s="58"/>
      <c r="Z28" s="37" t="s">
        <v>94</v>
      </c>
      <c r="AA28" s="37" t="s">
        <v>94</v>
      </c>
      <c r="AB28" s="37"/>
      <c r="AC28" s="37"/>
      <c r="AD28" s="2" t="s">
        <v>106</v>
      </c>
    </row>
    <row r="29" spans="1:30" ht="15.75" thickBot="1" x14ac:dyDescent="0.3">
      <c r="B29" s="25">
        <v>28</v>
      </c>
      <c r="C29" s="47" t="s">
        <v>64</v>
      </c>
      <c r="D29" s="42" t="s">
        <v>65</v>
      </c>
      <c r="E29" s="66"/>
      <c r="F29" s="67"/>
      <c r="G29" s="61"/>
      <c r="H29" s="31">
        <f t="shared" si="7"/>
        <v>0</v>
      </c>
      <c r="I29" s="51">
        <v>1600000</v>
      </c>
      <c r="J29" s="49">
        <f>ROUNDUP(I29*118.3/116.6,-3)</f>
        <v>1624000</v>
      </c>
      <c r="K29" s="68"/>
      <c r="L29" s="31">
        <f>H29*1.05</f>
        <v>0</v>
      </c>
      <c r="M29" s="33">
        <f t="shared" si="0"/>
        <v>0</v>
      </c>
      <c r="N29" s="33">
        <f t="shared" si="11"/>
        <v>0</v>
      </c>
      <c r="O29" s="52">
        <v>45562</v>
      </c>
      <c r="P29" s="31">
        <f t="shared" si="9"/>
        <v>1696800</v>
      </c>
      <c r="Q29" s="31">
        <f>550000+475000</f>
        <v>1025000</v>
      </c>
      <c r="R29" s="33">
        <f t="shared" si="1"/>
        <v>1081449.2753623188</v>
      </c>
      <c r="S29" s="33">
        <f t="shared" si="10"/>
        <v>1251787.4396135267</v>
      </c>
      <c r="T29" s="33">
        <f t="shared" si="12"/>
        <v>0</v>
      </c>
      <c r="U29" s="33">
        <f t="shared" si="3"/>
        <v>0</v>
      </c>
      <c r="V29" s="33">
        <v>570000</v>
      </c>
      <c r="W29" s="33">
        <f t="shared" si="4"/>
        <v>591127.76025236596</v>
      </c>
      <c r="X29" s="34">
        <f t="shared" si="5"/>
        <v>591127.76025236596</v>
      </c>
      <c r="Z29" s="37" t="s">
        <v>94</v>
      </c>
      <c r="AA29" s="37" t="s">
        <v>94</v>
      </c>
      <c r="AB29" s="37"/>
      <c r="AC29" s="37"/>
      <c r="AD29" s="2" t="s">
        <v>106</v>
      </c>
    </row>
    <row r="30" spans="1:30" ht="15.75" thickBot="1" x14ac:dyDescent="0.3">
      <c r="B30" s="25"/>
      <c r="C30" s="47"/>
      <c r="D30" s="42" t="s">
        <v>66</v>
      </c>
      <c r="E30" s="66"/>
      <c r="F30" s="63"/>
      <c r="G30" s="61"/>
      <c r="H30" s="31"/>
      <c r="I30" s="51"/>
      <c r="J30" s="49"/>
      <c r="K30" s="68"/>
      <c r="L30" s="31"/>
      <c r="M30" s="33"/>
      <c r="N30" s="33"/>
      <c r="O30" s="52">
        <v>45562</v>
      </c>
      <c r="P30" s="31"/>
      <c r="Q30" s="31"/>
      <c r="R30" s="33"/>
      <c r="S30" s="33"/>
      <c r="T30" s="33"/>
      <c r="U30" s="33">
        <f t="shared" si="3"/>
        <v>0</v>
      </c>
      <c r="V30" s="33">
        <v>435000</v>
      </c>
      <c r="W30" s="33">
        <f t="shared" si="4"/>
        <v>451123.8170347003</v>
      </c>
      <c r="X30" s="34">
        <f t="shared" si="5"/>
        <v>451123.8170347003</v>
      </c>
      <c r="Y30" s="58" t="s">
        <v>67</v>
      </c>
      <c r="Z30" s="37" t="s">
        <v>94</v>
      </c>
      <c r="AA30" s="37" t="s">
        <v>94</v>
      </c>
      <c r="AB30" s="37"/>
      <c r="AC30" s="37"/>
      <c r="AD30" s="43" t="s">
        <v>106</v>
      </c>
    </row>
    <row r="31" spans="1:30" ht="15.75" thickBot="1" x14ac:dyDescent="0.3">
      <c r="B31" s="25">
        <v>32</v>
      </c>
      <c r="C31" s="47" t="s">
        <v>68</v>
      </c>
      <c r="D31" s="42" t="s">
        <v>69</v>
      </c>
      <c r="E31" s="47"/>
      <c r="F31" s="69"/>
      <c r="G31" s="61"/>
      <c r="H31" s="31">
        <f>ROUNDUP(F31*141.4/125.8,-2)</f>
        <v>0</v>
      </c>
      <c r="I31" s="51">
        <v>50000</v>
      </c>
      <c r="J31" s="49">
        <f>ROUNDUP(I31*118.3/116.6,-3)</f>
        <v>51000</v>
      </c>
      <c r="K31" s="53"/>
      <c r="L31" s="31">
        <f>H31*1.05</f>
        <v>0</v>
      </c>
      <c r="M31" s="33">
        <f>113.9/108*L31</f>
        <v>0</v>
      </c>
      <c r="N31" s="33">
        <f>130/113.9*M31</f>
        <v>0</v>
      </c>
      <c r="O31" s="52">
        <v>40504</v>
      </c>
      <c r="P31" s="31">
        <f>ROUNDUP(J31*123.6/118.3,-2)</f>
        <v>53300</v>
      </c>
      <c r="Q31" s="31">
        <f>P31*1.016</f>
        <v>54152.800000000003</v>
      </c>
      <c r="R31" s="33">
        <f>109.2/103.5*Q31</f>
        <v>57135.128115942032</v>
      </c>
      <c r="S31" s="33">
        <v>66134</v>
      </c>
      <c r="T31" s="33">
        <f>N31</f>
        <v>0</v>
      </c>
      <c r="U31" s="33">
        <f t="shared" si="3"/>
        <v>0</v>
      </c>
      <c r="V31" s="33">
        <f>126.8/126.4*S31</f>
        <v>66343.284810126584</v>
      </c>
      <c r="W31" s="33">
        <f t="shared" si="4"/>
        <v>68802.381329113923</v>
      </c>
      <c r="X31" s="34">
        <f t="shared" si="5"/>
        <v>68802.381329113923</v>
      </c>
      <c r="Y31" s="58"/>
      <c r="Z31" s="37" t="s">
        <v>94</v>
      </c>
      <c r="AA31" s="37" t="s">
        <v>94</v>
      </c>
      <c r="AB31" s="37"/>
      <c r="AC31" s="37"/>
      <c r="AD31" s="70" t="s">
        <v>106</v>
      </c>
    </row>
    <row r="32" spans="1:30" ht="25.5" thickBot="1" x14ac:dyDescent="0.3">
      <c r="B32" s="25">
        <v>33</v>
      </c>
      <c r="C32" s="53" t="s">
        <v>23</v>
      </c>
      <c r="D32" s="42" t="s">
        <v>70</v>
      </c>
      <c r="E32" s="71"/>
      <c r="F32" s="67"/>
      <c r="G32" s="61"/>
      <c r="H32" s="31">
        <f>ROUNDUP(F32*141.4/125.8,-2)</f>
        <v>0</v>
      </c>
      <c r="I32" s="29">
        <v>980000</v>
      </c>
      <c r="J32" s="29">
        <v>690000</v>
      </c>
      <c r="K32" s="68"/>
      <c r="L32" s="31">
        <f>H32*1.05</f>
        <v>0</v>
      </c>
      <c r="M32" s="33">
        <f>113.9/108*L32</f>
        <v>0</v>
      </c>
      <c r="N32" s="33">
        <f>130/113.9*M32</f>
        <v>0</v>
      </c>
      <c r="O32" s="52">
        <v>45121</v>
      </c>
      <c r="P32" s="31">
        <f>ROUNDUP(J32*123.6/118.3,-2)</f>
        <v>721000</v>
      </c>
      <c r="Q32" s="31">
        <f>P32*1.016</f>
        <v>732536</v>
      </c>
      <c r="R32" s="33">
        <f>109.2/103.5*Q32</f>
        <v>772878.56231884053</v>
      </c>
      <c r="S32" s="33">
        <v>980000</v>
      </c>
      <c r="T32" s="33">
        <f>N32</f>
        <v>0</v>
      </c>
      <c r="U32" s="33">
        <f t="shared" si="3"/>
        <v>0</v>
      </c>
      <c r="V32" s="33">
        <f>126.8/126.4*S32</f>
        <v>983101.26582278486</v>
      </c>
      <c r="W32" s="33">
        <f t="shared" si="4"/>
        <v>1019541.1392405063</v>
      </c>
      <c r="X32" s="34">
        <f t="shared" si="5"/>
        <v>1019541.1392405063</v>
      </c>
      <c r="Y32" s="58"/>
      <c r="Z32" s="37" t="s">
        <v>103</v>
      </c>
      <c r="AA32" s="37" t="s">
        <v>94</v>
      </c>
      <c r="AB32" s="37"/>
      <c r="AC32" s="37" t="s">
        <v>91</v>
      </c>
    </row>
    <row r="33" spans="1:30" ht="29.25" customHeight="1" thickBot="1" x14ac:dyDescent="0.3">
      <c r="B33" s="25">
        <v>26</v>
      </c>
      <c r="C33" s="53" t="s">
        <v>23</v>
      </c>
      <c r="D33" s="42" t="s">
        <v>61</v>
      </c>
      <c r="E33" s="47"/>
      <c r="F33" s="72"/>
      <c r="G33" s="38"/>
      <c r="H33" s="31">
        <f>ROUNDUP(F33*141.4/125.8,-2)</f>
        <v>0</v>
      </c>
      <c r="I33" s="29">
        <v>3025000</v>
      </c>
      <c r="J33" s="29">
        <v>3025000</v>
      </c>
      <c r="K33" s="26"/>
      <c r="L33" s="31">
        <f>H33*1.05</f>
        <v>0</v>
      </c>
      <c r="M33" s="33">
        <f>113.9/108*L33</f>
        <v>0</v>
      </c>
      <c r="N33" s="33">
        <f>130/113.9*M33</f>
        <v>0</v>
      </c>
      <c r="O33" s="52">
        <v>45631</v>
      </c>
      <c r="P33" s="31">
        <f>ROUNDUP(J33*123.6/118.3,-2)</f>
        <v>3160600</v>
      </c>
      <c r="Q33" s="31">
        <v>3500000</v>
      </c>
      <c r="R33" s="33">
        <f>109.2/103.5*Q33</f>
        <v>3692753.6231884058</v>
      </c>
      <c r="S33" s="33">
        <f>126.4/109.2*R33</f>
        <v>4274396.1352657005</v>
      </c>
      <c r="T33" s="33">
        <f>N33</f>
        <v>0</v>
      </c>
      <c r="U33" s="33">
        <f t="shared" si="3"/>
        <v>0</v>
      </c>
      <c r="V33" s="33">
        <v>3970000</v>
      </c>
      <c r="W33" s="33">
        <f t="shared" si="4"/>
        <v>4117152.996845426</v>
      </c>
      <c r="X33" s="34">
        <f t="shared" si="5"/>
        <v>4117152.996845426</v>
      </c>
      <c r="Y33" s="58"/>
      <c r="Z33" s="37" t="s">
        <v>104</v>
      </c>
      <c r="AA33" s="37" t="s">
        <v>94</v>
      </c>
      <c r="AB33" s="37"/>
      <c r="AC33" s="37"/>
      <c r="AD33" s="2" t="s">
        <v>106</v>
      </c>
    </row>
    <row r="34" spans="1:30" ht="15.75" thickBot="1" x14ac:dyDescent="0.3">
      <c r="B34" s="25">
        <v>35</v>
      </c>
      <c r="C34" s="53" t="s">
        <v>48</v>
      </c>
      <c r="D34" s="42" t="s">
        <v>72</v>
      </c>
      <c r="E34" s="48"/>
      <c r="F34" s="29"/>
      <c r="G34" s="73"/>
      <c r="H34" s="31">
        <f>ROUNDUP(F34*141.4/125.8,-2)</f>
        <v>0</v>
      </c>
      <c r="I34" s="51">
        <v>50000</v>
      </c>
      <c r="J34" s="29">
        <f>ROUNDUP(I34*118.3/116.6,-3)</f>
        <v>51000</v>
      </c>
      <c r="K34" s="51"/>
      <c r="L34" s="31">
        <f>H34*1.05</f>
        <v>0</v>
      </c>
      <c r="M34" s="33">
        <f>113.9/108*L34</f>
        <v>0</v>
      </c>
      <c r="N34" s="33">
        <f>130/113.9*M34</f>
        <v>0</v>
      </c>
      <c r="O34" s="52"/>
      <c r="P34" s="31">
        <f>ROUNDUP(J34*123.6/118.3,-2)</f>
        <v>53300</v>
      </c>
      <c r="Q34" s="31">
        <f>P34*1.016</f>
        <v>54152.800000000003</v>
      </c>
      <c r="R34" s="33">
        <f>109.2/103.5*Q34</f>
        <v>57135.128115942032</v>
      </c>
      <c r="S34" s="33">
        <f>126.4/109.2*R34</f>
        <v>66134.43400966184</v>
      </c>
      <c r="T34" s="33">
        <f>N34</f>
        <v>0</v>
      </c>
      <c r="U34" s="33">
        <f t="shared" si="3"/>
        <v>0</v>
      </c>
      <c r="V34" s="33">
        <f>126.8/126.4*S34</f>
        <v>66343.720193236717</v>
      </c>
      <c r="W34" s="33">
        <f t="shared" si="4"/>
        <v>68802.832850241553</v>
      </c>
      <c r="X34" s="34">
        <f t="shared" si="5"/>
        <v>68802.832850241553</v>
      </c>
      <c r="Y34" s="58"/>
      <c r="Z34" s="37" t="s">
        <v>94</v>
      </c>
      <c r="AA34" s="37" t="s">
        <v>94</v>
      </c>
      <c r="AB34" s="37"/>
      <c r="AC34" s="37"/>
      <c r="AD34" s="2" t="s">
        <v>106</v>
      </c>
    </row>
    <row r="35" spans="1:30" ht="24.75" thickBot="1" x14ac:dyDescent="0.3">
      <c r="B35" s="25">
        <v>36</v>
      </c>
      <c r="C35" s="53" t="s">
        <v>23</v>
      </c>
      <c r="D35" s="42" t="s">
        <v>73</v>
      </c>
      <c r="E35" s="28"/>
      <c r="F35" s="29"/>
      <c r="G35" s="73"/>
      <c r="H35" s="31">
        <v>350000</v>
      </c>
      <c r="I35" s="51"/>
      <c r="J35" s="29"/>
      <c r="K35" s="51"/>
      <c r="L35" s="31"/>
      <c r="M35" s="33">
        <f>113.9/108*L35</f>
        <v>0</v>
      </c>
      <c r="N35" s="33">
        <f>130/113.9*M35</f>
        <v>0</v>
      </c>
      <c r="O35" s="52">
        <v>45119</v>
      </c>
      <c r="P35" s="31"/>
      <c r="Q35" s="31">
        <f>760000+4000</f>
        <v>764000</v>
      </c>
      <c r="R35" s="33">
        <f>109.2/103.5*Q35</f>
        <v>806075.36231884058</v>
      </c>
      <c r="S35" s="33">
        <v>960000</v>
      </c>
      <c r="T35" s="33">
        <f>N35</f>
        <v>0</v>
      </c>
      <c r="U35" s="33">
        <f t="shared" si="3"/>
        <v>0</v>
      </c>
      <c r="V35" s="33">
        <f>126.8/126.4*S35</f>
        <v>963037.97468354437</v>
      </c>
      <c r="W35" s="33">
        <f t="shared" si="4"/>
        <v>998734.17721518991</v>
      </c>
      <c r="X35" s="34">
        <f t="shared" si="5"/>
        <v>998734.17721518991</v>
      </c>
      <c r="Y35" s="58" t="s">
        <v>74</v>
      </c>
      <c r="Z35" s="37" t="s">
        <v>102</v>
      </c>
      <c r="AA35" s="37" t="s">
        <v>93</v>
      </c>
      <c r="AB35" s="37"/>
      <c r="AC35" s="37"/>
      <c r="AD35" s="43" t="s">
        <v>106</v>
      </c>
    </row>
    <row r="36" spans="1:30" ht="33.6" customHeight="1" thickBot="1" x14ac:dyDescent="0.3">
      <c r="B36" s="25">
        <v>42</v>
      </c>
      <c r="C36" s="74" t="s">
        <v>75</v>
      </c>
      <c r="D36" s="42" t="s">
        <v>76</v>
      </c>
      <c r="E36" s="48"/>
      <c r="F36" s="29"/>
      <c r="G36" s="73"/>
      <c r="H36" s="31"/>
      <c r="I36" s="51"/>
      <c r="J36" s="29"/>
      <c r="K36" s="75"/>
      <c r="L36" s="31"/>
      <c r="M36" s="31"/>
      <c r="N36" s="33">
        <f t="shared" ref="N36" si="13">130/113.9*M36</f>
        <v>0</v>
      </c>
      <c r="O36" s="52"/>
      <c r="P36" s="31"/>
      <c r="Q36" s="31"/>
      <c r="R36" s="33">
        <v>200000</v>
      </c>
      <c r="S36" s="33">
        <f t="shared" ref="S36" si="14">126.4/109.2*R36</f>
        <v>231501.83150183153</v>
      </c>
      <c r="T36" s="33">
        <f t="shared" ref="T36" si="15">N36</f>
        <v>0</v>
      </c>
      <c r="U36" s="33">
        <f t="shared" si="3"/>
        <v>0</v>
      </c>
      <c r="V36" s="33">
        <f t="shared" ref="V36" si="16">126.8/126.4*S36</f>
        <v>232234.43223443226</v>
      </c>
      <c r="W36" s="33">
        <f t="shared" si="4"/>
        <v>240842.49084249086</v>
      </c>
      <c r="X36" s="34">
        <f t="shared" si="5"/>
        <v>240842.49084249086</v>
      </c>
      <c r="Y36" s="58" t="s">
        <v>77</v>
      </c>
    </row>
    <row r="37" spans="1:30" ht="33.6" customHeight="1" thickBot="1" x14ac:dyDescent="0.3">
      <c r="B37" s="76"/>
      <c r="C37" s="74" t="s">
        <v>82</v>
      </c>
      <c r="D37" s="42" t="s">
        <v>83</v>
      </c>
      <c r="E37" s="48"/>
      <c r="F37" s="29"/>
      <c r="G37" s="73"/>
      <c r="H37" s="31"/>
      <c r="I37" s="51"/>
      <c r="J37" s="28"/>
      <c r="K37" s="75"/>
      <c r="L37" s="31"/>
      <c r="M37" s="31"/>
      <c r="N37" s="33"/>
      <c r="O37" s="52"/>
      <c r="P37" s="31"/>
      <c r="Q37" s="31"/>
      <c r="R37" s="33"/>
      <c r="S37" s="33"/>
      <c r="T37" s="33"/>
      <c r="U37" s="33">
        <f t="shared" si="3"/>
        <v>0</v>
      </c>
      <c r="V37" s="33">
        <f>172000+2500+50000+10500+42500+20000</f>
        <v>297500</v>
      </c>
      <c r="W37" s="33">
        <f t="shared" si="4"/>
        <v>308527.20820189273</v>
      </c>
      <c r="X37" s="34">
        <f t="shared" si="5"/>
        <v>308527.20820189273</v>
      </c>
      <c r="Y37" s="58" t="s">
        <v>84</v>
      </c>
    </row>
    <row r="38" spans="1:30" ht="33.6" customHeight="1" thickBot="1" x14ac:dyDescent="0.3">
      <c r="B38" s="76"/>
      <c r="C38" s="77" t="s">
        <v>23</v>
      </c>
      <c r="D38" s="56" t="s">
        <v>80</v>
      </c>
      <c r="E38" s="48"/>
      <c r="F38" s="29"/>
      <c r="G38" s="73"/>
      <c r="H38" s="31"/>
      <c r="I38" s="51"/>
      <c r="J38" s="28"/>
      <c r="K38" s="78"/>
      <c r="L38" s="31"/>
      <c r="M38" s="31"/>
      <c r="N38" s="33"/>
      <c r="O38" s="52"/>
      <c r="P38" s="31"/>
      <c r="Q38" s="31"/>
      <c r="R38" s="33"/>
      <c r="S38" s="33"/>
      <c r="T38" s="33"/>
      <c r="U38" s="33">
        <f t="shared" si="3"/>
        <v>0</v>
      </c>
      <c r="V38" s="33">
        <f>100000+100000+500000+100000+50000+50000</f>
        <v>900000</v>
      </c>
      <c r="W38" s="33">
        <f t="shared" si="4"/>
        <v>933359.62145110406</v>
      </c>
      <c r="X38" s="34">
        <f t="shared" si="5"/>
        <v>933359.62145110406</v>
      </c>
      <c r="Y38" s="58" t="s">
        <v>81</v>
      </c>
    </row>
    <row r="39" spans="1:30" ht="15.75" thickBot="1" x14ac:dyDescent="0.3">
      <c r="B39" s="37"/>
      <c r="C39" s="79" t="s">
        <v>21</v>
      </c>
      <c r="D39" s="80"/>
      <c r="E39" s="81">
        <f>SUM(E7:E34)</f>
        <v>179884000</v>
      </c>
      <c r="F39" s="82">
        <f>SUM(F7:F34)</f>
        <v>183304000</v>
      </c>
      <c r="G39" s="83"/>
      <c r="H39" s="84">
        <f>SUM(H7:H35)</f>
        <v>204316000</v>
      </c>
      <c r="I39" s="85">
        <f>SUM(I7:I35)</f>
        <v>59065600</v>
      </c>
      <c r="J39" s="85">
        <f>SUM(J7:J35)</f>
        <v>63978000</v>
      </c>
      <c r="K39" s="86"/>
      <c r="L39" s="87">
        <f>SUM(L7:L35)</f>
        <v>227175595</v>
      </c>
      <c r="M39" s="88">
        <f>SUM(M7:M35)</f>
        <v>239586113.61574072</v>
      </c>
      <c r="N39" s="88">
        <f>SUM(N7:N36)</f>
        <v>271986902.31481475</v>
      </c>
      <c r="O39" s="68"/>
      <c r="P39" s="31">
        <f>SUM(P7:P35)</f>
        <v>67106200</v>
      </c>
      <c r="Q39" s="31">
        <f>SUM(Q7:Q35)</f>
        <v>63033942.43999999</v>
      </c>
      <c r="R39" s="88">
        <f>SUM(R7:R36)</f>
        <v>66705376.95118843</v>
      </c>
      <c r="S39" s="88">
        <f>SUM(S7:S36)</f>
        <v>75861300.180255443</v>
      </c>
      <c r="T39" s="88">
        <f>SUM(T7:T36)</f>
        <v>272326350.92592585</v>
      </c>
      <c r="U39" s="88">
        <f>SUM(U7:U38)</f>
        <v>289503859.21509969</v>
      </c>
      <c r="V39" s="88">
        <f>SUM(V7:V38)</f>
        <v>71081357.893477991</v>
      </c>
      <c r="W39" s="88">
        <f>SUM(W7:W38)</f>
        <v>73716076.995207876</v>
      </c>
      <c r="X39" s="89">
        <f>U39+W39</f>
        <v>363219936.2103076</v>
      </c>
      <c r="Y39" s="90"/>
    </row>
    <row r="40" spans="1:30" ht="15.75" thickBot="1" x14ac:dyDescent="0.3">
      <c r="A40" s="6">
        <f>SUM(A7:A39)</f>
        <v>12764.481599999999</v>
      </c>
      <c r="D40" s="12" t="s">
        <v>78</v>
      </c>
      <c r="H40" s="91"/>
      <c r="J40" s="7"/>
      <c r="L40" s="8"/>
      <c r="M40" s="8"/>
      <c r="N40" s="8"/>
      <c r="O40" s="6"/>
      <c r="P40" s="6"/>
      <c r="Q40" s="6"/>
      <c r="R40" s="6"/>
      <c r="S40" s="6"/>
      <c r="T40" s="6"/>
      <c r="U40" s="6"/>
      <c r="V40" s="6"/>
      <c r="W40" s="6"/>
      <c r="X40" s="92">
        <v>21000000</v>
      </c>
      <c r="Y40" s="10"/>
    </row>
    <row r="41" spans="1:30" ht="15.75" thickBot="1" x14ac:dyDescent="0.3">
      <c r="A41" s="6">
        <f>A40*1.21</f>
        <v>15445.022735999999</v>
      </c>
      <c r="B41" s="93"/>
      <c r="D41" s="12" t="s">
        <v>79</v>
      </c>
      <c r="H41" s="6"/>
      <c r="J41" s="7"/>
      <c r="L41" s="8"/>
      <c r="M41" s="8"/>
      <c r="N41" s="8"/>
      <c r="P41" s="6"/>
      <c r="Q41" s="6"/>
      <c r="R41" s="6"/>
      <c r="S41" s="6"/>
      <c r="T41" s="6"/>
      <c r="U41" s="6"/>
      <c r="V41" s="6"/>
      <c r="W41" s="6"/>
      <c r="X41" s="94">
        <f>SUM(X39:X40)</f>
        <v>384219936.2103076</v>
      </c>
      <c r="Y41" s="10"/>
    </row>
    <row r="42" spans="1:30" x14ac:dyDescent="0.25">
      <c r="B42" s="7"/>
      <c r="D42" s="12"/>
      <c r="H42" s="6"/>
      <c r="J42" s="7"/>
      <c r="L42" s="8"/>
      <c r="M42" s="8"/>
      <c r="N42" s="8"/>
      <c r="P42" s="6"/>
      <c r="Q42" s="6"/>
      <c r="R42" s="6"/>
      <c r="S42" s="6"/>
      <c r="T42" s="6"/>
      <c r="U42" s="6"/>
      <c r="V42" s="6"/>
      <c r="W42" s="6"/>
      <c r="Y42" s="10"/>
    </row>
    <row r="43" spans="1:30" x14ac:dyDescent="0.25">
      <c r="B43" s="95"/>
      <c r="D43" s="96"/>
      <c r="H43" s="6"/>
      <c r="J43" s="7"/>
      <c r="L43" s="8"/>
      <c r="M43" s="8"/>
      <c r="N43" s="8"/>
      <c r="P43" s="6"/>
      <c r="Q43" s="6"/>
      <c r="R43" s="6"/>
      <c r="S43" s="6"/>
      <c r="T43" s="6"/>
      <c r="U43" s="6"/>
      <c r="V43" s="6"/>
      <c r="W43" s="6"/>
      <c r="Y43" s="10"/>
    </row>
    <row r="44" spans="1:30" x14ac:dyDescent="0.25">
      <c r="B44" s="97"/>
      <c r="H44" s="6"/>
      <c r="J44" s="7"/>
      <c r="L44" s="8"/>
      <c r="M44" s="8"/>
      <c r="N44" s="8"/>
      <c r="P44" s="6"/>
      <c r="Q44" s="6"/>
      <c r="R44" s="6"/>
      <c r="S44" s="6"/>
      <c r="T44" s="6"/>
      <c r="U44" s="6"/>
      <c r="V44" s="6"/>
      <c r="W44" s="6"/>
      <c r="Y44" s="10"/>
    </row>
    <row r="45" spans="1:30" x14ac:dyDescent="0.25">
      <c r="B45" s="95"/>
      <c r="D45" s="96"/>
      <c r="H45" s="6"/>
      <c r="J45" s="7"/>
      <c r="L45" s="8"/>
      <c r="M45" s="8"/>
      <c r="N45" s="8"/>
      <c r="P45" s="6"/>
      <c r="Q45" s="6"/>
      <c r="R45" s="6"/>
      <c r="S45" s="6"/>
      <c r="T45" s="6"/>
      <c r="U45" s="6"/>
      <c r="V45" s="6"/>
      <c r="W45" s="6"/>
      <c r="Y45" s="10"/>
    </row>
    <row r="46" spans="1:30" x14ac:dyDescent="0.25">
      <c r="B46" s="95"/>
      <c r="D46" s="96"/>
      <c r="H46" s="6"/>
      <c r="J46" s="7"/>
      <c r="L46" s="8"/>
      <c r="M46" s="8"/>
      <c r="N46" s="8"/>
      <c r="P46" s="6"/>
      <c r="Q46" s="6"/>
      <c r="R46" s="6"/>
      <c r="S46" s="6"/>
      <c r="T46" s="6"/>
      <c r="U46" s="6"/>
      <c r="V46" s="6"/>
      <c r="W46" s="6"/>
      <c r="Y46" s="10"/>
    </row>
    <row r="47" spans="1:30" x14ac:dyDescent="0.25">
      <c r="D47" s="96"/>
      <c r="G47" s="95"/>
      <c r="H47" s="98"/>
      <c r="J47" s="7"/>
      <c r="L47" s="8"/>
      <c r="M47" s="8"/>
      <c r="N47" s="8"/>
      <c r="P47" s="6"/>
      <c r="Q47" s="6"/>
      <c r="R47" s="6"/>
      <c r="S47" s="6"/>
      <c r="T47" s="6"/>
      <c r="U47" s="6"/>
      <c r="V47" s="6"/>
      <c r="W47" s="6"/>
      <c r="Y47" s="10"/>
    </row>
    <row r="48" spans="1:30" x14ac:dyDescent="0.25">
      <c r="B48" s="95"/>
      <c r="D48" s="12"/>
      <c r="H48" s="6"/>
      <c r="J48" s="7"/>
      <c r="L48" s="8"/>
      <c r="M48" s="8"/>
      <c r="N48" s="8"/>
      <c r="P48" s="6"/>
      <c r="Q48" s="6"/>
      <c r="R48" s="6"/>
      <c r="S48" s="6"/>
      <c r="T48" s="6"/>
      <c r="U48" s="6"/>
      <c r="V48" s="6"/>
      <c r="W48" s="6"/>
      <c r="Y48" s="10"/>
    </row>
    <row r="49" spans="2:25" x14ac:dyDescent="0.25">
      <c r="B49" s="95"/>
      <c r="D49" s="12"/>
      <c r="H49" s="6"/>
      <c r="J49" s="7"/>
      <c r="L49" s="8"/>
      <c r="M49" s="8"/>
      <c r="N49" s="8"/>
      <c r="P49" s="6"/>
      <c r="Q49" s="6"/>
      <c r="R49" s="6"/>
      <c r="S49" s="6"/>
      <c r="T49" s="6"/>
      <c r="U49" s="6"/>
      <c r="V49" s="6"/>
      <c r="W49" s="6"/>
      <c r="Y49" s="10"/>
    </row>
    <row r="50" spans="2:25" x14ac:dyDescent="0.25">
      <c r="D50" s="12"/>
      <c r="H50" s="6"/>
      <c r="J50" s="7"/>
      <c r="L50" s="8"/>
      <c r="M50" s="8"/>
      <c r="N50" s="8"/>
      <c r="P50" s="6"/>
      <c r="Q50" s="6"/>
      <c r="R50" s="6"/>
      <c r="S50" s="6"/>
      <c r="T50" s="6"/>
      <c r="U50" s="6"/>
      <c r="V50" s="6"/>
      <c r="W50" s="6"/>
      <c r="Y50" s="10"/>
    </row>
    <row r="51" spans="2:25" x14ac:dyDescent="0.25">
      <c r="B51" s="95"/>
      <c r="D51" s="12"/>
      <c r="H51" s="6"/>
      <c r="J51" s="7"/>
      <c r="L51" s="8"/>
      <c r="M51" s="8"/>
      <c r="N51" s="8"/>
      <c r="P51" s="6"/>
      <c r="Q51" s="6"/>
      <c r="R51" s="6"/>
      <c r="S51" s="6"/>
      <c r="T51" s="6"/>
      <c r="U51" s="6"/>
      <c r="V51" s="6"/>
      <c r="W51" s="6"/>
      <c r="Y51" s="10"/>
    </row>
  </sheetData>
  <autoFilter ref="B6:AC41">
    <sortState ref="B7:AA36">
      <sortCondition ref="D6:D4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BCB85B8D1614286DC6B7B1DA2CF9E" ma:contentTypeVersion="17" ma:contentTypeDescription="Een nieuw document maken." ma:contentTypeScope="" ma:versionID="b85584b07d42e971c5402a6c7695ac0e">
  <xsd:schema xmlns:xsd="http://www.w3.org/2001/XMLSchema" xmlns:xs="http://www.w3.org/2001/XMLSchema" xmlns:p="http://schemas.microsoft.com/office/2006/metadata/properties" xmlns:ns2="bf385a6f-3a74-47d8-a834-7fe92f75f03b" xmlns:ns3="9c86e04f-89d3-4842-bf6b-65d36f52c296" targetNamespace="http://schemas.microsoft.com/office/2006/metadata/properties" ma:root="true" ma:fieldsID="155cf4388e90fa71004f6df35e48becc" ns2:_="" ns3:_="">
    <xsd:import namespace="bf385a6f-3a74-47d8-a834-7fe92f75f03b"/>
    <xsd:import namespace="9c86e04f-89d3-4842-bf6b-65d36f52c29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85a6f-3a74-47d8-a834-7fe92f75f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637dd9-22f1-4e2b-8f77-2534d4d2c4e6}" ma:internalName="TaxCatchAll" ma:showField="CatchAllData" ma:web="bf385a6f-3a74-47d8-a834-7fe92f75f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6e04f-89d3-4842-bf6b-65d36f52c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c591582-5716-4c7b-ae58-80bd82837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4D03B1-865F-4824-B3C8-1C93CC94D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40B496-A89E-4912-ADBD-03AE24004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85a6f-3a74-47d8-a834-7fe92f75f03b"/>
    <ds:schemaRef ds:uri="9c86e04f-89d3-4842-bf6b-65d36f52c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 </vt:lpstr>
    </vt:vector>
  </TitlesOfParts>
  <Manager/>
  <Company>Nyenborgh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Rozema</dc:creator>
  <cp:keywords/>
  <dc:description/>
  <cp:lastModifiedBy>Menno Rozema</cp:lastModifiedBy>
  <cp:revision/>
  <dcterms:created xsi:type="dcterms:W3CDTF">2024-07-18T13:16:02Z</dcterms:created>
  <dcterms:modified xsi:type="dcterms:W3CDTF">2025-03-05T08:54:04Z</dcterms:modified>
  <cp:category/>
  <cp:contentStatus/>
</cp:coreProperties>
</file>