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bizob.sharepoint.com/sites/2024-GEZ-MUI-00442ASTENUitgebreidegevarenverzekeringUGVbrand/Gedeelde documenten/Algemeen/"/>
    </mc:Choice>
  </mc:AlternateContent>
  <xr:revisionPtr revIDLastSave="0" documentId="8_{8752D93B-5674-4253-B21A-561140F1BA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rand-stormverzekering" sheetId="1" r:id="rId1"/>
    <sheet name="Blad3" sheetId="3" r:id="rId2"/>
    <sheet name="Blad4" sheetId="4" r:id="rId3"/>
  </sheets>
  <definedNames>
    <definedName name="_xlnm._FilterDatabase" localSheetId="0" hidden="1">'Brand-stormverzekering'!$A$3:$AY$88</definedName>
    <definedName name="_xlnm.Print_Area" localSheetId="0">'Brand-stormverzekering'!$A$1:$AH$87</definedName>
    <definedName name="_xlnm.Print_Titles" localSheetId="0">'Brand-stormverzekering'!$1:$4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70" i="1" l="1"/>
  <c r="AT72" i="1"/>
  <c r="AT73" i="1"/>
  <c r="AT83" i="1"/>
  <c r="AT85" i="1"/>
  <c r="AS70" i="1"/>
  <c r="AS72" i="1"/>
  <c r="AS73" i="1"/>
  <c r="AS83" i="1"/>
  <c r="AS85" i="1"/>
  <c r="AQ56" i="1" l="1"/>
  <c r="AS56" i="1" s="1"/>
  <c r="AR81" i="1"/>
  <c r="AT81" i="1" s="1"/>
  <c r="AQ81" i="1"/>
  <c r="AS81" i="1" s="1"/>
  <c r="AR33" i="1"/>
  <c r="AT33" i="1" s="1"/>
  <c r="AR55" i="1"/>
  <c r="AT55" i="1" s="1"/>
  <c r="AR56" i="1"/>
  <c r="AT56" i="1" s="1"/>
  <c r="AR57" i="1"/>
  <c r="AT57" i="1" s="1"/>
  <c r="AR58" i="1"/>
  <c r="AT58" i="1" s="1"/>
  <c r="AQ33" i="1"/>
  <c r="AS33" i="1" s="1"/>
  <c r="AQ55" i="1"/>
  <c r="AS55" i="1" s="1"/>
  <c r="AQ57" i="1"/>
  <c r="AS57" i="1" s="1"/>
  <c r="AQ58" i="1"/>
  <c r="AS58" i="1" s="1"/>
  <c r="AO78" i="1" l="1"/>
  <c r="AR78" i="1" s="1"/>
  <c r="AT78" i="1" s="1"/>
  <c r="AO32" i="1"/>
  <c r="AR32" i="1" s="1"/>
  <c r="AT32" i="1" s="1"/>
  <c r="AN32" i="1"/>
  <c r="AQ32" i="1" s="1"/>
  <c r="AS32" i="1" s="1"/>
  <c r="AN78" i="1"/>
  <c r="AQ78" i="1" s="1"/>
  <c r="AS78" i="1" s="1"/>
  <c r="AM6" i="1" l="1"/>
  <c r="AO6" i="1" s="1"/>
  <c r="AR6" i="1" s="1"/>
  <c r="AT6" i="1" s="1"/>
  <c r="AM7" i="1"/>
  <c r="AO7" i="1" s="1"/>
  <c r="AR7" i="1" s="1"/>
  <c r="AT7" i="1" s="1"/>
  <c r="AM8" i="1"/>
  <c r="AO8" i="1" s="1"/>
  <c r="AR8" i="1" s="1"/>
  <c r="AT8" i="1" s="1"/>
  <c r="AM9" i="1"/>
  <c r="AO9" i="1" s="1"/>
  <c r="AR9" i="1" s="1"/>
  <c r="AT9" i="1" s="1"/>
  <c r="AM10" i="1"/>
  <c r="AO10" i="1" s="1"/>
  <c r="AR10" i="1" s="1"/>
  <c r="AT10" i="1" s="1"/>
  <c r="AM11" i="1"/>
  <c r="AO11" i="1" s="1"/>
  <c r="AR11" i="1" s="1"/>
  <c r="AT11" i="1" s="1"/>
  <c r="AM12" i="1"/>
  <c r="AO12" i="1" s="1"/>
  <c r="AR12" i="1" s="1"/>
  <c r="AT12" i="1" s="1"/>
  <c r="AM13" i="1"/>
  <c r="AO13" i="1" s="1"/>
  <c r="AR13" i="1" s="1"/>
  <c r="AT13" i="1" s="1"/>
  <c r="AM14" i="1"/>
  <c r="AO14" i="1" s="1"/>
  <c r="AR14" i="1" s="1"/>
  <c r="AT14" i="1" s="1"/>
  <c r="AM15" i="1"/>
  <c r="AO15" i="1" s="1"/>
  <c r="AR15" i="1" s="1"/>
  <c r="AT15" i="1" s="1"/>
  <c r="AM16" i="1"/>
  <c r="AO16" i="1" s="1"/>
  <c r="AR16" i="1" s="1"/>
  <c r="AT16" i="1" s="1"/>
  <c r="AM17" i="1"/>
  <c r="AO17" i="1" s="1"/>
  <c r="AR17" i="1" s="1"/>
  <c r="AT17" i="1" s="1"/>
  <c r="AM18" i="1"/>
  <c r="AO18" i="1" s="1"/>
  <c r="AR18" i="1" s="1"/>
  <c r="AT18" i="1" s="1"/>
  <c r="AM19" i="1"/>
  <c r="AO19" i="1" s="1"/>
  <c r="AR19" i="1" s="1"/>
  <c r="AT19" i="1" s="1"/>
  <c r="AM20" i="1"/>
  <c r="AO20" i="1" s="1"/>
  <c r="AR20" i="1" s="1"/>
  <c r="AT20" i="1" s="1"/>
  <c r="AM21" i="1"/>
  <c r="AO21" i="1" s="1"/>
  <c r="AR21" i="1" s="1"/>
  <c r="AT21" i="1" s="1"/>
  <c r="AM22" i="1"/>
  <c r="AO22" i="1" s="1"/>
  <c r="AR22" i="1" s="1"/>
  <c r="AT22" i="1" s="1"/>
  <c r="AM23" i="1"/>
  <c r="AO23" i="1" s="1"/>
  <c r="AR23" i="1" s="1"/>
  <c r="AT23" i="1" s="1"/>
  <c r="AM24" i="1"/>
  <c r="AO24" i="1" s="1"/>
  <c r="AR24" i="1" s="1"/>
  <c r="AT24" i="1" s="1"/>
  <c r="AM25" i="1"/>
  <c r="AO25" i="1" s="1"/>
  <c r="AR25" i="1" s="1"/>
  <c r="AT25" i="1" s="1"/>
  <c r="AM26" i="1"/>
  <c r="AO26" i="1" s="1"/>
  <c r="AR26" i="1" s="1"/>
  <c r="AT26" i="1" s="1"/>
  <c r="AM27" i="1"/>
  <c r="AO27" i="1" s="1"/>
  <c r="AR27" i="1" s="1"/>
  <c r="AT27" i="1" s="1"/>
  <c r="AM28" i="1"/>
  <c r="AO28" i="1" s="1"/>
  <c r="AR28" i="1" s="1"/>
  <c r="AT28" i="1" s="1"/>
  <c r="AM29" i="1"/>
  <c r="AO29" i="1" s="1"/>
  <c r="AR29" i="1" s="1"/>
  <c r="AT29" i="1" s="1"/>
  <c r="AM30" i="1"/>
  <c r="AO30" i="1" s="1"/>
  <c r="AR30" i="1" s="1"/>
  <c r="AT30" i="1" s="1"/>
  <c r="AM31" i="1"/>
  <c r="AO31" i="1" s="1"/>
  <c r="AR31" i="1" s="1"/>
  <c r="AT31" i="1" s="1"/>
  <c r="AM34" i="1"/>
  <c r="AO34" i="1" s="1"/>
  <c r="AR34" i="1" s="1"/>
  <c r="AT34" i="1" s="1"/>
  <c r="AM35" i="1"/>
  <c r="AO35" i="1" s="1"/>
  <c r="AR35" i="1" s="1"/>
  <c r="AT35" i="1" s="1"/>
  <c r="AM36" i="1"/>
  <c r="AO36" i="1" s="1"/>
  <c r="AR36" i="1" s="1"/>
  <c r="AT36" i="1" s="1"/>
  <c r="AM37" i="1"/>
  <c r="AO37" i="1" s="1"/>
  <c r="AR37" i="1" s="1"/>
  <c r="AT37" i="1" s="1"/>
  <c r="AM38" i="1"/>
  <c r="AO38" i="1" s="1"/>
  <c r="AR38" i="1" s="1"/>
  <c r="AT38" i="1" s="1"/>
  <c r="AM39" i="1"/>
  <c r="AO39" i="1" s="1"/>
  <c r="AR39" i="1" s="1"/>
  <c r="AT39" i="1" s="1"/>
  <c r="AM40" i="1"/>
  <c r="AO40" i="1" s="1"/>
  <c r="AR40" i="1" s="1"/>
  <c r="AT40" i="1" s="1"/>
  <c r="AM41" i="1"/>
  <c r="AO41" i="1" s="1"/>
  <c r="AR41" i="1" s="1"/>
  <c r="AT41" i="1" s="1"/>
  <c r="AM42" i="1"/>
  <c r="AO42" i="1" s="1"/>
  <c r="AR42" i="1" s="1"/>
  <c r="AT42" i="1" s="1"/>
  <c r="AM43" i="1"/>
  <c r="AO43" i="1" s="1"/>
  <c r="AR43" i="1" s="1"/>
  <c r="AT43" i="1" s="1"/>
  <c r="AM44" i="1"/>
  <c r="AO44" i="1" s="1"/>
  <c r="AR44" i="1" s="1"/>
  <c r="AT44" i="1" s="1"/>
  <c r="AM45" i="1"/>
  <c r="AO45" i="1" s="1"/>
  <c r="AR45" i="1" s="1"/>
  <c r="AT45" i="1" s="1"/>
  <c r="AM46" i="1"/>
  <c r="AO46" i="1" s="1"/>
  <c r="AR46" i="1" s="1"/>
  <c r="AT46" i="1" s="1"/>
  <c r="AM47" i="1"/>
  <c r="AO47" i="1" s="1"/>
  <c r="AR47" i="1" s="1"/>
  <c r="AT47" i="1" s="1"/>
  <c r="AM48" i="1"/>
  <c r="AO48" i="1" s="1"/>
  <c r="AR48" i="1" s="1"/>
  <c r="AT48" i="1" s="1"/>
  <c r="AM49" i="1"/>
  <c r="AO49" i="1" s="1"/>
  <c r="AR49" i="1" s="1"/>
  <c r="AT49" i="1" s="1"/>
  <c r="AM50" i="1"/>
  <c r="AO50" i="1" s="1"/>
  <c r="AR50" i="1" s="1"/>
  <c r="AT50" i="1" s="1"/>
  <c r="AM51" i="1"/>
  <c r="AO51" i="1" s="1"/>
  <c r="AR51" i="1" s="1"/>
  <c r="AT51" i="1" s="1"/>
  <c r="AM52" i="1"/>
  <c r="AO52" i="1" s="1"/>
  <c r="AR52" i="1" s="1"/>
  <c r="AT52" i="1" s="1"/>
  <c r="AM53" i="1"/>
  <c r="AO53" i="1" s="1"/>
  <c r="AR53" i="1" s="1"/>
  <c r="AT53" i="1" s="1"/>
  <c r="AM54" i="1"/>
  <c r="AO54" i="1" s="1"/>
  <c r="AR54" i="1" s="1"/>
  <c r="AT54" i="1" s="1"/>
  <c r="AM59" i="1"/>
  <c r="AO59" i="1" s="1"/>
  <c r="AR59" i="1" s="1"/>
  <c r="AT59" i="1" s="1"/>
  <c r="AM60" i="1"/>
  <c r="AO60" i="1" s="1"/>
  <c r="AR60" i="1" s="1"/>
  <c r="AT60" i="1" s="1"/>
  <c r="AM61" i="1"/>
  <c r="AO61" i="1" s="1"/>
  <c r="AR61" i="1" s="1"/>
  <c r="AT61" i="1" s="1"/>
  <c r="AM62" i="1"/>
  <c r="AO62" i="1" s="1"/>
  <c r="AR62" i="1" s="1"/>
  <c r="AT62" i="1" s="1"/>
  <c r="AM63" i="1"/>
  <c r="AO63" i="1" s="1"/>
  <c r="AR63" i="1" s="1"/>
  <c r="AT63" i="1" s="1"/>
  <c r="AM64" i="1"/>
  <c r="AO64" i="1" s="1"/>
  <c r="AR64" i="1" s="1"/>
  <c r="AT64" i="1" s="1"/>
  <c r="AM65" i="1"/>
  <c r="AO65" i="1" s="1"/>
  <c r="AR65" i="1" s="1"/>
  <c r="AT65" i="1" s="1"/>
  <c r="AM66" i="1"/>
  <c r="AO66" i="1" s="1"/>
  <c r="AR66" i="1" s="1"/>
  <c r="AT66" i="1" s="1"/>
  <c r="AM67" i="1"/>
  <c r="AO67" i="1" s="1"/>
  <c r="AR67" i="1" s="1"/>
  <c r="AT67" i="1" s="1"/>
  <c r="AM68" i="1"/>
  <c r="AO68" i="1" s="1"/>
  <c r="AR68" i="1" s="1"/>
  <c r="AT68" i="1" s="1"/>
  <c r="AM69" i="1"/>
  <c r="AO69" i="1" s="1"/>
  <c r="AR69" i="1" s="1"/>
  <c r="AT69" i="1" s="1"/>
  <c r="AM72" i="1"/>
  <c r="AO72" i="1" s="1"/>
  <c r="AM73" i="1"/>
  <c r="AO73" i="1" s="1"/>
  <c r="AM74" i="1"/>
  <c r="AM75" i="1"/>
  <c r="AO75" i="1" s="1"/>
  <c r="AR75" i="1" s="1"/>
  <c r="AT75" i="1" s="1"/>
  <c r="AM76" i="1"/>
  <c r="AO76" i="1" s="1"/>
  <c r="AR76" i="1" s="1"/>
  <c r="AT76" i="1" s="1"/>
  <c r="AM77" i="1"/>
  <c r="AO77" i="1" s="1"/>
  <c r="AR77" i="1" s="1"/>
  <c r="AT77" i="1" s="1"/>
  <c r="AM79" i="1"/>
  <c r="AO79" i="1" s="1"/>
  <c r="AR79" i="1" s="1"/>
  <c r="AT79" i="1" s="1"/>
  <c r="AM80" i="1"/>
  <c r="AO80" i="1" s="1"/>
  <c r="AR80" i="1" s="1"/>
  <c r="AT80" i="1" s="1"/>
  <c r="AM82" i="1"/>
  <c r="AO82" i="1" s="1"/>
  <c r="AR82" i="1" s="1"/>
  <c r="AT82" i="1" s="1"/>
  <c r="AM5" i="1"/>
  <c r="AO5" i="1" s="1"/>
  <c r="AR5" i="1" s="1"/>
  <c r="AT5" i="1" s="1"/>
  <c r="AL6" i="1"/>
  <c r="AN6" i="1" s="1"/>
  <c r="AQ6" i="1" s="1"/>
  <c r="AS6" i="1" s="1"/>
  <c r="AL7" i="1"/>
  <c r="AN7" i="1" s="1"/>
  <c r="AQ7" i="1" s="1"/>
  <c r="AS7" i="1" s="1"/>
  <c r="AL8" i="1"/>
  <c r="AN8" i="1" s="1"/>
  <c r="AQ8" i="1" s="1"/>
  <c r="AS8" i="1" s="1"/>
  <c r="AL9" i="1"/>
  <c r="AN9" i="1" s="1"/>
  <c r="AQ9" i="1" s="1"/>
  <c r="AS9" i="1" s="1"/>
  <c r="AL10" i="1"/>
  <c r="AN10" i="1" s="1"/>
  <c r="AQ10" i="1" s="1"/>
  <c r="AS10" i="1" s="1"/>
  <c r="AL11" i="1"/>
  <c r="AN11" i="1" s="1"/>
  <c r="AQ11" i="1" s="1"/>
  <c r="AS11" i="1" s="1"/>
  <c r="AL12" i="1"/>
  <c r="AN12" i="1" s="1"/>
  <c r="AQ12" i="1" s="1"/>
  <c r="AS12" i="1" s="1"/>
  <c r="AL13" i="1"/>
  <c r="AN13" i="1" s="1"/>
  <c r="AQ13" i="1" s="1"/>
  <c r="AS13" i="1" s="1"/>
  <c r="AL14" i="1"/>
  <c r="AN14" i="1" s="1"/>
  <c r="AQ14" i="1" s="1"/>
  <c r="AS14" i="1" s="1"/>
  <c r="AL15" i="1"/>
  <c r="AN15" i="1" s="1"/>
  <c r="AQ15" i="1" s="1"/>
  <c r="AS15" i="1" s="1"/>
  <c r="AL16" i="1"/>
  <c r="AN16" i="1" s="1"/>
  <c r="AQ16" i="1" s="1"/>
  <c r="AS16" i="1" s="1"/>
  <c r="AL17" i="1"/>
  <c r="AN17" i="1" s="1"/>
  <c r="AQ17" i="1" s="1"/>
  <c r="AS17" i="1" s="1"/>
  <c r="AL18" i="1"/>
  <c r="AN18" i="1" s="1"/>
  <c r="AQ18" i="1" s="1"/>
  <c r="AS18" i="1" s="1"/>
  <c r="AL19" i="1"/>
  <c r="AN19" i="1" s="1"/>
  <c r="AQ19" i="1" s="1"/>
  <c r="AS19" i="1" s="1"/>
  <c r="AL20" i="1"/>
  <c r="AN20" i="1" s="1"/>
  <c r="AQ20" i="1" s="1"/>
  <c r="AS20" i="1" s="1"/>
  <c r="AL21" i="1"/>
  <c r="AN21" i="1" s="1"/>
  <c r="AQ21" i="1" s="1"/>
  <c r="AS21" i="1" s="1"/>
  <c r="AL22" i="1"/>
  <c r="AN22" i="1" s="1"/>
  <c r="AQ22" i="1" s="1"/>
  <c r="AS22" i="1" s="1"/>
  <c r="AL23" i="1"/>
  <c r="AN23" i="1" s="1"/>
  <c r="AQ23" i="1" s="1"/>
  <c r="AS23" i="1" s="1"/>
  <c r="AL24" i="1"/>
  <c r="AN24" i="1" s="1"/>
  <c r="AQ24" i="1" s="1"/>
  <c r="AS24" i="1" s="1"/>
  <c r="AL25" i="1"/>
  <c r="AN25" i="1" s="1"/>
  <c r="AQ25" i="1" s="1"/>
  <c r="AS25" i="1" s="1"/>
  <c r="AL26" i="1"/>
  <c r="AN26" i="1" s="1"/>
  <c r="AQ26" i="1" s="1"/>
  <c r="AS26" i="1" s="1"/>
  <c r="AL27" i="1"/>
  <c r="AN27" i="1" s="1"/>
  <c r="AQ27" i="1" s="1"/>
  <c r="AS27" i="1" s="1"/>
  <c r="AL28" i="1"/>
  <c r="AN28" i="1" s="1"/>
  <c r="AQ28" i="1" s="1"/>
  <c r="AS28" i="1" s="1"/>
  <c r="AL29" i="1"/>
  <c r="AN29" i="1" s="1"/>
  <c r="AQ29" i="1" s="1"/>
  <c r="AS29" i="1" s="1"/>
  <c r="AL30" i="1"/>
  <c r="AN30" i="1" s="1"/>
  <c r="AQ30" i="1" s="1"/>
  <c r="AS30" i="1" s="1"/>
  <c r="AL31" i="1"/>
  <c r="AN31" i="1" s="1"/>
  <c r="AQ31" i="1" s="1"/>
  <c r="AS31" i="1" s="1"/>
  <c r="AL34" i="1"/>
  <c r="AN34" i="1" s="1"/>
  <c r="AQ34" i="1" s="1"/>
  <c r="AS34" i="1" s="1"/>
  <c r="AL35" i="1"/>
  <c r="AN35" i="1" s="1"/>
  <c r="AQ35" i="1" s="1"/>
  <c r="AS35" i="1" s="1"/>
  <c r="AL36" i="1"/>
  <c r="AN36" i="1" s="1"/>
  <c r="AQ36" i="1" s="1"/>
  <c r="AS36" i="1" s="1"/>
  <c r="AL37" i="1"/>
  <c r="AN37" i="1" s="1"/>
  <c r="AQ37" i="1" s="1"/>
  <c r="AS37" i="1" s="1"/>
  <c r="AL38" i="1"/>
  <c r="AN38" i="1" s="1"/>
  <c r="AQ38" i="1" s="1"/>
  <c r="AS38" i="1" s="1"/>
  <c r="AL39" i="1"/>
  <c r="AN39" i="1" s="1"/>
  <c r="AQ39" i="1" s="1"/>
  <c r="AS39" i="1" s="1"/>
  <c r="AL40" i="1"/>
  <c r="AN40" i="1" s="1"/>
  <c r="AQ40" i="1" s="1"/>
  <c r="AS40" i="1" s="1"/>
  <c r="AL41" i="1"/>
  <c r="AN41" i="1" s="1"/>
  <c r="AQ41" i="1" s="1"/>
  <c r="AS41" i="1" s="1"/>
  <c r="AL42" i="1"/>
  <c r="AN42" i="1" s="1"/>
  <c r="AQ42" i="1" s="1"/>
  <c r="AS42" i="1" s="1"/>
  <c r="AL43" i="1"/>
  <c r="AN43" i="1" s="1"/>
  <c r="AQ43" i="1" s="1"/>
  <c r="AS43" i="1" s="1"/>
  <c r="AL44" i="1"/>
  <c r="AN44" i="1" s="1"/>
  <c r="AQ44" i="1" s="1"/>
  <c r="AS44" i="1" s="1"/>
  <c r="AL45" i="1"/>
  <c r="AN45" i="1" s="1"/>
  <c r="AQ45" i="1" s="1"/>
  <c r="AS45" i="1" s="1"/>
  <c r="AL46" i="1"/>
  <c r="AN46" i="1" s="1"/>
  <c r="AQ46" i="1" s="1"/>
  <c r="AS46" i="1" s="1"/>
  <c r="AL47" i="1"/>
  <c r="AN47" i="1" s="1"/>
  <c r="AQ47" i="1" s="1"/>
  <c r="AS47" i="1" s="1"/>
  <c r="AL48" i="1"/>
  <c r="AN48" i="1" s="1"/>
  <c r="AQ48" i="1" s="1"/>
  <c r="AS48" i="1" s="1"/>
  <c r="AL49" i="1"/>
  <c r="AN49" i="1" s="1"/>
  <c r="AQ49" i="1" s="1"/>
  <c r="AS49" i="1" s="1"/>
  <c r="AL50" i="1"/>
  <c r="AN50" i="1" s="1"/>
  <c r="AQ50" i="1" s="1"/>
  <c r="AS50" i="1" s="1"/>
  <c r="AL51" i="1"/>
  <c r="AN51" i="1" s="1"/>
  <c r="AQ51" i="1" s="1"/>
  <c r="AS51" i="1" s="1"/>
  <c r="AL52" i="1"/>
  <c r="AN52" i="1" s="1"/>
  <c r="AQ52" i="1" s="1"/>
  <c r="AS52" i="1" s="1"/>
  <c r="AL53" i="1"/>
  <c r="AN53" i="1" s="1"/>
  <c r="AQ53" i="1" s="1"/>
  <c r="AS53" i="1" s="1"/>
  <c r="AL54" i="1"/>
  <c r="AN54" i="1" s="1"/>
  <c r="AQ54" i="1" s="1"/>
  <c r="AS54" i="1" s="1"/>
  <c r="AL59" i="1"/>
  <c r="AN59" i="1" s="1"/>
  <c r="AQ59" i="1" s="1"/>
  <c r="AS59" i="1" s="1"/>
  <c r="AL60" i="1"/>
  <c r="AN60" i="1" s="1"/>
  <c r="AQ60" i="1" s="1"/>
  <c r="AS60" i="1" s="1"/>
  <c r="AL61" i="1"/>
  <c r="AN61" i="1" s="1"/>
  <c r="AQ61" i="1" s="1"/>
  <c r="AS61" i="1" s="1"/>
  <c r="AL62" i="1"/>
  <c r="AN62" i="1" s="1"/>
  <c r="AQ62" i="1" s="1"/>
  <c r="AS62" i="1" s="1"/>
  <c r="AL63" i="1"/>
  <c r="AN63" i="1" s="1"/>
  <c r="AQ63" i="1" s="1"/>
  <c r="AS63" i="1" s="1"/>
  <c r="AL64" i="1"/>
  <c r="AN64" i="1" s="1"/>
  <c r="AQ64" i="1" s="1"/>
  <c r="AS64" i="1" s="1"/>
  <c r="AL65" i="1"/>
  <c r="AN65" i="1" s="1"/>
  <c r="AQ65" i="1" s="1"/>
  <c r="AS65" i="1" s="1"/>
  <c r="AL66" i="1"/>
  <c r="AN66" i="1" s="1"/>
  <c r="AQ66" i="1" s="1"/>
  <c r="AS66" i="1" s="1"/>
  <c r="AL67" i="1"/>
  <c r="AN67" i="1" s="1"/>
  <c r="AQ67" i="1" s="1"/>
  <c r="AS67" i="1" s="1"/>
  <c r="AL68" i="1"/>
  <c r="AN68" i="1" s="1"/>
  <c r="AQ68" i="1" s="1"/>
  <c r="AS68" i="1" s="1"/>
  <c r="AL69" i="1"/>
  <c r="AN69" i="1" s="1"/>
  <c r="AQ69" i="1" s="1"/>
  <c r="AS69" i="1" s="1"/>
  <c r="AL72" i="1"/>
  <c r="AN72" i="1" s="1"/>
  <c r="AL73" i="1"/>
  <c r="AN73" i="1" s="1"/>
  <c r="AL74" i="1"/>
  <c r="AN74" i="1" s="1"/>
  <c r="AQ74" i="1" s="1"/>
  <c r="AS74" i="1" s="1"/>
  <c r="AL75" i="1"/>
  <c r="AN75" i="1" s="1"/>
  <c r="AQ75" i="1" s="1"/>
  <c r="AS75" i="1" s="1"/>
  <c r="AL76" i="1"/>
  <c r="AL77" i="1"/>
  <c r="AN77" i="1" s="1"/>
  <c r="AQ77" i="1" s="1"/>
  <c r="AS77" i="1" s="1"/>
  <c r="AL79" i="1"/>
  <c r="AN79" i="1" s="1"/>
  <c r="AQ79" i="1" s="1"/>
  <c r="AS79" i="1" s="1"/>
  <c r="AL80" i="1"/>
  <c r="AN80" i="1" s="1"/>
  <c r="AQ80" i="1" s="1"/>
  <c r="AS80" i="1" s="1"/>
  <c r="AL82" i="1"/>
  <c r="AN82" i="1" s="1"/>
  <c r="AQ82" i="1" s="1"/>
  <c r="AS82" i="1" s="1"/>
  <c r="AL5" i="1"/>
  <c r="AN5" i="1" s="1"/>
  <c r="AQ5" i="1" s="1"/>
  <c r="AS5" i="1" s="1"/>
  <c r="AQ71" i="1" l="1"/>
  <c r="AS71" i="1" s="1"/>
  <c r="AR71" i="1"/>
  <c r="AT71" i="1" s="1"/>
  <c r="AN71" i="1"/>
  <c r="AM84" i="1"/>
  <c r="AO74" i="1"/>
  <c r="AO71" i="1"/>
  <c r="AL84" i="1"/>
  <c r="AN76" i="1"/>
  <c r="AL71" i="1"/>
  <c r="AK31" i="1"/>
  <c r="AO84" i="1" l="1"/>
  <c r="AO86" i="1" s="1"/>
  <c r="AR74" i="1"/>
  <c r="AN84" i="1"/>
  <c r="AN86" i="1" s="1"/>
  <c r="AQ76" i="1"/>
  <c r="AL86" i="1"/>
  <c r="F69" i="1"/>
  <c r="H69" i="1" s="1"/>
  <c r="I69" i="1" s="1"/>
  <c r="L69" i="1"/>
  <c r="M69" i="1" s="1"/>
  <c r="N69" i="1"/>
  <c r="S69" i="1"/>
  <c r="T69" i="1" s="1"/>
  <c r="X69" i="1" s="1"/>
  <c r="W69" i="1"/>
  <c r="Y69" i="1" s="1"/>
  <c r="Z69" i="1" s="1"/>
  <c r="AD69" i="1" s="1"/>
  <c r="AG69" i="1" s="1"/>
  <c r="AK69" i="1"/>
  <c r="AQ84" i="1" l="1"/>
  <c r="AS76" i="1"/>
  <c r="AR84" i="1"/>
  <c r="AT74" i="1"/>
  <c r="AP86" i="1"/>
  <c r="O69" i="1"/>
  <c r="P69" i="1"/>
  <c r="AB69" i="1"/>
  <c r="AA69" i="1"/>
  <c r="AC69" i="1" s="1"/>
  <c r="AI71" i="1"/>
  <c r="AR86" i="1" l="1"/>
  <c r="AT86" i="1" s="1"/>
  <c r="AT84" i="1"/>
  <c r="AS84" i="1"/>
  <c r="AQ86" i="1"/>
  <c r="AS86" i="1" s="1"/>
  <c r="AE69" i="1"/>
  <c r="AF69" i="1"/>
  <c r="AH69" i="1" s="1"/>
  <c r="AJ84" i="1"/>
  <c r="AI84" i="1"/>
  <c r="AJ71" i="1"/>
  <c r="AM71" i="1" s="1"/>
  <c r="AM86" i="1" s="1"/>
  <c r="AP88" i="1" s="1"/>
  <c r="AK75" i="1"/>
  <c r="AK76" i="1"/>
  <c r="AK77" i="1"/>
  <c r="AK78" i="1"/>
  <c r="AK79" i="1"/>
  <c r="AK80" i="1"/>
  <c r="AK81" i="1"/>
  <c r="AK82" i="1"/>
  <c r="AK74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61" i="1"/>
  <c r="AK62" i="1"/>
  <c r="AK63" i="1"/>
  <c r="AK64" i="1"/>
  <c r="AK65" i="1"/>
  <c r="AK66" i="1"/>
  <c r="AK67" i="1"/>
  <c r="AK68" i="1"/>
  <c r="AK5" i="1"/>
  <c r="W79" i="1"/>
  <c r="Y79" i="1" s="1"/>
  <c r="Z79" i="1" s="1"/>
  <c r="AD79" i="1" s="1"/>
  <c r="AG79" i="1" s="1"/>
  <c r="S79" i="1"/>
  <c r="T79" i="1" s="1"/>
  <c r="X79" i="1" s="1"/>
  <c r="N79" i="1"/>
  <c r="L79" i="1"/>
  <c r="M79" i="1" s="1"/>
  <c r="I79" i="1"/>
  <c r="W82" i="1"/>
  <c r="Y82" i="1" s="1"/>
  <c r="Z82" i="1" s="1"/>
  <c r="AD82" i="1" s="1"/>
  <c r="AG82" i="1" s="1"/>
  <c r="S82" i="1"/>
  <c r="T82" i="1" s="1"/>
  <c r="X82" i="1" s="1"/>
  <c r="N82" i="1"/>
  <c r="L82" i="1"/>
  <c r="M82" i="1" s="1"/>
  <c r="F82" i="1"/>
  <c r="H82" i="1" s="1"/>
  <c r="I82" i="1" s="1"/>
  <c r="W78" i="1"/>
  <c r="Y78" i="1" s="1"/>
  <c r="Z78" i="1" s="1"/>
  <c r="AD78" i="1" s="1"/>
  <c r="AG78" i="1" s="1"/>
  <c r="S78" i="1"/>
  <c r="T78" i="1" s="1"/>
  <c r="X78" i="1" s="1"/>
  <c r="N78" i="1"/>
  <c r="L78" i="1"/>
  <c r="M78" i="1" s="1"/>
  <c r="F78" i="1"/>
  <c r="H78" i="1" s="1"/>
  <c r="I78" i="1" s="1"/>
  <c r="AF77" i="1"/>
  <c r="W77" i="1"/>
  <c r="Y77" i="1" s="1"/>
  <c r="Z77" i="1" s="1"/>
  <c r="AD77" i="1" s="1"/>
  <c r="S77" i="1"/>
  <c r="T77" i="1" s="1"/>
  <c r="X77" i="1" s="1"/>
  <c r="N77" i="1"/>
  <c r="L77" i="1"/>
  <c r="M77" i="1" s="1"/>
  <c r="F77" i="1"/>
  <c r="W76" i="1"/>
  <c r="Y76" i="1" s="1"/>
  <c r="Z76" i="1" s="1"/>
  <c r="AD76" i="1" s="1"/>
  <c r="AG76" i="1" s="1"/>
  <c r="S76" i="1"/>
  <c r="T76" i="1" s="1"/>
  <c r="X76" i="1" s="1"/>
  <c r="N76" i="1"/>
  <c r="L76" i="1"/>
  <c r="M76" i="1" s="1"/>
  <c r="F76" i="1"/>
  <c r="H76" i="1" s="1"/>
  <c r="I76" i="1" s="1"/>
  <c r="AF54" i="1"/>
  <c r="AD54" i="1"/>
  <c r="AG54" i="1" s="1"/>
  <c r="AF53" i="1"/>
  <c r="AD53" i="1"/>
  <c r="AG53" i="1" s="1"/>
  <c r="W52" i="1"/>
  <c r="Y52" i="1" s="1"/>
  <c r="Z52" i="1" s="1"/>
  <c r="AD52" i="1" s="1"/>
  <c r="AG52" i="1" s="1"/>
  <c r="S52" i="1"/>
  <c r="T52" i="1" s="1"/>
  <c r="X52" i="1" s="1"/>
  <c r="N52" i="1"/>
  <c r="M52" i="1"/>
  <c r="F52" i="1"/>
  <c r="O52" i="1" s="1"/>
  <c r="AG47" i="1"/>
  <c r="AH47" i="1" s="1"/>
  <c r="W46" i="1"/>
  <c r="Y46" i="1" s="1"/>
  <c r="Z46" i="1" s="1"/>
  <c r="AD46" i="1" s="1"/>
  <c r="AG46" i="1" s="1"/>
  <c r="S46" i="1"/>
  <c r="T46" i="1" s="1"/>
  <c r="X46" i="1" s="1"/>
  <c r="N46" i="1"/>
  <c r="M46" i="1"/>
  <c r="F46" i="1"/>
  <c r="O46" i="1" s="1"/>
  <c r="W45" i="1"/>
  <c r="Y45" i="1" s="1"/>
  <c r="Z45" i="1" s="1"/>
  <c r="AD45" i="1" s="1"/>
  <c r="AG45" i="1" s="1"/>
  <c r="S45" i="1"/>
  <c r="T45" i="1" s="1"/>
  <c r="X45" i="1" s="1"/>
  <c r="N45" i="1"/>
  <c r="M45" i="1"/>
  <c r="F45" i="1"/>
  <c r="O45" i="1" s="1"/>
  <c r="AF36" i="1"/>
  <c r="AD36" i="1"/>
  <c r="AG36" i="1" s="1"/>
  <c r="AK71" i="1" l="1"/>
  <c r="AJ86" i="1"/>
  <c r="AK84" i="1"/>
  <c r="AI86" i="1"/>
  <c r="P82" i="1"/>
  <c r="P79" i="1"/>
  <c r="O79" i="1"/>
  <c r="AA79" i="1"/>
  <c r="AC79" i="1" s="1"/>
  <c r="AB79" i="1"/>
  <c r="AB82" i="1"/>
  <c r="AA82" i="1"/>
  <c r="AC82" i="1" s="1"/>
  <c r="O82" i="1"/>
  <c r="AA78" i="1"/>
  <c r="AC78" i="1" s="1"/>
  <c r="AB78" i="1"/>
  <c r="P78" i="1"/>
  <c r="O78" i="1"/>
  <c r="P76" i="1"/>
  <c r="O76" i="1"/>
  <c r="O77" i="1"/>
  <c r="AE77" i="1"/>
  <c r="AG77" i="1"/>
  <c r="AH77" i="1" s="1"/>
  <c r="AB76" i="1"/>
  <c r="AA76" i="1"/>
  <c r="AC76" i="1" s="1"/>
  <c r="AA77" i="1"/>
  <c r="AC77" i="1" s="1"/>
  <c r="H77" i="1"/>
  <c r="I77" i="1" s="1"/>
  <c r="P77" i="1" s="1"/>
  <c r="AH53" i="1"/>
  <c r="H52" i="1"/>
  <c r="I52" i="1" s="1"/>
  <c r="P52" i="1" s="1"/>
  <c r="AE53" i="1"/>
  <c r="AH54" i="1"/>
  <c r="AE54" i="1"/>
  <c r="AB52" i="1"/>
  <c r="AA52" i="1"/>
  <c r="AC52" i="1" s="1"/>
  <c r="AA45" i="1"/>
  <c r="AC45" i="1" s="1"/>
  <c r="AB45" i="1"/>
  <c r="AB46" i="1"/>
  <c r="AA46" i="1"/>
  <c r="AC46" i="1" s="1"/>
  <c r="H46" i="1"/>
  <c r="I46" i="1" s="1"/>
  <c r="P46" i="1" s="1"/>
  <c r="H45" i="1"/>
  <c r="I45" i="1" s="1"/>
  <c r="P45" i="1" s="1"/>
  <c r="AH36" i="1"/>
  <c r="AE36" i="1"/>
  <c r="AG26" i="1"/>
  <c r="AG25" i="1"/>
  <c r="AF26" i="1"/>
  <c r="AF25" i="1"/>
  <c r="AF24" i="1"/>
  <c r="AF75" i="1"/>
  <c r="AK86" i="1" l="1"/>
  <c r="AF79" i="1"/>
  <c r="AH79" i="1" s="1"/>
  <c r="AE79" i="1"/>
  <c r="AE82" i="1"/>
  <c r="AF82" i="1"/>
  <c r="AH82" i="1" s="1"/>
  <c r="AF78" i="1"/>
  <c r="AH78" i="1" s="1"/>
  <c r="AE78" i="1"/>
  <c r="AE76" i="1"/>
  <c r="AF76" i="1"/>
  <c r="AH76" i="1" s="1"/>
  <c r="AF52" i="1"/>
  <c r="AH52" i="1" s="1"/>
  <c r="AE52" i="1"/>
  <c r="AF46" i="1"/>
  <c r="AH46" i="1" s="1"/>
  <c r="AE46" i="1"/>
  <c r="AE45" i="1"/>
  <c r="AF45" i="1"/>
  <c r="AH45" i="1" s="1"/>
  <c r="AH25" i="1"/>
  <c r="AH26" i="1"/>
  <c r="AD24" i="1" l="1"/>
  <c r="AE24" i="1" l="1"/>
  <c r="AG24" i="1"/>
  <c r="AH24" i="1" s="1"/>
  <c r="AB85" i="1"/>
  <c r="Z72" i="1" l="1"/>
  <c r="AD72" i="1" s="1"/>
  <c r="Z73" i="1"/>
  <c r="AD73" i="1" s="1"/>
  <c r="X67" i="1"/>
  <c r="AB67" i="1" s="1"/>
  <c r="AF67" i="1" s="1"/>
  <c r="X21" i="1"/>
  <c r="AB21" i="1" s="1"/>
  <c r="AF21" i="1" s="1"/>
  <c r="X22" i="1"/>
  <c r="AB22" i="1" s="1"/>
  <c r="AF22" i="1" s="1"/>
  <c r="X23" i="1"/>
  <c r="AB23" i="1" s="1"/>
  <c r="AF23" i="1" s="1"/>
  <c r="X66" i="1"/>
  <c r="AB66" i="1" s="1"/>
  <c r="AF66" i="1" s="1"/>
  <c r="X72" i="1"/>
  <c r="AB72" i="1" s="1"/>
  <c r="X73" i="1"/>
  <c r="AB73" i="1" s="1"/>
  <c r="AE72" i="1" l="1"/>
  <c r="AA73" i="1"/>
  <c r="AA72" i="1"/>
  <c r="AE73" i="1"/>
  <c r="Y21" i="1"/>
  <c r="Z21" i="1" s="1"/>
  <c r="Y22" i="1"/>
  <c r="Z22" i="1" s="1"/>
  <c r="AD22" i="1" s="1"/>
  <c r="Y23" i="1"/>
  <c r="Z23" i="1" s="1"/>
  <c r="AD23" i="1" s="1"/>
  <c r="Y66" i="1"/>
  <c r="Z66" i="1" s="1"/>
  <c r="AE23" i="1" l="1"/>
  <c r="AG23" i="1"/>
  <c r="AH23" i="1" s="1"/>
  <c r="AE22" i="1"/>
  <c r="AG22" i="1"/>
  <c r="AH22" i="1" s="1"/>
  <c r="AA22" i="1"/>
  <c r="AC22" i="1" s="1"/>
  <c r="AA23" i="1"/>
  <c r="AC23" i="1" s="1"/>
  <c r="AD66" i="1"/>
  <c r="AA66" i="1"/>
  <c r="AC66" i="1" s="1"/>
  <c r="AD21" i="1"/>
  <c r="AA21" i="1"/>
  <c r="AC21" i="1" s="1"/>
  <c r="W5" i="1"/>
  <c r="Y5" i="1" s="1"/>
  <c r="Z5" i="1" s="1"/>
  <c r="AD5" i="1" s="1"/>
  <c r="AG5" i="1" s="1"/>
  <c r="W6" i="1"/>
  <c r="Y6" i="1" s="1"/>
  <c r="Z6" i="1" s="1"/>
  <c r="AD6" i="1" s="1"/>
  <c r="AG6" i="1" s="1"/>
  <c r="W9" i="1"/>
  <c r="Y9" i="1" s="1"/>
  <c r="Z9" i="1" s="1"/>
  <c r="AD9" i="1" s="1"/>
  <c r="AG9" i="1" s="1"/>
  <c r="W67" i="1"/>
  <c r="Y67" i="1" s="1"/>
  <c r="Z67" i="1" s="1"/>
  <c r="W39" i="1"/>
  <c r="Y39" i="1" s="1"/>
  <c r="Z39" i="1" s="1"/>
  <c r="AD39" i="1" s="1"/>
  <c r="AG39" i="1" s="1"/>
  <c r="W40" i="1"/>
  <c r="Y40" i="1" s="1"/>
  <c r="Z40" i="1" s="1"/>
  <c r="AD40" i="1" s="1"/>
  <c r="AG40" i="1" s="1"/>
  <c r="W41" i="1"/>
  <c r="Y41" i="1" s="1"/>
  <c r="Z41" i="1" s="1"/>
  <c r="AD41" i="1" s="1"/>
  <c r="AG41" i="1" s="1"/>
  <c r="W42" i="1"/>
  <c r="Y42" i="1" s="1"/>
  <c r="Z42" i="1" s="1"/>
  <c r="AD42" i="1" s="1"/>
  <c r="AG42" i="1" s="1"/>
  <c r="W43" i="1"/>
  <c r="Y43" i="1" s="1"/>
  <c r="Z43" i="1" s="1"/>
  <c r="AD43" i="1" s="1"/>
  <c r="AG43" i="1" s="1"/>
  <c r="W44" i="1"/>
  <c r="Y44" i="1" s="1"/>
  <c r="Z44" i="1" s="1"/>
  <c r="AD44" i="1" s="1"/>
  <c r="AG44" i="1" s="1"/>
  <c r="W59" i="1"/>
  <c r="Y59" i="1" s="1"/>
  <c r="Z59" i="1" s="1"/>
  <c r="AD59" i="1" s="1"/>
  <c r="AG59" i="1" s="1"/>
  <c r="W60" i="1"/>
  <c r="Y60" i="1" s="1"/>
  <c r="Z60" i="1" s="1"/>
  <c r="AD60" i="1" s="1"/>
  <c r="AG60" i="1" s="1"/>
  <c r="W61" i="1"/>
  <c r="Y61" i="1" s="1"/>
  <c r="Z61" i="1" s="1"/>
  <c r="AD61" i="1" s="1"/>
  <c r="AG61" i="1" s="1"/>
  <c r="W35" i="1"/>
  <c r="Y35" i="1" s="1"/>
  <c r="Z35" i="1" s="1"/>
  <c r="AD35" i="1" s="1"/>
  <c r="AG35" i="1" s="1"/>
  <c r="W62" i="1"/>
  <c r="Y62" i="1" s="1"/>
  <c r="Z62" i="1" s="1"/>
  <c r="AD62" i="1" s="1"/>
  <c r="AG62" i="1" s="1"/>
  <c r="W48" i="1"/>
  <c r="Y48" i="1" s="1"/>
  <c r="Z48" i="1" s="1"/>
  <c r="AD48" i="1" s="1"/>
  <c r="AG48" i="1" s="1"/>
  <c r="W63" i="1"/>
  <c r="Y63" i="1" s="1"/>
  <c r="Z63" i="1" s="1"/>
  <c r="AD63" i="1" s="1"/>
  <c r="AG63" i="1" s="1"/>
  <c r="W49" i="1"/>
  <c r="Y49" i="1" s="1"/>
  <c r="Z49" i="1" s="1"/>
  <c r="AD49" i="1" s="1"/>
  <c r="AG49" i="1" s="1"/>
  <c r="W10" i="1"/>
  <c r="Y10" i="1" s="1"/>
  <c r="Z10" i="1" s="1"/>
  <c r="AD10" i="1" s="1"/>
  <c r="AG10" i="1" s="1"/>
  <c r="W12" i="1"/>
  <c r="Y12" i="1" s="1"/>
  <c r="Z12" i="1" s="1"/>
  <c r="AD12" i="1" s="1"/>
  <c r="AG12" i="1" s="1"/>
  <c r="W13" i="1"/>
  <c r="Y13" i="1" s="1"/>
  <c r="Z13" i="1" s="1"/>
  <c r="AD13" i="1" s="1"/>
  <c r="AG13" i="1" s="1"/>
  <c r="W50" i="1"/>
  <c r="Y50" i="1" s="1"/>
  <c r="Z50" i="1" s="1"/>
  <c r="AD50" i="1" s="1"/>
  <c r="AG50" i="1" s="1"/>
  <c r="W14" i="1"/>
  <c r="Y14" i="1" s="1"/>
  <c r="Z14" i="1" s="1"/>
  <c r="AD14" i="1" s="1"/>
  <c r="AG14" i="1" s="1"/>
  <c r="W15" i="1"/>
  <c r="Y15" i="1" s="1"/>
  <c r="Z15" i="1" s="1"/>
  <c r="AD15" i="1" s="1"/>
  <c r="AG15" i="1" s="1"/>
  <c r="W64" i="1"/>
  <c r="Y64" i="1" s="1"/>
  <c r="Z64" i="1" s="1"/>
  <c r="AD64" i="1" s="1"/>
  <c r="AG64" i="1" s="1"/>
  <c r="W51" i="1"/>
  <c r="Y51" i="1" s="1"/>
  <c r="Z51" i="1" s="1"/>
  <c r="AD51" i="1" s="1"/>
  <c r="AG51" i="1" s="1"/>
  <c r="W16" i="1"/>
  <c r="Y16" i="1" s="1"/>
  <c r="Z16" i="1" s="1"/>
  <c r="AD16" i="1" s="1"/>
  <c r="AG16" i="1" s="1"/>
  <c r="W68" i="1"/>
  <c r="Y68" i="1" s="1"/>
  <c r="Z68" i="1" s="1"/>
  <c r="AD68" i="1" s="1"/>
  <c r="AG68" i="1" s="1"/>
  <c r="W65" i="1"/>
  <c r="Y65" i="1" s="1"/>
  <c r="Z65" i="1" s="1"/>
  <c r="AD65" i="1" s="1"/>
  <c r="AG65" i="1" s="1"/>
  <c r="W17" i="1"/>
  <c r="Y17" i="1" s="1"/>
  <c r="Z17" i="1" s="1"/>
  <c r="AD17" i="1" s="1"/>
  <c r="AG17" i="1" s="1"/>
  <c r="W18" i="1"/>
  <c r="Y18" i="1" s="1"/>
  <c r="Z18" i="1" s="1"/>
  <c r="AD18" i="1" s="1"/>
  <c r="AG18" i="1" s="1"/>
  <c r="W19" i="1"/>
  <c r="Y19" i="1" s="1"/>
  <c r="Z19" i="1" s="1"/>
  <c r="AD19" i="1" s="1"/>
  <c r="AG19" i="1" s="1"/>
  <c r="W20" i="1"/>
  <c r="Y20" i="1" s="1"/>
  <c r="Z20" i="1" s="1"/>
  <c r="AD20" i="1" s="1"/>
  <c r="AG20" i="1" s="1"/>
  <c r="W37" i="1"/>
  <c r="Y37" i="1" s="1"/>
  <c r="Z37" i="1" s="1"/>
  <c r="AD37" i="1" s="1"/>
  <c r="AG37" i="1" s="1"/>
  <c r="W72" i="1"/>
  <c r="W74" i="1"/>
  <c r="Y74" i="1" s="1"/>
  <c r="Z74" i="1" s="1"/>
  <c r="AD74" i="1" s="1"/>
  <c r="AG74" i="1" s="1"/>
  <c r="W75" i="1"/>
  <c r="Y75" i="1" s="1"/>
  <c r="Z75" i="1" s="1"/>
  <c r="AD75" i="1" s="1"/>
  <c r="AG75" i="1" s="1"/>
  <c r="AH75" i="1" s="1"/>
  <c r="W80" i="1"/>
  <c r="Y80" i="1" s="1"/>
  <c r="Z80" i="1" s="1"/>
  <c r="AD80" i="1" s="1"/>
  <c r="AG80" i="1" s="1"/>
  <c r="W81" i="1"/>
  <c r="Y81" i="1" s="1"/>
  <c r="Z81" i="1" s="1"/>
  <c r="AD81" i="1" s="1"/>
  <c r="AG81" i="1" s="1"/>
  <c r="W85" i="1"/>
  <c r="Y85" i="1" s="1"/>
  <c r="Z85" i="1" s="1"/>
  <c r="S5" i="1"/>
  <c r="S6" i="1"/>
  <c r="T6" i="1" s="1"/>
  <c r="X6" i="1" s="1"/>
  <c r="AB6" i="1" s="1"/>
  <c r="AF6" i="1" s="1"/>
  <c r="S9" i="1"/>
  <c r="T9" i="1" s="1"/>
  <c r="X9" i="1" s="1"/>
  <c r="AB9" i="1" s="1"/>
  <c r="AF9" i="1" s="1"/>
  <c r="S67" i="1"/>
  <c r="S39" i="1"/>
  <c r="T39" i="1" s="1"/>
  <c r="X39" i="1" s="1"/>
  <c r="S40" i="1"/>
  <c r="T40" i="1" s="1"/>
  <c r="X40" i="1" s="1"/>
  <c r="S41" i="1"/>
  <c r="T41" i="1" s="1"/>
  <c r="X41" i="1" s="1"/>
  <c r="S42" i="1"/>
  <c r="T42" i="1" s="1"/>
  <c r="X42" i="1" s="1"/>
  <c r="S43" i="1"/>
  <c r="T43" i="1" s="1"/>
  <c r="X43" i="1" s="1"/>
  <c r="S44" i="1"/>
  <c r="T44" i="1" s="1"/>
  <c r="X44" i="1" s="1"/>
  <c r="S59" i="1"/>
  <c r="T59" i="1" s="1"/>
  <c r="X59" i="1" s="1"/>
  <c r="AB59" i="1" s="1"/>
  <c r="AF59" i="1" s="1"/>
  <c r="S60" i="1"/>
  <c r="T60" i="1" s="1"/>
  <c r="X60" i="1" s="1"/>
  <c r="S61" i="1"/>
  <c r="T61" i="1" s="1"/>
  <c r="X61" i="1" s="1"/>
  <c r="S35" i="1"/>
  <c r="T35" i="1" s="1"/>
  <c r="X35" i="1" s="1"/>
  <c r="S62" i="1"/>
  <c r="T62" i="1" s="1"/>
  <c r="X62" i="1" s="1"/>
  <c r="S48" i="1"/>
  <c r="T48" i="1" s="1"/>
  <c r="X48" i="1" s="1"/>
  <c r="S63" i="1"/>
  <c r="T63" i="1" s="1"/>
  <c r="X63" i="1" s="1"/>
  <c r="S49" i="1"/>
  <c r="T49" i="1" s="1"/>
  <c r="X49" i="1" s="1"/>
  <c r="S10" i="1"/>
  <c r="T10" i="1" s="1"/>
  <c r="X10" i="1" s="1"/>
  <c r="S12" i="1"/>
  <c r="T12" i="1" s="1"/>
  <c r="X12" i="1" s="1"/>
  <c r="S13" i="1"/>
  <c r="T13" i="1" s="1"/>
  <c r="X13" i="1" s="1"/>
  <c r="S50" i="1"/>
  <c r="T50" i="1" s="1"/>
  <c r="X50" i="1" s="1"/>
  <c r="S14" i="1"/>
  <c r="T14" i="1" s="1"/>
  <c r="X14" i="1" s="1"/>
  <c r="S15" i="1"/>
  <c r="T15" i="1" s="1"/>
  <c r="X15" i="1" s="1"/>
  <c r="S64" i="1"/>
  <c r="T64" i="1" s="1"/>
  <c r="X64" i="1" s="1"/>
  <c r="S51" i="1"/>
  <c r="T51" i="1" s="1"/>
  <c r="X51" i="1" s="1"/>
  <c r="S16" i="1"/>
  <c r="T16" i="1" s="1"/>
  <c r="X16" i="1" s="1"/>
  <c r="S68" i="1"/>
  <c r="T68" i="1" s="1"/>
  <c r="X68" i="1" s="1"/>
  <c r="S65" i="1"/>
  <c r="T65" i="1" s="1"/>
  <c r="X65" i="1" s="1"/>
  <c r="S17" i="1"/>
  <c r="T17" i="1" s="1"/>
  <c r="X17" i="1" s="1"/>
  <c r="S18" i="1"/>
  <c r="T18" i="1" s="1"/>
  <c r="X18" i="1" s="1"/>
  <c r="S19" i="1"/>
  <c r="T19" i="1" s="1"/>
  <c r="X19" i="1" s="1"/>
  <c r="S20" i="1"/>
  <c r="T20" i="1" s="1"/>
  <c r="X20" i="1" s="1"/>
  <c r="AB20" i="1" s="1"/>
  <c r="AF20" i="1" s="1"/>
  <c r="S72" i="1"/>
  <c r="S73" i="1"/>
  <c r="S74" i="1"/>
  <c r="T74" i="1" s="1"/>
  <c r="X74" i="1" s="1"/>
  <c r="S75" i="1"/>
  <c r="T75" i="1" s="1"/>
  <c r="X75" i="1" s="1"/>
  <c r="S80" i="1"/>
  <c r="T80" i="1" s="1"/>
  <c r="X80" i="1" s="1"/>
  <c r="S81" i="1"/>
  <c r="T81" i="1" s="1"/>
  <c r="X81" i="1" s="1"/>
  <c r="S85" i="1"/>
  <c r="T85" i="1" s="1"/>
  <c r="S37" i="1"/>
  <c r="AH59" i="1" l="1"/>
  <c r="AH6" i="1"/>
  <c r="AH9" i="1"/>
  <c r="AE66" i="1"/>
  <c r="AG66" i="1"/>
  <c r="AH66" i="1" s="1"/>
  <c r="AE21" i="1"/>
  <c r="AG21" i="1"/>
  <c r="AH21" i="1" s="1"/>
  <c r="AH20" i="1"/>
  <c r="AD85" i="1"/>
  <c r="AE85" i="1" s="1"/>
  <c r="AA85" i="1"/>
  <c r="AC85" i="1" s="1"/>
  <c r="AE20" i="1"/>
  <c r="AA20" i="1"/>
  <c r="AC20" i="1" s="1"/>
  <c r="AB64" i="1"/>
  <c r="AA64" i="1"/>
  <c r="AC64" i="1" s="1"/>
  <c r="AB12" i="1"/>
  <c r="AA12" i="1"/>
  <c r="AC12" i="1" s="1"/>
  <c r="AE59" i="1"/>
  <c r="AA59" i="1"/>
  <c r="AC59" i="1" s="1"/>
  <c r="AB81" i="1"/>
  <c r="AA81" i="1"/>
  <c r="AC81" i="1" s="1"/>
  <c r="AE75" i="1"/>
  <c r="AA75" i="1"/>
  <c r="AC75" i="1" s="1"/>
  <c r="AB18" i="1"/>
  <c r="AA18" i="1"/>
  <c r="AC18" i="1" s="1"/>
  <c r="AB51" i="1"/>
  <c r="AA51" i="1"/>
  <c r="AC51" i="1" s="1"/>
  <c r="AB13" i="1"/>
  <c r="AA13" i="1"/>
  <c r="AC13" i="1" s="1"/>
  <c r="AB49" i="1"/>
  <c r="AA49" i="1"/>
  <c r="AC49" i="1" s="1"/>
  <c r="AB60" i="1"/>
  <c r="AA60" i="1"/>
  <c r="AC60" i="1" s="1"/>
  <c r="AB42" i="1"/>
  <c r="AA42" i="1"/>
  <c r="AC42" i="1" s="1"/>
  <c r="AB74" i="1"/>
  <c r="AF74" i="1" s="1"/>
  <c r="AA74" i="1"/>
  <c r="AC74" i="1" s="1"/>
  <c r="AB17" i="1"/>
  <c r="AA17" i="1"/>
  <c r="AC17" i="1" s="1"/>
  <c r="AB68" i="1"/>
  <c r="AA68" i="1"/>
  <c r="AC68" i="1" s="1"/>
  <c r="AB63" i="1"/>
  <c r="AA63" i="1"/>
  <c r="AC63" i="1" s="1"/>
  <c r="AB41" i="1"/>
  <c r="AA41" i="1"/>
  <c r="AC41" i="1" s="1"/>
  <c r="AD67" i="1"/>
  <c r="AA67" i="1"/>
  <c r="AC67" i="1" s="1"/>
  <c r="AB80" i="1"/>
  <c r="AA80" i="1"/>
  <c r="AC80" i="1" s="1"/>
  <c r="AB19" i="1"/>
  <c r="AA19" i="1"/>
  <c r="AC19" i="1" s="1"/>
  <c r="AB15" i="1"/>
  <c r="AA15" i="1"/>
  <c r="AC15" i="1" s="1"/>
  <c r="AB48" i="1"/>
  <c r="AA48" i="1"/>
  <c r="AC48" i="1" s="1"/>
  <c r="AB35" i="1"/>
  <c r="AA35" i="1"/>
  <c r="AC35" i="1" s="1"/>
  <c r="AB44" i="1"/>
  <c r="AA44" i="1"/>
  <c r="AC44" i="1" s="1"/>
  <c r="AB40" i="1"/>
  <c r="AA40" i="1"/>
  <c r="AC40" i="1" s="1"/>
  <c r="AE9" i="1"/>
  <c r="AA9" i="1"/>
  <c r="AC9" i="1" s="1"/>
  <c r="AB65" i="1"/>
  <c r="AA65" i="1"/>
  <c r="AC65" i="1" s="1"/>
  <c r="AB16" i="1"/>
  <c r="AA16" i="1"/>
  <c r="AC16" i="1" s="1"/>
  <c r="AB14" i="1"/>
  <c r="AA14" i="1"/>
  <c r="AC14" i="1" s="1"/>
  <c r="AB50" i="1"/>
  <c r="AA50" i="1"/>
  <c r="AC50" i="1" s="1"/>
  <c r="AB10" i="1"/>
  <c r="AA10" i="1"/>
  <c r="AC10" i="1" s="1"/>
  <c r="AB62" i="1"/>
  <c r="AA62" i="1"/>
  <c r="AC62" i="1" s="1"/>
  <c r="AB61" i="1"/>
  <c r="AA61" i="1"/>
  <c r="AC61" i="1" s="1"/>
  <c r="AB43" i="1"/>
  <c r="AA43" i="1"/>
  <c r="AC43" i="1" s="1"/>
  <c r="AB39" i="1"/>
  <c r="AA39" i="1"/>
  <c r="AC39" i="1" s="1"/>
  <c r="AE6" i="1"/>
  <c r="AA6" i="1"/>
  <c r="AC6" i="1" s="1"/>
  <c r="T37" i="1"/>
  <c r="T5" i="1"/>
  <c r="V11" i="1"/>
  <c r="W11" i="1" s="1"/>
  <c r="Y11" i="1" s="1"/>
  <c r="Z11" i="1" s="1"/>
  <c r="AD11" i="1" s="1"/>
  <c r="AG11" i="1" s="1"/>
  <c r="R11" i="1"/>
  <c r="S11" i="1" s="1"/>
  <c r="T11" i="1" s="1"/>
  <c r="X11" i="1" s="1"/>
  <c r="AE61" i="1" l="1"/>
  <c r="AF61" i="1"/>
  <c r="AH61" i="1" s="1"/>
  <c r="AE14" i="1"/>
  <c r="AF14" i="1"/>
  <c r="AH14" i="1" s="1"/>
  <c r="AE48" i="1"/>
  <c r="AF48" i="1"/>
  <c r="AH48" i="1" s="1"/>
  <c r="AE41" i="1"/>
  <c r="AF41" i="1"/>
  <c r="AH41" i="1" s="1"/>
  <c r="AE68" i="1"/>
  <c r="AF68" i="1"/>
  <c r="AH68" i="1" s="1"/>
  <c r="AE42" i="1"/>
  <c r="AF42" i="1"/>
  <c r="AH42" i="1" s="1"/>
  <c r="AE13" i="1"/>
  <c r="AF13" i="1"/>
  <c r="AH13" i="1" s="1"/>
  <c r="AE18" i="1"/>
  <c r="AF18" i="1"/>
  <c r="AH18" i="1" s="1"/>
  <c r="AE64" i="1"/>
  <c r="AF64" i="1"/>
  <c r="AH64" i="1" s="1"/>
  <c r="AE39" i="1"/>
  <c r="AF39" i="1"/>
  <c r="AH39" i="1" s="1"/>
  <c r="AE44" i="1"/>
  <c r="AF44" i="1"/>
  <c r="AH44" i="1" s="1"/>
  <c r="AE80" i="1"/>
  <c r="AF80" i="1"/>
  <c r="AH80" i="1" s="1"/>
  <c r="AH74" i="1"/>
  <c r="AE51" i="1"/>
  <c r="AF51" i="1"/>
  <c r="AH51" i="1" s="1"/>
  <c r="AE16" i="1"/>
  <c r="AF16" i="1"/>
  <c r="AH16" i="1" s="1"/>
  <c r="AE19" i="1"/>
  <c r="AF19" i="1"/>
  <c r="AH19" i="1" s="1"/>
  <c r="AE60" i="1"/>
  <c r="AF60" i="1"/>
  <c r="AH60" i="1" s="1"/>
  <c r="AE65" i="1"/>
  <c r="AF65" i="1"/>
  <c r="AH65" i="1" s="1"/>
  <c r="AE62" i="1"/>
  <c r="AF62" i="1"/>
  <c r="AH62" i="1" s="1"/>
  <c r="AE40" i="1"/>
  <c r="AF40" i="1"/>
  <c r="AH40" i="1" s="1"/>
  <c r="AE17" i="1"/>
  <c r="AF17" i="1"/>
  <c r="AH17" i="1" s="1"/>
  <c r="AE10" i="1"/>
  <c r="AF10" i="1"/>
  <c r="AH10" i="1" s="1"/>
  <c r="AE63" i="1"/>
  <c r="AF63" i="1"/>
  <c r="AH63" i="1" s="1"/>
  <c r="AE43" i="1"/>
  <c r="AF43" i="1"/>
  <c r="AH43" i="1" s="1"/>
  <c r="AE50" i="1"/>
  <c r="AF50" i="1"/>
  <c r="AH50" i="1" s="1"/>
  <c r="AE35" i="1"/>
  <c r="AF35" i="1"/>
  <c r="AH35" i="1" s="1"/>
  <c r="AE15" i="1"/>
  <c r="AF15" i="1"/>
  <c r="AH15" i="1" s="1"/>
  <c r="AE67" i="1"/>
  <c r="AG67" i="1"/>
  <c r="AG71" i="1" s="1"/>
  <c r="AE49" i="1"/>
  <c r="AF49" i="1"/>
  <c r="AH49" i="1" s="1"/>
  <c r="AE81" i="1"/>
  <c r="AF81" i="1"/>
  <c r="AH81" i="1" s="1"/>
  <c r="AE12" i="1"/>
  <c r="AF12" i="1"/>
  <c r="AH12" i="1" s="1"/>
  <c r="AD71" i="1"/>
  <c r="AE74" i="1"/>
  <c r="AD84" i="1"/>
  <c r="AB11" i="1"/>
  <c r="AA11" i="1"/>
  <c r="AC11" i="1" s="1"/>
  <c r="X5" i="1"/>
  <c r="AB5" i="1" s="1"/>
  <c r="AF5" i="1" s="1"/>
  <c r="X37" i="1"/>
  <c r="S71" i="1"/>
  <c r="S84" i="1" s="1"/>
  <c r="T84" i="1" s="1"/>
  <c r="T71" i="1"/>
  <c r="X71" i="1" s="1"/>
  <c r="X84" i="1" s="1"/>
  <c r="W71" i="1"/>
  <c r="W84" i="1" s="1"/>
  <c r="Y84" i="1" s="1"/>
  <c r="Z84" i="1" s="1"/>
  <c r="AH5" i="1" l="1"/>
  <c r="AE11" i="1"/>
  <c r="AF11" i="1"/>
  <c r="AH11" i="1" s="1"/>
  <c r="AH67" i="1"/>
  <c r="AG84" i="1"/>
  <c r="AD86" i="1"/>
  <c r="AB37" i="1"/>
  <c r="AB71" i="1" s="1"/>
  <c r="AA37" i="1"/>
  <c r="AC37" i="1" s="1"/>
  <c r="AE5" i="1"/>
  <c r="AA5" i="1"/>
  <c r="AC5" i="1" s="1"/>
  <c r="AA84" i="1"/>
  <c r="AC84" i="1" s="1"/>
  <c r="Y71" i="1"/>
  <c r="Z71" i="1" s="1"/>
  <c r="W86" i="1"/>
  <c r="Y86" i="1" s="1"/>
  <c r="Z86" i="1" s="1"/>
  <c r="S86" i="1"/>
  <c r="T86" i="1" s="1"/>
  <c r="M5" i="1"/>
  <c r="M6" i="1"/>
  <c r="M9" i="1"/>
  <c r="M67" i="1"/>
  <c r="M39" i="1"/>
  <c r="M40" i="1"/>
  <c r="M41" i="1"/>
  <c r="M42" i="1"/>
  <c r="M43" i="1"/>
  <c r="M44" i="1"/>
  <c r="M59" i="1"/>
  <c r="M60" i="1"/>
  <c r="M61" i="1"/>
  <c r="M35" i="1"/>
  <c r="M62" i="1"/>
  <c r="M48" i="1"/>
  <c r="M63" i="1"/>
  <c r="M49" i="1"/>
  <c r="M10" i="1"/>
  <c r="M12" i="1"/>
  <c r="M13" i="1"/>
  <c r="M50" i="1"/>
  <c r="M14" i="1"/>
  <c r="M15" i="1"/>
  <c r="M51" i="1"/>
  <c r="M16" i="1"/>
  <c r="M68" i="1"/>
  <c r="M65" i="1"/>
  <c r="M19" i="1"/>
  <c r="M37" i="1"/>
  <c r="AB84" i="1" l="1"/>
  <c r="AE84" i="1" s="1"/>
  <c r="AG86" i="1"/>
  <c r="AE37" i="1"/>
  <c r="AF37" i="1"/>
  <c r="AF71" i="1" s="1"/>
  <c r="AA71" i="1"/>
  <c r="AE71" i="1"/>
  <c r="L75" i="1"/>
  <c r="M75" i="1" s="1"/>
  <c r="L80" i="1"/>
  <c r="M80" i="1" s="1"/>
  <c r="L81" i="1"/>
  <c r="M81" i="1" s="1"/>
  <c r="L74" i="1"/>
  <c r="M74" i="1" s="1"/>
  <c r="F75" i="1"/>
  <c r="H75" i="1" s="1"/>
  <c r="I75" i="1" s="1"/>
  <c r="F80" i="1"/>
  <c r="H80" i="1" s="1"/>
  <c r="I80" i="1" s="1"/>
  <c r="F81" i="1"/>
  <c r="H81" i="1" s="1"/>
  <c r="I81" i="1" s="1"/>
  <c r="F74" i="1"/>
  <c r="H74" i="1" s="1"/>
  <c r="L64" i="1"/>
  <c r="M64" i="1" s="1"/>
  <c r="L17" i="1"/>
  <c r="M17" i="1" s="1"/>
  <c r="L18" i="1"/>
  <c r="M18" i="1" s="1"/>
  <c r="L20" i="1"/>
  <c r="M20" i="1" s="1"/>
  <c r="N37" i="1"/>
  <c r="N5" i="1"/>
  <c r="F37" i="1"/>
  <c r="H37" i="1" s="1"/>
  <c r="I37" i="1" s="1"/>
  <c r="P37" i="1" s="1"/>
  <c r="L11" i="1"/>
  <c r="M11" i="1" s="1"/>
  <c r="AB86" i="1" l="1"/>
  <c r="AE86" i="1" s="1"/>
  <c r="AH37" i="1"/>
  <c r="AH71" i="1" s="1"/>
  <c r="AC71" i="1"/>
  <c r="AA86" i="1"/>
  <c r="AC86" i="1" s="1"/>
  <c r="P80" i="1"/>
  <c r="P81" i="1"/>
  <c r="P75" i="1"/>
  <c r="O81" i="1"/>
  <c r="O75" i="1"/>
  <c r="M71" i="1"/>
  <c r="M84" i="1" s="1"/>
  <c r="L84" i="1"/>
  <c r="L71" i="1"/>
  <c r="O37" i="1"/>
  <c r="I74" i="1"/>
  <c r="O74" i="1"/>
  <c r="O80" i="1"/>
  <c r="F5" i="1"/>
  <c r="F6" i="1"/>
  <c r="F9" i="1"/>
  <c r="F67" i="1"/>
  <c r="F39" i="1"/>
  <c r="F40" i="1"/>
  <c r="F41" i="1"/>
  <c r="F42" i="1"/>
  <c r="F43" i="1"/>
  <c r="F44" i="1"/>
  <c r="F59" i="1"/>
  <c r="F60" i="1"/>
  <c r="F61" i="1"/>
  <c r="F35" i="1"/>
  <c r="F62" i="1"/>
  <c r="F48" i="1"/>
  <c r="F63" i="1"/>
  <c r="F49" i="1"/>
  <c r="F10" i="1"/>
  <c r="F11" i="1"/>
  <c r="F12" i="1"/>
  <c r="F13" i="1"/>
  <c r="F50" i="1"/>
  <c r="F14" i="1"/>
  <c r="F15" i="1"/>
  <c r="F64" i="1"/>
  <c r="H64" i="1" s="1"/>
  <c r="I64" i="1" s="1"/>
  <c r="P64" i="1" s="1"/>
  <c r="F51" i="1"/>
  <c r="F16" i="1"/>
  <c r="F68" i="1"/>
  <c r="F65" i="1"/>
  <c r="F17" i="1"/>
  <c r="H17" i="1" s="1"/>
  <c r="I17" i="1" s="1"/>
  <c r="P17" i="1" s="1"/>
  <c r="F18" i="1"/>
  <c r="F19" i="1"/>
  <c r="F20" i="1"/>
  <c r="AH84" i="1" l="1"/>
  <c r="AH86" i="1" s="1"/>
  <c r="AF84" i="1"/>
  <c r="AF86" i="1" s="1"/>
  <c r="M86" i="1"/>
  <c r="L86" i="1"/>
  <c r="P74" i="1"/>
  <c r="H18" i="1"/>
  <c r="I18" i="1" s="1"/>
  <c r="P18" i="1" s="1"/>
  <c r="O18" i="1"/>
  <c r="H50" i="1"/>
  <c r="I50" i="1" s="1"/>
  <c r="P50" i="1" s="1"/>
  <c r="O50" i="1"/>
  <c r="H63" i="1"/>
  <c r="I63" i="1" s="1"/>
  <c r="P63" i="1" s="1"/>
  <c r="O63" i="1"/>
  <c r="H41" i="1"/>
  <c r="I41" i="1" s="1"/>
  <c r="P41" i="1" s="1"/>
  <c r="O41" i="1"/>
  <c r="H44" i="1"/>
  <c r="I44" i="1" s="1"/>
  <c r="P44" i="1" s="1"/>
  <c r="O44" i="1"/>
  <c r="H12" i="1"/>
  <c r="I12" i="1" s="1"/>
  <c r="P12" i="1" s="1"/>
  <c r="O12" i="1"/>
  <c r="H61" i="1"/>
  <c r="I61" i="1" s="1"/>
  <c r="P61" i="1" s="1"/>
  <c r="O61" i="1"/>
  <c r="H43" i="1"/>
  <c r="I43" i="1" s="1"/>
  <c r="P43" i="1" s="1"/>
  <c r="O43" i="1"/>
  <c r="H39" i="1"/>
  <c r="I39" i="1" s="1"/>
  <c r="P39" i="1" s="1"/>
  <c r="O39" i="1"/>
  <c r="H6" i="1"/>
  <c r="I6" i="1" s="1"/>
  <c r="P6" i="1" s="1"/>
  <c r="O6" i="1"/>
  <c r="H20" i="1"/>
  <c r="I20" i="1" s="1"/>
  <c r="P20" i="1" s="1"/>
  <c r="O20" i="1"/>
  <c r="H51" i="1"/>
  <c r="I51" i="1" s="1"/>
  <c r="P51" i="1" s="1"/>
  <c r="O51" i="1"/>
  <c r="F71" i="1"/>
  <c r="H59" i="1"/>
  <c r="I59" i="1" s="1"/>
  <c r="P59" i="1" s="1"/>
  <c r="O59" i="1"/>
  <c r="H67" i="1"/>
  <c r="I67" i="1" s="1"/>
  <c r="P67" i="1" s="1"/>
  <c r="O67" i="1"/>
  <c r="H68" i="1"/>
  <c r="I68" i="1" s="1"/>
  <c r="P68" i="1" s="1"/>
  <c r="O68" i="1"/>
  <c r="H13" i="1"/>
  <c r="I13" i="1" s="1"/>
  <c r="P13" i="1" s="1"/>
  <c r="O13" i="1"/>
  <c r="H48" i="1"/>
  <c r="I48" i="1" s="1"/>
  <c r="P48" i="1" s="1"/>
  <c r="O48" i="1"/>
  <c r="H35" i="1"/>
  <c r="I35" i="1" s="1"/>
  <c r="P35" i="1" s="1"/>
  <c r="O35" i="1"/>
  <c r="H40" i="1"/>
  <c r="I40" i="1" s="1"/>
  <c r="P40" i="1" s="1"/>
  <c r="O40" i="1"/>
  <c r="H9" i="1"/>
  <c r="I9" i="1" s="1"/>
  <c r="P9" i="1" s="1"/>
  <c r="O9" i="1"/>
  <c r="O17" i="1"/>
  <c r="H19" i="1"/>
  <c r="I19" i="1" s="1"/>
  <c r="P19" i="1" s="1"/>
  <c r="O19" i="1"/>
  <c r="H15" i="1"/>
  <c r="I15" i="1" s="1"/>
  <c r="P15" i="1" s="1"/>
  <c r="O15" i="1"/>
  <c r="H10" i="1"/>
  <c r="I10" i="1" s="1"/>
  <c r="P10" i="1" s="1"/>
  <c r="O10" i="1"/>
  <c r="H62" i="1"/>
  <c r="I62" i="1" s="1"/>
  <c r="P62" i="1" s="1"/>
  <c r="O62" i="1"/>
  <c r="H65" i="1"/>
  <c r="I65" i="1" s="1"/>
  <c r="P65" i="1" s="1"/>
  <c r="O65" i="1"/>
  <c r="H16" i="1"/>
  <c r="I16" i="1" s="1"/>
  <c r="P16" i="1" s="1"/>
  <c r="O16" i="1"/>
  <c r="H14" i="1"/>
  <c r="I14" i="1" s="1"/>
  <c r="P14" i="1" s="1"/>
  <c r="O14" i="1"/>
  <c r="H11" i="1"/>
  <c r="I11" i="1" s="1"/>
  <c r="P11" i="1" s="1"/>
  <c r="O11" i="1"/>
  <c r="H49" i="1"/>
  <c r="I49" i="1" s="1"/>
  <c r="P49" i="1" s="1"/>
  <c r="O49" i="1"/>
  <c r="H60" i="1"/>
  <c r="I60" i="1" s="1"/>
  <c r="P60" i="1" s="1"/>
  <c r="O60" i="1"/>
  <c r="H42" i="1"/>
  <c r="I42" i="1" s="1"/>
  <c r="P42" i="1" s="1"/>
  <c r="O42" i="1"/>
  <c r="H5" i="1"/>
  <c r="O5" i="1"/>
  <c r="O64" i="1"/>
  <c r="K71" i="1"/>
  <c r="E71" i="1"/>
  <c r="E84" i="1" s="1"/>
  <c r="N75" i="1"/>
  <c r="N80" i="1"/>
  <c r="N81" i="1"/>
  <c r="N74" i="1"/>
  <c r="N6" i="1"/>
  <c r="N9" i="1"/>
  <c r="N67" i="1"/>
  <c r="N39" i="1"/>
  <c r="N40" i="1"/>
  <c r="N41" i="1"/>
  <c r="N42" i="1"/>
  <c r="N43" i="1"/>
  <c r="N44" i="1"/>
  <c r="N59" i="1"/>
  <c r="N60" i="1"/>
  <c r="N61" i="1"/>
  <c r="N35" i="1"/>
  <c r="N62" i="1"/>
  <c r="N48" i="1"/>
  <c r="N63" i="1"/>
  <c r="N49" i="1"/>
  <c r="N10" i="1"/>
  <c r="N11" i="1"/>
  <c r="N12" i="1"/>
  <c r="N13" i="1"/>
  <c r="N50" i="1"/>
  <c r="N14" i="1"/>
  <c r="N15" i="1"/>
  <c r="N64" i="1"/>
  <c r="N51" i="1"/>
  <c r="N16" i="1"/>
  <c r="N68" i="1"/>
  <c r="N65" i="1"/>
  <c r="N17" i="1"/>
  <c r="N18" i="1"/>
  <c r="N19" i="1"/>
  <c r="N20" i="1"/>
  <c r="H84" i="1" l="1"/>
  <c r="F84" i="1"/>
  <c r="F86" i="1" s="1"/>
  <c r="O71" i="1"/>
  <c r="I5" i="1"/>
  <c r="H71" i="1"/>
  <c r="N71" i="1"/>
  <c r="N84" i="1" s="1"/>
  <c r="E86" i="1"/>
  <c r="K84" i="1"/>
  <c r="H86" i="1" l="1"/>
  <c r="I84" i="1"/>
  <c r="O84" i="1"/>
  <c r="O86" i="1" s="1"/>
  <c r="I71" i="1"/>
  <c r="P5" i="1"/>
  <c r="P71" i="1" s="1"/>
  <c r="N86" i="1"/>
  <c r="K86" i="1"/>
  <c r="P84" i="1" l="1"/>
  <c r="P86" i="1" s="1"/>
  <c r="I86" i="1"/>
</calcChain>
</file>

<file path=xl/sharedStrings.xml><?xml version="1.0" encoding="utf-8"?>
<sst xmlns="http://schemas.openxmlformats.org/spreadsheetml/2006/main" count="575" uniqueCount="218">
  <si>
    <t>Subtotaal</t>
  </si>
  <si>
    <t>Straat</t>
  </si>
  <si>
    <t>Plaats</t>
  </si>
  <si>
    <t>Muziekkiosk</t>
  </si>
  <si>
    <t xml:space="preserve">Muziekkiosk </t>
  </si>
  <si>
    <t>Oude Toren</t>
  </si>
  <si>
    <t>Gemeenschapshuis Den Herd</t>
  </si>
  <si>
    <t>Brandweerkazerne Bladel</t>
  </si>
  <si>
    <t>Luchtwachttoren (LUWA)</t>
  </si>
  <si>
    <t xml:space="preserve">Kapel </t>
  </si>
  <si>
    <t>August Vermeylenlaan 1</t>
  </si>
  <si>
    <t>Herman Gorterlaan 4</t>
  </si>
  <si>
    <t>Bernhardstraat 4</t>
  </si>
  <si>
    <t>Hofplein 1</t>
  </si>
  <si>
    <t>Hofveld 4</t>
  </si>
  <si>
    <t>Bergmolen 3</t>
  </si>
  <si>
    <t>Bladel</t>
  </si>
  <si>
    <t>Netersel</t>
  </si>
  <si>
    <t>Hapert</t>
  </si>
  <si>
    <t>Casteren</t>
  </si>
  <si>
    <t>Planetenlaan 1</t>
  </si>
  <si>
    <t>Polderdijk 10</t>
  </si>
  <si>
    <t>Kerkstraat 21</t>
  </si>
  <si>
    <t>Isegrim 5</t>
  </si>
  <si>
    <t>Den Bogerd 29</t>
  </si>
  <si>
    <t>Bossingel naast 4</t>
  </si>
  <si>
    <t>Hoofdstraat 21</t>
  </si>
  <si>
    <t>Hoogeloon</t>
  </si>
  <si>
    <t>Markt 5</t>
  </si>
  <si>
    <t>Markt 4</t>
  </si>
  <si>
    <t>Egyptischedijk 9A</t>
  </si>
  <si>
    <t>Egyptischedijk 11B</t>
  </si>
  <si>
    <t>Kasteellaan 3</t>
  </si>
  <si>
    <t>Inventaris</t>
  </si>
  <si>
    <t>Opstal</t>
  </si>
  <si>
    <t>Kerkstraat 37</t>
  </si>
  <si>
    <t>Burgemeester Goossensstraat 48</t>
  </si>
  <si>
    <t>Sportcomplex de Smagtenbocht Tennispaviljoen</t>
  </si>
  <si>
    <t>Sportcomplex de Lemelvelden tennisvereniging</t>
  </si>
  <si>
    <t>Sportcomplex de Lemelvelden korfbalvereniging</t>
  </si>
  <si>
    <t>Gemeentehuis</t>
  </si>
  <si>
    <t xml:space="preserve">Voormalige gemeentewerf </t>
  </si>
  <si>
    <t xml:space="preserve">Dierenverblijf </t>
  </si>
  <si>
    <t>Torenstraat 9</t>
  </si>
  <si>
    <t>Basisschool De Vest</t>
  </si>
  <si>
    <t>Het Palet</t>
  </si>
  <si>
    <t>Basisschool Lambertus</t>
  </si>
  <si>
    <t>Basisschool Toermalijn</t>
  </si>
  <si>
    <t>St. Jan</t>
  </si>
  <si>
    <t>#1</t>
  </si>
  <si>
    <t>#2</t>
  </si>
  <si>
    <t>Lange Trekken 32</t>
  </si>
  <si>
    <t>SUB 1: gemeentelijke gebouwen</t>
  </si>
  <si>
    <t>SUB 2: onderwijsinstellingen/primair onderwijs</t>
  </si>
  <si>
    <t>SUB 2</t>
  </si>
  <si>
    <t xml:space="preserve">Taxatie </t>
  </si>
  <si>
    <t>TOG</t>
  </si>
  <si>
    <t>TOTAAL</t>
  </si>
  <si>
    <t>Taxatie</t>
  </si>
  <si>
    <t>Sporthal X-sport</t>
  </si>
  <si>
    <t>MFA de Poel</t>
  </si>
  <si>
    <t>De Hoeve 2</t>
  </si>
  <si>
    <t>inventaris</t>
  </si>
  <si>
    <t>Per 01-01-2014</t>
  </si>
  <si>
    <t>Zonder index</t>
  </si>
  <si>
    <t>per 01-01-2015</t>
  </si>
  <si>
    <t>Troostwijk 120,2</t>
  </si>
  <si>
    <t>Troostwijk 115,7</t>
  </si>
  <si>
    <t>Per 01-01-2015</t>
  </si>
  <si>
    <t>Totaal</t>
  </si>
  <si>
    <t xml:space="preserve">Mutaties </t>
  </si>
  <si>
    <t>Opstal 2015</t>
  </si>
  <si>
    <t xml:space="preserve">Opstal </t>
  </si>
  <si>
    <t>per 01-01-2016</t>
  </si>
  <si>
    <t>troostwijk 121</t>
  </si>
  <si>
    <t>Per 01-01-2016</t>
  </si>
  <si>
    <t>per 01-01-2017</t>
  </si>
  <si>
    <t>Opstal 2016</t>
  </si>
  <si>
    <t>troostwijk 123,1</t>
  </si>
  <si>
    <t>mutaties</t>
  </si>
  <si>
    <t>Totaal 2016</t>
  </si>
  <si>
    <t xml:space="preserve">Inventaris </t>
  </si>
  <si>
    <t>totaal</t>
  </si>
  <si>
    <t>troostwijk 116,6</t>
  </si>
  <si>
    <t>per</t>
  </si>
  <si>
    <t>Biezeveld 14</t>
  </si>
  <si>
    <t>Dr. Schaepmanlaan 16</t>
  </si>
  <si>
    <t>Jan Goossensstraat 7</t>
  </si>
  <si>
    <t>Schalieven 40</t>
  </si>
  <si>
    <t>Beemke 2</t>
  </si>
  <si>
    <t>Woonhuis (verhuurd stushouders)</t>
  </si>
  <si>
    <t>Landrop 34</t>
  </si>
  <si>
    <t>Landrop 32</t>
  </si>
  <si>
    <t>per 01-01-2018</t>
  </si>
  <si>
    <t>troostwijk 125,8</t>
  </si>
  <si>
    <t>troostwijk 118,3</t>
  </si>
  <si>
    <t>per 01-01-2019</t>
  </si>
  <si>
    <t>troostwijk 123,6</t>
  </si>
  <si>
    <t>troostwijk 141,4</t>
  </si>
  <si>
    <t>Hendrik Consiencelaan 38</t>
  </si>
  <si>
    <t>Kerkeneind 2a</t>
  </si>
  <si>
    <t>Wilhelminastraat 2</t>
  </si>
  <si>
    <t>Saturnus 25</t>
  </si>
  <si>
    <t>Sportcomplex de Roetwijer korfbalvereniging</t>
  </si>
  <si>
    <t>Wagenbroeken 27</t>
  </si>
  <si>
    <t>Antoon Coolenlaan 113</t>
  </si>
  <si>
    <t>Gerard Bruninglaan 63</t>
  </si>
  <si>
    <t>Leemskuilen 16</t>
  </si>
  <si>
    <t>opstal</t>
  </si>
  <si>
    <t>troostwijk 105</t>
  </si>
  <si>
    <t>troostwijk 101,6</t>
  </si>
  <si>
    <t>Egyptischedijk 9B</t>
  </si>
  <si>
    <t>Egyptischedijk 9C</t>
  </si>
  <si>
    <t>Egyptischedijk ong.</t>
  </si>
  <si>
    <t>Voormalige praktijkschool</t>
  </si>
  <si>
    <t>Wagenbroeken 25</t>
  </si>
  <si>
    <t>Woonhuis (verhuurd) (helft van twee onder één kap)</t>
  </si>
  <si>
    <t>Bijgebouw 1 Machineberging</t>
  </si>
  <si>
    <t xml:space="preserve">Bijgebouw 3 Voormalige varkensstal </t>
  </si>
  <si>
    <t>Bijgebouw 4 Voormalige varkensstal</t>
  </si>
  <si>
    <t>Brandweerkazerne en gemeentewerf Hapert (brandweerkazerne)</t>
  </si>
  <si>
    <t>Brandweerkazerne en gemeentewerf Hapert (gemeentewerf)</t>
  </si>
  <si>
    <t xml:space="preserve">Sportcomplex de Lemelvelden clubgebouw Duivensport de Witpen </t>
  </si>
  <si>
    <t>Sportcomplex de Lemelvelden Vishutje 1 steen</t>
  </si>
  <si>
    <t>Sportcomplex de Lemelvelden Vishutje 2 hout</t>
  </si>
  <si>
    <t>Sportcomples de Lemelvelden Het Snelle Wiel</t>
  </si>
  <si>
    <t>Sportcomples de Lemelvelden Jeugdorganisatie Jong Nederland</t>
  </si>
  <si>
    <t>Sportcomples de Lemelvelden elektrahuisje</t>
  </si>
  <si>
    <t>Alexanderhof ong.</t>
  </si>
  <si>
    <t>Steunpunt Kloostertuin (excl. woningen)</t>
  </si>
  <si>
    <t>Postelsedijk ong.</t>
  </si>
  <si>
    <t>Burg. v. Woenseldreef 23</t>
  </si>
  <si>
    <t>Burg. v. Woenseldreef 11</t>
  </si>
  <si>
    <t>Burg. v. Woenseldreef 17</t>
  </si>
  <si>
    <t>Burg. v. Woenseldreef 21</t>
  </si>
  <si>
    <t>Burg. v. Woenseldreef 7-9</t>
  </si>
  <si>
    <t>Burg. v. Woenseldreef 37</t>
  </si>
  <si>
    <t>Burg. v. Woenseldreef 5</t>
  </si>
  <si>
    <t>Burg. v. Woenseldreef 25</t>
  </si>
  <si>
    <t>Kerkstraat ong. (naast 23)</t>
  </si>
  <si>
    <t>Ganzestraat 25</t>
  </si>
  <si>
    <t>Sportcomplex de Smagtenbocht Handbal, kantine en opslag</t>
  </si>
  <si>
    <t>Sportcomplex de Smagtenbocht Korfbal, kleedaccommodatie</t>
  </si>
  <si>
    <t>Sportcomplex de Smagtenbocht Handbal en Korfbal, kleedaccommodatie</t>
  </si>
  <si>
    <t>Vishutje 2 (hout)</t>
  </si>
  <si>
    <t>Vishutje 1 (steen)</t>
  </si>
  <si>
    <t xml:space="preserve">Sportcomplex de Smeel VV Casteren en korfbalvereniging </t>
  </si>
  <si>
    <t>Sportcomplex de Roetwijer VV Hoogeloon</t>
  </si>
  <si>
    <t>Sportcomplex de Roetwijer magazijn korfbalvereniging</t>
  </si>
  <si>
    <t>Hoofdstraat ong.</t>
  </si>
  <si>
    <t>Sportcomplex de Groesbocht VV Netersel en korfbalvereniging</t>
  </si>
  <si>
    <t>School voor Speciaal Basisonderwijs de Piramide</t>
  </si>
  <si>
    <t>Openbare Basisschool De Sleutelaar</t>
  </si>
  <si>
    <t>Sportcomplex de Smagtenbocht VV Bladella, kleedaccommodatie</t>
  </si>
  <si>
    <t>Emmaplein 2-4</t>
  </si>
  <si>
    <t>Markt 20-21b</t>
  </si>
  <si>
    <t>Bibliotheek, huurdersbelang</t>
  </si>
  <si>
    <t>CJG, huurdersbelang</t>
  </si>
  <si>
    <t>Woonhuis (verhuurd statushouders)</t>
  </si>
  <si>
    <t xml:space="preserve">Bijgebouw 2 Voormalige varkensstal </t>
  </si>
  <si>
    <t>Sportcomplex de Smeel VV Casteren (opslag)</t>
  </si>
  <si>
    <t>Sportcomplex de Lemelvelden VV Hapert, tribune en kleedaccommodatie</t>
  </si>
  <si>
    <t>Fietsenstalling nabij Sporthal Eureka</t>
  </si>
  <si>
    <t>Landrop 32-34</t>
  </si>
  <si>
    <t>Steunpunt Den Bogerd, huurdersbelang</t>
  </si>
  <si>
    <t>Fons vd Heijdenstraat ong. (nabij nr. 1)</t>
  </si>
  <si>
    <t>Bleijenhoek 57-57d</t>
  </si>
  <si>
    <t>Toelichting</t>
  </si>
  <si>
    <t>Voormailig bankgebouw Rabobank</t>
  </si>
  <si>
    <t>Markt 6-8</t>
  </si>
  <si>
    <t>(opstal: aankoopbedrag inventaris: geschatte waarde)/geldautomaat aanwezig</t>
  </si>
  <si>
    <t>Kindcentrum Florent</t>
  </si>
  <si>
    <t>index 108</t>
  </si>
  <si>
    <t xml:space="preserve">inventaris </t>
  </si>
  <si>
    <t>index 103,5</t>
  </si>
  <si>
    <t>Langgevelboerderij met bijgebouwen</t>
  </si>
  <si>
    <t>Zwartakkers 16</t>
  </si>
  <si>
    <t>Waarde aan de hoge kant, in deze prijs zitten ook alle gronden € 600.000 lijkt me genoeg</t>
  </si>
  <si>
    <t>Nieuw taxatie. Zie rapporten</t>
  </si>
  <si>
    <t>opstal 2022</t>
  </si>
  <si>
    <t>inventaris 2022</t>
  </si>
  <si>
    <t xml:space="preserve"> index 113,9</t>
  </si>
  <si>
    <t>index 109,2</t>
  </si>
  <si>
    <t>Alexanderhof 7</t>
  </si>
  <si>
    <t>Gemeenschapshuis Den Tref (sloopwaarde)</t>
  </si>
  <si>
    <t>Molenstraat 34</t>
  </si>
  <si>
    <t>De Wijer 52</t>
  </si>
  <si>
    <t>Rondweg 2</t>
  </si>
  <si>
    <t>Oude provincialeweg 17,19,21,21a en Kerkstraat 23</t>
  </si>
  <si>
    <t xml:space="preserve">MFA Hart van Hapert </t>
  </si>
  <si>
    <t>Woning met garage (bewoond) (sloopwaarde)</t>
  </si>
  <si>
    <t xml:space="preserve"> index 130</t>
  </si>
  <si>
    <t>index 126,4</t>
  </si>
  <si>
    <t>opstal 2023</t>
  </si>
  <si>
    <t>inventaris 2023</t>
  </si>
  <si>
    <t>Woning 2-onder-1 kap (bewoond) (sloopwaarde)</t>
  </si>
  <si>
    <t>Woning (bewoond)</t>
  </si>
  <si>
    <t>opstal 2024</t>
  </si>
  <si>
    <t>inventaris 2024</t>
  </si>
  <si>
    <t>index 126,8</t>
  </si>
  <si>
    <t>Objecten gemeente Bladel per 01-01-2024</t>
  </si>
  <si>
    <t>Beveliging</t>
  </si>
  <si>
    <t>Zonnepanelen</t>
  </si>
  <si>
    <t>Leegstand</t>
  </si>
  <si>
    <t>Asbest</t>
  </si>
  <si>
    <t>soort</t>
  </si>
  <si>
    <t>J/N</t>
  </si>
  <si>
    <t>J</t>
  </si>
  <si>
    <t>N</t>
  </si>
  <si>
    <t xml:space="preserve">J </t>
  </si>
  <si>
    <t>?</t>
  </si>
  <si>
    <t>Basisschool Bergmolen (vh Franciscuschool)</t>
  </si>
  <si>
    <t>BMI; Inbraak</t>
  </si>
  <si>
    <t xml:space="preserve">N </t>
  </si>
  <si>
    <t>Inbraak</t>
  </si>
  <si>
    <t>BMI;</t>
  </si>
  <si>
    <t>Graanmolen</t>
  </si>
  <si>
    <t xml:space="preserve">Maria kapel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</si>
</sst>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_-[$€]\ * #,##0.00_-;_-[$€]\ * #,##0.00\-;_-[$€]\ * &quot;-&quot;??_-;_-@_-"/>
    <numFmt numFmtId="166" formatCode="_-* #,##0.00\ [$€-81D]_-;\-* #,##0.00\ [$€-81D]_-;_-* &quot;-&quot;??\ [$€-81D]_-;_-@_-"/>
    <numFmt numFmtId="167" formatCode="_ &quot;€&quot;\ * #,##0_ ;_ &quot;€&quot;\ * \-#,##0_ ;_ &quot;€&quot;\ * &quot;-&quot;??_ ;_ @_ "/>
    <numFmt numFmtId="168" formatCode="_ &quot;€&quot;\ * #,##0.00_ ;_ &quot;€&quot;\ * \-#,##0.00_ ;_ &quot;€&quot;\ * &quot;-&quot;_ ;_ @_ "/>
    <numFmt numFmtId="169" formatCode="_ * #,##0_ ;_ * \-#,##0_ ;_ * &quot;-&quot;??_ ;_ @_ 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2" borderId="0" xfId="0" applyFont="1" applyFill="1"/>
    <xf numFmtId="0" fontId="3" fillId="2" borderId="5" xfId="0" applyFont="1" applyFill="1" applyBorder="1"/>
    <xf numFmtId="44" fontId="2" fillId="0" borderId="0" xfId="0" applyNumberFormat="1" applyFont="1"/>
    <xf numFmtId="164" fontId="2" fillId="0" borderId="1" xfId="0" applyNumberFormat="1" applyFont="1" applyBorder="1"/>
    <xf numFmtId="42" fontId="2" fillId="0" borderId="1" xfId="1" applyNumberFormat="1" applyFont="1" applyFill="1" applyBorder="1"/>
    <xf numFmtId="42" fontId="2" fillId="0" borderId="1" xfId="0" applyNumberFormat="1" applyFont="1" applyBorder="1"/>
    <xf numFmtId="42" fontId="2" fillId="0" borderId="1" xfId="1" applyNumberFormat="1" applyFont="1" applyBorder="1"/>
    <xf numFmtId="42" fontId="3" fillId="0" borderId="7" xfId="1" applyNumberFormat="1" applyFont="1" applyFill="1" applyBorder="1"/>
    <xf numFmtId="42" fontId="3" fillId="0" borderId="8" xfId="1" applyNumberFormat="1" applyFont="1" applyFill="1" applyBorder="1"/>
    <xf numFmtId="42" fontId="2" fillId="0" borderId="2" xfId="1" applyNumberFormat="1" applyFont="1" applyFill="1" applyBorder="1"/>
    <xf numFmtId="42" fontId="2" fillId="0" borderId="10" xfId="1" applyNumberFormat="1" applyFont="1" applyBorder="1"/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2" fillId="3" borderId="0" xfId="0" applyFont="1" applyFill="1"/>
    <xf numFmtId="42" fontId="3" fillId="0" borderId="1" xfId="1" applyNumberFormat="1" applyFont="1" applyFill="1" applyBorder="1"/>
    <xf numFmtId="42" fontId="2" fillId="0" borderId="10" xfId="1" applyNumberFormat="1" applyFont="1" applyFill="1" applyBorder="1"/>
    <xf numFmtId="0" fontId="2" fillId="0" borderId="1" xfId="0" applyFont="1" applyBorder="1" applyAlignment="1">
      <alignment horizontal="left"/>
    </xf>
    <xf numFmtId="42" fontId="2" fillId="0" borderId="13" xfId="1" applyNumberFormat="1" applyFont="1" applyFill="1" applyBorder="1"/>
    <xf numFmtId="42" fontId="2" fillId="0" borderId="14" xfId="1" applyNumberFormat="1" applyFont="1" applyFill="1" applyBorder="1"/>
    <xf numFmtId="0" fontId="3" fillId="0" borderId="7" xfId="0" applyFont="1" applyBorder="1"/>
    <xf numFmtId="0" fontId="2" fillId="0" borderId="7" xfId="0" applyFont="1" applyBorder="1"/>
    <xf numFmtId="42" fontId="3" fillId="0" borderId="7" xfId="0" applyNumberFormat="1" applyFont="1" applyBorder="1"/>
    <xf numFmtId="42" fontId="3" fillId="0" borderId="9" xfId="1" applyNumberFormat="1" applyFont="1" applyFill="1" applyBorder="1"/>
    <xf numFmtId="165" fontId="2" fillId="0" borderId="0" xfId="1" applyFont="1" applyFill="1" applyBorder="1"/>
    <xf numFmtId="165" fontId="2" fillId="0" borderId="12" xfId="1" applyFont="1" applyFill="1" applyBorder="1"/>
    <xf numFmtId="165" fontId="2" fillId="0" borderId="4" xfId="1" applyFont="1" applyFill="1" applyBorder="1"/>
    <xf numFmtId="0" fontId="3" fillId="0" borderId="1" xfId="0" applyFont="1" applyBorder="1"/>
    <xf numFmtId="165" fontId="2" fillId="0" borderId="10" xfId="1" applyFont="1" applyFill="1" applyBorder="1"/>
    <xf numFmtId="165" fontId="2" fillId="0" borderId="1" xfId="1" applyFont="1" applyFill="1" applyBorder="1"/>
    <xf numFmtId="42" fontId="2" fillId="4" borderId="1" xfId="1" applyNumberFormat="1" applyFont="1" applyFill="1" applyBorder="1"/>
    <xf numFmtId="167" fontId="2" fillId="0" borderId="1" xfId="0" applyNumberFormat="1" applyFont="1" applyBorder="1"/>
    <xf numFmtId="0" fontId="2" fillId="3" borderId="1" xfId="0" applyFont="1" applyFill="1" applyBorder="1"/>
    <xf numFmtId="42" fontId="2" fillId="3" borderId="1" xfId="1" applyNumberFormat="1" applyFont="1" applyFill="1" applyBorder="1"/>
    <xf numFmtId="167" fontId="2" fillId="3" borderId="1" xfId="0" applyNumberFormat="1" applyFont="1" applyFill="1" applyBorder="1"/>
    <xf numFmtId="164" fontId="2" fillId="3" borderId="1" xfId="0" applyNumberFormat="1" applyFont="1" applyFill="1" applyBorder="1"/>
    <xf numFmtId="42" fontId="2" fillId="0" borderId="0" xfId="1" applyNumberFormat="1" applyFont="1" applyFill="1" applyBorder="1"/>
    <xf numFmtId="42" fontId="2" fillId="0" borderId="6" xfId="1" applyNumberFormat="1" applyFont="1" applyFill="1" applyBorder="1"/>
    <xf numFmtId="42" fontId="2" fillId="3" borderId="1" xfId="0" applyNumberFormat="1" applyFont="1" applyFill="1" applyBorder="1"/>
    <xf numFmtId="42" fontId="2" fillId="0" borderId="0" xfId="0" applyNumberFormat="1" applyFont="1"/>
    <xf numFmtId="42" fontId="2" fillId="3" borderId="10" xfId="1" applyNumberFormat="1" applyFont="1" applyFill="1" applyBorder="1"/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2" fillId="3" borderId="6" xfId="0" applyFont="1" applyFill="1" applyBorder="1"/>
    <xf numFmtId="0" fontId="2" fillId="0" borderId="6" xfId="0" applyFont="1" applyBorder="1"/>
    <xf numFmtId="164" fontId="2" fillId="0" borderId="6" xfId="0" applyNumberFormat="1" applyFont="1" applyBorder="1"/>
    <xf numFmtId="42" fontId="2" fillId="0" borderId="6" xfId="0" applyNumberFormat="1" applyFont="1" applyBorder="1"/>
    <xf numFmtId="42" fontId="2" fillId="0" borderId="6" xfId="1" applyNumberFormat="1" applyFont="1" applyBorder="1"/>
    <xf numFmtId="42" fontId="2" fillId="4" borderId="6" xfId="1" applyNumberFormat="1" applyFont="1" applyFill="1" applyBorder="1"/>
    <xf numFmtId="0" fontId="3" fillId="0" borderId="0" xfId="0" applyFont="1"/>
    <xf numFmtId="14" fontId="3" fillId="0" borderId="0" xfId="0" applyNumberFormat="1" applyFont="1"/>
    <xf numFmtId="43" fontId="2" fillId="0" borderId="0" xfId="0" applyNumberFormat="1" applyFont="1"/>
    <xf numFmtId="167" fontId="2" fillId="0" borderId="10" xfId="0" applyNumberFormat="1" applyFont="1" applyBorder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67" fontId="3" fillId="0" borderId="1" xfId="0" applyNumberFormat="1" applyFont="1" applyBorder="1"/>
    <xf numFmtId="169" fontId="2" fillId="0" borderId="0" xfId="2" applyNumberFormat="1" applyFont="1" applyBorder="1"/>
    <xf numFmtId="167" fontId="2" fillId="0" borderId="0" xfId="0" applyNumberFormat="1" applyFont="1"/>
    <xf numFmtId="167" fontId="2" fillId="0" borderId="7" xfId="0" applyNumberFormat="1" applyFont="1" applyBorder="1"/>
    <xf numFmtId="167" fontId="2" fillId="0" borderId="4" xfId="0" applyNumberFormat="1" applyFont="1" applyBorder="1"/>
    <xf numFmtId="0" fontId="2" fillId="0" borderId="4" xfId="0" applyFont="1" applyBorder="1"/>
    <xf numFmtId="42" fontId="2" fillId="0" borderId="4" xfId="0" applyNumberFormat="1" applyFont="1" applyBorder="1"/>
    <xf numFmtId="42" fontId="2" fillId="0" borderId="4" xfId="1" applyNumberFormat="1" applyFont="1" applyFill="1" applyBorder="1"/>
    <xf numFmtId="42" fontId="2" fillId="0" borderId="12" xfId="1" applyNumberFormat="1" applyFont="1" applyFill="1" applyBorder="1"/>
    <xf numFmtId="0" fontId="3" fillId="0" borderId="8" xfId="0" applyFont="1" applyBorder="1"/>
    <xf numFmtId="42" fontId="3" fillId="0" borderId="8" xfId="0" applyNumberFormat="1" applyFont="1" applyBorder="1"/>
    <xf numFmtId="42" fontId="3" fillId="0" borderId="11" xfId="1" applyNumberFormat="1" applyFont="1" applyFill="1" applyBorder="1"/>
    <xf numFmtId="167" fontId="3" fillId="0" borderId="0" xfId="0" applyNumberFormat="1" applyFont="1"/>
    <xf numFmtId="166" fontId="2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42" fontId="2" fillId="0" borderId="3" xfId="0" applyNumberFormat="1" applyFont="1" applyBorder="1"/>
    <xf numFmtId="168" fontId="2" fillId="0" borderId="0" xfId="0" applyNumberFormat="1" applyFont="1"/>
    <xf numFmtId="44" fontId="2" fillId="0" borderId="1" xfId="0" applyNumberFormat="1" applyFont="1" applyBorder="1"/>
    <xf numFmtId="167" fontId="3" fillId="0" borderId="15" xfId="0" applyNumberFormat="1" applyFont="1" applyBorder="1"/>
    <xf numFmtId="44" fontId="3" fillId="0" borderId="15" xfId="0" applyNumberFormat="1" applyFont="1" applyBorder="1"/>
    <xf numFmtId="44" fontId="3" fillId="0" borderId="16" xfId="0" applyNumberFormat="1" applyFont="1" applyBorder="1"/>
    <xf numFmtId="44" fontId="3" fillId="5" borderId="0" xfId="0" applyNumberFormat="1" applyFont="1" applyFill="1" applyAlignment="1">
      <alignment horizontal="center"/>
    </xf>
    <xf numFmtId="44" fontId="2" fillId="0" borderId="10" xfId="0" applyNumberFormat="1" applyFont="1" applyBorder="1"/>
    <xf numFmtId="44" fontId="2" fillId="0" borderId="4" xfId="0" applyNumberFormat="1" applyFont="1" applyBorder="1"/>
    <xf numFmtId="44" fontId="2" fillId="0" borderId="7" xfId="0" applyNumberFormat="1" applyFont="1" applyBorder="1"/>
    <xf numFmtId="44" fontId="3" fillId="0" borderId="17" xfId="0" applyNumberFormat="1" applyFont="1" applyBorder="1"/>
    <xf numFmtId="0" fontId="1" fillId="0" borderId="1" xfId="0" applyFont="1" applyBorder="1"/>
    <xf numFmtId="0" fontId="0" fillId="0" borderId="1" xfId="0" applyBorder="1"/>
    <xf numFmtId="0" fontId="2" fillId="0" borderId="2" xfId="0" applyFont="1" applyBorder="1"/>
    <xf numFmtId="164" fontId="2" fillId="0" borderId="0" xfId="0" applyNumberFormat="1" applyFont="1"/>
    <xf numFmtId="167" fontId="2" fillId="0" borderId="2" xfId="0" applyNumberFormat="1" applyFont="1" applyBorder="1"/>
    <xf numFmtId="167" fontId="2" fillId="0" borderId="14" xfId="0" applyNumberFormat="1" applyFont="1" applyBorder="1"/>
    <xf numFmtId="164" fontId="2" fillId="0" borderId="2" xfId="0" applyNumberFormat="1" applyFont="1" applyBorder="1"/>
    <xf numFmtId="42" fontId="2" fillId="0" borderId="2" xfId="0" applyNumberFormat="1" applyFont="1" applyBorder="1"/>
    <xf numFmtId="42" fontId="2" fillId="0" borderId="13" xfId="0" applyNumberFormat="1" applyFont="1" applyBorder="1"/>
    <xf numFmtId="0" fontId="1" fillId="0" borderId="0" xfId="0" applyFont="1"/>
    <xf numFmtId="42" fontId="3" fillId="0" borderId="3" xfId="0" applyNumberFormat="1" applyFont="1" applyBorder="1"/>
    <xf numFmtId="167" fontId="2" fillId="0" borderId="9" xfId="0" applyNumberFormat="1" applyFont="1" applyBorder="1"/>
    <xf numFmtId="167" fontId="3" fillId="0" borderId="10" xfId="0" applyNumberFormat="1" applyFont="1" applyBorder="1"/>
    <xf numFmtId="44" fontId="3" fillId="0" borderId="1" xfId="0" applyNumberFormat="1" applyFont="1" applyBorder="1"/>
    <xf numFmtId="44" fontId="3" fillId="0" borderId="10" xfId="0" applyNumberFormat="1" applyFont="1" applyBorder="1"/>
    <xf numFmtId="0" fontId="2" fillId="0" borderId="10" xfId="0" applyFont="1" applyBorder="1"/>
    <xf numFmtId="44" fontId="3" fillId="0" borderId="0" xfId="0" applyNumberFormat="1" applyFont="1" applyAlignment="1">
      <alignment horizontal="center"/>
    </xf>
  </cellXfs>
  <cellStyles count="3">
    <cellStyle name="Euro" xfId="1" xr:uid="{00000000-0005-0000-0000-000000000000}"/>
    <cellStyle name="Komma" xfId="2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08"/>
  <sheetViews>
    <sheetView tabSelected="1" zoomScale="85" zoomScaleNormal="85" zoomScaleSheetLayoutView="100" workbookViewId="0">
      <selection activeCell="BE38" sqref="BE38"/>
    </sheetView>
  </sheetViews>
  <sheetFormatPr defaultColWidth="9.1796875" defaultRowHeight="12.5" x14ac:dyDescent="0.25"/>
  <cols>
    <col min="1" max="1" width="52.26953125" style="1" bestFit="1" customWidth="1"/>
    <col min="2" max="2" width="38" style="1" bestFit="1" customWidth="1"/>
    <col min="3" max="3" width="8.453125" style="1" bestFit="1" customWidth="1"/>
    <col min="4" max="4" width="7" style="1" hidden="1" customWidth="1"/>
    <col min="5" max="5" width="13.7265625" style="1" hidden="1" customWidth="1"/>
    <col min="6" max="6" width="16.26953125" style="1" hidden="1" customWidth="1"/>
    <col min="7" max="7" width="9.81640625" style="1" hidden="1" customWidth="1"/>
    <col min="8" max="8" width="12.1796875" style="1" hidden="1" customWidth="1"/>
    <col min="9" max="9" width="14.453125" style="1" hidden="1" customWidth="1"/>
    <col min="10" max="10" width="6.54296875" style="1" hidden="1" customWidth="1"/>
    <col min="11" max="11" width="13.7265625" style="1" hidden="1" customWidth="1"/>
    <col min="12" max="13" width="16.26953125" style="1" hidden="1" customWidth="1"/>
    <col min="14" max="17" width="12.1796875" style="1" hidden="1" customWidth="1"/>
    <col min="18" max="18" width="9.81640625" style="1" hidden="1" customWidth="1"/>
    <col min="19" max="19" width="0.1796875" style="1" hidden="1" customWidth="1"/>
    <col min="20" max="20" width="13.54296875" style="1" hidden="1" customWidth="1"/>
    <col min="21" max="21" width="13.7265625" style="1" hidden="1" customWidth="1"/>
    <col min="22" max="22" width="14.1796875" style="1" hidden="1" customWidth="1"/>
    <col min="23" max="23" width="10.1796875" style="1" hidden="1" customWidth="1"/>
    <col min="24" max="24" width="13.54296875" style="1" hidden="1" customWidth="1"/>
    <col min="25" max="27" width="14.1796875" style="1" hidden="1" customWidth="1"/>
    <col min="28" max="28" width="13.54296875" style="1" hidden="1" customWidth="1"/>
    <col min="29" max="29" width="14.1796875" style="1" hidden="1" customWidth="1"/>
    <col min="30" max="30" width="5.81640625" style="1" hidden="1" customWidth="1"/>
    <col min="31" max="31" width="12" style="1" hidden="1" customWidth="1"/>
    <col min="32" max="32" width="11.7265625" style="1" hidden="1" customWidth="1"/>
    <col min="33" max="34" width="11.1796875" style="1" hidden="1" customWidth="1"/>
    <col min="35" max="35" width="10.81640625" style="1" hidden="1" customWidth="1"/>
    <col min="36" max="36" width="12.54296875" style="1" hidden="1" customWidth="1"/>
    <col min="37" max="41" width="15.453125" style="1" hidden="1" customWidth="1"/>
    <col min="42" max="42" width="61.7265625" style="1" hidden="1" customWidth="1"/>
    <col min="43" max="43" width="15.26953125" style="5" hidden="1" customWidth="1"/>
    <col min="44" max="44" width="14.54296875" style="5" hidden="1" customWidth="1"/>
    <col min="45" max="45" width="15.7265625" style="5" bestFit="1" customWidth="1"/>
    <col min="46" max="46" width="15.54296875" style="5" bestFit="1" customWidth="1"/>
    <col min="47" max="47" width="11.81640625" bestFit="1" customWidth="1"/>
    <col min="48" max="48" width="15.54296875" bestFit="1" customWidth="1"/>
    <col min="49" max="49" width="11.7265625" bestFit="1" customWidth="1"/>
    <col min="50" max="50" width="8.7265625" customWidth="1"/>
    <col min="51" max="16384" width="9.1796875" style="1"/>
  </cols>
  <sheetData>
    <row r="1" spans="1:50" ht="11.25" customHeight="1" x14ac:dyDescent="0.25">
      <c r="A1" s="3" t="s">
        <v>200</v>
      </c>
      <c r="B1" s="3" t="s">
        <v>1</v>
      </c>
      <c r="C1" s="3" t="s">
        <v>2</v>
      </c>
      <c r="D1" s="3" t="s">
        <v>55</v>
      </c>
      <c r="E1" s="3" t="s">
        <v>34</v>
      </c>
      <c r="F1" s="3" t="s">
        <v>34</v>
      </c>
      <c r="G1" s="3" t="s">
        <v>71</v>
      </c>
      <c r="H1" s="3" t="s">
        <v>34</v>
      </c>
      <c r="I1" s="3" t="s">
        <v>72</v>
      </c>
      <c r="J1" s="3" t="s">
        <v>58</v>
      </c>
      <c r="K1" s="3" t="s">
        <v>33</v>
      </c>
      <c r="L1" s="3" t="s">
        <v>62</v>
      </c>
      <c r="M1" s="3" t="s">
        <v>62</v>
      </c>
      <c r="N1" s="3"/>
      <c r="O1" s="3"/>
      <c r="P1" s="3"/>
      <c r="Q1" s="3" t="s">
        <v>72</v>
      </c>
      <c r="R1" s="3" t="s">
        <v>77</v>
      </c>
      <c r="S1" s="3" t="s">
        <v>80</v>
      </c>
      <c r="T1" s="3" t="s">
        <v>72</v>
      </c>
      <c r="U1" s="3" t="s">
        <v>62</v>
      </c>
      <c r="V1" s="14" t="s">
        <v>62</v>
      </c>
      <c r="W1" s="14" t="s">
        <v>81</v>
      </c>
      <c r="X1" s="3" t="s">
        <v>72</v>
      </c>
      <c r="Y1" s="14" t="s">
        <v>33</v>
      </c>
      <c r="Z1" s="14" t="s">
        <v>33</v>
      </c>
      <c r="AA1" s="14" t="s">
        <v>82</v>
      </c>
      <c r="AB1" s="3" t="s">
        <v>72</v>
      </c>
      <c r="AC1" s="14" t="s">
        <v>33</v>
      </c>
      <c r="AD1" s="14" t="s">
        <v>33</v>
      </c>
      <c r="AE1" s="14" t="s">
        <v>82</v>
      </c>
      <c r="AF1" s="44" t="s">
        <v>108</v>
      </c>
      <c r="AG1" s="44" t="s">
        <v>62</v>
      </c>
      <c r="AH1" s="44" t="s">
        <v>82</v>
      </c>
      <c r="AI1" s="52" t="s">
        <v>108</v>
      </c>
      <c r="AJ1" s="52" t="s">
        <v>62</v>
      </c>
      <c r="AL1" s="56" t="s">
        <v>108</v>
      </c>
      <c r="AM1" s="56" t="s">
        <v>173</v>
      </c>
      <c r="AN1" s="56" t="s">
        <v>179</v>
      </c>
      <c r="AO1" s="56" t="s">
        <v>180</v>
      </c>
      <c r="AQ1" s="80" t="s">
        <v>193</v>
      </c>
      <c r="AR1" s="80" t="s">
        <v>194</v>
      </c>
      <c r="AS1" s="101" t="s">
        <v>197</v>
      </c>
      <c r="AT1" s="101" t="s">
        <v>198</v>
      </c>
    </row>
    <row r="2" spans="1:50" x14ac:dyDescent="0.25">
      <c r="A2" s="3" t="s">
        <v>52</v>
      </c>
      <c r="B2" s="3"/>
      <c r="C2" s="3"/>
      <c r="D2" s="3" t="s">
        <v>56</v>
      </c>
      <c r="E2" s="3"/>
      <c r="F2" s="3"/>
      <c r="G2" s="3" t="s">
        <v>70</v>
      </c>
      <c r="H2" s="3"/>
      <c r="I2" s="3"/>
      <c r="J2" s="3" t="s">
        <v>56</v>
      </c>
      <c r="K2" s="3"/>
      <c r="L2" s="3"/>
      <c r="M2" s="3"/>
      <c r="N2" s="3"/>
      <c r="O2" s="3"/>
      <c r="P2" s="3"/>
      <c r="Q2" s="3"/>
      <c r="R2" s="3" t="s">
        <v>70</v>
      </c>
      <c r="S2" s="3" t="s">
        <v>34</v>
      </c>
      <c r="T2" s="3"/>
      <c r="U2" s="3"/>
      <c r="V2" s="3"/>
      <c r="W2" s="3"/>
      <c r="X2" s="3"/>
      <c r="Y2" s="3"/>
      <c r="Z2" s="3"/>
      <c r="AA2" s="14" t="s">
        <v>84</v>
      </c>
      <c r="AB2" s="3"/>
      <c r="AC2" s="3"/>
      <c r="AD2" s="3"/>
      <c r="AE2" s="14" t="s">
        <v>84</v>
      </c>
      <c r="AF2" s="44"/>
      <c r="AG2" s="44"/>
      <c r="AH2" s="44"/>
      <c r="AL2" s="56" t="s">
        <v>172</v>
      </c>
      <c r="AM2" s="56" t="s">
        <v>174</v>
      </c>
      <c r="AN2" s="56" t="s">
        <v>181</v>
      </c>
      <c r="AO2" s="56" t="s">
        <v>182</v>
      </c>
      <c r="AQ2" s="80" t="s">
        <v>191</v>
      </c>
      <c r="AR2" s="80" t="s">
        <v>192</v>
      </c>
      <c r="AS2" s="101" t="s">
        <v>191</v>
      </c>
      <c r="AT2" s="101" t="s">
        <v>199</v>
      </c>
    </row>
    <row r="3" spans="1:50" ht="10.5" x14ac:dyDescent="0.25">
      <c r="A3" s="3" t="s">
        <v>53</v>
      </c>
      <c r="B3" s="3"/>
      <c r="C3" s="3"/>
      <c r="D3" s="3"/>
      <c r="E3" s="3" t="s">
        <v>64</v>
      </c>
      <c r="F3" s="3" t="s">
        <v>66</v>
      </c>
      <c r="G3" s="3"/>
      <c r="H3" s="3"/>
      <c r="I3" s="3" t="s">
        <v>74</v>
      </c>
      <c r="J3" s="3"/>
      <c r="K3" s="3" t="s">
        <v>64</v>
      </c>
      <c r="L3" s="3" t="s">
        <v>67</v>
      </c>
      <c r="M3" s="3" t="s">
        <v>67</v>
      </c>
      <c r="N3" s="3" t="s">
        <v>69</v>
      </c>
      <c r="O3" s="3" t="s">
        <v>69</v>
      </c>
      <c r="P3" s="3" t="s">
        <v>69</v>
      </c>
      <c r="Q3" s="3"/>
      <c r="R3" s="3"/>
      <c r="S3" s="3"/>
      <c r="T3" s="3" t="s">
        <v>78</v>
      </c>
      <c r="U3" s="3"/>
      <c r="V3" s="14" t="s">
        <v>79</v>
      </c>
      <c r="W3" s="14" t="s">
        <v>82</v>
      </c>
      <c r="X3" s="3" t="s">
        <v>94</v>
      </c>
      <c r="Y3" s="14" t="s">
        <v>83</v>
      </c>
      <c r="Z3" s="14" t="s">
        <v>95</v>
      </c>
      <c r="AA3" s="16">
        <v>43101</v>
      </c>
      <c r="AB3" s="3" t="s">
        <v>98</v>
      </c>
      <c r="AC3" s="14" t="s">
        <v>83</v>
      </c>
      <c r="AD3" s="14" t="s">
        <v>97</v>
      </c>
      <c r="AE3" s="16">
        <v>43466</v>
      </c>
      <c r="AF3" s="44" t="s">
        <v>109</v>
      </c>
      <c r="AG3" s="44" t="s">
        <v>110</v>
      </c>
      <c r="AH3" s="44"/>
      <c r="AL3" s="56"/>
      <c r="AM3" s="56"/>
      <c r="AN3" s="56"/>
      <c r="AO3" s="56"/>
      <c r="AU3" s="30" t="s">
        <v>201</v>
      </c>
      <c r="AV3" s="30" t="s">
        <v>202</v>
      </c>
      <c r="AW3" s="30" t="s">
        <v>203</v>
      </c>
      <c r="AX3" s="30" t="s">
        <v>204</v>
      </c>
    </row>
    <row r="4" spans="1:50" ht="10.5" x14ac:dyDescent="0.25">
      <c r="A4" s="4"/>
      <c r="B4" s="4"/>
      <c r="C4" s="4"/>
      <c r="D4" s="4"/>
      <c r="E4" s="4" t="s">
        <v>63</v>
      </c>
      <c r="F4" s="4" t="s">
        <v>65</v>
      </c>
      <c r="G4" s="4"/>
      <c r="H4" s="4" t="s">
        <v>65</v>
      </c>
      <c r="I4" s="4" t="s">
        <v>73</v>
      </c>
      <c r="J4" s="4"/>
      <c r="K4" s="4" t="s">
        <v>63</v>
      </c>
      <c r="L4" s="4" t="s">
        <v>68</v>
      </c>
      <c r="M4" s="4" t="s">
        <v>75</v>
      </c>
      <c r="N4" s="4" t="s">
        <v>63</v>
      </c>
      <c r="O4" s="3" t="s">
        <v>68</v>
      </c>
      <c r="P4" s="3" t="s">
        <v>75</v>
      </c>
      <c r="Q4" s="4" t="s">
        <v>73</v>
      </c>
      <c r="R4" s="4"/>
      <c r="S4" s="4"/>
      <c r="T4" s="4" t="s">
        <v>76</v>
      </c>
      <c r="U4" s="4" t="s">
        <v>75</v>
      </c>
      <c r="V4" s="15">
        <v>2016</v>
      </c>
      <c r="W4" s="15">
        <v>2016</v>
      </c>
      <c r="X4" s="4" t="s">
        <v>93</v>
      </c>
      <c r="Y4" s="15" t="s">
        <v>76</v>
      </c>
      <c r="Z4" s="15" t="s">
        <v>93</v>
      </c>
      <c r="AA4" s="15"/>
      <c r="AB4" s="4" t="s">
        <v>96</v>
      </c>
      <c r="AC4" s="15" t="s">
        <v>76</v>
      </c>
      <c r="AD4" s="15" t="s">
        <v>96</v>
      </c>
      <c r="AE4" s="15"/>
      <c r="AF4" s="45">
        <v>43831</v>
      </c>
      <c r="AG4" s="45">
        <v>43831</v>
      </c>
      <c r="AH4" s="45">
        <v>43831</v>
      </c>
      <c r="AI4" s="53">
        <v>43831</v>
      </c>
      <c r="AJ4" s="53">
        <v>43831</v>
      </c>
      <c r="AL4" s="57">
        <v>44197</v>
      </c>
      <c r="AM4" s="57">
        <v>44197</v>
      </c>
      <c r="AN4" s="57"/>
      <c r="AO4" s="57"/>
      <c r="AP4" s="52" t="s">
        <v>167</v>
      </c>
      <c r="AU4" s="30" t="s">
        <v>205</v>
      </c>
      <c r="AV4" s="30" t="s">
        <v>206</v>
      </c>
      <c r="AW4" s="30" t="s">
        <v>206</v>
      </c>
      <c r="AX4" s="30" t="s">
        <v>206</v>
      </c>
    </row>
    <row r="5" spans="1:50" x14ac:dyDescent="0.25">
      <c r="A5" s="46" t="s">
        <v>37</v>
      </c>
      <c r="B5" s="47" t="s">
        <v>30</v>
      </c>
      <c r="C5" s="47" t="s">
        <v>16</v>
      </c>
      <c r="D5" s="48" t="s">
        <v>49</v>
      </c>
      <c r="E5" s="40">
        <v>635785</v>
      </c>
      <c r="F5" s="40">
        <f>120.2/118.8*E5</f>
        <v>643277.41582491586</v>
      </c>
      <c r="G5" s="40"/>
      <c r="H5" s="40">
        <f>F5+G5</f>
        <v>643277.41582491586</v>
      </c>
      <c r="I5" s="40">
        <f>H5*121/120.2</f>
        <v>647558.79629629629</v>
      </c>
      <c r="J5" s="49"/>
      <c r="K5" s="49"/>
      <c r="L5" s="49"/>
      <c r="M5" s="49">
        <f>L5</f>
        <v>0</v>
      </c>
      <c r="N5" s="50">
        <f>E5+K5</f>
        <v>635785</v>
      </c>
      <c r="O5" s="13">
        <f>F5+L5</f>
        <v>643277.41582491586</v>
      </c>
      <c r="P5" s="9">
        <f>I5+M5</f>
        <v>647558.79629629629</v>
      </c>
      <c r="Q5" s="40">
        <v>647558.79629629629</v>
      </c>
      <c r="R5" s="40"/>
      <c r="S5" s="40">
        <f>Q5+R5</f>
        <v>647558.79629629629</v>
      </c>
      <c r="T5" s="40">
        <f>(123.1/121)*S5</f>
        <v>658797.42003367003</v>
      </c>
      <c r="U5" s="49">
        <v>0</v>
      </c>
      <c r="V5" s="40"/>
      <c r="W5" s="40">
        <f>U5+V5</f>
        <v>0</v>
      </c>
      <c r="X5" s="40">
        <f>T5*(125.8/123.1)</f>
        <v>673247.07912457921</v>
      </c>
      <c r="Y5" s="40">
        <f>(116.6/115.7)*W5</f>
        <v>0</v>
      </c>
      <c r="Z5" s="40">
        <f>Y5*(118.3/116.6)</f>
        <v>0</v>
      </c>
      <c r="AA5" s="40">
        <f>X5+Z5</f>
        <v>673247.07912457921</v>
      </c>
      <c r="AB5" s="51">
        <f>X5*(141.4/125.8)+24000</f>
        <v>780733.99831649847</v>
      </c>
      <c r="AC5" s="40">
        <f>(116.6/115.7)*AA5</f>
        <v>678484.09184032783</v>
      </c>
      <c r="AD5" s="40">
        <f>+Z5*(123.6/118.2)</f>
        <v>0</v>
      </c>
      <c r="AE5" s="40">
        <f>+AB5+AD5</f>
        <v>780733.99831649847</v>
      </c>
      <c r="AF5" s="34">
        <f>1.05*AB5</f>
        <v>819770.6982323234</v>
      </c>
      <c r="AG5" s="34">
        <f>1.016*AD5</f>
        <v>0</v>
      </c>
      <c r="AH5" s="34">
        <f>AF5+AG5</f>
        <v>819770.6982323234</v>
      </c>
      <c r="AI5" s="34">
        <v>775000</v>
      </c>
      <c r="AJ5" s="34"/>
      <c r="AK5" s="55">
        <f>+AI5+AJ5</f>
        <v>775000</v>
      </c>
      <c r="AL5" s="55">
        <f>108/105*AI5</f>
        <v>797142.85714285704</v>
      </c>
      <c r="AM5" s="55">
        <f>103.5/101.6*AJ5</f>
        <v>0</v>
      </c>
      <c r="AN5" s="55">
        <f>113.9/108*AL5</f>
        <v>840690.4761904761</v>
      </c>
      <c r="AO5" s="55">
        <f>109.2/103.5*AM5</f>
        <v>0</v>
      </c>
      <c r="AP5" s="2"/>
      <c r="AQ5" s="76">
        <f>130/113.9*AN5</f>
        <v>959523.80952380935</v>
      </c>
      <c r="AR5" s="81">
        <f>126.4/109.2*AO5</f>
        <v>0</v>
      </c>
      <c r="AS5" s="76">
        <f>AQ5</f>
        <v>959523.80952380935</v>
      </c>
      <c r="AT5" s="76">
        <f>(126.8/126.4)*AR5</f>
        <v>0</v>
      </c>
      <c r="AU5" s="85"/>
      <c r="AV5" s="85" t="s">
        <v>207</v>
      </c>
      <c r="AW5" s="85" t="s">
        <v>213</v>
      </c>
      <c r="AX5" s="85" t="s">
        <v>208</v>
      </c>
    </row>
    <row r="6" spans="1:50" ht="11.25" customHeight="1" x14ac:dyDescent="0.25">
      <c r="A6" s="35" t="s">
        <v>141</v>
      </c>
      <c r="B6" s="2" t="s">
        <v>111</v>
      </c>
      <c r="C6" s="2" t="s">
        <v>16</v>
      </c>
      <c r="D6" s="6" t="s">
        <v>49</v>
      </c>
      <c r="E6" s="7">
        <v>433545</v>
      </c>
      <c r="F6" s="7">
        <f>120.2/118.8*E6</f>
        <v>438654.11616161623</v>
      </c>
      <c r="G6" s="7"/>
      <c r="H6" s="7">
        <f>F6+G6</f>
        <v>438654.11616161623</v>
      </c>
      <c r="I6" s="7">
        <f>H6*121/120.2</f>
        <v>441573.61111111118</v>
      </c>
      <c r="J6" s="8"/>
      <c r="K6" s="8"/>
      <c r="L6" s="8"/>
      <c r="M6" s="8">
        <f>L6</f>
        <v>0</v>
      </c>
      <c r="N6" s="9">
        <f>+E6+K6</f>
        <v>433545</v>
      </c>
      <c r="O6" s="13">
        <f>F6+L6</f>
        <v>438654.11616161623</v>
      </c>
      <c r="P6" s="9">
        <f>I6+M6</f>
        <v>441573.61111111118</v>
      </c>
      <c r="Q6" s="7">
        <v>441573.61111111118</v>
      </c>
      <c r="R6" s="7"/>
      <c r="S6" s="7">
        <f>Q6+R6</f>
        <v>441573.61111111118</v>
      </c>
      <c r="T6" s="7">
        <f>(123.1/121)*S6</f>
        <v>449237.28535353538</v>
      </c>
      <c r="U6" s="8">
        <v>0</v>
      </c>
      <c r="V6" s="7"/>
      <c r="W6" s="7">
        <f>U6+V6</f>
        <v>0</v>
      </c>
      <c r="X6" s="7">
        <f>T6*(125.8/123.1)</f>
        <v>459090.58080808085</v>
      </c>
      <c r="Y6" s="7">
        <f>(116.6/115.7)*W6</f>
        <v>0</v>
      </c>
      <c r="Z6" s="7">
        <f>Y6*(118.3/116.6)</f>
        <v>0</v>
      </c>
      <c r="AA6" s="7">
        <f>X6+Z6</f>
        <v>459090.58080808085</v>
      </c>
      <c r="AB6" s="33">
        <f>X6*(141.4/125.8)+16500</f>
        <v>532520.73232323234</v>
      </c>
      <c r="AC6" s="7">
        <f>(116.6/115.7)*AA6</f>
        <v>462661.72620762512</v>
      </c>
      <c r="AD6" s="7">
        <f>+Z6*(123.6/118.2)</f>
        <v>0</v>
      </c>
      <c r="AE6" s="7">
        <f>+AB6+AD6</f>
        <v>532520.73232323234</v>
      </c>
      <c r="AF6" s="34">
        <f>1.05*AB6</f>
        <v>559146.76893939404</v>
      </c>
      <c r="AG6" s="34">
        <f>1.016*AD6</f>
        <v>0</v>
      </c>
      <c r="AH6" s="34">
        <f>AF6+AG6</f>
        <v>559146.76893939404</v>
      </c>
      <c r="AI6" s="34">
        <v>110000</v>
      </c>
      <c r="AJ6" s="34"/>
      <c r="AK6" s="55">
        <f t="shared" ref="AK6:AK54" si="0">+AI6+AJ6</f>
        <v>110000</v>
      </c>
      <c r="AL6" s="55">
        <f t="shared" ref="AL6:AL67" si="1">108/105*AI6</f>
        <v>113142.85714285713</v>
      </c>
      <c r="AM6" s="55">
        <f t="shared" ref="AM6:AM67" si="2">103.5/101.6*AJ6</f>
        <v>0</v>
      </c>
      <c r="AN6" s="55">
        <f t="shared" ref="AN6:AN66" si="3">113.9/108*AL6</f>
        <v>119323.80952380951</v>
      </c>
      <c r="AO6" s="55">
        <f t="shared" ref="AO6:AO66" si="4">109.2/103.5*AM6</f>
        <v>0</v>
      </c>
      <c r="AP6" s="2"/>
      <c r="AQ6" s="76">
        <f t="shared" ref="AQ6:AQ69" si="5">130/113.9*AN6</f>
        <v>136190.47619047615</v>
      </c>
      <c r="AR6" s="81">
        <f t="shared" ref="AR6:AR69" si="6">126.4/109.2*AO6</f>
        <v>0</v>
      </c>
      <c r="AS6" s="76">
        <f t="shared" ref="AS6:AS69" si="7">AQ6</f>
        <v>136190.47619047615</v>
      </c>
      <c r="AT6" s="76">
        <f t="shared" ref="AT6:AT69" si="8">(126.8/126.4)*AR6</f>
        <v>0</v>
      </c>
      <c r="AU6" s="85"/>
      <c r="AV6" s="85" t="s">
        <v>208</v>
      </c>
      <c r="AW6" s="85" t="s">
        <v>213</v>
      </c>
      <c r="AX6" s="85" t="s">
        <v>209</v>
      </c>
    </row>
    <row r="7" spans="1:50" ht="11.25" customHeight="1" x14ac:dyDescent="0.25">
      <c r="A7" s="35" t="s">
        <v>142</v>
      </c>
      <c r="B7" s="2" t="s">
        <v>112</v>
      </c>
      <c r="C7" s="2" t="s">
        <v>16</v>
      </c>
      <c r="D7" s="6"/>
      <c r="E7" s="7"/>
      <c r="F7" s="7"/>
      <c r="G7" s="7"/>
      <c r="H7" s="7"/>
      <c r="I7" s="7"/>
      <c r="J7" s="8"/>
      <c r="K7" s="8"/>
      <c r="L7" s="8"/>
      <c r="M7" s="8"/>
      <c r="N7" s="9"/>
      <c r="O7" s="13"/>
      <c r="P7" s="9"/>
      <c r="Q7" s="7"/>
      <c r="R7" s="7"/>
      <c r="S7" s="7"/>
      <c r="T7" s="7"/>
      <c r="U7" s="8"/>
      <c r="V7" s="7"/>
      <c r="W7" s="7"/>
      <c r="X7" s="7"/>
      <c r="Y7" s="7"/>
      <c r="Z7" s="7"/>
      <c r="AA7" s="7"/>
      <c r="AB7" s="33"/>
      <c r="AC7" s="7"/>
      <c r="AD7" s="7"/>
      <c r="AE7" s="7"/>
      <c r="AF7" s="34"/>
      <c r="AG7" s="34"/>
      <c r="AH7" s="34"/>
      <c r="AI7" s="34">
        <v>165000</v>
      </c>
      <c r="AJ7" s="34"/>
      <c r="AK7" s="55">
        <f t="shared" si="0"/>
        <v>165000</v>
      </c>
      <c r="AL7" s="55">
        <f t="shared" si="1"/>
        <v>169714.28571428571</v>
      </c>
      <c r="AM7" s="55">
        <f t="shared" si="2"/>
        <v>0</v>
      </c>
      <c r="AN7" s="55">
        <f t="shared" si="3"/>
        <v>178985.71428571426</v>
      </c>
      <c r="AO7" s="55">
        <f t="shared" si="4"/>
        <v>0</v>
      </c>
      <c r="AP7" s="2"/>
      <c r="AQ7" s="76">
        <f t="shared" si="5"/>
        <v>204285.71428571423</v>
      </c>
      <c r="AR7" s="81">
        <f t="shared" si="6"/>
        <v>0</v>
      </c>
      <c r="AS7" s="76">
        <f t="shared" si="7"/>
        <v>204285.71428571423</v>
      </c>
      <c r="AT7" s="76">
        <f t="shared" si="8"/>
        <v>0</v>
      </c>
      <c r="AU7" s="85"/>
      <c r="AV7" s="85" t="s">
        <v>207</v>
      </c>
      <c r="AW7" s="85" t="s">
        <v>213</v>
      </c>
      <c r="AX7" s="85" t="s">
        <v>207</v>
      </c>
    </row>
    <row r="8" spans="1:50" ht="11.25" customHeight="1" x14ac:dyDescent="0.25">
      <c r="A8" s="35" t="s">
        <v>143</v>
      </c>
      <c r="B8" s="2" t="s">
        <v>113</v>
      </c>
      <c r="C8" s="2" t="s">
        <v>16</v>
      </c>
      <c r="D8" s="6"/>
      <c r="E8" s="7"/>
      <c r="F8" s="7"/>
      <c r="G8" s="7"/>
      <c r="H8" s="7"/>
      <c r="I8" s="7"/>
      <c r="J8" s="8"/>
      <c r="K8" s="8"/>
      <c r="L8" s="8"/>
      <c r="M8" s="8"/>
      <c r="N8" s="9"/>
      <c r="O8" s="13"/>
      <c r="P8" s="9"/>
      <c r="Q8" s="7"/>
      <c r="R8" s="7"/>
      <c r="S8" s="7"/>
      <c r="T8" s="7"/>
      <c r="U8" s="8"/>
      <c r="V8" s="7"/>
      <c r="W8" s="7"/>
      <c r="X8" s="7"/>
      <c r="Y8" s="7"/>
      <c r="Z8" s="7"/>
      <c r="AA8" s="7"/>
      <c r="AB8" s="33"/>
      <c r="AC8" s="7"/>
      <c r="AD8" s="7"/>
      <c r="AE8" s="7"/>
      <c r="AF8" s="34"/>
      <c r="AG8" s="34"/>
      <c r="AH8" s="34"/>
      <c r="AI8" s="34">
        <v>280000</v>
      </c>
      <c r="AJ8" s="34"/>
      <c r="AK8" s="55">
        <f t="shared" si="0"/>
        <v>280000</v>
      </c>
      <c r="AL8" s="55">
        <f t="shared" si="1"/>
        <v>288000</v>
      </c>
      <c r="AM8" s="55">
        <f t="shared" si="2"/>
        <v>0</v>
      </c>
      <c r="AN8" s="55">
        <f t="shared" si="3"/>
        <v>303733.33333333331</v>
      </c>
      <c r="AO8" s="55">
        <f t="shared" si="4"/>
        <v>0</v>
      </c>
      <c r="AP8" s="2"/>
      <c r="AQ8" s="76">
        <f t="shared" si="5"/>
        <v>346666.66666666663</v>
      </c>
      <c r="AR8" s="81">
        <f t="shared" si="6"/>
        <v>0</v>
      </c>
      <c r="AS8" s="76">
        <f t="shared" si="7"/>
        <v>346666.66666666663</v>
      </c>
      <c r="AT8" s="76">
        <f t="shared" si="8"/>
        <v>0</v>
      </c>
      <c r="AU8" s="85"/>
      <c r="AV8" s="85" t="s">
        <v>208</v>
      </c>
      <c r="AW8" s="85" t="s">
        <v>213</v>
      </c>
      <c r="AX8" s="85" t="s">
        <v>207</v>
      </c>
    </row>
    <row r="9" spans="1:50" x14ac:dyDescent="0.25">
      <c r="A9" s="35" t="s">
        <v>153</v>
      </c>
      <c r="B9" s="2" t="s">
        <v>31</v>
      </c>
      <c r="C9" s="2" t="s">
        <v>16</v>
      </c>
      <c r="D9" s="6" t="s">
        <v>49</v>
      </c>
      <c r="E9" s="7">
        <v>884044</v>
      </c>
      <c r="F9" s="7">
        <f t="shared" ref="F9:F20" si="9">120.2/118.8*E9</f>
        <v>894462.02693602699</v>
      </c>
      <c r="G9" s="7"/>
      <c r="H9" s="7">
        <f t="shared" ref="H9:H20" si="10">F9+G9</f>
        <v>894462.02693602699</v>
      </c>
      <c r="I9" s="7">
        <f t="shared" ref="I9:I20" si="11">H9*121/120.2</f>
        <v>900415.18518518528</v>
      </c>
      <c r="J9" s="8"/>
      <c r="K9" s="8"/>
      <c r="L9" s="8"/>
      <c r="M9" s="8">
        <f t="shared" ref="M9:M20" si="12">L9</f>
        <v>0</v>
      </c>
      <c r="N9" s="7">
        <f t="shared" ref="N9:N20" si="13">+E9+K9</f>
        <v>884044</v>
      </c>
      <c r="O9" s="19">
        <f t="shared" ref="O9:O20" si="14">F9+L9</f>
        <v>894462.02693602699</v>
      </c>
      <c r="P9" s="7">
        <f t="shared" ref="P9:P20" si="15">I9+M9</f>
        <v>900415.18518518528</v>
      </c>
      <c r="Q9" s="7">
        <v>900415.18518518528</v>
      </c>
      <c r="R9" s="7"/>
      <c r="S9" s="7">
        <f t="shared" ref="S9:S20" si="16">Q9+R9</f>
        <v>900415.18518518528</v>
      </c>
      <c r="T9" s="7">
        <f t="shared" ref="T9:T20" si="17">(123.1/121)*S9</f>
        <v>916042.22558922565</v>
      </c>
      <c r="U9" s="8">
        <v>0</v>
      </c>
      <c r="V9" s="7"/>
      <c r="W9" s="7">
        <f t="shared" ref="W9:W20" si="18">U9+V9</f>
        <v>0</v>
      </c>
      <c r="X9" s="7">
        <f t="shared" ref="X9:X23" si="19">T9*(125.8/123.1)</f>
        <v>936134.13468013483</v>
      </c>
      <c r="Y9" s="7">
        <f t="shared" ref="Y9:Y23" si="20">(116.6/115.7)*W9</f>
        <v>0</v>
      </c>
      <c r="Z9" s="7">
        <f t="shared" ref="Z9:Z23" si="21">Y9*(118.3/116.6)</f>
        <v>0</v>
      </c>
      <c r="AA9" s="7">
        <f t="shared" ref="AA9:AA23" si="22">X9+Z9</f>
        <v>936134.13468013483</v>
      </c>
      <c r="AB9" s="33">
        <f>X9*(141.4/125.8)+32000</f>
        <v>1084220.7205387207</v>
      </c>
      <c r="AC9" s="7">
        <f t="shared" ref="AC9:AC23" si="23">(116.6/115.7)*AA9</f>
        <v>943416.0769550883</v>
      </c>
      <c r="AD9" s="7">
        <f t="shared" ref="AD9:AD24" si="24">+Z9*(123.6/118.2)</f>
        <v>0</v>
      </c>
      <c r="AE9" s="7">
        <f t="shared" ref="AE9:AE24" si="25">+AB9+AD9</f>
        <v>1084220.7205387207</v>
      </c>
      <c r="AF9" s="34">
        <f>1.05*AB9</f>
        <v>1138431.7565656567</v>
      </c>
      <c r="AG9" s="34">
        <f t="shared" ref="AG9:AG26" si="26">1.016*AD9</f>
        <v>0</v>
      </c>
      <c r="AH9" s="34">
        <f t="shared" ref="AH9:AH26" si="27">AF9+AG9</f>
        <v>1138431.7565656567</v>
      </c>
      <c r="AI9" s="34">
        <v>1150000</v>
      </c>
      <c r="AJ9" s="34"/>
      <c r="AK9" s="55">
        <f t="shared" si="0"/>
        <v>1150000</v>
      </c>
      <c r="AL9" s="55">
        <f t="shared" si="1"/>
        <v>1182857.1428571427</v>
      </c>
      <c r="AM9" s="55">
        <f t="shared" si="2"/>
        <v>0</v>
      </c>
      <c r="AN9" s="55">
        <f t="shared" si="3"/>
        <v>1247476.1904761903</v>
      </c>
      <c r="AO9" s="55">
        <f t="shared" si="4"/>
        <v>0</v>
      </c>
      <c r="AP9" s="2"/>
      <c r="AQ9" s="76">
        <f t="shared" si="5"/>
        <v>1423809.5238095236</v>
      </c>
      <c r="AR9" s="81">
        <f t="shared" si="6"/>
        <v>0</v>
      </c>
      <c r="AS9" s="76">
        <f t="shared" si="7"/>
        <v>1423809.5238095236</v>
      </c>
      <c r="AT9" s="76">
        <f t="shared" si="8"/>
        <v>0</v>
      </c>
      <c r="AU9" s="85"/>
      <c r="AV9" s="85" t="s">
        <v>207</v>
      </c>
      <c r="AW9" s="85" t="s">
        <v>213</v>
      </c>
      <c r="AX9" s="85"/>
    </row>
    <row r="10" spans="1:50" x14ac:dyDescent="0.25">
      <c r="A10" s="2" t="s">
        <v>6</v>
      </c>
      <c r="B10" s="2" t="s">
        <v>154</v>
      </c>
      <c r="C10" s="2" t="s">
        <v>16</v>
      </c>
      <c r="D10" s="6" t="s">
        <v>49</v>
      </c>
      <c r="E10" s="7">
        <v>3996364</v>
      </c>
      <c r="F10" s="7">
        <f t="shared" si="9"/>
        <v>4043459.1986531992</v>
      </c>
      <c r="G10" s="7"/>
      <c r="H10" s="7">
        <f t="shared" si="10"/>
        <v>4043459.1986531992</v>
      </c>
      <c r="I10" s="7">
        <f t="shared" si="11"/>
        <v>4070370.7407407416</v>
      </c>
      <c r="J10" s="8"/>
      <c r="K10" s="8"/>
      <c r="L10" s="8"/>
      <c r="M10" s="8">
        <f t="shared" si="12"/>
        <v>0</v>
      </c>
      <c r="N10" s="7">
        <f t="shared" si="13"/>
        <v>3996364</v>
      </c>
      <c r="O10" s="19">
        <f t="shared" si="14"/>
        <v>4043459.1986531992</v>
      </c>
      <c r="P10" s="7">
        <f t="shared" si="15"/>
        <v>4070370.7407407416</v>
      </c>
      <c r="Q10" s="7">
        <v>4070370.7407407416</v>
      </c>
      <c r="R10" s="7"/>
      <c r="S10" s="7">
        <f t="shared" si="16"/>
        <v>4070370.7407407416</v>
      </c>
      <c r="T10" s="7">
        <f t="shared" si="17"/>
        <v>4141013.5387205393</v>
      </c>
      <c r="U10" s="8">
        <v>0</v>
      </c>
      <c r="V10" s="7"/>
      <c r="W10" s="7">
        <f t="shared" si="18"/>
        <v>0</v>
      </c>
      <c r="X10" s="7">
        <f t="shared" si="19"/>
        <v>4231839.9932659939</v>
      </c>
      <c r="Y10" s="7">
        <f t="shared" si="20"/>
        <v>0</v>
      </c>
      <c r="Z10" s="7">
        <f t="shared" si="21"/>
        <v>0</v>
      </c>
      <c r="AA10" s="7">
        <f t="shared" si="22"/>
        <v>4231839.9932659939</v>
      </c>
      <c r="AB10" s="7">
        <f t="shared" ref="AB10:AB19" si="28">X10*(141.4/125.8)</f>
        <v>4756615.0639730645</v>
      </c>
      <c r="AC10" s="7">
        <f t="shared" si="23"/>
        <v>4264758.3683216497</v>
      </c>
      <c r="AD10" s="7">
        <f t="shared" si="24"/>
        <v>0</v>
      </c>
      <c r="AE10" s="7">
        <f t="shared" si="25"/>
        <v>4756615.0639730645</v>
      </c>
      <c r="AF10" s="34">
        <f t="shared" ref="AF10:AF26" si="29">1.05*AB10</f>
        <v>4994445.817171718</v>
      </c>
      <c r="AG10" s="34">
        <f t="shared" si="26"/>
        <v>0</v>
      </c>
      <c r="AH10" s="34">
        <f t="shared" si="27"/>
        <v>4994445.817171718</v>
      </c>
      <c r="AI10" s="34">
        <v>5775000</v>
      </c>
      <c r="AJ10" s="34"/>
      <c r="AK10" s="55">
        <f t="shared" si="0"/>
        <v>5775000</v>
      </c>
      <c r="AL10" s="55">
        <f t="shared" si="1"/>
        <v>5939999.9999999991</v>
      </c>
      <c r="AM10" s="55">
        <f t="shared" si="2"/>
        <v>0</v>
      </c>
      <c r="AN10" s="55">
        <f t="shared" si="3"/>
        <v>6264499.9999999991</v>
      </c>
      <c r="AO10" s="55">
        <f t="shared" si="4"/>
        <v>0</v>
      </c>
      <c r="AP10" s="2"/>
      <c r="AQ10" s="76">
        <f t="shared" si="5"/>
        <v>7149999.9999999981</v>
      </c>
      <c r="AR10" s="81">
        <f t="shared" si="6"/>
        <v>0</v>
      </c>
      <c r="AS10" s="76">
        <f t="shared" si="7"/>
        <v>7149999.9999999981</v>
      </c>
      <c r="AT10" s="76">
        <f t="shared" si="8"/>
        <v>0</v>
      </c>
      <c r="AU10" s="85" t="s">
        <v>212</v>
      </c>
      <c r="AV10" s="85" t="s">
        <v>208</v>
      </c>
      <c r="AW10" s="85" t="s">
        <v>208</v>
      </c>
      <c r="AX10" s="85" t="s">
        <v>207</v>
      </c>
    </row>
    <row r="11" spans="1:50" x14ac:dyDescent="0.25">
      <c r="A11" s="2" t="s">
        <v>40</v>
      </c>
      <c r="B11" s="2" t="s">
        <v>155</v>
      </c>
      <c r="C11" s="2" t="s">
        <v>16</v>
      </c>
      <c r="D11" s="6" t="s">
        <v>49</v>
      </c>
      <c r="E11" s="7">
        <v>10508846</v>
      </c>
      <c r="F11" s="7">
        <f t="shared" si="9"/>
        <v>10632687.619528621</v>
      </c>
      <c r="G11" s="7"/>
      <c r="H11" s="7">
        <f t="shared" si="10"/>
        <v>10632687.619528621</v>
      </c>
      <c r="I11" s="7">
        <f t="shared" si="11"/>
        <v>10703454.259259259</v>
      </c>
      <c r="J11" s="8" t="s">
        <v>50</v>
      </c>
      <c r="K11" s="8">
        <v>1300000</v>
      </c>
      <c r="L11" s="8">
        <f>115.7/114.7*K11</f>
        <v>1311333.914559721</v>
      </c>
      <c r="M11" s="8">
        <f t="shared" si="12"/>
        <v>1311333.914559721</v>
      </c>
      <c r="N11" s="7">
        <f t="shared" si="13"/>
        <v>11808846</v>
      </c>
      <c r="O11" s="19">
        <f t="shared" si="14"/>
        <v>11944021.534088343</v>
      </c>
      <c r="P11" s="7">
        <f t="shared" si="15"/>
        <v>12014788.173818979</v>
      </c>
      <c r="Q11" s="7">
        <v>10703454.259259259</v>
      </c>
      <c r="R11" s="7">
        <f>35358+42600</f>
        <v>77958</v>
      </c>
      <c r="S11" s="7">
        <f t="shared" si="16"/>
        <v>10781412.259259259</v>
      </c>
      <c r="T11" s="7">
        <f t="shared" si="17"/>
        <v>10968527.678634832</v>
      </c>
      <c r="U11" s="8">
        <v>1311333.914559721</v>
      </c>
      <c r="V11" s="7">
        <f>-33250+110315</f>
        <v>77065</v>
      </c>
      <c r="W11" s="7">
        <f t="shared" si="18"/>
        <v>1388398.914559721</v>
      </c>
      <c r="X11" s="7">
        <f t="shared" si="19"/>
        <v>11209104.646403428</v>
      </c>
      <c r="Y11" s="7">
        <f t="shared" si="20"/>
        <v>1399198.9061163652</v>
      </c>
      <c r="Z11" s="7">
        <f t="shared" si="21"/>
        <v>1419598.8901678047</v>
      </c>
      <c r="AA11" s="7">
        <f t="shared" si="22"/>
        <v>12628703.536571233</v>
      </c>
      <c r="AB11" s="7">
        <f t="shared" si="28"/>
        <v>12599104.904621977</v>
      </c>
      <c r="AC11" s="7">
        <f t="shared" si="23"/>
        <v>12726938.914124509</v>
      </c>
      <c r="AD11" s="7">
        <f t="shared" si="24"/>
        <v>1484453.6617998364</v>
      </c>
      <c r="AE11" s="7">
        <f t="shared" si="25"/>
        <v>14083558.566421814</v>
      </c>
      <c r="AF11" s="34">
        <f t="shared" si="29"/>
        <v>13229060.149853077</v>
      </c>
      <c r="AG11" s="34">
        <f t="shared" si="26"/>
        <v>1508204.9203886339</v>
      </c>
      <c r="AH11" s="34">
        <f t="shared" si="27"/>
        <v>14737265.07024171</v>
      </c>
      <c r="AI11" s="34">
        <v>12500000</v>
      </c>
      <c r="AJ11" s="34">
        <v>1440000</v>
      </c>
      <c r="AK11" s="55">
        <f t="shared" si="0"/>
        <v>13940000</v>
      </c>
      <c r="AL11" s="55">
        <f t="shared" si="1"/>
        <v>12857142.857142856</v>
      </c>
      <c r="AM11" s="55">
        <f t="shared" si="2"/>
        <v>1466929.1338582677</v>
      </c>
      <c r="AN11" s="55">
        <f t="shared" si="3"/>
        <v>13559523.809523808</v>
      </c>
      <c r="AO11" s="55">
        <f t="shared" si="4"/>
        <v>1547716.5354330707</v>
      </c>
      <c r="AP11" s="2"/>
      <c r="AQ11" s="76">
        <f t="shared" si="5"/>
        <v>15476190.476190472</v>
      </c>
      <c r="AR11" s="81">
        <f t="shared" si="6"/>
        <v>1791496.062992126</v>
      </c>
      <c r="AS11" s="76">
        <f t="shared" si="7"/>
        <v>15476190.476190472</v>
      </c>
      <c r="AT11" s="76">
        <f t="shared" si="8"/>
        <v>1797165.3543307087</v>
      </c>
      <c r="AU11" s="85" t="s">
        <v>212</v>
      </c>
      <c r="AV11" s="85" t="s">
        <v>207</v>
      </c>
      <c r="AW11" s="85" t="s">
        <v>208</v>
      </c>
      <c r="AX11" s="85" t="s">
        <v>207</v>
      </c>
    </row>
    <row r="12" spans="1:50" x14ac:dyDescent="0.25">
      <c r="A12" s="2" t="s">
        <v>41</v>
      </c>
      <c r="B12" s="2" t="s">
        <v>166</v>
      </c>
      <c r="C12" s="2" t="s">
        <v>16</v>
      </c>
      <c r="D12" s="6" t="s">
        <v>49</v>
      </c>
      <c r="E12" s="7">
        <v>1392672</v>
      </c>
      <c r="F12" s="7">
        <f t="shared" si="9"/>
        <v>1409083.9595959599</v>
      </c>
      <c r="G12" s="7"/>
      <c r="H12" s="7">
        <f t="shared" si="10"/>
        <v>1409083.9595959599</v>
      </c>
      <c r="I12" s="7">
        <f t="shared" si="11"/>
        <v>1418462.2222222225</v>
      </c>
      <c r="J12" s="8"/>
      <c r="K12" s="8"/>
      <c r="L12" s="8"/>
      <c r="M12" s="8">
        <f t="shared" si="12"/>
        <v>0</v>
      </c>
      <c r="N12" s="7">
        <f t="shared" si="13"/>
        <v>1392672</v>
      </c>
      <c r="O12" s="19">
        <f t="shared" si="14"/>
        <v>1409083.9595959599</v>
      </c>
      <c r="P12" s="7">
        <f t="shared" si="15"/>
        <v>1418462.2222222225</v>
      </c>
      <c r="Q12" s="7">
        <v>1418462.2222222225</v>
      </c>
      <c r="R12" s="7"/>
      <c r="S12" s="7">
        <f t="shared" si="16"/>
        <v>1418462.2222222225</v>
      </c>
      <c r="T12" s="7">
        <f t="shared" si="17"/>
        <v>1443080.1616161617</v>
      </c>
      <c r="U12" s="8">
        <v>0</v>
      </c>
      <c r="V12" s="7"/>
      <c r="W12" s="7">
        <f t="shared" si="18"/>
        <v>0</v>
      </c>
      <c r="X12" s="7">
        <f t="shared" si="19"/>
        <v>1474731.7979797982</v>
      </c>
      <c r="Y12" s="7">
        <f t="shared" si="20"/>
        <v>0</v>
      </c>
      <c r="Z12" s="7">
        <f t="shared" si="21"/>
        <v>0</v>
      </c>
      <c r="AA12" s="7">
        <f t="shared" si="22"/>
        <v>1474731.7979797982</v>
      </c>
      <c r="AB12" s="7">
        <f t="shared" si="28"/>
        <v>1657607.9191919195</v>
      </c>
      <c r="AC12" s="7">
        <f t="shared" si="23"/>
        <v>1486203.3504273505</v>
      </c>
      <c r="AD12" s="7">
        <f t="shared" si="24"/>
        <v>0</v>
      </c>
      <c r="AE12" s="7">
        <f t="shared" si="25"/>
        <v>1657607.9191919195</v>
      </c>
      <c r="AF12" s="34">
        <f t="shared" si="29"/>
        <v>1740488.3151515156</v>
      </c>
      <c r="AG12" s="34">
        <f t="shared" si="26"/>
        <v>0</v>
      </c>
      <c r="AH12" s="34">
        <f t="shared" si="27"/>
        <v>1740488.3151515156</v>
      </c>
      <c r="AI12" s="34">
        <v>1850000</v>
      </c>
      <c r="AJ12" s="34"/>
      <c r="AK12" s="55">
        <f t="shared" si="0"/>
        <v>1850000</v>
      </c>
      <c r="AL12" s="55">
        <f t="shared" si="1"/>
        <v>1902857.1428571427</v>
      </c>
      <c r="AM12" s="55">
        <f t="shared" si="2"/>
        <v>0</v>
      </c>
      <c r="AN12" s="55">
        <f t="shared" si="3"/>
        <v>2006809.5238095236</v>
      </c>
      <c r="AO12" s="55">
        <f t="shared" si="4"/>
        <v>0</v>
      </c>
      <c r="AP12" s="2"/>
      <c r="AQ12" s="76">
        <f t="shared" si="5"/>
        <v>2290476.1904761898</v>
      </c>
      <c r="AR12" s="81">
        <f t="shared" si="6"/>
        <v>0</v>
      </c>
      <c r="AS12" s="76">
        <f t="shared" si="7"/>
        <v>2290476.1904761898</v>
      </c>
      <c r="AT12" s="76">
        <f t="shared" si="8"/>
        <v>0</v>
      </c>
      <c r="AU12" s="85"/>
      <c r="AV12" s="85" t="s">
        <v>208</v>
      </c>
      <c r="AW12" s="85" t="s">
        <v>208</v>
      </c>
      <c r="AX12" s="85"/>
    </row>
    <row r="13" spans="1:50" x14ac:dyDescent="0.25">
      <c r="A13" s="2" t="s">
        <v>7</v>
      </c>
      <c r="B13" s="2" t="s">
        <v>23</v>
      </c>
      <c r="C13" s="2" t="s">
        <v>16</v>
      </c>
      <c r="D13" s="6" t="s">
        <v>49</v>
      </c>
      <c r="E13" s="7">
        <v>823493</v>
      </c>
      <c r="F13" s="7">
        <f t="shared" si="9"/>
        <v>833197.46296296304</v>
      </c>
      <c r="G13" s="7"/>
      <c r="H13" s="7">
        <f t="shared" si="10"/>
        <v>833197.46296296304</v>
      </c>
      <c r="I13" s="7">
        <f t="shared" si="11"/>
        <v>838742.87037037034</v>
      </c>
      <c r="J13" s="8"/>
      <c r="K13" s="8"/>
      <c r="L13" s="8"/>
      <c r="M13" s="8">
        <f t="shared" si="12"/>
        <v>0</v>
      </c>
      <c r="N13" s="7">
        <f t="shared" si="13"/>
        <v>823493</v>
      </c>
      <c r="O13" s="19">
        <f t="shared" si="14"/>
        <v>833197.46296296304</v>
      </c>
      <c r="P13" s="7">
        <f t="shared" si="15"/>
        <v>838742.87037037034</v>
      </c>
      <c r="Q13" s="7">
        <v>838742.87037037034</v>
      </c>
      <c r="R13" s="7"/>
      <c r="S13" s="7">
        <f t="shared" si="16"/>
        <v>838742.87037037034</v>
      </c>
      <c r="T13" s="7">
        <f t="shared" si="17"/>
        <v>853299.56481481472</v>
      </c>
      <c r="U13" s="8">
        <v>0</v>
      </c>
      <c r="V13" s="7"/>
      <c r="W13" s="7">
        <f t="shared" si="18"/>
        <v>0</v>
      </c>
      <c r="X13" s="7">
        <f t="shared" si="19"/>
        <v>872015.31481481483</v>
      </c>
      <c r="Y13" s="7">
        <f t="shared" si="20"/>
        <v>0</v>
      </c>
      <c r="Z13" s="7">
        <f t="shared" si="21"/>
        <v>0</v>
      </c>
      <c r="AA13" s="7">
        <f t="shared" si="22"/>
        <v>872015.31481481483</v>
      </c>
      <c r="AB13" s="7">
        <f t="shared" si="28"/>
        <v>980150.75925925933</v>
      </c>
      <c r="AC13" s="7">
        <f t="shared" si="23"/>
        <v>878798.49358174077</v>
      </c>
      <c r="AD13" s="7">
        <f t="shared" si="24"/>
        <v>0</v>
      </c>
      <c r="AE13" s="7">
        <f t="shared" si="25"/>
        <v>980150.75925925933</v>
      </c>
      <c r="AF13" s="34">
        <f t="shared" si="29"/>
        <v>1029158.2972222223</v>
      </c>
      <c r="AG13" s="34">
        <f t="shared" si="26"/>
        <v>0</v>
      </c>
      <c r="AH13" s="34">
        <f t="shared" si="27"/>
        <v>1029158.2972222223</v>
      </c>
      <c r="AI13" s="34">
        <v>1150000</v>
      </c>
      <c r="AJ13" s="34"/>
      <c r="AK13" s="55">
        <f t="shared" si="0"/>
        <v>1150000</v>
      </c>
      <c r="AL13" s="55">
        <f t="shared" si="1"/>
        <v>1182857.1428571427</v>
      </c>
      <c r="AM13" s="55">
        <f t="shared" si="2"/>
        <v>0</v>
      </c>
      <c r="AN13" s="55">
        <f t="shared" si="3"/>
        <v>1247476.1904761903</v>
      </c>
      <c r="AO13" s="55">
        <f t="shared" si="4"/>
        <v>0</v>
      </c>
      <c r="AP13" s="2"/>
      <c r="AQ13" s="76">
        <f t="shared" si="5"/>
        <v>1423809.5238095236</v>
      </c>
      <c r="AR13" s="81">
        <f t="shared" si="6"/>
        <v>0</v>
      </c>
      <c r="AS13" s="76">
        <f t="shared" si="7"/>
        <v>1423809.5238095236</v>
      </c>
      <c r="AT13" s="76">
        <f t="shared" si="8"/>
        <v>0</v>
      </c>
      <c r="AU13" s="85" t="s">
        <v>212</v>
      </c>
      <c r="AV13" s="85" t="s">
        <v>208</v>
      </c>
      <c r="AW13" s="85" t="s">
        <v>208</v>
      </c>
      <c r="AX13" s="85"/>
    </row>
    <row r="14" spans="1:50" x14ac:dyDescent="0.25">
      <c r="A14" s="2" t="s">
        <v>144</v>
      </c>
      <c r="B14" s="2" t="s">
        <v>130</v>
      </c>
      <c r="C14" s="2" t="s">
        <v>16</v>
      </c>
      <c r="D14" s="6" t="s">
        <v>49</v>
      </c>
      <c r="E14" s="7">
        <v>14532</v>
      </c>
      <c r="F14" s="7">
        <f t="shared" si="9"/>
        <v>14703.252525252527</v>
      </c>
      <c r="G14" s="7"/>
      <c r="H14" s="7">
        <f t="shared" si="10"/>
        <v>14703.252525252527</v>
      </c>
      <c r="I14" s="7">
        <f t="shared" si="11"/>
        <v>14801.111111111113</v>
      </c>
      <c r="J14" s="8"/>
      <c r="K14" s="8"/>
      <c r="L14" s="8"/>
      <c r="M14" s="8">
        <f t="shared" si="12"/>
        <v>0</v>
      </c>
      <c r="N14" s="7">
        <f t="shared" si="13"/>
        <v>14532</v>
      </c>
      <c r="O14" s="19">
        <f t="shared" si="14"/>
        <v>14703.252525252527</v>
      </c>
      <c r="P14" s="7">
        <f t="shared" si="15"/>
        <v>14801.111111111113</v>
      </c>
      <c r="Q14" s="7">
        <v>14801.111111111113</v>
      </c>
      <c r="R14" s="7"/>
      <c r="S14" s="7">
        <f t="shared" si="16"/>
        <v>14801.111111111113</v>
      </c>
      <c r="T14" s="7">
        <f t="shared" si="17"/>
        <v>15057.989898989899</v>
      </c>
      <c r="U14" s="8">
        <v>0</v>
      </c>
      <c r="V14" s="7"/>
      <c r="W14" s="7">
        <f t="shared" si="18"/>
        <v>0</v>
      </c>
      <c r="X14" s="7">
        <f t="shared" si="19"/>
        <v>15388.262626262627</v>
      </c>
      <c r="Y14" s="7">
        <f t="shared" si="20"/>
        <v>0</v>
      </c>
      <c r="Z14" s="7">
        <f t="shared" si="21"/>
        <v>0</v>
      </c>
      <c r="AA14" s="7">
        <f t="shared" si="22"/>
        <v>15388.262626262627</v>
      </c>
      <c r="AB14" s="7">
        <f t="shared" si="28"/>
        <v>17296.505050505053</v>
      </c>
      <c r="AC14" s="7">
        <f t="shared" si="23"/>
        <v>15507.963891289735</v>
      </c>
      <c r="AD14" s="7">
        <f t="shared" si="24"/>
        <v>0</v>
      </c>
      <c r="AE14" s="7">
        <f t="shared" si="25"/>
        <v>17296.505050505053</v>
      </c>
      <c r="AF14" s="34">
        <f t="shared" si="29"/>
        <v>18161.330303030307</v>
      </c>
      <c r="AG14" s="34">
        <f t="shared" si="26"/>
        <v>0</v>
      </c>
      <c r="AH14" s="34">
        <f t="shared" si="27"/>
        <v>18161.330303030307</v>
      </c>
      <c r="AI14" s="34">
        <v>25000</v>
      </c>
      <c r="AJ14" s="34"/>
      <c r="AK14" s="55">
        <f t="shared" si="0"/>
        <v>25000</v>
      </c>
      <c r="AL14" s="55">
        <f t="shared" si="1"/>
        <v>25714.28571428571</v>
      </c>
      <c r="AM14" s="55">
        <f t="shared" si="2"/>
        <v>0</v>
      </c>
      <c r="AN14" s="55">
        <f t="shared" si="3"/>
        <v>27119.047619047615</v>
      </c>
      <c r="AO14" s="55">
        <f t="shared" si="4"/>
        <v>0</v>
      </c>
      <c r="AP14" s="2"/>
      <c r="AQ14" s="76">
        <f t="shared" si="5"/>
        <v>30952.380952380943</v>
      </c>
      <c r="AR14" s="81">
        <f t="shared" si="6"/>
        <v>0</v>
      </c>
      <c r="AS14" s="76">
        <f t="shared" si="7"/>
        <v>30952.380952380943</v>
      </c>
      <c r="AT14" s="76">
        <f t="shared" si="8"/>
        <v>0</v>
      </c>
      <c r="AU14" s="85"/>
      <c r="AV14" s="85" t="s">
        <v>208</v>
      </c>
      <c r="AW14" s="85" t="s">
        <v>208</v>
      </c>
      <c r="AX14" s="85" t="s">
        <v>208</v>
      </c>
    </row>
    <row r="15" spans="1:50" x14ac:dyDescent="0.25">
      <c r="A15" s="2" t="s">
        <v>145</v>
      </c>
      <c r="B15" s="2" t="s">
        <v>130</v>
      </c>
      <c r="C15" s="2" t="s">
        <v>16</v>
      </c>
      <c r="D15" s="6" t="s">
        <v>49</v>
      </c>
      <c r="E15" s="7">
        <v>25431</v>
      </c>
      <c r="F15" s="7">
        <f t="shared" si="9"/>
        <v>25730.691919191922</v>
      </c>
      <c r="G15" s="7"/>
      <c r="H15" s="7">
        <f t="shared" si="10"/>
        <v>25730.691919191922</v>
      </c>
      <c r="I15" s="7">
        <f t="shared" si="11"/>
        <v>25901.944444444445</v>
      </c>
      <c r="J15" s="8"/>
      <c r="K15" s="8"/>
      <c r="L15" s="8"/>
      <c r="M15" s="8">
        <f t="shared" si="12"/>
        <v>0</v>
      </c>
      <c r="N15" s="7">
        <f t="shared" si="13"/>
        <v>25431</v>
      </c>
      <c r="O15" s="19">
        <f t="shared" si="14"/>
        <v>25730.691919191922</v>
      </c>
      <c r="P15" s="7">
        <f t="shared" si="15"/>
        <v>25901.944444444445</v>
      </c>
      <c r="Q15" s="7">
        <v>25901.944444444445</v>
      </c>
      <c r="R15" s="7"/>
      <c r="S15" s="7">
        <f t="shared" si="16"/>
        <v>25901.944444444445</v>
      </c>
      <c r="T15" s="7">
        <f t="shared" si="17"/>
        <v>26351.482323232322</v>
      </c>
      <c r="U15" s="8">
        <v>0</v>
      </c>
      <c r="V15" s="7"/>
      <c r="W15" s="7">
        <f t="shared" si="18"/>
        <v>0</v>
      </c>
      <c r="X15" s="7">
        <f t="shared" si="19"/>
        <v>26929.459595959597</v>
      </c>
      <c r="Y15" s="7">
        <f t="shared" si="20"/>
        <v>0</v>
      </c>
      <c r="Z15" s="7">
        <f t="shared" si="21"/>
        <v>0</v>
      </c>
      <c r="AA15" s="7">
        <f t="shared" si="22"/>
        <v>26929.459595959597</v>
      </c>
      <c r="AB15" s="7">
        <f t="shared" si="28"/>
        <v>30268.883838383841</v>
      </c>
      <c r="AC15" s="7">
        <f t="shared" si="23"/>
        <v>27138.936809757037</v>
      </c>
      <c r="AD15" s="7">
        <f t="shared" si="24"/>
        <v>0</v>
      </c>
      <c r="AE15" s="7">
        <f t="shared" si="25"/>
        <v>30268.883838383841</v>
      </c>
      <c r="AF15" s="34">
        <f t="shared" si="29"/>
        <v>31782.328030303033</v>
      </c>
      <c r="AG15" s="34">
        <f t="shared" si="26"/>
        <v>0</v>
      </c>
      <c r="AH15" s="34">
        <f t="shared" si="27"/>
        <v>31782.328030303033</v>
      </c>
      <c r="AI15" s="34">
        <v>35000</v>
      </c>
      <c r="AJ15" s="34"/>
      <c r="AK15" s="55">
        <f t="shared" si="0"/>
        <v>35000</v>
      </c>
      <c r="AL15" s="55">
        <f t="shared" si="1"/>
        <v>36000</v>
      </c>
      <c r="AM15" s="55">
        <f t="shared" si="2"/>
        <v>0</v>
      </c>
      <c r="AN15" s="55">
        <f t="shared" si="3"/>
        <v>37966.666666666664</v>
      </c>
      <c r="AO15" s="55">
        <f t="shared" si="4"/>
        <v>0</v>
      </c>
      <c r="AP15" s="2"/>
      <c r="AQ15" s="76">
        <f t="shared" si="5"/>
        <v>43333.333333333328</v>
      </c>
      <c r="AR15" s="81">
        <f t="shared" si="6"/>
        <v>0</v>
      </c>
      <c r="AS15" s="76">
        <f t="shared" si="7"/>
        <v>43333.333333333328</v>
      </c>
      <c r="AT15" s="76">
        <f t="shared" si="8"/>
        <v>0</v>
      </c>
      <c r="AU15" s="85"/>
      <c r="AV15" s="85" t="s">
        <v>208</v>
      </c>
      <c r="AW15" s="85"/>
      <c r="AX15" s="85" t="s">
        <v>208</v>
      </c>
    </row>
    <row r="16" spans="1:50" x14ac:dyDescent="0.25">
      <c r="A16" s="2" t="s">
        <v>8</v>
      </c>
      <c r="B16" s="2" t="s">
        <v>25</v>
      </c>
      <c r="C16" s="2" t="s">
        <v>16</v>
      </c>
      <c r="D16" s="6" t="s">
        <v>49</v>
      </c>
      <c r="E16" s="7">
        <v>24826</v>
      </c>
      <c r="F16" s="7">
        <f t="shared" si="9"/>
        <v>25118.562289562291</v>
      </c>
      <c r="G16" s="7"/>
      <c r="H16" s="7">
        <f t="shared" si="10"/>
        <v>25118.562289562291</v>
      </c>
      <c r="I16" s="7">
        <f t="shared" si="11"/>
        <v>25285.740740740741</v>
      </c>
      <c r="J16" s="8"/>
      <c r="K16" s="8"/>
      <c r="L16" s="8"/>
      <c r="M16" s="8">
        <f t="shared" si="12"/>
        <v>0</v>
      </c>
      <c r="N16" s="7">
        <f t="shared" si="13"/>
        <v>24826</v>
      </c>
      <c r="O16" s="19">
        <f t="shared" si="14"/>
        <v>25118.562289562291</v>
      </c>
      <c r="P16" s="7">
        <f t="shared" si="15"/>
        <v>25285.740740740741</v>
      </c>
      <c r="Q16" s="7">
        <v>25285.740740740741</v>
      </c>
      <c r="R16" s="7"/>
      <c r="S16" s="7">
        <f t="shared" si="16"/>
        <v>25285.740740740741</v>
      </c>
      <c r="T16" s="7">
        <f t="shared" si="17"/>
        <v>25724.584175084172</v>
      </c>
      <c r="U16" s="8">
        <v>0</v>
      </c>
      <c r="V16" s="7"/>
      <c r="W16" s="7">
        <f t="shared" si="18"/>
        <v>0</v>
      </c>
      <c r="X16" s="7">
        <f t="shared" si="19"/>
        <v>26288.811447811448</v>
      </c>
      <c r="Y16" s="7">
        <f t="shared" si="20"/>
        <v>0</v>
      </c>
      <c r="Z16" s="7">
        <f t="shared" si="21"/>
        <v>0</v>
      </c>
      <c r="AA16" s="7">
        <f t="shared" si="22"/>
        <v>26288.811447811448</v>
      </c>
      <c r="AB16" s="7">
        <f t="shared" si="28"/>
        <v>29548.791245791246</v>
      </c>
      <c r="AC16" s="7">
        <f t="shared" si="23"/>
        <v>26493.305227440058</v>
      </c>
      <c r="AD16" s="7">
        <f t="shared" si="24"/>
        <v>0</v>
      </c>
      <c r="AE16" s="7">
        <f t="shared" si="25"/>
        <v>29548.791245791246</v>
      </c>
      <c r="AF16" s="34">
        <f t="shared" si="29"/>
        <v>31026.230808080811</v>
      </c>
      <c r="AG16" s="34">
        <f t="shared" si="26"/>
        <v>0</v>
      </c>
      <c r="AH16" s="34">
        <f t="shared" si="27"/>
        <v>31026.230808080811</v>
      </c>
      <c r="AI16" s="34">
        <v>35000</v>
      </c>
      <c r="AJ16" s="34"/>
      <c r="AK16" s="55">
        <f t="shared" si="0"/>
        <v>35000</v>
      </c>
      <c r="AL16" s="55">
        <f t="shared" si="1"/>
        <v>36000</v>
      </c>
      <c r="AM16" s="55">
        <f t="shared" si="2"/>
        <v>0</v>
      </c>
      <c r="AN16" s="55">
        <f t="shared" si="3"/>
        <v>37966.666666666664</v>
      </c>
      <c r="AO16" s="55">
        <f t="shared" si="4"/>
        <v>0</v>
      </c>
      <c r="AP16" s="2"/>
      <c r="AQ16" s="76">
        <f t="shared" si="5"/>
        <v>43333.333333333328</v>
      </c>
      <c r="AR16" s="81">
        <f t="shared" si="6"/>
        <v>0</v>
      </c>
      <c r="AS16" s="76">
        <f t="shared" si="7"/>
        <v>43333.333333333328</v>
      </c>
      <c r="AT16" s="76">
        <f t="shared" si="8"/>
        <v>0</v>
      </c>
      <c r="AU16" s="85"/>
      <c r="AV16" s="85" t="s">
        <v>208</v>
      </c>
      <c r="AW16" s="85" t="s">
        <v>209</v>
      </c>
      <c r="AX16" s="85" t="s">
        <v>208</v>
      </c>
    </row>
    <row r="17" spans="1:50" x14ac:dyDescent="0.25">
      <c r="A17" s="2" t="s">
        <v>156</v>
      </c>
      <c r="B17" s="2" t="s">
        <v>29</v>
      </c>
      <c r="C17" s="2" t="s">
        <v>16</v>
      </c>
      <c r="D17" s="6" t="s">
        <v>49</v>
      </c>
      <c r="E17" s="7">
        <v>80067</v>
      </c>
      <c r="F17" s="7">
        <f t="shared" si="9"/>
        <v>81010.550505050516</v>
      </c>
      <c r="G17" s="7"/>
      <c r="H17" s="7">
        <f t="shared" si="10"/>
        <v>81010.550505050516</v>
      </c>
      <c r="I17" s="7">
        <f t="shared" si="11"/>
        <v>81549.722222222234</v>
      </c>
      <c r="J17" s="8" t="s">
        <v>50</v>
      </c>
      <c r="K17" s="8">
        <v>3630</v>
      </c>
      <c r="L17" s="8">
        <f xml:space="preserve"> 115.7/114.7*K17</f>
        <v>3661.6477768090672</v>
      </c>
      <c r="M17" s="8">
        <f t="shared" si="12"/>
        <v>3661.6477768090672</v>
      </c>
      <c r="N17" s="7">
        <f t="shared" si="13"/>
        <v>83697</v>
      </c>
      <c r="O17" s="19">
        <f t="shared" si="14"/>
        <v>84672.198281859586</v>
      </c>
      <c r="P17" s="7">
        <f t="shared" si="15"/>
        <v>85211.369999031303</v>
      </c>
      <c r="Q17" s="7">
        <v>81549.722222222234</v>
      </c>
      <c r="R17" s="7"/>
      <c r="S17" s="7">
        <f t="shared" si="16"/>
        <v>81549.722222222234</v>
      </c>
      <c r="T17" s="7">
        <f t="shared" si="17"/>
        <v>82965.047979797979</v>
      </c>
      <c r="U17" s="8">
        <v>3661.6477768090672</v>
      </c>
      <c r="V17" s="7"/>
      <c r="W17" s="7">
        <f t="shared" si="18"/>
        <v>3661.6477768090672</v>
      </c>
      <c r="X17" s="7">
        <f t="shared" si="19"/>
        <v>84784.752525252537</v>
      </c>
      <c r="Y17" s="7">
        <f t="shared" si="20"/>
        <v>3690.1307759372276</v>
      </c>
      <c r="Z17" s="7">
        <f t="shared" si="21"/>
        <v>3743.9319965126419</v>
      </c>
      <c r="AA17" s="7">
        <f t="shared" si="22"/>
        <v>88528.684521765186</v>
      </c>
      <c r="AB17" s="7">
        <f t="shared" si="28"/>
        <v>95298.601010101032</v>
      </c>
      <c r="AC17" s="7">
        <f t="shared" si="23"/>
        <v>89217.325974397754</v>
      </c>
      <c r="AD17" s="7">
        <f t="shared" si="24"/>
        <v>3914.9745750335242</v>
      </c>
      <c r="AE17" s="7">
        <f t="shared" si="25"/>
        <v>99213.57558513456</v>
      </c>
      <c r="AF17" s="34">
        <f t="shared" si="29"/>
        <v>100063.53106060608</v>
      </c>
      <c r="AG17" s="34">
        <f t="shared" si="26"/>
        <v>3977.6141682340608</v>
      </c>
      <c r="AH17" s="34">
        <f t="shared" si="27"/>
        <v>104041.14522884015</v>
      </c>
      <c r="AI17" s="34">
        <v>350000</v>
      </c>
      <c r="AJ17" s="34"/>
      <c r="AK17" s="55">
        <f t="shared" si="0"/>
        <v>350000</v>
      </c>
      <c r="AL17" s="55">
        <f t="shared" si="1"/>
        <v>359999.99999999994</v>
      </c>
      <c r="AM17" s="55">
        <f t="shared" si="2"/>
        <v>0</v>
      </c>
      <c r="AN17" s="55">
        <f t="shared" si="3"/>
        <v>379666.66666666657</v>
      </c>
      <c r="AO17" s="55">
        <f t="shared" si="4"/>
        <v>0</v>
      </c>
      <c r="AP17" s="2"/>
      <c r="AQ17" s="76">
        <f t="shared" si="5"/>
        <v>433333.3333333332</v>
      </c>
      <c r="AR17" s="81">
        <f t="shared" si="6"/>
        <v>0</v>
      </c>
      <c r="AS17" s="76">
        <f t="shared" si="7"/>
        <v>433333.3333333332</v>
      </c>
      <c r="AT17" s="76">
        <f t="shared" si="8"/>
        <v>0</v>
      </c>
      <c r="AU17" s="85" t="s">
        <v>212</v>
      </c>
      <c r="AV17" s="85" t="s">
        <v>208</v>
      </c>
      <c r="AW17" s="85" t="s">
        <v>208</v>
      </c>
      <c r="AX17" s="85"/>
    </row>
    <row r="18" spans="1:50" x14ac:dyDescent="0.25">
      <c r="A18" s="2" t="s">
        <v>157</v>
      </c>
      <c r="B18" s="2" t="s">
        <v>28</v>
      </c>
      <c r="C18" s="2" t="s">
        <v>16</v>
      </c>
      <c r="D18" s="6" t="s">
        <v>49</v>
      </c>
      <c r="E18" s="7">
        <v>102586</v>
      </c>
      <c r="F18" s="7">
        <f t="shared" si="9"/>
        <v>103794.92592592594</v>
      </c>
      <c r="G18" s="7"/>
      <c r="H18" s="7">
        <f t="shared" si="10"/>
        <v>103794.92592592594</v>
      </c>
      <c r="I18" s="7">
        <f t="shared" si="11"/>
        <v>104485.74074074076</v>
      </c>
      <c r="J18" s="8" t="s">
        <v>50</v>
      </c>
      <c r="K18" s="8">
        <v>15000</v>
      </c>
      <c r="L18" s="8">
        <f xml:space="preserve"> 115.7/114.7*K18</f>
        <v>15130.77593722755</v>
      </c>
      <c r="M18" s="8">
        <f t="shared" si="12"/>
        <v>15130.77593722755</v>
      </c>
      <c r="N18" s="7">
        <f t="shared" si="13"/>
        <v>117586</v>
      </c>
      <c r="O18" s="19">
        <f t="shared" si="14"/>
        <v>118925.70186315349</v>
      </c>
      <c r="P18" s="7">
        <f t="shared" si="15"/>
        <v>119616.51667796831</v>
      </c>
      <c r="Q18" s="7">
        <v>104485.74074074076</v>
      </c>
      <c r="R18" s="7"/>
      <c r="S18" s="7">
        <f t="shared" si="16"/>
        <v>104485.74074074076</v>
      </c>
      <c r="T18" s="7">
        <f t="shared" si="17"/>
        <v>106299.12962962964</v>
      </c>
      <c r="U18" s="8">
        <v>15130.77593722755</v>
      </c>
      <c r="V18" s="7"/>
      <c r="W18" s="7">
        <f t="shared" si="18"/>
        <v>15130.77593722755</v>
      </c>
      <c r="X18" s="7">
        <f t="shared" si="19"/>
        <v>108630.62962962965</v>
      </c>
      <c r="Y18" s="7">
        <f t="shared" si="20"/>
        <v>15248.474280732346</v>
      </c>
      <c r="Z18" s="7">
        <f t="shared" si="21"/>
        <v>15470.793374019182</v>
      </c>
      <c r="AA18" s="7">
        <f t="shared" si="22"/>
        <v>124101.42300364883</v>
      </c>
      <c r="AB18" s="7">
        <f t="shared" si="28"/>
        <v>122101.51851851854</v>
      </c>
      <c r="AC18" s="7">
        <f t="shared" si="23"/>
        <v>125066.77547299441</v>
      </c>
      <c r="AD18" s="7">
        <f t="shared" si="24"/>
        <v>16177.580888568282</v>
      </c>
      <c r="AE18" s="7">
        <f t="shared" si="25"/>
        <v>138279.09940708682</v>
      </c>
      <c r="AF18" s="34">
        <f t="shared" si="29"/>
        <v>128206.59444444448</v>
      </c>
      <c r="AG18" s="34">
        <f t="shared" si="26"/>
        <v>16436.422182785376</v>
      </c>
      <c r="AH18" s="34">
        <f t="shared" si="27"/>
        <v>144643.01662722987</v>
      </c>
      <c r="AI18" s="34">
        <v>225000</v>
      </c>
      <c r="AJ18" s="34"/>
      <c r="AK18" s="55">
        <f t="shared" si="0"/>
        <v>225000</v>
      </c>
      <c r="AL18" s="55">
        <f t="shared" si="1"/>
        <v>231428.57142857142</v>
      </c>
      <c r="AM18" s="55">
        <f t="shared" si="2"/>
        <v>0</v>
      </c>
      <c r="AN18" s="55">
        <f t="shared" si="3"/>
        <v>244071.42857142855</v>
      </c>
      <c r="AO18" s="55">
        <f t="shared" si="4"/>
        <v>0</v>
      </c>
      <c r="AP18" s="2"/>
      <c r="AQ18" s="76">
        <f t="shared" si="5"/>
        <v>278571.42857142852</v>
      </c>
      <c r="AR18" s="81">
        <f t="shared" si="6"/>
        <v>0</v>
      </c>
      <c r="AS18" s="76">
        <f t="shared" si="7"/>
        <v>278571.42857142852</v>
      </c>
      <c r="AT18" s="76">
        <f t="shared" si="8"/>
        <v>0</v>
      </c>
      <c r="AU18" s="85" t="s">
        <v>212</v>
      </c>
      <c r="AV18" s="85" t="s">
        <v>208</v>
      </c>
      <c r="AW18" s="85" t="s">
        <v>208</v>
      </c>
      <c r="AX18" s="85"/>
    </row>
    <row r="19" spans="1:50" x14ac:dyDescent="0.25">
      <c r="A19" s="20" t="s">
        <v>114</v>
      </c>
      <c r="B19" s="2" t="s">
        <v>36</v>
      </c>
      <c r="C19" s="2" t="s">
        <v>16</v>
      </c>
      <c r="D19" s="6" t="s">
        <v>49</v>
      </c>
      <c r="E19" s="7">
        <v>2724794</v>
      </c>
      <c r="F19" s="7">
        <f t="shared" si="9"/>
        <v>2756904.3670033673</v>
      </c>
      <c r="G19" s="7"/>
      <c r="H19" s="7">
        <f t="shared" si="10"/>
        <v>2756904.3670033673</v>
      </c>
      <c r="I19" s="7">
        <f t="shared" si="11"/>
        <v>2775253.1481481483</v>
      </c>
      <c r="J19" s="8"/>
      <c r="K19" s="8"/>
      <c r="L19" s="8"/>
      <c r="M19" s="8">
        <f t="shared" si="12"/>
        <v>0</v>
      </c>
      <c r="N19" s="7">
        <f t="shared" si="13"/>
        <v>2724794</v>
      </c>
      <c r="O19" s="19">
        <f t="shared" si="14"/>
        <v>2756904.3670033673</v>
      </c>
      <c r="P19" s="7">
        <f t="shared" si="15"/>
        <v>2775253.1481481483</v>
      </c>
      <c r="Q19" s="7">
        <v>2775253.1481481483</v>
      </c>
      <c r="R19" s="7"/>
      <c r="S19" s="7">
        <f t="shared" si="16"/>
        <v>2775253.1481481483</v>
      </c>
      <c r="T19" s="7">
        <f t="shared" si="17"/>
        <v>2823418.6986531988</v>
      </c>
      <c r="U19" s="8">
        <v>0</v>
      </c>
      <c r="V19" s="7"/>
      <c r="W19" s="7">
        <f t="shared" si="18"/>
        <v>0</v>
      </c>
      <c r="X19" s="7">
        <f t="shared" si="19"/>
        <v>2885345.8350168355</v>
      </c>
      <c r="Y19" s="7">
        <f t="shared" si="20"/>
        <v>0</v>
      </c>
      <c r="Z19" s="7">
        <f t="shared" si="21"/>
        <v>0</v>
      </c>
      <c r="AA19" s="7">
        <f t="shared" si="22"/>
        <v>2885345.8350168355</v>
      </c>
      <c r="AB19" s="7">
        <f t="shared" si="28"/>
        <v>3243147.0673400681</v>
      </c>
      <c r="AC19" s="7">
        <f t="shared" si="23"/>
        <v>2907790.1846409938</v>
      </c>
      <c r="AD19" s="7">
        <f t="shared" si="24"/>
        <v>0</v>
      </c>
      <c r="AE19" s="7">
        <f t="shared" si="25"/>
        <v>3243147.0673400681</v>
      </c>
      <c r="AF19" s="34">
        <f t="shared" si="29"/>
        <v>3405304.4207070717</v>
      </c>
      <c r="AG19" s="34">
        <f t="shared" si="26"/>
        <v>0</v>
      </c>
      <c r="AH19" s="34">
        <f t="shared" si="27"/>
        <v>3405304.4207070717</v>
      </c>
      <c r="AI19" s="34">
        <v>3400000</v>
      </c>
      <c r="AJ19" s="34"/>
      <c r="AK19" s="55">
        <f t="shared" si="0"/>
        <v>3400000</v>
      </c>
      <c r="AL19" s="55">
        <f t="shared" si="1"/>
        <v>3497142.8571428568</v>
      </c>
      <c r="AM19" s="55">
        <f t="shared" si="2"/>
        <v>0</v>
      </c>
      <c r="AN19" s="55">
        <f t="shared" si="3"/>
        <v>3688190.4761904757</v>
      </c>
      <c r="AO19" s="55">
        <f t="shared" si="4"/>
        <v>0</v>
      </c>
      <c r="AP19" s="2"/>
      <c r="AQ19" s="76">
        <f t="shared" si="5"/>
        <v>4209523.8095238088</v>
      </c>
      <c r="AR19" s="81">
        <f t="shared" si="6"/>
        <v>0</v>
      </c>
      <c r="AS19" s="76">
        <f t="shared" si="7"/>
        <v>4209523.8095238088</v>
      </c>
      <c r="AT19" s="76">
        <f t="shared" si="8"/>
        <v>0</v>
      </c>
      <c r="AU19" s="85" t="s">
        <v>212</v>
      </c>
      <c r="AV19" s="85" t="s">
        <v>208</v>
      </c>
      <c r="AW19" s="85" t="s">
        <v>208</v>
      </c>
      <c r="AX19" s="85" t="s">
        <v>207</v>
      </c>
    </row>
    <row r="20" spans="1:50" x14ac:dyDescent="0.25">
      <c r="A20" s="35" t="s">
        <v>59</v>
      </c>
      <c r="B20" s="2" t="s">
        <v>51</v>
      </c>
      <c r="C20" s="2" t="s">
        <v>16</v>
      </c>
      <c r="D20" s="2"/>
      <c r="E20" s="8">
        <v>3388000</v>
      </c>
      <c r="F20" s="7">
        <f t="shared" si="9"/>
        <v>3427925.9259259263</v>
      </c>
      <c r="G20" s="7"/>
      <c r="H20" s="7">
        <f t="shared" si="10"/>
        <v>3427925.9259259263</v>
      </c>
      <c r="I20" s="7">
        <f t="shared" si="11"/>
        <v>3450740.7407407411</v>
      </c>
      <c r="J20" s="8"/>
      <c r="K20" s="8">
        <v>200000</v>
      </c>
      <c r="L20" s="8">
        <f xml:space="preserve"> 115.7/114.7*K20</f>
        <v>201743.67916303399</v>
      </c>
      <c r="M20" s="8">
        <f t="shared" si="12"/>
        <v>201743.67916303399</v>
      </c>
      <c r="N20" s="7">
        <f t="shared" si="13"/>
        <v>3588000</v>
      </c>
      <c r="O20" s="19">
        <f t="shared" si="14"/>
        <v>3629669.6050889604</v>
      </c>
      <c r="P20" s="7">
        <f t="shared" si="15"/>
        <v>3652484.4199037752</v>
      </c>
      <c r="Q20" s="7">
        <v>3450740.7407407411</v>
      </c>
      <c r="R20" s="7"/>
      <c r="S20" s="7">
        <f t="shared" si="16"/>
        <v>3450740.7407407411</v>
      </c>
      <c r="T20" s="7">
        <f t="shared" si="17"/>
        <v>3510629.6296296297</v>
      </c>
      <c r="U20" s="8">
        <v>201743.67916303399</v>
      </c>
      <c r="V20" s="7"/>
      <c r="W20" s="7">
        <f t="shared" si="18"/>
        <v>201743.67916303399</v>
      </c>
      <c r="X20" s="7">
        <f t="shared" si="19"/>
        <v>3587629.6296296301</v>
      </c>
      <c r="Y20" s="7">
        <f t="shared" si="20"/>
        <v>203312.99040976458</v>
      </c>
      <c r="Z20" s="7">
        <f t="shared" si="21"/>
        <v>206277.24498692239</v>
      </c>
      <c r="AA20" s="7">
        <f t="shared" si="22"/>
        <v>3793906.8746165526</v>
      </c>
      <c r="AB20" s="33">
        <f>X20*(141.4/125.8)+120000</f>
        <v>4152518.5185185191</v>
      </c>
      <c r="AC20" s="7">
        <f t="shared" si="23"/>
        <v>3823418.6826299918</v>
      </c>
      <c r="AD20" s="7">
        <f t="shared" si="24"/>
        <v>215701.07851424374</v>
      </c>
      <c r="AE20" s="7">
        <f t="shared" si="25"/>
        <v>4368219.5970327631</v>
      </c>
      <c r="AF20" s="34">
        <f t="shared" si="29"/>
        <v>4360144.444444445</v>
      </c>
      <c r="AG20" s="34">
        <f t="shared" si="26"/>
        <v>219152.29577047165</v>
      </c>
      <c r="AH20" s="34">
        <f t="shared" si="27"/>
        <v>4579296.7402149169</v>
      </c>
      <c r="AI20" s="34">
        <v>5875000</v>
      </c>
      <c r="AJ20" s="34">
        <v>315000</v>
      </c>
      <c r="AK20" s="55">
        <f t="shared" si="0"/>
        <v>6190000</v>
      </c>
      <c r="AL20" s="55">
        <f t="shared" si="1"/>
        <v>6042857.1428571427</v>
      </c>
      <c r="AM20" s="55">
        <f t="shared" si="2"/>
        <v>320890.74803149607</v>
      </c>
      <c r="AN20" s="55">
        <f t="shared" si="3"/>
        <v>6372976.1904761903</v>
      </c>
      <c r="AO20" s="55">
        <f t="shared" si="4"/>
        <v>338562.99212598428</v>
      </c>
      <c r="AP20" s="2"/>
      <c r="AQ20" s="76">
        <f t="shared" si="5"/>
        <v>7273809.5238095233</v>
      </c>
      <c r="AR20" s="81">
        <f t="shared" si="6"/>
        <v>391889.76377952762</v>
      </c>
      <c r="AS20" s="76">
        <f t="shared" si="7"/>
        <v>7273809.5238095233</v>
      </c>
      <c r="AT20" s="76">
        <f t="shared" si="8"/>
        <v>393129.92125984258</v>
      </c>
      <c r="AU20" s="85" t="s">
        <v>212</v>
      </c>
      <c r="AV20" s="85" t="s">
        <v>207</v>
      </c>
      <c r="AW20" s="85" t="s">
        <v>208</v>
      </c>
      <c r="AX20" s="85" t="s">
        <v>208</v>
      </c>
    </row>
    <row r="21" spans="1:50" x14ac:dyDescent="0.25">
      <c r="A21" s="2" t="s">
        <v>158</v>
      </c>
      <c r="B21" s="2" t="s">
        <v>105</v>
      </c>
      <c r="C21" s="2" t="s">
        <v>16</v>
      </c>
      <c r="D21" s="6"/>
      <c r="E21" s="8"/>
      <c r="F21" s="7"/>
      <c r="G21" s="7"/>
      <c r="H21" s="7"/>
      <c r="I21" s="7"/>
      <c r="J21" s="8"/>
      <c r="K21" s="8"/>
      <c r="L21" s="8"/>
      <c r="M21" s="8"/>
      <c r="N21" s="7"/>
      <c r="O21" s="19"/>
      <c r="P21" s="7"/>
      <c r="Q21" s="7"/>
      <c r="R21" s="7"/>
      <c r="S21" s="7">
        <v>215000</v>
      </c>
      <c r="T21" s="7">
        <v>215000</v>
      </c>
      <c r="U21" s="8"/>
      <c r="V21" s="7"/>
      <c r="W21" s="7"/>
      <c r="X21" s="7">
        <f t="shared" si="19"/>
        <v>219715.67831031684</v>
      </c>
      <c r="Y21" s="7">
        <f t="shared" si="20"/>
        <v>0</v>
      </c>
      <c r="Z21" s="7">
        <f t="shared" si="21"/>
        <v>0</v>
      </c>
      <c r="AA21" s="7">
        <f t="shared" si="22"/>
        <v>219715.67831031684</v>
      </c>
      <c r="AB21" s="7">
        <f>X21*(141.4/125.8)</f>
        <v>246961.819658814</v>
      </c>
      <c r="AC21" s="7">
        <f t="shared" si="23"/>
        <v>221424.78903183184</v>
      </c>
      <c r="AD21" s="7">
        <f t="shared" si="24"/>
        <v>0</v>
      </c>
      <c r="AE21" s="7">
        <f t="shared" si="25"/>
        <v>246961.819658814</v>
      </c>
      <c r="AF21" s="34">
        <f t="shared" si="29"/>
        <v>259309.91064175472</v>
      </c>
      <c r="AG21" s="34">
        <f t="shared" si="26"/>
        <v>0</v>
      </c>
      <c r="AH21" s="34">
        <f t="shared" si="27"/>
        <v>259309.91064175472</v>
      </c>
      <c r="AI21" s="34">
        <v>250000</v>
      </c>
      <c r="AJ21" s="34"/>
      <c r="AK21" s="55">
        <f t="shared" si="0"/>
        <v>250000</v>
      </c>
      <c r="AL21" s="55">
        <f t="shared" si="1"/>
        <v>257142.85714285713</v>
      </c>
      <c r="AM21" s="55">
        <f t="shared" si="2"/>
        <v>0</v>
      </c>
      <c r="AN21" s="55">
        <f t="shared" si="3"/>
        <v>271190.47619047615</v>
      </c>
      <c r="AO21" s="55">
        <f t="shared" si="4"/>
        <v>0</v>
      </c>
      <c r="AP21" s="2"/>
      <c r="AQ21" s="76">
        <f t="shared" si="5"/>
        <v>309523.80952380947</v>
      </c>
      <c r="AR21" s="81">
        <f t="shared" si="6"/>
        <v>0</v>
      </c>
      <c r="AS21" s="76">
        <f t="shared" si="7"/>
        <v>309523.80952380947</v>
      </c>
      <c r="AT21" s="76">
        <f t="shared" si="8"/>
        <v>0</v>
      </c>
      <c r="AU21" s="85"/>
      <c r="AV21" s="85" t="s">
        <v>208</v>
      </c>
      <c r="AW21" s="85" t="s">
        <v>208</v>
      </c>
      <c r="AX21" s="85"/>
    </row>
    <row r="22" spans="1:50" x14ac:dyDescent="0.25">
      <c r="A22" s="2" t="s">
        <v>158</v>
      </c>
      <c r="B22" s="2" t="s">
        <v>86</v>
      </c>
      <c r="C22" s="2" t="s">
        <v>16</v>
      </c>
      <c r="D22" s="6"/>
      <c r="E22" s="8"/>
      <c r="F22" s="7"/>
      <c r="G22" s="7"/>
      <c r="H22" s="7"/>
      <c r="I22" s="7"/>
      <c r="J22" s="8"/>
      <c r="K22" s="8"/>
      <c r="L22" s="8"/>
      <c r="M22" s="8"/>
      <c r="N22" s="7"/>
      <c r="O22" s="19"/>
      <c r="P22" s="7"/>
      <c r="Q22" s="7"/>
      <c r="R22" s="7"/>
      <c r="S22" s="7">
        <v>167500</v>
      </c>
      <c r="T22" s="7">
        <v>167500</v>
      </c>
      <c r="U22" s="8"/>
      <c r="V22" s="7"/>
      <c r="W22" s="7"/>
      <c r="X22" s="7">
        <f t="shared" si="19"/>
        <v>171173.84240454916</v>
      </c>
      <c r="Y22" s="7">
        <f t="shared" si="20"/>
        <v>0</v>
      </c>
      <c r="Z22" s="7">
        <f t="shared" si="21"/>
        <v>0</v>
      </c>
      <c r="AA22" s="7">
        <f t="shared" si="22"/>
        <v>171173.84240454916</v>
      </c>
      <c r="AB22" s="7">
        <f>X22*(141.4/125.8)</f>
        <v>192400.4874086109</v>
      </c>
      <c r="AC22" s="7">
        <f t="shared" si="23"/>
        <v>172505.35889689223</v>
      </c>
      <c r="AD22" s="7">
        <f t="shared" si="24"/>
        <v>0</v>
      </c>
      <c r="AE22" s="7">
        <f t="shared" si="25"/>
        <v>192400.4874086109</v>
      </c>
      <c r="AF22" s="34">
        <f t="shared" si="29"/>
        <v>202020.51177904147</v>
      </c>
      <c r="AG22" s="34">
        <f t="shared" si="26"/>
        <v>0</v>
      </c>
      <c r="AH22" s="34">
        <f t="shared" si="27"/>
        <v>202020.51177904147</v>
      </c>
      <c r="AI22" s="34">
        <v>230000</v>
      </c>
      <c r="AJ22" s="34"/>
      <c r="AK22" s="55">
        <f t="shared" si="0"/>
        <v>230000</v>
      </c>
      <c r="AL22" s="55">
        <f t="shared" si="1"/>
        <v>236571.42857142855</v>
      </c>
      <c r="AM22" s="55">
        <f t="shared" si="2"/>
        <v>0</v>
      </c>
      <c r="AN22" s="55">
        <f t="shared" si="3"/>
        <v>249495.23809523805</v>
      </c>
      <c r="AO22" s="55">
        <f t="shared" si="4"/>
        <v>0</v>
      </c>
      <c r="AP22" s="2"/>
      <c r="AQ22" s="76">
        <f t="shared" si="5"/>
        <v>284761.90476190468</v>
      </c>
      <c r="AR22" s="81">
        <f t="shared" si="6"/>
        <v>0</v>
      </c>
      <c r="AS22" s="76">
        <f t="shared" si="7"/>
        <v>284761.90476190468</v>
      </c>
      <c r="AT22" s="76">
        <f t="shared" si="8"/>
        <v>0</v>
      </c>
      <c r="AU22" s="85"/>
      <c r="AV22" s="85" t="s">
        <v>208</v>
      </c>
      <c r="AW22" s="85" t="s">
        <v>208</v>
      </c>
      <c r="AX22" s="85"/>
    </row>
    <row r="23" spans="1:50" x14ac:dyDescent="0.25">
      <c r="A23" s="2" t="s">
        <v>158</v>
      </c>
      <c r="B23" s="2" t="s">
        <v>88</v>
      </c>
      <c r="C23" s="2" t="s">
        <v>16</v>
      </c>
      <c r="D23" s="6"/>
      <c r="E23" s="8"/>
      <c r="F23" s="7"/>
      <c r="G23" s="7"/>
      <c r="H23" s="7"/>
      <c r="I23" s="7"/>
      <c r="J23" s="8"/>
      <c r="K23" s="8"/>
      <c r="L23" s="8"/>
      <c r="M23" s="8"/>
      <c r="N23" s="7"/>
      <c r="O23" s="19"/>
      <c r="P23" s="7"/>
      <c r="Q23" s="7"/>
      <c r="R23" s="7"/>
      <c r="S23" s="7">
        <v>170000</v>
      </c>
      <c r="T23" s="7">
        <v>170000</v>
      </c>
      <c r="U23" s="8"/>
      <c r="V23" s="7"/>
      <c r="W23" s="7"/>
      <c r="X23" s="7">
        <f t="shared" si="19"/>
        <v>173728.67587327378</v>
      </c>
      <c r="Y23" s="7">
        <f t="shared" si="20"/>
        <v>0</v>
      </c>
      <c r="Z23" s="7">
        <f t="shared" si="21"/>
        <v>0</v>
      </c>
      <c r="AA23" s="7">
        <f t="shared" si="22"/>
        <v>173728.67587327378</v>
      </c>
      <c r="AB23" s="7">
        <f>X23*(141.4/125.8)</f>
        <v>195272.13647441106</v>
      </c>
      <c r="AC23" s="7">
        <f t="shared" si="23"/>
        <v>175080.0657460996</v>
      </c>
      <c r="AD23" s="7">
        <f t="shared" si="24"/>
        <v>0</v>
      </c>
      <c r="AE23" s="7">
        <f t="shared" si="25"/>
        <v>195272.13647441106</v>
      </c>
      <c r="AF23" s="34">
        <f t="shared" si="29"/>
        <v>205035.74329813162</v>
      </c>
      <c r="AG23" s="34">
        <f t="shared" si="26"/>
        <v>0</v>
      </c>
      <c r="AH23" s="34">
        <f t="shared" si="27"/>
        <v>205035.74329813162</v>
      </c>
      <c r="AI23" s="34">
        <v>200000</v>
      </c>
      <c r="AJ23" s="34"/>
      <c r="AK23" s="55">
        <f t="shared" si="0"/>
        <v>200000</v>
      </c>
      <c r="AL23" s="55">
        <f t="shared" si="1"/>
        <v>205714.28571428568</v>
      </c>
      <c r="AM23" s="55">
        <f t="shared" si="2"/>
        <v>0</v>
      </c>
      <c r="AN23" s="55">
        <f t="shared" si="3"/>
        <v>216952.38095238092</v>
      </c>
      <c r="AO23" s="55">
        <f t="shared" si="4"/>
        <v>0</v>
      </c>
      <c r="AP23" s="2"/>
      <c r="AQ23" s="76">
        <f t="shared" si="5"/>
        <v>247619.04761904755</v>
      </c>
      <c r="AR23" s="81">
        <f t="shared" si="6"/>
        <v>0</v>
      </c>
      <c r="AS23" s="76">
        <f t="shared" si="7"/>
        <v>247619.04761904755</v>
      </c>
      <c r="AT23" s="76">
        <f t="shared" si="8"/>
        <v>0</v>
      </c>
      <c r="AU23" s="85"/>
      <c r="AV23" s="85" t="s">
        <v>208</v>
      </c>
      <c r="AW23" s="85" t="s">
        <v>208</v>
      </c>
      <c r="AX23" s="85"/>
    </row>
    <row r="24" spans="1:50" x14ac:dyDescent="0.25">
      <c r="A24" s="2" t="s">
        <v>158</v>
      </c>
      <c r="B24" s="2" t="s">
        <v>99</v>
      </c>
      <c r="C24" s="2" t="s">
        <v>16</v>
      </c>
      <c r="D24" s="6"/>
      <c r="E24" s="8"/>
      <c r="F24" s="7"/>
      <c r="G24" s="7"/>
      <c r="H24" s="7"/>
      <c r="I24" s="7"/>
      <c r="J24" s="8"/>
      <c r="K24" s="8"/>
      <c r="L24" s="8"/>
      <c r="M24" s="8"/>
      <c r="N24" s="7"/>
      <c r="O24" s="19"/>
      <c r="P24" s="7"/>
      <c r="Q24" s="7"/>
      <c r="R24" s="7"/>
      <c r="S24" s="7"/>
      <c r="T24" s="7"/>
      <c r="U24" s="8"/>
      <c r="V24" s="7"/>
      <c r="W24" s="7"/>
      <c r="X24" s="7"/>
      <c r="Y24" s="7"/>
      <c r="Z24" s="7"/>
      <c r="AA24" s="7"/>
      <c r="AB24" s="33">
        <v>175000</v>
      </c>
      <c r="AC24" s="7"/>
      <c r="AD24" s="7">
        <f t="shared" si="24"/>
        <v>0</v>
      </c>
      <c r="AE24" s="7">
        <f t="shared" si="25"/>
        <v>175000</v>
      </c>
      <c r="AF24" s="34">
        <f t="shared" si="29"/>
        <v>183750</v>
      </c>
      <c r="AG24" s="34">
        <f t="shared" si="26"/>
        <v>0</v>
      </c>
      <c r="AH24" s="34">
        <f t="shared" si="27"/>
        <v>183750</v>
      </c>
      <c r="AI24" s="34">
        <v>225000</v>
      </c>
      <c r="AJ24" s="34"/>
      <c r="AK24" s="55">
        <f t="shared" si="0"/>
        <v>225000</v>
      </c>
      <c r="AL24" s="55">
        <f t="shared" si="1"/>
        <v>231428.57142857142</v>
      </c>
      <c r="AM24" s="55">
        <f t="shared" si="2"/>
        <v>0</v>
      </c>
      <c r="AN24" s="55">
        <f t="shared" si="3"/>
        <v>244071.42857142855</v>
      </c>
      <c r="AO24" s="55">
        <f t="shared" si="4"/>
        <v>0</v>
      </c>
      <c r="AP24" s="2"/>
      <c r="AQ24" s="76">
        <f t="shared" si="5"/>
        <v>278571.42857142852</v>
      </c>
      <c r="AR24" s="81">
        <f t="shared" si="6"/>
        <v>0</v>
      </c>
      <c r="AS24" s="76">
        <f t="shared" si="7"/>
        <v>278571.42857142852</v>
      </c>
      <c r="AT24" s="76">
        <f t="shared" si="8"/>
        <v>0</v>
      </c>
      <c r="AU24" s="85"/>
      <c r="AV24" s="85" t="s">
        <v>208</v>
      </c>
      <c r="AW24" s="85" t="s">
        <v>208</v>
      </c>
      <c r="AX24" s="85"/>
    </row>
    <row r="25" spans="1:50" x14ac:dyDescent="0.25">
      <c r="A25" s="2" t="s">
        <v>158</v>
      </c>
      <c r="B25" s="35" t="s">
        <v>106</v>
      </c>
      <c r="C25" s="35" t="s">
        <v>16</v>
      </c>
      <c r="D25" s="38"/>
      <c r="E25" s="41"/>
      <c r="F25" s="36"/>
      <c r="G25" s="36"/>
      <c r="H25" s="36"/>
      <c r="I25" s="36"/>
      <c r="J25" s="41"/>
      <c r="K25" s="41"/>
      <c r="L25" s="41"/>
      <c r="M25" s="41"/>
      <c r="N25" s="36"/>
      <c r="O25" s="43"/>
      <c r="P25" s="36"/>
      <c r="Q25" s="36"/>
      <c r="R25" s="36"/>
      <c r="S25" s="36"/>
      <c r="T25" s="36"/>
      <c r="U25" s="41"/>
      <c r="V25" s="36"/>
      <c r="W25" s="36"/>
      <c r="X25" s="36"/>
      <c r="Y25" s="36"/>
      <c r="Z25" s="36"/>
      <c r="AA25" s="36"/>
      <c r="AB25" s="36">
        <v>262500</v>
      </c>
      <c r="AC25" s="36"/>
      <c r="AD25" s="36"/>
      <c r="AE25" s="36"/>
      <c r="AF25" s="37">
        <f t="shared" si="29"/>
        <v>275625</v>
      </c>
      <c r="AG25" s="37">
        <f t="shared" si="26"/>
        <v>0</v>
      </c>
      <c r="AH25" s="37">
        <f t="shared" si="27"/>
        <v>275625</v>
      </c>
      <c r="AI25" s="34">
        <v>250000</v>
      </c>
      <c r="AJ25" s="34"/>
      <c r="AK25" s="55">
        <f t="shared" si="0"/>
        <v>250000</v>
      </c>
      <c r="AL25" s="55">
        <f t="shared" si="1"/>
        <v>257142.85714285713</v>
      </c>
      <c r="AM25" s="55">
        <f t="shared" si="2"/>
        <v>0</v>
      </c>
      <c r="AN25" s="55">
        <f t="shared" si="3"/>
        <v>271190.47619047615</v>
      </c>
      <c r="AO25" s="55">
        <f t="shared" si="4"/>
        <v>0</v>
      </c>
      <c r="AP25" s="2"/>
      <c r="AQ25" s="76">
        <f t="shared" si="5"/>
        <v>309523.80952380947</v>
      </c>
      <c r="AR25" s="81">
        <f t="shared" si="6"/>
        <v>0</v>
      </c>
      <c r="AS25" s="76">
        <f t="shared" si="7"/>
        <v>309523.80952380947</v>
      </c>
      <c r="AT25" s="76">
        <f t="shared" si="8"/>
        <v>0</v>
      </c>
      <c r="AU25" s="85"/>
      <c r="AV25" s="85" t="s">
        <v>208</v>
      </c>
      <c r="AW25" s="85" t="s">
        <v>208</v>
      </c>
      <c r="AX25" s="85"/>
    </row>
    <row r="26" spans="1:50" s="17" customFormat="1" x14ac:dyDescent="0.25">
      <c r="A26" s="35" t="s">
        <v>116</v>
      </c>
      <c r="B26" s="35" t="s">
        <v>107</v>
      </c>
      <c r="C26" s="35" t="s">
        <v>16</v>
      </c>
      <c r="D26" s="38"/>
      <c r="E26" s="41"/>
      <c r="F26" s="36"/>
      <c r="G26" s="36"/>
      <c r="H26" s="36"/>
      <c r="I26" s="36"/>
      <c r="J26" s="41"/>
      <c r="K26" s="41"/>
      <c r="L26" s="41"/>
      <c r="M26" s="41"/>
      <c r="N26" s="36"/>
      <c r="O26" s="43"/>
      <c r="P26" s="36"/>
      <c r="Q26" s="36"/>
      <c r="R26" s="36"/>
      <c r="S26" s="36"/>
      <c r="T26" s="36"/>
      <c r="U26" s="41"/>
      <c r="V26" s="36"/>
      <c r="W26" s="36"/>
      <c r="X26" s="36"/>
      <c r="Y26" s="36"/>
      <c r="Z26" s="36"/>
      <c r="AA26" s="36"/>
      <c r="AB26" s="36">
        <v>2000000</v>
      </c>
      <c r="AC26" s="36"/>
      <c r="AD26" s="36"/>
      <c r="AE26" s="36"/>
      <c r="AF26" s="37">
        <f t="shared" si="29"/>
        <v>2100000</v>
      </c>
      <c r="AG26" s="37">
        <f t="shared" si="26"/>
        <v>0</v>
      </c>
      <c r="AH26" s="37">
        <f t="shared" si="27"/>
        <v>2100000</v>
      </c>
      <c r="AI26" s="37">
        <v>700000</v>
      </c>
      <c r="AJ26" s="37"/>
      <c r="AK26" s="55">
        <f t="shared" si="0"/>
        <v>700000</v>
      </c>
      <c r="AL26" s="55">
        <f t="shared" si="1"/>
        <v>719999.99999999988</v>
      </c>
      <c r="AM26" s="55">
        <f t="shared" si="2"/>
        <v>0</v>
      </c>
      <c r="AN26" s="55">
        <f t="shared" si="3"/>
        <v>759333.33333333314</v>
      </c>
      <c r="AO26" s="55">
        <f t="shared" si="4"/>
        <v>0</v>
      </c>
      <c r="AP26" s="35"/>
      <c r="AQ26" s="76">
        <f t="shared" si="5"/>
        <v>866666.6666666664</v>
      </c>
      <c r="AR26" s="81">
        <f t="shared" si="6"/>
        <v>0</v>
      </c>
      <c r="AS26" s="76">
        <f t="shared" si="7"/>
        <v>866666.6666666664</v>
      </c>
      <c r="AT26" s="76">
        <f t="shared" si="8"/>
        <v>0</v>
      </c>
      <c r="AU26" s="85"/>
      <c r="AV26" s="85" t="s">
        <v>208</v>
      </c>
      <c r="AW26" s="85" t="s">
        <v>208</v>
      </c>
      <c r="AX26" s="85"/>
    </row>
    <row r="27" spans="1:50" s="17" customFormat="1" x14ac:dyDescent="0.25">
      <c r="A27" s="35" t="s">
        <v>117</v>
      </c>
      <c r="B27" s="35" t="s">
        <v>107</v>
      </c>
      <c r="C27" s="35" t="s">
        <v>16</v>
      </c>
      <c r="D27" s="38"/>
      <c r="E27" s="41"/>
      <c r="F27" s="36"/>
      <c r="G27" s="36"/>
      <c r="H27" s="36"/>
      <c r="I27" s="36"/>
      <c r="J27" s="41"/>
      <c r="K27" s="41"/>
      <c r="L27" s="41"/>
      <c r="M27" s="41"/>
      <c r="N27" s="36"/>
      <c r="O27" s="43"/>
      <c r="P27" s="36"/>
      <c r="Q27" s="36"/>
      <c r="R27" s="36"/>
      <c r="S27" s="36"/>
      <c r="T27" s="36"/>
      <c r="U27" s="41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7"/>
      <c r="AG27" s="37"/>
      <c r="AH27" s="37"/>
      <c r="AI27" s="37">
        <v>175000</v>
      </c>
      <c r="AJ27" s="37"/>
      <c r="AK27" s="55">
        <f t="shared" si="0"/>
        <v>175000</v>
      </c>
      <c r="AL27" s="55">
        <f t="shared" si="1"/>
        <v>179999.99999999997</v>
      </c>
      <c r="AM27" s="55">
        <f t="shared" si="2"/>
        <v>0</v>
      </c>
      <c r="AN27" s="55">
        <f t="shared" si="3"/>
        <v>189833.33333333328</v>
      </c>
      <c r="AO27" s="55">
        <f t="shared" si="4"/>
        <v>0</v>
      </c>
      <c r="AP27" s="35"/>
      <c r="AQ27" s="76">
        <f t="shared" si="5"/>
        <v>216666.6666666666</v>
      </c>
      <c r="AR27" s="81">
        <f t="shared" si="6"/>
        <v>0</v>
      </c>
      <c r="AS27" s="76">
        <f t="shared" si="7"/>
        <v>216666.6666666666</v>
      </c>
      <c r="AT27" s="76">
        <f t="shared" si="8"/>
        <v>0</v>
      </c>
      <c r="AU27" s="85"/>
      <c r="AV27" s="85" t="s">
        <v>208</v>
      </c>
      <c r="AW27" s="85" t="s">
        <v>208</v>
      </c>
      <c r="AX27" s="85"/>
    </row>
    <row r="28" spans="1:50" s="17" customFormat="1" x14ac:dyDescent="0.25">
      <c r="A28" s="35" t="s">
        <v>159</v>
      </c>
      <c r="B28" s="35" t="s">
        <v>107</v>
      </c>
      <c r="C28" s="35" t="s">
        <v>16</v>
      </c>
      <c r="D28" s="38"/>
      <c r="E28" s="41"/>
      <c r="F28" s="36"/>
      <c r="G28" s="36"/>
      <c r="H28" s="36"/>
      <c r="I28" s="36"/>
      <c r="J28" s="41"/>
      <c r="K28" s="41"/>
      <c r="L28" s="41"/>
      <c r="M28" s="41"/>
      <c r="N28" s="36"/>
      <c r="O28" s="43"/>
      <c r="P28" s="36"/>
      <c r="Q28" s="36"/>
      <c r="R28" s="36"/>
      <c r="S28" s="36"/>
      <c r="T28" s="36"/>
      <c r="U28" s="41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7"/>
      <c r="AG28" s="37"/>
      <c r="AH28" s="37"/>
      <c r="AI28" s="37">
        <v>150000</v>
      </c>
      <c r="AJ28" s="37"/>
      <c r="AK28" s="55">
        <f t="shared" si="0"/>
        <v>150000</v>
      </c>
      <c r="AL28" s="55">
        <f t="shared" si="1"/>
        <v>154285.71428571426</v>
      </c>
      <c r="AM28" s="55">
        <f t="shared" si="2"/>
        <v>0</v>
      </c>
      <c r="AN28" s="55">
        <f t="shared" si="3"/>
        <v>162714.28571428568</v>
      </c>
      <c r="AO28" s="55">
        <f t="shared" si="4"/>
        <v>0</v>
      </c>
      <c r="AP28" s="35"/>
      <c r="AQ28" s="76">
        <f t="shared" si="5"/>
        <v>185714.28571428565</v>
      </c>
      <c r="AR28" s="81">
        <f t="shared" si="6"/>
        <v>0</v>
      </c>
      <c r="AS28" s="76">
        <f t="shared" si="7"/>
        <v>185714.28571428565</v>
      </c>
      <c r="AT28" s="76">
        <f t="shared" si="8"/>
        <v>0</v>
      </c>
      <c r="AU28" s="85"/>
      <c r="AV28" s="85" t="s">
        <v>208</v>
      </c>
      <c r="AW28" s="85" t="s">
        <v>207</v>
      </c>
      <c r="AX28" s="85"/>
    </row>
    <row r="29" spans="1:50" s="17" customFormat="1" x14ac:dyDescent="0.25">
      <c r="A29" s="35" t="s">
        <v>118</v>
      </c>
      <c r="B29" s="35" t="s">
        <v>107</v>
      </c>
      <c r="C29" s="35" t="s">
        <v>16</v>
      </c>
      <c r="D29" s="38"/>
      <c r="E29" s="41"/>
      <c r="F29" s="36"/>
      <c r="G29" s="36"/>
      <c r="H29" s="36"/>
      <c r="I29" s="36"/>
      <c r="J29" s="41"/>
      <c r="K29" s="41"/>
      <c r="L29" s="41"/>
      <c r="M29" s="41"/>
      <c r="N29" s="36"/>
      <c r="O29" s="43"/>
      <c r="P29" s="36"/>
      <c r="Q29" s="36"/>
      <c r="R29" s="36"/>
      <c r="S29" s="36"/>
      <c r="T29" s="36"/>
      <c r="U29" s="41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7"/>
      <c r="AG29" s="37"/>
      <c r="AH29" s="37"/>
      <c r="AI29" s="37">
        <v>225000</v>
      </c>
      <c r="AJ29" s="37"/>
      <c r="AK29" s="55">
        <f t="shared" si="0"/>
        <v>225000</v>
      </c>
      <c r="AL29" s="55">
        <f t="shared" si="1"/>
        <v>231428.57142857142</v>
      </c>
      <c r="AM29" s="55">
        <f t="shared" si="2"/>
        <v>0</v>
      </c>
      <c r="AN29" s="55">
        <f t="shared" si="3"/>
        <v>244071.42857142855</v>
      </c>
      <c r="AO29" s="55">
        <f t="shared" si="4"/>
        <v>0</v>
      </c>
      <c r="AP29" s="35"/>
      <c r="AQ29" s="76">
        <f t="shared" si="5"/>
        <v>278571.42857142852</v>
      </c>
      <c r="AR29" s="81">
        <f t="shared" si="6"/>
        <v>0</v>
      </c>
      <c r="AS29" s="76">
        <f t="shared" si="7"/>
        <v>278571.42857142852</v>
      </c>
      <c r="AT29" s="76">
        <f t="shared" si="8"/>
        <v>0</v>
      </c>
      <c r="AU29" s="85"/>
      <c r="AV29" s="85" t="s">
        <v>208</v>
      </c>
      <c r="AW29" s="85" t="s">
        <v>207</v>
      </c>
      <c r="AX29" s="85"/>
    </row>
    <row r="30" spans="1:50" s="17" customFormat="1" x14ac:dyDescent="0.25">
      <c r="A30" s="35" t="s">
        <v>119</v>
      </c>
      <c r="B30" s="35" t="s">
        <v>107</v>
      </c>
      <c r="C30" s="35" t="s">
        <v>16</v>
      </c>
      <c r="D30" s="38"/>
      <c r="E30" s="41"/>
      <c r="F30" s="36"/>
      <c r="G30" s="36"/>
      <c r="H30" s="36"/>
      <c r="I30" s="36"/>
      <c r="J30" s="41"/>
      <c r="K30" s="41"/>
      <c r="L30" s="41"/>
      <c r="M30" s="41"/>
      <c r="N30" s="36"/>
      <c r="O30" s="43"/>
      <c r="P30" s="36"/>
      <c r="Q30" s="36"/>
      <c r="R30" s="36"/>
      <c r="S30" s="36"/>
      <c r="T30" s="36"/>
      <c r="U30" s="41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7"/>
      <c r="AG30" s="37"/>
      <c r="AH30" s="37"/>
      <c r="AI30" s="37">
        <v>1275000</v>
      </c>
      <c r="AJ30" s="37"/>
      <c r="AK30" s="55">
        <f t="shared" si="0"/>
        <v>1275000</v>
      </c>
      <c r="AL30" s="55">
        <f t="shared" si="1"/>
        <v>1311428.5714285714</v>
      </c>
      <c r="AM30" s="55">
        <f t="shared" si="2"/>
        <v>0</v>
      </c>
      <c r="AN30" s="55">
        <f t="shared" si="3"/>
        <v>1383071.4285714284</v>
      </c>
      <c r="AO30" s="55">
        <f t="shared" si="4"/>
        <v>0</v>
      </c>
      <c r="AP30" s="35"/>
      <c r="AQ30" s="76">
        <f t="shared" si="5"/>
        <v>1578571.4285714282</v>
      </c>
      <c r="AR30" s="81">
        <f t="shared" si="6"/>
        <v>0</v>
      </c>
      <c r="AS30" s="76">
        <f t="shared" si="7"/>
        <v>1578571.4285714282</v>
      </c>
      <c r="AT30" s="76">
        <f t="shared" si="8"/>
        <v>0</v>
      </c>
      <c r="AU30" s="85"/>
      <c r="AV30" s="85" t="s">
        <v>208</v>
      </c>
      <c r="AW30" s="85" t="s">
        <v>207</v>
      </c>
      <c r="AX30" s="85"/>
    </row>
    <row r="31" spans="1:50" x14ac:dyDescent="0.25">
      <c r="A31" s="1" t="s">
        <v>168</v>
      </c>
      <c r="B31" s="87" t="s">
        <v>169</v>
      </c>
      <c r="C31" s="87" t="s">
        <v>16</v>
      </c>
      <c r="D31" s="88"/>
      <c r="E31" s="42"/>
      <c r="F31" s="39"/>
      <c r="G31" s="39"/>
      <c r="H31" s="39"/>
      <c r="I31" s="39"/>
      <c r="J31" s="42"/>
      <c r="K31" s="42"/>
      <c r="L31" s="42"/>
      <c r="M31" s="42"/>
      <c r="N31" s="39"/>
      <c r="O31" s="39"/>
      <c r="P31" s="39"/>
      <c r="Q31" s="39"/>
      <c r="R31" s="39"/>
      <c r="S31" s="39"/>
      <c r="T31" s="39"/>
      <c r="U31" s="42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60"/>
      <c r="AG31" s="60"/>
      <c r="AH31" s="60"/>
      <c r="AI31" s="89">
        <v>3000000</v>
      </c>
      <c r="AJ31" s="89">
        <v>200000</v>
      </c>
      <c r="AK31" s="90">
        <f t="shared" si="0"/>
        <v>3200000</v>
      </c>
      <c r="AL31" s="90">
        <f t="shared" si="1"/>
        <v>3085714.2857142854</v>
      </c>
      <c r="AM31" s="90">
        <f t="shared" si="2"/>
        <v>203740.15748031496</v>
      </c>
      <c r="AN31" s="55">
        <f t="shared" si="3"/>
        <v>3254285.7142857141</v>
      </c>
      <c r="AO31" s="55">
        <f t="shared" si="4"/>
        <v>214960.62992125982</v>
      </c>
      <c r="AP31" s="2" t="s">
        <v>170</v>
      </c>
      <c r="AQ31" s="76">
        <f t="shared" si="5"/>
        <v>3714285.7142857136</v>
      </c>
      <c r="AR31" s="81">
        <f t="shared" si="6"/>
        <v>248818.89763779528</v>
      </c>
      <c r="AS31" s="76">
        <f t="shared" si="7"/>
        <v>3714285.7142857136</v>
      </c>
      <c r="AT31" s="76">
        <f t="shared" si="8"/>
        <v>249606.29921259845</v>
      </c>
      <c r="AU31" s="86"/>
      <c r="AV31" s="86"/>
      <c r="AW31" s="86"/>
      <c r="AX31" s="86"/>
    </row>
    <row r="32" spans="1:50" x14ac:dyDescent="0.25">
      <c r="A32" s="2" t="s">
        <v>175</v>
      </c>
      <c r="B32" s="2" t="s">
        <v>176</v>
      </c>
      <c r="C32" s="2" t="s">
        <v>16</v>
      </c>
      <c r="D32" s="6"/>
      <c r="E32" s="8"/>
      <c r="F32" s="7"/>
      <c r="G32" s="7"/>
      <c r="H32" s="7"/>
      <c r="I32" s="7"/>
      <c r="J32" s="8"/>
      <c r="K32" s="8"/>
      <c r="L32" s="8"/>
      <c r="M32" s="8"/>
      <c r="N32" s="7"/>
      <c r="O32" s="7"/>
      <c r="P32" s="7"/>
      <c r="Q32" s="7"/>
      <c r="R32" s="7"/>
      <c r="S32" s="7">
        <v>1175000</v>
      </c>
      <c r="T32" s="7"/>
      <c r="U32" s="8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34"/>
      <c r="AG32" s="34"/>
      <c r="AH32" s="34"/>
      <c r="AI32" s="34"/>
      <c r="AJ32" s="34"/>
      <c r="AK32" s="34"/>
      <c r="AL32" s="34">
        <v>600000</v>
      </c>
      <c r="AM32" s="34"/>
      <c r="AN32" s="55">
        <f t="shared" si="3"/>
        <v>632777.77777777775</v>
      </c>
      <c r="AO32" s="55">
        <f t="shared" si="4"/>
        <v>0</v>
      </c>
      <c r="AP32" s="2" t="s">
        <v>177</v>
      </c>
      <c r="AQ32" s="76">
        <f t="shared" si="5"/>
        <v>722222.22222222213</v>
      </c>
      <c r="AR32" s="81">
        <f t="shared" si="6"/>
        <v>0</v>
      </c>
      <c r="AS32" s="76">
        <f t="shared" si="7"/>
        <v>722222.22222222213</v>
      </c>
      <c r="AT32" s="76">
        <f t="shared" si="8"/>
        <v>0</v>
      </c>
      <c r="AU32" s="85"/>
      <c r="AV32" s="85" t="s">
        <v>208</v>
      </c>
      <c r="AW32" s="85" t="s">
        <v>207</v>
      </c>
      <c r="AX32" s="85" t="s">
        <v>207</v>
      </c>
    </row>
    <row r="33" spans="1:50" x14ac:dyDescent="0.25">
      <c r="A33" s="2" t="s">
        <v>190</v>
      </c>
      <c r="B33" s="2" t="s">
        <v>187</v>
      </c>
      <c r="C33" s="2" t="s">
        <v>16</v>
      </c>
      <c r="D33" s="6"/>
      <c r="E33" s="8"/>
      <c r="F33" s="7"/>
      <c r="G33" s="7"/>
      <c r="H33" s="7"/>
      <c r="I33" s="7"/>
      <c r="J33" s="8"/>
      <c r="K33" s="8"/>
      <c r="L33" s="8"/>
      <c r="M33" s="8"/>
      <c r="N33" s="7"/>
      <c r="O33" s="7"/>
      <c r="P33" s="7"/>
      <c r="Q33" s="7"/>
      <c r="R33" s="7"/>
      <c r="S33" s="7"/>
      <c r="T33" s="7"/>
      <c r="U33" s="8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34"/>
      <c r="AG33" s="34"/>
      <c r="AH33" s="34"/>
      <c r="AI33" s="34"/>
      <c r="AJ33" s="34"/>
      <c r="AK33" s="55"/>
      <c r="AL33" s="55"/>
      <c r="AM33" s="55"/>
      <c r="AN33" s="55">
        <v>250000</v>
      </c>
      <c r="AO33" s="55"/>
      <c r="AP33" s="2"/>
      <c r="AQ33" s="76">
        <f t="shared" si="5"/>
        <v>285338.01580333622</v>
      </c>
      <c r="AR33" s="81">
        <f t="shared" si="6"/>
        <v>0</v>
      </c>
      <c r="AS33" s="76">
        <f t="shared" si="7"/>
        <v>285338.01580333622</v>
      </c>
      <c r="AT33" s="76">
        <f t="shared" si="8"/>
        <v>0</v>
      </c>
      <c r="AU33" s="85"/>
      <c r="AV33" s="85" t="s">
        <v>208</v>
      </c>
      <c r="AW33" s="85" t="s">
        <v>208</v>
      </c>
      <c r="AX33" s="85" t="s">
        <v>210</v>
      </c>
    </row>
    <row r="34" spans="1:50" x14ac:dyDescent="0.25">
      <c r="A34" s="2" t="s">
        <v>146</v>
      </c>
      <c r="B34" s="2" t="s">
        <v>104</v>
      </c>
      <c r="C34" s="2" t="s">
        <v>19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34">
        <v>600000</v>
      </c>
      <c r="AJ34" s="34"/>
      <c r="AK34" s="55">
        <f t="shared" si="0"/>
        <v>600000</v>
      </c>
      <c r="AL34" s="55">
        <f t="shared" si="1"/>
        <v>617142.85714285704</v>
      </c>
      <c r="AM34" s="55">
        <f t="shared" si="2"/>
        <v>0</v>
      </c>
      <c r="AN34" s="55">
        <f t="shared" si="3"/>
        <v>650857.14285714272</v>
      </c>
      <c r="AO34" s="55">
        <f t="shared" si="4"/>
        <v>0</v>
      </c>
      <c r="AP34" s="2"/>
      <c r="AQ34" s="76">
        <f t="shared" si="5"/>
        <v>742857.14285714261</v>
      </c>
      <c r="AR34" s="81">
        <f t="shared" si="6"/>
        <v>0</v>
      </c>
      <c r="AS34" s="76">
        <f t="shared" si="7"/>
        <v>742857.14285714261</v>
      </c>
      <c r="AT34" s="76">
        <f t="shared" si="8"/>
        <v>0</v>
      </c>
      <c r="AU34" s="85"/>
      <c r="AV34" s="85" t="s">
        <v>208</v>
      </c>
      <c r="AW34" s="85" t="s">
        <v>208</v>
      </c>
      <c r="AX34" s="85" t="s">
        <v>208</v>
      </c>
    </row>
    <row r="35" spans="1:50" ht="11.25" customHeight="1" x14ac:dyDescent="0.25">
      <c r="A35" s="2" t="s">
        <v>160</v>
      </c>
      <c r="B35" s="2" t="s">
        <v>115</v>
      </c>
      <c r="C35" s="2" t="s">
        <v>19</v>
      </c>
      <c r="D35" s="6" t="s">
        <v>49</v>
      </c>
      <c r="E35" s="7">
        <v>593399</v>
      </c>
      <c r="F35" s="7">
        <f>120.2/118.8*E35</f>
        <v>600391.91750841762</v>
      </c>
      <c r="G35" s="7"/>
      <c r="H35" s="7">
        <f>F35+G35</f>
        <v>600391.91750841762</v>
      </c>
      <c r="I35" s="7">
        <f>H35*121/120.2</f>
        <v>604387.87037037057</v>
      </c>
      <c r="J35" s="8"/>
      <c r="K35" s="8"/>
      <c r="L35" s="8"/>
      <c r="M35" s="8">
        <f>L35</f>
        <v>0</v>
      </c>
      <c r="N35" s="7">
        <f>+E35+K35</f>
        <v>593399</v>
      </c>
      <c r="O35" s="19">
        <f>F35+L35</f>
        <v>600391.91750841762</v>
      </c>
      <c r="P35" s="7">
        <f>I35+M35</f>
        <v>604387.87037037057</v>
      </c>
      <c r="Q35" s="7">
        <v>604387.87037037057</v>
      </c>
      <c r="R35" s="7"/>
      <c r="S35" s="7">
        <f>Q35+R35</f>
        <v>604387.87037037057</v>
      </c>
      <c r="T35" s="7">
        <f>(123.1/121)*S35</f>
        <v>614877.24663299683</v>
      </c>
      <c r="U35" s="8">
        <v>0</v>
      </c>
      <c r="V35" s="7"/>
      <c r="W35" s="7">
        <f>U35+V35</f>
        <v>0</v>
      </c>
      <c r="X35" s="7">
        <f>T35*(125.8/123.1)</f>
        <v>628363.58754208777</v>
      </c>
      <c r="Y35" s="7">
        <f>(116.6/115.7)*W35</f>
        <v>0</v>
      </c>
      <c r="Z35" s="7">
        <f>Y35*(118.3/116.6)</f>
        <v>0</v>
      </c>
      <c r="AA35" s="7">
        <f>X35+Z35</f>
        <v>628363.58754208777</v>
      </c>
      <c r="AB35" s="7">
        <f>X35*(141.4/125.8)</f>
        <v>706284.66835016862</v>
      </c>
      <c r="AC35" s="7">
        <f>(116.6/115.7)*AA35</f>
        <v>633251.46333109273</v>
      </c>
      <c r="AD35" s="7">
        <f>+Z35*(123.6/118.2)</f>
        <v>0</v>
      </c>
      <c r="AE35" s="7">
        <f>+AB35+AD35</f>
        <v>706284.66835016862</v>
      </c>
      <c r="AF35" s="34">
        <f t="shared" ref="AF35:AF69" si="30">1.05*AB35</f>
        <v>741598.90176767705</v>
      </c>
      <c r="AG35" s="34">
        <f t="shared" ref="AG35:AG69" si="31">1.016*AD35</f>
        <v>0</v>
      </c>
      <c r="AH35" s="34">
        <f t="shared" ref="AH35:AH69" si="32">AF35+AG35</f>
        <v>741598.90176767705</v>
      </c>
      <c r="AI35" s="34">
        <v>125000</v>
      </c>
      <c r="AJ35" s="34"/>
      <c r="AK35" s="55">
        <f t="shared" si="0"/>
        <v>125000</v>
      </c>
      <c r="AL35" s="55">
        <f t="shared" si="1"/>
        <v>128571.42857142857</v>
      </c>
      <c r="AM35" s="55">
        <f t="shared" si="2"/>
        <v>0</v>
      </c>
      <c r="AN35" s="55">
        <f t="shared" si="3"/>
        <v>135595.23809523808</v>
      </c>
      <c r="AO35" s="55">
        <f t="shared" si="4"/>
        <v>0</v>
      </c>
      <c r="AP35" s="2"/>
      <c r="AQ35" s="76">
        <f t="shared" si="5"/>
        <v>154761.90476190473</v>
      </c>
      <c r="AR35" s="81">
        <f t="shared" si="6"/>
        <v>0</v>
      </c>
      <c r="AS35" s="76">
        <f t="shared" si="7"/>
        <v>154761.90476190473</v>
      </c>
      <c r="AT35" s="76">
        <f t="shared" si="8"/>
        <v>0</v>
      </c>
      <c r="AU35" s="85"/>
      <c r="AV35" s="85" t="s">
        <v>208</v>
      </c>
      <c r="AW35" s="85" t="s">
        <v>208</v>
      </c>
      <c r="AX35" s="85" t="s">
        <v>207</v>
      </c>
    </row>
    <row r="36" spans="1:50" x14ac:dyDescent="0.25">
      <c r="A36" s="2" t="s">
        <v>90</v>
      </c>
      <c r="B36" s="2" t="s">
        <v>100</v>
      </c>
      <c r="C36" s="2" t="s">
        <v>19</v>
      </c>
      <c r="D36" s="6"/>
      <c r="E36" s="8"/>
      <c r="F36" s="7"/>
      <c r="G36" s="7"/>
      <c r="H36" s="7"/>
      <c r="I36" s="7"/>
      <c r="J36" s="8"/>
      <c r="K36" s="8"/>
      <c r="L36" s="8"/>
      <c r="M36" s="8"/>
      <c r="N36" s="7"/>
      <c r="O36" s="19"/>
      <c r="P36" s="7"/>
      <c r="Q36" s="7"/>
      <c r="R36" s="7"/>
      <c r="S36" s="7"/>
      <c r="T36" s="7"/>
      <c r="U36" s="8"/>
      <c r="V36" s="7"/>
      <c r="W36" s="7"/>
      <c r="X36" s="7"/>
      <c r="Y36" s="7"/>
      <c r="Z36" s="7"/>
      <c r="AA36" s="7"/>
      <c r="AB36" s="7">
        <v>375000</v>
      </c>
      <c r="AC36" s="7"/>
      <c r="AD36" s="7">
        <f t="shared" ref="AD36" si="33">+Z36*(123.6/118.2)</f>
        <v>0</v>
      </c>
      <c r="AE36" s="7">
        <f t="shared" ref="AE36" si="34">+AB36+AD36</f>
        <v>375000</v>
      </c>
      <c r="AF36" s="34">
        <f t="shared" ref="AF36" si="35">1.05*AB36</f>
        <v>393750</v>
      </c>
      <c r="AG36" s="34">
        <f t="shared" ref="AG36" si="36">1.016*AD36</f>
        <v>0</v>
      </c>
      <c r="AH36" s="34">
        <f t="shared" ref="AH36" si="37">AF36+AG36</f>
        <v>393750</v>
      </c>
      <c r="AI36" s="34">
        <v>375000</v>
      </c>
      <c r="AJ36" s="34"/>
      <c r="AK36" s="55">
        <f t="shared" si="0"/>
        <v>375000</v>
      </c>
      <c r="AL36" s="55">
        <f t="shared" si="1"/>
        <v>385714.28571428568</v>
      </c>
      <c r="AM36" s="55">
        <f t="shared" si="2"/>
        <v>0</v>
      </c>
      <c r="AN36" s="55">
        <f t="shared" si="3"/>
        <v>406785.71428571426</v>
      </c>
      <c r="AO36" s="55">
        <f t="shared" si="4"/>
        <v>0</v>
      </c>
      <c r="AP36" s="2"/>
      <c r="AQ36" s="76">
        <f t="shared" si="5"/>
        <v>464285.7142857142</v>
      </c>
      <c r="AR36" s="81">
        <f t="shared" si="6"/>
        <v>0</v>
      </c>
      <c r="AS36" s="76">
        <f t="shared" si="7"/>
        <v>464285.7142857142</v>
      </c>
      <c r="AT36" s="76">
        <f t="shared" si="8"/>
        <v>0</v>
      </c>
      <c r="AU36" s="85"/>
      <c r="AV36" s="85" t="s">
        <v>208</v>
      </c>
      <c r="AW36" s="85" t="s">
        <v>208</v>
      </c>
      <c r="AX36" s="85" t="s">
        <v>210</v>
      </c>
    </row>
    <row r="37" spans="1:50" x14ac:dyDescent="0.25">
      <c r="A37" s="2" t="s">
        <v>120</v>
      </c>
      <c r="B37" s="2" t="s">
        <v>20</v>
      </c>
      <c r="C37" s="2" t="s">
        <v>18</v>
      </c>
      <c r="D37" s="6" t="s">
        <v>49</v>
      </c>
      <c r="E37" s="7">
        <v>977898</v>
      </c>
      <c r="F37" s="7">
        <f t="shared" ref="F37:F51" si="38">120.2/118.8*E37</f>
        <v>989422.05050505057</v>
      </c>
      <c r="G37" s="7"/>
      <c r="H37" s="7">
        <f t="shared" ref="H37:H51" si="39">F37+G37</f>
        <v>989422.05050505057</v>
      </c>
      <c r="I37" s="7">
        <f t="shared" ref="I37:I51" si="40">H37*121/120.2</f>
        <v>996007.22222222225</v>
      </c>
      <c r="J37" s="8"/>
      <c r="K37" s="8"/>
      <c r="L37" s="8"/>
      <c r="M37" s="8">
        <f t="shared" ref="M37:M51" si="41">L37</f>
        <v>0</v>
      </c>
      <c r="N37" s="7">
        <f>+E39+L37</f>
        <v>199818</v>
      </c>
      <c r="O37" s="19">
        <f t="shared" ref="O37:O51" si="42">F37+L37</f>
        <v>989422.05050505057</v>
      </c>
      <c r="P37" s="7">
        <f t="shared" ref="P37:P51" si="43">I37+M37</f>
        <v>996007.22222222225</v>
      </c>
      <c r="Q37" s="7">
        <v>996007.22222222225</v>
      </c>
      <c r="R37" s="7"/>
      <c r="S37" s="7">
        <f t="shared" ref="S37:S51" si="44">Q37+R37</f>
        <v>996007.22222222225</v>
      </c>
      <c r="T37" s="7">
        <f t="shared" ref="T37:T51" si="45">(123.1/121)*S37</f>
        <v>1013293.2979797979</v>
      </c>
      <c r="U37" s="8">
        <v>0</v>
      </c>
      <c r="V37" s="7"/>
      <c r="W37" s="7">
        <f t="shared" ref="W37:W51" si="46">U37+V37</f>
        <v>0</v>
      </c>
      <c r="X37" s="7">
        <f t="shared" ref="X37:X51" si="47">T37*(125.8/123.1)</f>
        <v>1035518.2525252525</v>
      </c>
      <c r="Y37" s="7">
        <f t="shared" ref="Y37:Y51" si="48">(116.6/115.7)*W37</f>
        <v>0</v>
      </c>
      <c r="Z37" s="7">
        <f t="shared" ref="Z37:Z51" si="49">Y37*(118.3/116.6)</f>
        <v>0</v>
      </c>
      <c r="AA37" s="7">
        <f t="shared" ref="AA37:AA51" si="50">X37+Z37</f>
        <v>1035518.2525252525</v>
      </c>
      <c r="AB37" s="7">
        <f t="shared" ref="AB37:AB51" si="51">X37*(141.4/125.8)</f>
        <v>1163929.1010101011</v>
      </c>
      <c r="AC37" s="7">
        <f t="shared" ref="AC37:AC51" si="52">(116.6/115.7)*AA37</f>
        <v>1043573.2778257946</v>
      </c>
      <c r="AD37" s="7">
        <f t="shared" ref="AD37:AD51" si="53">+Z37*(123.6/118.2)</f>
        <v>0</v>
      </c>
      <c r="AE37" s="7">
        <f t="shared" ref="AE37:AE51" si="54">+AB37+AD37</f>
        <v>1163929.1010101011</v>
      </c>
      <c r="AF37" s="34">
        <f t="shared" si="30"/>
        <v>1222125.5560606061</v>
      </c>
      <c r="AG37" s="34">
        <f t="shared" si="31"/>
        <v>0</v>
      </c>
      <c r="AH37" s="34">
        <f t="shared" si="32"/>
        <v>1222125.5560606061</v>
      </c>
      <c r="AI37" s="34">
        <v>675000</v>
      </c>
      <c r="AJ37" s="34"/>
      <c r="AK37" s="55">
        <f t="shared" si="0"/>
        <v>675000</v>
      </c>
      <c r="AL37" s="55">
        <f t="shared" si="1"/>
        <v>694285.7142857142</v>
      </c>
      <c r="AM37" s="55">
        <f t="shared" si="2"/>
        <v>0</v>
      </c>
      <c r="AN37" s="55">
        <f t="shared" si="3"/>
        <v>732214.28571428556</v>
      </c>
      <c r="AO37" s="55">
        <f t="shared" si="4"/>
        <v>0</v>
      </c>
      <c r="AP37" s="2"/>
      <c r="AQ37" s="76">
        <f t="shared" si="5"/>
        <v>835714.28571428545</v>
      </c>
      <c r="AR37" s="81">
        <f t="shared" si="6"/>
        <v>0</v>
      </c>
      <c r="AS37" s="76">
        <f t="shared" si="7"/>
        <v>835714.28571428545</v>
      </c>
      <c r="AT37" s="76">
        <f t="shared" si="8"/>
        <v>0</v>
      </c>
      <c r="AU37" s="85" t="s">
        <v>212</v>
      </c>
      <c r="AV37" s="85" t="s">
        <v>208</v>
      </c>
      <c r="AW37" s="85" t="s">
        <v>208</v>
      </c>
      <c r="AX37" s="85" t="s">
        <v>207</v>
      </c>
    </row>
    <row r="38" spans="1:50" x14ac:dyDescent="0.25">
      <c r="A38" s="2" t="s">
        <v>121</v>
      </c>
      <c r="B38" s="2" t="s">
        <v>20</v>
      </c>
      <c r="C38" s="2" t="s">
        <v>18</v>
      </c>
      <c r="D38" s="6"/>
      <c r="E38" s="7"/>
      <c r="F38" s="7"/>
      <c r="G38" s="7"/>
      <c r="H38" s="7"/>
      <c r="I38" s="7"/>
      <c r="J38" s="8"/>
      <c r="K38" s="8"/>
      <c r="L38" s="8"/>
      <c r="M38" s="8"/>
      <c r="N38" s="7"/>
      <c r="O38" s="19"/>
      <c r="P38" s="7"/>
      <c r="Q38" s="7"/>
      <c r="R38" s="7"/>
      <c r="S38" s="7"/>
      <c r="T38" s="7"/>
      <c r="U38" s="8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34"/>
      <c r="AG38" s="34"/>
      <c r="AH38" s="34"/>
      <c r="AI38" s="34">
        <v>600000</v>
      </c>
      <c r="AJ38" s="34"/>
      <c r="AK38" s="55">
        <f t="shared" si="0"/>
        <v>600000</v>
      </c>
      <c r="AL38" s="55">
        <f t="shared" si="1"/>
        <v>617142.85714285704</v>
      </c>
      <c r="AM38" s="55">
        <f t="shared" si="2"/>
        <v>0</v>
      </c>
      <c r="AN38" s="55">
        <f t="shared" si="3"/>
        <v>650857.14285714272</v>
      </c>
      <c r="AO38" s="55">
        <f t="shared" si="4"/>
        <v>0</v>
      </c>
      <c r="AP38" s="2"/>
      <c r="AQ38" s="76">
        <f t="shared" si="5"/>
        <v>742857.14285714261</v>
      </c>
      <c r="AR38" s="81">
        <f t="shared" si="6"/>
        <v>0</v>
      </c>
      <c r="AS38" s="76">
        <f t="shared" si="7"/>
        <v>742857.14285714261</v>
      </c>
      <c r="AT38" s="76">
        <f t="shared" si="8"/>
        <v>0</v>
      </c>
      <c r="AU38" s="85"/>
      <c r="AV38" s="85" t="s">
        <v>208</v>
      </c>
      <c r="AW38" s="85" t="s">
        <v>208</v>
      </c>
      <c r="AX38" s="85" t="s">
        <v>208</v>
      </c>
    </row>
    <row r="39" spans="1:50" x14ac:dyDescent="0.25">
      <c r="A39" s="2" t="s">
        <v>122</v>
      </c>
      <c r="B39" s="2" t="s">
        <v>131</v>
      </c>
      <c r="C39" s="2" t="s">
        <v>18</v>
      </c>
      <c r="D39" s="6" t="s">
        <v>49</v>
      </c>
      <c r="E39" s="7">
        <v>199818</v>
      </c>
      <c r="F39" s="7">
        <f t="shared" si="38"/>
        <v>202172.7575757576</v>
      </c>
      <c r="G39" s="7"/>
      <c r="H39" s="7">
        <f t="shared" si="39"/>
        <v>202172.7575757576</v>
      </c>
      <c r="I39" s="7">
        <f t="shared" si="40"/>
        <v>203518.33333333334</v>
      </c>
      <c r="J39" s="8"/>
      <c r="K39" s="8"/>
      <c r="L39" s="8"/>
      <c r="M39" s="8">
        <f t="shared" si="41"/>
        <v>0</v>
      </c>
      <c r="N39" s="7">
        <f t="shared" ref="N39:N51" si="55">+E39+K39</f>
        <v>199818</v>
      </c>
      <c r="O39" s="19">
        <f t="shared" si="42"/>
        <v>202172.7575757576</v>
      </c>
      <c r="P39" s="7">
        <f t="shared" si="43"/>
        <v>203518.33333333334</v>
      </c>
      <c r="Q39" s="7">
        <v>203518.33333333334</v>
      </c>
      <c r="R39" s="7"/>
      <c r="S39" s="7">
        <f t="shared" si="44"/>
        <v>203518.33333333334</v>
      </c>
      <c r="T39" s="7">
        <f t="shared" si="45"/>
        <v>207050.4696969697</v>
      </c>
      <c r="U39" s="8">
        <v>0</v>
      </c>
      <c r="V39" s="7"/>
      <c r="W39" s="7">
        <f t="shared" si="46"/>
        <v>0</v>
      </c>
      <c r="X39" s="7">
        <f t="shared" si="47"/>
        <v>211591.7878787879</v>
      </c>
      <c r="Y39" s="7">
        <f t="shared" si="48"/>
        <v>0</v>
      </c>
      <c r="Z39" s="7">
        <f t="shared" si="49"/>
        <v>0</v>
      </c>
      <c r="AA39" s="7">
        <f t="shared" si="50"/>
        <v>211591.7878787879</v>
      </c>
      <c r="AB39" s="7">
        <f t="shared" si="51"/>
        <v>237830.5151515152</v>
      </c>
      <c r="AC39" s="7">
        <f t="shared" si="52"/>
        <v>213237.70498415444</v>
      </c>
      <c r="AD39" s="7">
        <f t="shared" si="53"/>
        <v>0</v>
      </c>
      <c r="AE39" s="7">
        <f t="shared" si="54"/>
        <v>237830.5151515152</v>
      </c>
      <c r="AF39" s="34">
        <f t="shared" si="30"/>
        <v>249722.04090909095</v>
      </c>
      <c r="AG39" s="34">
        <f t="shared" si="31"/>
        <v>0</v>
      </c>
      <c r="AH39" s="34">
        <f t="shared" si="32"/>
        <v>249722.04090909095</v>
      </c>
      <c r="AI39" s="34">
        <v>300000</v>
      </c>
      <c r="AJ39" s="34"/>
      <c r="AK39" s="55">
        <f t="shared" si="0"/>
        <v>300000</v>
      </c>
      <c r="AL39" s="55">
        <f t="shared" si="1"/>
        <v>308571.42857142852</v>
      </c>
      <c r="AM39" s="55">
        <f t="shared" si="2"/>
        <v>0</v>
      </c>
      <c r="AN39" s="55">
        <f t="shared" si="3"/>
        <v>325428.57142857136</v>
      </c>
      <c r="AO39" s="55">
        <f t="shared" si="4"/>
        <v>0</v>
      </c>
      <c r="AP39" s="2"/>
      <c r="AQ39" s="76">
        <f t="shared" si="5"/>
        <v>371428.5714285713</v>
      </c>
      <c r="AR39" s="81">
        <f t="shared" si="6"/>
        <v>0</v>
      </c>
      <c r="AS39" s="76">
        <f t="shared" si="7"/>
        <v>371428.5714285713</v>
      </c>
      <c r="AT39" s="76">
        <f t="shared" si="8"/>
        <v>0</v>
      </c>
      <c r="AU39" s="85"/>
      <c r="AV39" s="85" t="s">
        <v>208</v>
      </c>
      <c r="AW39" s="85" t="s">
        <v>208</v>
      </c>
      <c r="AX39" s="85" t="s">
        <v>207</v>
      </c>
    </row>
    <row r="40" spans="1:50" x14ac:dyDescent="0.25">
      <c r="A40" s="2" t="s">
        <v>123</v>
      </c>
      <c r="B40" s="2" t="s">
        <v>132</v>
      </c>
      <c r="C40" s="2" t="s">
        <v>18</v>
      </c>
      <c r="D40" s="6" t="s">
        <v>49</v>
      </c>
      <c r="E40" s="7">
        <v>25021</v>
      </c>
      <c r="F40" s="7">
        <f t="shared" si="38"/>
        <v>25315.860269360273</v>
      </c>
      <c r="G40" s="7"/>
      <c r="H40" s="7">
        <f t="shared" si="39"/>
        <v>25315.860269360273</v>
      </c>
      <c r="I40" s="7">
        <f t="shared" si="40"/>
        <v>25484.351851851858</v>
      </c>
      <c r="J40" s="8"/>
      <c r="K40" s="8"/>
      <c r="L40" s="8"/>
      <c r="M40" s="8">
        <f t="shared" si="41"/>
        <v>0</v>
      </c>
      <c r="N40" s="7">
        <f t="shared" si="55"/>
        <v>25021</v>
      </c>
      <c r="O40" s="19">
        <f t="shared" si="42"/>
        <v>25315.860269360273</v>
      </c>
      <c r="P40" s="7">
        <f t="shared" si="43"/>
        <v>25484.351851851858</v>
      </c>
      <c r="Q40" s="7">
        <v>25484.351851851858</v>
      </c>
      <c r="R40" s="7"/>
      <c r="S40" s="7">
        <f t="shared" si="44"/>
        <v>25484.351851851858</v>
      </c>
      <c r="T40" s="7">
        <f t="shared" si="45"/>
        <v>25926.64225589226</v>
      </c>
      <c r="U40" s="8">
        <v>0</v>
      </c>
      <c r="V40" s="7"/>
      <c r="W40" s="7">
        <f t="shared" si="46"/>
        <v>0</v>
      </c>
      <c r="X40" s="7">
        <f t="shared" si="47"/>
        <v>26495.301346801352</v>
      </c>
      <c r="Y40" s="7">
        <f t="shared" si="48"/>
        <v>0</v>
      </c>
      <c r="Z40" s="7">
        <f t="shared" si="49"/>
        <v>0</v>
      </c>
      <c r="AA40" s="7">
        <f t="shared" si="50"/>
        <v>26495.301346801352</v>
      </c>
      <c r="AB40" s="7">
        <f t="shared" si="51"/>
        <v>29780.887205387211</v>
      </c>
      <c r="AC40" s="7">
        <f t="shared" si="52"/>
        <v>26701.401357277766</v>
      </c>
      <c r="AD40" s="7">
        <f t="shared" si="53"/>
        <v>0</v>
      </c>
      <c r="AE40" s="7">
        <f t="shared" si="54"/>
        <v>29780.887205387211</v>
      </c>
      <c r="AF40" s="34">
        <f t="shared" si="30"/>
        <v>31269.931565656574</v>
      </c>
      <c r="AG40" s="34">
        <f t="shared" si="31"/>
        <v>0</v>
      </c>
      <c r="AH40" s="34">
        <f t="shared" si="32"/>
        <v>31269.931565656574</v>
      </c>
      <c r="AI40" s="34">
        <v>35000</v>
      </c>
      <c r="AJ40" s="34"/>
      <c r="AK40" s="55">
        <f t="shared" si="0"/>
        <v>35000</v>
      </c>
      <c r="AL40" s="55">
        <f t="shared" si="1"/>
        <v>36000</v>
      </c>
      <c r="AM40" s="55">
        <f t="shared" si="2"/>
        <v>0</v>
      </c>
      <c r="AN40" s="55">
        <f t="shared" si="3"/>
        <v>37966.666666666664</v>
      </c>
      <c r="AO40" s="55">
        <f t="shared" si="4"/>
        <v>0</v>
      </c>
      <c r="AP40" s="2"/>
      <c r="AQ40" s="76">
        <f t="shared" si="5"/>
        <v>43333.333333333328</v>
      </c>
      <c r="AR40" s="81">
        <f t="shared" si="6"/>
        <v>0</v>
      </c>
      <c r="AS40" s="76">
        <f t="shared" si="7"/>
        <v>43333.333333333328</v>
      </c>
      <c r="AT40" s="76">
        <f t="shared" si="8"/>
        <v>0</v>
      </c>
      <c r="AU40" s="85"/>
      <c r="AV40" s="85" t="s">
        <v>208</v>
      </c>
      <c r="AW40" s="85" t="s">
        <v>208</v>
      </c>
      <c r="AX40" s="85"/>
    </row>
    <row r="41" spans="1:50" x14ac:dyDescent="0.25">
      <c r="A41" s="2" t="s">
        <v>124</v>
      </c>
      <c r="B41" s="2" t="s">
        <v>132</v>
      </c>
      <c r="C41" s="2" t="s">
        <v>18</v>
      </c>
      <c r="D41" s="6" t="s">
        <v>49</v>
      </c>
      <c r="E41" s="7">
        <v>50042</v>
      </c>
      <c r="F41" s="7">
        <f t="shared" si="38"/>
        <v>50631.720538720547</v>
      </c>
      <c r="G41" s="7"/>
      <c r="H41" s="7">
        <f t="shared" si="39"/>
        <v>50631.720538720547</v>
      </c>
      <c r="I41" s="7">
        <f t="shared" si="40"/>
        <v>50968.703703703715</v>
      </c>
      <c r="J41" s="8"/>
      <c r="K41" s="8"/>
      <c r="L41" s="8"/>
      <c r="M41" s="8">
        <f t="shared" si="41"/>
        <v>0</v>
      </c>
      <c r="N41" s="7">
        <f t="shared" si="55"/>
        <v>50042</v>
      </c>
      <c r="O41" s="19">
        <f t="shared" si="42"/>
        <v>50631.720538720547</v>
      </c>
      <c r="P41" s="7">
        <f t="shared" si="43"/>
        <v>50968.703703703715</v>
      </c>
      <c r="Q41" s="7">
        <v>50968.703703703715</v>
      </c>
      <c r="R41" s="7"/>
      <c r="S41" s="7">
        <f t="shared" si="44"/>
        <v>50968.703703703715</v>
      </c>
      <c r="T41" s="7">
        <f t="shared" si="45"/>
        <v>51853.284511784521</v>
      </c>
      <c r="U41" s="8">
        <v>0</v>
      </c>
      <c r="V41" s="7"/>
      <c r="W41" s="7">
        <f t="shared" si="46"/>
        <v>0</v>
      </c>
      <c r="X41" s="7">
        <f t="shared" si="47"/>
        <v>52990.602693602705</v>
      </c>
      <c r="Y41" s="7">
        <f t="shared" si="48"/>
        <v>0</v>
      </c>
      <c r="Z41" s="7">
        <f t="shared" si="49"/>
        <v>0</v>
      </c>
      <c r="AA41" s="7">
        <f t="shared" si="50"/>
        <v>52990.602693602705</v>
      </c>
      <c r="AB41" s="7">
        <f t="shared" si="51"/>
        <v>59561.774410774422</v>
      </c>
      <c r="AC41" s="7">
        <f t="shared" si="52"/>
        <v>53402.802714555532</v>
      </c>
      <c r="AD41" s="7">
        <f t="shared" si="53"/>
        <v>0</v>
      </c>
      <c r="AE41" s="7">
        <f t="shared" si="54"/>
        <v>59561.774410774422</v>
      </c>
      <c r="AF41" s="34">
        <f t="shared" si="30"/>
        <v>62539.863131313148</v>
      </c>
      <c r="AG41" s="34">
        <f t="shared" si="31"/>
        <v>0</v>
      </c>
      <c r="AH41" s="34">
        <f t="shared" si="32"/>
        <v>62539.863131313148</v>
      </c>
      <c r="AI41" s="34">
        <v>15000</v>
      </c>
      <c r="AJ41" s="34"/>
      <c r="AK41" s="55">
        <f t="shared" si="0"/>
        <v>15000</v>
      </c>
      <c r="AL41" s="55">
        <f t="shared" si="1"/>
        <v>15428.571428571428</v>
      </c>
      <c r="AM41" s="55">
        <f t="shared" si="2"/>
        <v>0</v>
      </c>
      <c r="AN41" s="55">
        <f t="shared" si="3"/>
        <v>16271.428571428569</v>
      </c>
      <c r="AO41" s="55">
        <f t="shared" si="4"/>
        <v>0</v>
      </c>
      <c r="AP41" s="2"/>
      <c r="AQ41" s="76">
        <f t="shared" si="5"/>
        <v>18571.428571428565</v>
      </c>
      <c r="AR41" s="81">
        <f t="shared" si="6"/>
        <v>0</v>
      </c>
      <c r="AS41" s="76">
        <f t="shared" si="7"/>
        <v>18571.428571428565</v>
      </c>
      <c r="AT41" s="76">
        <f t="shared" si="8"/>
        <v>0</v>
      </c>
      <c r="AU41" s="85"/>
      <c r="AV41" s="85" t="s">
        <v>208</v>
      </c>
      <c r="AW41" s="85" t="s">
        <v>208</v>
      </c>
      <c r="AX41" s="85"/>
    </row>
    <row r="42" spans="1:50" x14ac:dyDescent="0.25">
      <c r="A42" s="2" t="s">
        <v>38</v>
      </c>
      <c r="B42" s="2" t="s">
        <v>133</v>
      </c>
      <c r="C42" s="2" t="s">
        <v>18</v>
      </c>
      <c r="D42" s="6" t="s">
        <v>49</v>
      </c>
      <c r="E42" s="7">
        <v>502573</v>
      </c>
      <c r="F42" s="7">
        <f t="shared" si="38"/>
        <v>508495.5774410775</v>
      </c>
      <c r="G42" s="7"/>
      <c r="H42" s="7">
        <f t="shared" si="39"/>
        <v>508495.5774410775</v>
      </c>
      <c r="I42" s="7">
        <f t="shared" si="40"/>
        <v>511879.90740740747</v>
      </c>
      <c r="J42" s="8"/>
      <c r="K42" s="8"/>
      <c r="L42" s="8"/>
      <c r="M42" s="8">
        <f t="shared" si="41"/>
        <v>0</v>
      </c>
      <c r="N42" s="7">
        <f t="shared" si="55"/>
        <v>502573</v>
      </c>
      <c r="O42" s="19">
        <f t="shared" si="42"/>
        <v>508495.5774410775</v>
      </c>
      <c r="P42" s="7">
        <f t="shared" si="43"/>
        <v>511879.90740740747</v>
      </c>
      <c r="Q42" s="7">
        <v>511879.90740740747</v>
      </c>
      <c r="R42" s="7"/>
      <c r="S42" s="7">
        <f t="shared" si="44"/>
        <v>511879.90740740747</v>
      </c>
      <c r="T42" s="7">
        <f t="shared" si="45"/>
        <v>520763.77356902359</v>
      </c>
      <c r="U42" s="8">
        <v>0</v>
      </c>
      <c r="V42" s="7"/>
      <c r="W42" s="7">
        <f t="shared" si="46"/>
        <v>0</v>
      </c>
      <c r="X42" s="7">
        <f t="shared" si="47"/>
        <v>532185.88720538723</v>
      </c>
      <c r="Y42" s="7">
        <f t="shared" si="48"/>
        <v>0</v>
      </c>
      <c r="Z42" s="7">
        <f t="shared" si="49"/>
        <v>0</v>
      </c>
      <c r="AA42" s="7">
        <f t="shared" si="50"/>
        <v>532185.88720538723</v>
      </c>
      <c r="AB42" s="7">
        <f t="shared" si="51"/>
        <v>598180.32154882164</v>
      </c>
      <c r="AC42" s="7">
        <f t="shared" si="52"/>
        <v>536325.6218508915</v>
      </c>
      <c r="AD42" s="7">
        <f t="shared" si="53"/>
        <v>0</v>
      </c>
      <c r="AE42" s="7">
        <f t="shared" si="54"/>
        <v>598180.32154882164</v>
      </c>
      <c r="AF42" s="34">
        <f t="shared" si="30"/>
        <v>628089.3376262628</v>
      </c>
      <c r="AG42" s="34">
        <f t="shared" si="31"/>
        <v>0</v>
      </c>
      <c r="AH42" s="34">
        <f t="shared" si="32"/>
        <v>628089.3376262628</v>
      </c>
      <c r="AI42" s="34">
        <v>625000</v>
      </c>
      <c r="AJ42" s="34"/>
      <c r="AK42" s="55">
        <f t="shared" si="0"/>
        <v>625000</v>
      </c>
      <c r="AL42" s="55">
        <f t="shared" si="1"/>
        <v>642857.14285714284</v>
      </c>
      <c r="AM42" s="55">
        <f t="shared" si="2"/>
        <v>0</v>
      </c>
      <c r="AN42" s="55">
        <f t="shared" si="3"/>
        <v>677976.19047619042</v>
      </c>
      <c r="AO42" s="55">
        <f t="shared" si="4"/>
        <v>0</v>
      </c>
      <c r="AP42" s="2"/>
      <c r="AQ42" s="76">
        <f>130/113.9*AN42+30186.76</f>
        <v>803996.28380952368</v>
      </c>
      <c r="AR42" s="81">
        <f t="shared" si="6"/>
        <v>0</v>
      </c>
      <c r="AS42" s="76">
        <f t="shared" si="7"/>
        <v>803996.28380952368</v>
      </c>
      <c r="AT42" s="76">
        <f t="shared" si="8"/>
        <v>0</v>
      </c>
      <c r="AU42" s="85"/>
      <c r="AV42" s="85" t="s">
        <v>207</v>
      </c>
      <c r="AW42" s="85" t="s">
        <v>208</v>
      </c>
      <c r="AX42" s="85" t="s">
        <v>208</v>
      </c>
    </row>
    <row r="43" spans="1:50" x14ac:dyDescent="0.25">
      <c r="A43" s="2" t="s">
        <v>39</v>
      </c>
      <c r="B43" s="2" t="s">
        <v>134</v>
      </c>
      <c r="C43" s="2" t="s">
        <v>18</v>
      </c>
      <c r="D43" s="6" t="s">
        <v>49</v>
      </c>
      <c r="E43" s="7">
        <v>466242</v>
      </c>
      <c r="F43" s="7">
        <f t="shared" si="38"/>
        <v>471736.4343434344</v>
      </c>
      <c r="G43" s="7"/>
      <c r="H43" s="7">
        <f t="shared" si="39"/>
        <v>471736.4343434344</v>
      </c>
      <c r="I43" s="7">
        <f t="shared" si="40"/>
        <v>474876.11111111112</v>
      </c>
      <c r="J43" s="8"/>
      <c r="K43" s="8"/>
      <c r="L43" s="8"/>
      <c r="M43" s="8">
        <f t="shared" si="41"/>
        <v>0</v>
      </c>
      <c r="N43" s="7">
        <f t="shared" si="55"/>
        <v>466242</v>
      </c>
      <c r="O43" s="19">
        <f t="shared" si="42"/>
        <v>471736.4343434344</v>
      </c>
      <c r="P43" s="7">
        <f t="shared" si="43"/>
        <v>474876.11111111112</v>
      </c>
      <c r="Q43" s="7">
        <v>474876.11111111112</v>
      </c>
      <c r="R43" s="7"/>
      <c r="S43" s="7">
        <f t="shared" si="44"/>
        <v>474876.11111111112</v>
      </c>
      <c r="T43" s="7">
        <f t="shared" si="45"/>
        <v>483117.76262626261</v>
      </c>
      <c r="U43" s="8">
        <v>0</v>
      </c>
      <c r="V43" s="7"/>
      <c r="W43" s="7">
        <f t="shared" si="46"/>
        <v>0</v>
      </c>
      <c r="X43" s="7">
        <f t="shared" si="47"/>
        <v>493714.17171717173</v>
      </c>
      <c r="Y43" s="7">
        <f t="shared" si="48"/>
        <v>0</v>
      </c>
      <c r="Z43" s="7">
        <f t="shared" si="49"/>
        <v>0</v>
      </c>
      <c r="AA43" s="7">
        <f t="shared" si="50"/>
        <v>493714.17171717173</v>
      </c>
      <c r="AB43" s="7">
        <f t="shared" si="51"/>
        <v>554937.86868686869</v>
      </c>
      <c r="AC43" s="7">
        <f t="shared" si="52"/>
        <v>497554.64496302698</v>
      </c>
      <c r="AD43" s="7">
        <f t="shared" si="53"/>
        <v>0</v>
      </c>
      <c r="AE43" s="7">
        <f t="shared" si="54"/>
        <v>554937.86868686869</v>
      </c>
      <c r="AF43" s="34">
        <f t="shared" si="30"/>
        <v>582684.7621212122</v>
      </c>
      <c r="AG43" s="34">
        <f t="shared" si="31"/>
        <v>0</v>
      </c>
      <c r="AH43" s="34">
        <f t="shared" si="32"/>
        <v>582684.7621212122</v>
      </c>
      <c r="AI43" s="34">
        <v>300000</v>
      </c>
      <c r="AJ43" s="34"/>
      <c r="AK43" s="55">
        <f t="shared" si="0"/>
        <v>300000</v>
      </c>
      <c r="AL43" s="55">
        <f t="shared" si="1"/>
        <v>308571.42857142852</v>
      </c>
      <c r="AM43" s="55">
        <f t="shared" si="2"/>
        <v>0</v>
      </c>
      <c r="AN43" s="55">
        <f t="shared" si="3"/>
        <v>325428.57142857136</v>
      </c>
      <c r="AO43" s="55">
        <f t="shared" si="4"/>
        <v>0</v>
      </c>
      <c r="AP43" s="2"/>
      <c r="AQ43" s="76">
        <f t="shared" si="5"/>
        <v>371428.5714285713</v>
      </c>
      <c r="AR43" s="81">
        <f t="shared" si="6"/>
        <v>0</v>
      </c>
      <c r="AS43" s="76">
        <f t="shared" si="7"/>
        <v>371428.5714285713</v>
      </c>
      <c r="AT43" s="76">
        <f t="shared" si="8"/>
        <v>0</v>
      </c>
      <c r="AU43" s="85"/>
      <c r="AV43" s="85" t="s">
        <v>208</v>
      </c>
      <c r="AW43" s="85" t="s">
        <v>207</v>
      </c>
      <c r="AX43" s="85" t="s">
        <v>207</v>
      </c>
    </row>
    <row r="44" spans="1:50" x14ac:dyDescent="0.25">
      <c r="A44" s="2" t="s">
        <v>161</v>
      </c>
      <c r="B44" s="2" t="s">
        <v>135</v>
      </c>
      <c r="C44" s="2" t="s">
        <v>18</v>
      </c>
      <c r="D44" s="6" t="s">
        <v>49</v>
      </c>
      <c r="E44" s="7">
        <v>950650</v>
      </c>
      <c r="F44" s="7">
        <f t="shared" si="38"/>
        <v>961852.94612794626</v>
      </c>
      <c r="G44" s="7"/>
      <c r="H44" s="7">
        <f t="shared" si="39"/>
        <v>961852.94612794626</v>
      </c>
      <c r="I44" s="7">
        <f t="shared" si="40"/>
        <v>968254.62962962966</v>
      </c>
      <c r="J44" s="8"/>
      <c r="K44" s="8"/>
      <c r="L44" s="8"/>
      <c r="M44" s="8">
        <f t="shared" si="41"/>
        <v>0</v>
      </c>
      <c r="N44" s="7">
        <f t="shared" si="55"/>
        <v>950650</v>
      </c>
      <c r="O44" s="19">
        <f t="shared" si="42"/>
        <v>961852.94612794626</v>
      </c>
      <c r="P44" s="7">
        <f t="shared" si="43"/>
        <v>968254.62962962966</v>
      </c>
      <c r="Q44" s="7">
        <v>968254.62962962966</v>
      </c>
      <c r="R44" s="7"/>
      <c r="S44" s="7">
        <f t="shared" si="44"/>
        <v>968254.62962962966</v>
      </c>
      <c r="T44" s="7">
        <f t="shared" si="45"/>
        <v>985059.04882154881</v>
      </c>
      <c r="U44" s="8">
        <v>0</v>
      </c>
      <c r="V44" s="7"/>
      <c r="W44" s="7">
        <f t="shared" si="46"/>
        <v>0</v>
      </c>
      <c r="X44" s="7">
        <f t="shared" si="47"/>
        <v>1006664.7306397307</v>
      </c>
      <c r="Y44" s="7">
        <f t="shared" si="48"/>
        <v>0</v>
      </c>
      <c r="Z44" s="7">
        <f t="shared" si="49"/>
        <v>0</v>
      </c>
      <c r="AA44" s="7">
        <f t="shared" si="50"/>
        <v>1006664.7306397307</v>
      </c>
      <c r="AB44" s="7">
        <f t="shared" si="51"/>
        <v>1131497.558922559</v>
      </c>
      <c r="AC44" s="7">
        <f t="shared" si="52"/>
        <v>1014495.3119498064</v>
      </c>
      <c r="AD44" s="7">
        <f t="shared" si="53"/>
        <v>0</v>
      </c>
      <c r="AE44" s="7">
        <f t="shared" si="54"/>
        <v>1131497.558922559</v>
      </c>
      <c r="AF44" s="34">
        <f t="shared" si="30"/>
        <v>1188072.4368686869</v>
      </c>
      <c r="AG44" s="34">
        <f t="shared" si="31"/>
        <v>0</v>
      </c>
      <c r="AH44" s="34">
        <f t="shared" si="32"/>
        <v>1188072.4368686869</v>
      </c>
      <c r="AI44" s="34">
        <v>1350000</v>
      </c>
      <c r="AJ44" s="34"/>
      <c r="AK44" s="55">
        <f t="shared" si="0"/>
        <v>1350000</v>
      </c>
      <c r="AL44" s="55">
        <f t="shared" si="1"/>
        <v>1388571.4285714284</v>
      </c>
      <c r="AM44" s="55">
        <f t="shared" si="2"/>
        <v>0</v>
      </c>
      <c r="AN44" s="55">
        <f t="shared" si="3"/>
        <v>1464428.5714285711</v>
      </c>
      <c r="AO44" s="55">
        <f t="shared" si="4"/>
        <v>0</v>
      </c>
      <c r="AP44" s="2"/>
      <c r="AQ44" s="76">
        <f t="shared" si="5"/>
        <v>1671428.5714285709</v>
      </c>
      <c r="AR44" s="81">
        <f t="shared" si="6"/>
        <v>0</v>
      </c>
      <c r="AS44" s="76">
        <f t="shared" si="7"/>
        <v>1671428.5714285709</v>
      </c>
      <c r="AT44" s="76">
        <f t="shared" si="8"/>
        <v>0</v>
      </c>
      <c r="AU44" s="85"/>
      <c r="AV44" s="85" t="s">
        <v>207</v>
      </c>
      <c r="AW44" s="85" t="s">
        <v>208</v>
      </c>
      <c r="AX44" s="85" t="s">
        <v>207</v>
      </c>
    </row>
    <row r="45" spans="1:50" x14ac:dyDescent="0.25">
      <c r="A45" s="2" t="s">
        <v>125</v>
      </c>
      <c r="B45" s="2" t="s">
        <v>136</v>
      </c>
      <c r="C45" s="2" t="s">
        <v>18</v>
      </c>
      <c r="D45" s="6" t="s">
        <v>49</v>
      </c>
      <c r="E45" s="7">
        <v>375416</v>
      </c>
      <c r="F45" s="7">
        <f>120.2/118.8*E45</f>
        <v>379840.09427609434</v>
      </c>
      <c r="G45" s="7"/>
      <c r="H45" s="7">
        <f>F45+G45</f>
        <v>379840.09427609434</v>
      </c>
      <c r="I45" s="7">
        <f>H45*121/120.2</f>
        <v>382368.1481481482</v>
      </c>
      <c r="J45" s="8"/>
      <c r="K45" s="8"/>
      <c r="L45" s="8"/>
      <c r="M45" s="8">
        <f>L45</f>
        <v>0</v>
      </c>
      <c r="N45" s="7">
        <f>+E45+K45</f>
        <v>375416</v>
      </c>
      <c r="O45" s="19">
        <f>F45+L45</f>
        <v>379840.09427609434</v>
      </c>
      <c r="P45" s="7">
        <f>I45+M45</f>
        <v>382368.1481481482</v>
      </c>
      <c r="Q45" s="7">
        <v>382368.1481481482</v>
      </c>
      <c r="R45" s="7"/>
      <c r="S45" s="7">
        <f>Q45+R45</f>
        <v>382368.1481481482</v>
      </c>
      <c r="T45" s="7">
        <f>(123.1/121)*S45</f>
        <v>389004.2895622896</v>
      </c>
      <c r="U45" s="8">
        <v>0</v>
      </c>
      <c r="V45" s="7"/>
      <c r="W45" s="7">
        <f>U45+V45</f>
        <v>0</v>
      </c>
      <c r="X45" s="7">
        <f>T45*(125.8/123.1)</f>
        <v>397536.47138047148</v>
      </c>
      <c r="Y45" s="7">
        <f>(116.6/115.7)*W45</f>
        <v>0</v>
      </c>
      <c r="Z45" s="7">
        <f>Y45*(118.3/116.6)</f>
        <v>0</v>
      </c>
      <c r="AA45" s="7">
        <f>X45+Z45</f>
        <v>397536.47138047148</v>
      </c>
      <c r="AB45" s="7">
        <f>X45*(141.4/125.8)</f>
        <v>446833.521885522</v>
      </c>
      <c r="AC45" s="7">
        <f>(116.6/115.7)*AA45</f>
        <v>400628.80348282604</v>
      </c>
      <c r="AD45" s="7">
        <f>+Z45*(123.6/118.2)</f>
        <v>0</v>
      </c>
      <c r="AE45" s="7">
        <f>+AB45+AD45</f>
        <v>446833.521885522</v>
      </c>
      <c r="AF45" s="34">
        <f t="shared" ref="AF45:AF46" si="56">1.05*AB45</f>
        <v>469175.19797979813</v>
      </c>
      <c r="AG45" s="34">
        <f t="shared" ref="AG45:AG47" si="57">1.016*AD45</f>
        <v>0</v>
      </c>
      <c r="AH45" s="34">
        <f t="shared" ref="AH45:AH47" si="58">AF45+AG45</f>
        <v>469175.19797979813</v>
      </c>
      <c r="AI45" s="34">
        <v>525000</v>
      </c>
      <c r="AJ45" s="34"/>
      <c r="AK45" s="55">
        <f t="shared" si="0"/>
        <v>525000</v>
      </c>
      <c r="AL45" s="55">
        <f t="shared" si="1"/>
        <v>540000</v>
      </c>
      <c r="AM45" s="55">
        <f t="shared" si="2"/>
        <v>0</v>
      </c>
      <c r="AN45" s="55">
        <f t="shared" si="3"/>
        <v>569500</v>
      </c>
      <c r="AO45" s="55">
        <f t="shared" si="4"/>
        <v>0</v>
      </c>
      <c r="AP45" s="2"/>
      <c r="AQ45" s="76">
        <f t="shared" si="5"/>
        <v>649999.99999999988</v>
      </c>
      <c r="AR45" s="81">
        <f t="shared" si="6"/>
        <v>0</v>
      </c>
      <c r="AS45" s="76">
        <f t="shared" si="7"/>
        <v>649999.99999999988</v>
      </c>
      <c r="AT45" s="76">
        <f t="shared" si="8"/>
        <v>0</v>
      </c>
      <c r="AU45" s="85" t="s">
        <v>214</v>
      </c>
      <c r="AV45" s="85" t="s">
        <v>208</v>
      </c>
      <c r="AW45" s="85" t="s">
        <v>207</v>
      </c>
      <c r="AX45" s="85"/>
    </row>
    <row r="46" spans="1:50" x14ac:dyDescent="0.25">
      <c r="A46" s="2" t="s">
        <v>126</v>
      </c>
      <c r="B46" s="87" t="s">
        <v>137</v>
      </c>
      <c r="C46" s="87" t="s">
        <v>18</v>
      </c>
      <c r="D46" s="91" t="s">
        <v>49</v>
      </c>
      <c r="E46" s="39">
        <v>587344</v>
      </c>
      <c r="F46" s="7">
        <f>120.2/118.8*E46</f>
        <v>594265.56228956231</v>
      </c>
      <c r="G46" s="12"/>
      <c r="H46" s="7">
        <f>F46+G46</f>
        <v>594265.56228956231</v>
      </c>
      <c r="I46" s="7">
        <f>H46*121/120.2</f>
        <v>598220.74074074079</v>
      </c>
      <c r="J46" s="92"/>
      <c r="K46" s="42"/>
      <c r="L46" s="8"/>
      <c r="M46" s="8">
        <f>L46</f>
        <v>0</v>
      </c>
      <c r="N46" s="7">
        <f>+E46+K46</f>
        <v>587344</v>
      </c>
      <c r="O46" s="19">
        <f>F46+L46</f>
        <v>594265.56228956231</v>
      </c>
      <c r="P46" s="7">
        <f>I46+M46</f>
        <v>598220.74074074079</v>
      </c>
      <c r="Q46" s="7">
        <v>598220.74074074079</v>
      </c>
      <c r="R46" s="12"/>
      <c r="S46" s="7">
        <f>Q46+R46</f>
        <v>598220.74074074079</v>
      </c>
      <c r="T46" s="7">
        <f>(123.1/121)*S46</f>
        <v>608603.08417508414</v>
      </c>
      <c r="U46" s="8">
        <v>0</v>
      </c>
      <c r="V46" s="7"/>
      <c r="W46" s="7">
        <f>U46+V46</f>
        <v>0</v>
      </c>
      <c r="X46" s="7">
        <f>T46*(125.8/123.1)</f>
        <v>621951.81144781143</v>
      </c>
      <c r="Y46" s="7">
        <f>(116.6/115.7)*W46</f>
        <v>0</v>
      </c>
      <c r="Z46" s="7">
        <f>Y46*(118.3/116.6)</f>
        <v>0</v>
      </c>
      <c r="AA46" s="7">
        <f>X46+Z46</f>
        <v>621951.81144781143</v>
      </c>
      <c r="AB46" s="7">
        <f>X46*(141.4/125.8)</f>
        <v>699077.79124579125</v>
      </c>
      <c r="AC46" s="7">
        <f>(116.6/115.7)*AA46</f>
        <v>626789.81170972181</v>
      </c>
      <c r="AD46" s="7">
        <f>+Z46*(123.6/118.2)</f>
        <v>0</v>
      </c>
      <c r="AE46" s="7">
        <f>+AB46+AD46</f>
        <v>699077.79124579125</v>
      </c>
      <c r="AF46" s="34">
        <f t="shared" si="56"/>
        <v>734031.68080808083</v>
      </c>
      <c r="AG46" s="34">
        <f t="shared" si="57"/>
        <v>0</v>
      </c>
      <c r="AH46" s="34">
        <f t="shared" si="58"/>
        <v>734031.68080808083</v>
      </c>
      <c r="AI46" s="34">
        <v>850000</v>
      </c>
      <c r="AJ46" s="34"/>
      <c r="AK46" s="55">
        <f t="shared" si="0"/>
        <v>850000</v>
      </c>
      <c r="AL46" s="55">
        <f t="shared" si="1"/>
        <v>874285.7142857142</v>
      </c>
      <c r="AM46" s="55">
        <f t="shared" si="2"/>
        <v>0</v>
      </c>
      <c r="AN46" s="55">
        <f t="shared" si="3"/>
        <v>922047.61904761894</v>
      </c>
      <c r="AO46" s="55">
        <f t="shared" si="4"/>
        <v>0</v>
      </c>
      <c r="AP46" s="2"/>
      <c r="AQ46" s="76">
        <f t="shared" si="5"/>
        <v>1052380.9523809522</v>
      </c>
      <c r="AR46" s="81">
        <f t="shared" si="6"/>
        <v>0</v>
      </c>
      <c r="AS46" s="76">
        <f t="shared" si="7"/>
        <v>1052380.9523809522</v>
      </c>
      <c r="AT46" s="76">
        <f t="shared" si="8"/>
        <v>0</v>
      </c>
      <c r="AU46" s="85" t="s">
        <v>212</v>
      </c>
      <c r="AV46" s="85" t="s">
        <v>208</v>
      </c>
      <c r="AW46" s="85" t="s">
        <v>208</v>
      </c>
      <c r="AX46" s="85"/>
    </row>
    <row r="47" spans="1:50" x14ac:dyDescent="0.25">
      <c r="A47" s="2" t="s">
        <v>127</v>
      </c>
      <c r="B47" s="87" t="s">
        <v>138</v>
      </c>
      <c r="C47" s="87" t="s">
        <v>18</v>
      </c>
      <c r="D47" s="91"/>
      <c r="E47" s="39"/>
      <c r="F47" s="7"/>
      <c r="G47" s="12"/>
      <c r="H47" s="7"/>
      <c r="I47" s="7"/>
      <c r="J47" s="92"/>
      <c r="K47" s="42"/>
      <c r="L47" s="8"/>
      <c r="M47" s="8"/>
      <c r="N47" s="7"/>
      <c r="O47" s="19"/>
      <c r="P47" s="7"/>
      <c r="Q47" s="7"/>
      <c r="R47" s="12"/>
      <c r="S47" s="7"/>
      <c r="T47" s="7"/>
      <c r="U47" s="8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34">
        <v>10500</v>
      </c>
      <c r="AG47" s="34">
        <f t="shared" si="57"/>
        <v>0</v>
      </c>
      <c r="AH47" s="34">
        <f t="shared" si="58"/>
        <v>10500</v>
      </c>
      <c r="AI47" s="34">
        <v>10000</v>
      </c>
      <c r="AJ47" s="34"/>
      <c r="AK47" s="55">
        <f t="shared" si="0"/>
        <v>10000</v>
      </c>
      <c r="AL47" s="55">
        <f t="shared" si="1"/>
        <v>10285.714285714284</v>
      </c>
      <c r="AM47" s="55">
        <f t="shared" si="2"/>
        <v>0</v>
      </c>
      <c r="AN47" s="55">
        <f t="shared" si="3"/>
        <v>10847.619047619046</v>
      </c>
      <c r="AO47" s="55">
        <f t="shared" si="4"/>
        <v>0</v>
      </c>
      <c r="AP47" s="2"/>
      <c r="AQ47" s="76">
        <f t="shared" si="5"/>
        <v>12380.952380952378</v>
      </c>
      <c r="AR47" s="81">
        <f t="shared" si="6"/>
        <v>0</v>
      </c>
      <c r="AS47" s="76">
        <f t="shared" si="7"/>
        <v>12380.952380952378</v>
      </c>
      <c r="AT47" s="76">
        <f t="shared" si="8"/>
        <v>0</v>
      </c>
      <c r="AU47" s="85"/>
      <c r="AV47" s="85" t="s">
        <v>208</v>
      </c>
      <c r="AW47" s="85" t="s">
        <v>208</v>
      </c>
      <c r="AX47" s="85"/>
    </row>
    <row r="48" spans="1:50" x14ac:dyDescent="0.25">
      <c r="A48" s="2" t="s">
        <v>4</v>
      </c>
      <c r="B48" s="2" t="s">
        <v>128</v>
      </c>
      <c r="C48" s="2" t="s">
        <v>18</v>
      </c>
      <c r="D48" s="6" t="s">
        <v>49</v>
      </c>
      <c r="E48" s="7">
        <v>46624</v>
      </c>
      <c r="F48" s="7">
        <f t="shared" si="38"/>
        <v>47173.441077441086</v>
      </c>
      <c r="G48" s="7"/>
      <c r="H48" s="7">
        <f t="shared" si="39"/>
        <v>47173.441077441086</v>
      </c>
      <c r="I48" s="7">
        <f t="shared" si="40"/>
        <v>47487.407407407416</v>
      </c>
      <c r="J48" s="8"/>
      <c r="K48" s="8"/>
      <c r="L48" s="8"/>
      <c r="M48" s="8">
        <f t="shared" si="41"/>
        <v>0</v>
      </c>
      <c r="N48" s="7">
        <f t="shared" si="55"/>
        <v>46624</v>
      </c>
      <c r="O48" s="19">
        <f t="shared" si="42"/>
        <v>47173.441077441086</v>
      </c>
      <c r="P48" s="7">
        <f t="shared" si="43"/>
        <v>47487.407407407416</v>
      </c>
      <c r="Q48" s="7">
        <v>47487.407407407416</v>
      </c>
      <c r="R48" s="7"/>
      <c r="S48" s="7">
        <f t="shared" si="44"/>
        <v>47487.407407407416</v>
      </c>
      <c r="T48" s="7">
        <f t="shared" si="45"/>
        <v>48311.569023569027</v>
      </c>
      <c r="U48" s="8">
        <v>0</v>
      </c>
      <c r="V48" s="7"/>
      <c r="W48" s="7">
        <f t="shared" si="46"/>
        <v>0</v>
      </c>
      <c r="X48" s="7">
        <f t="shared" si="47"/>
        <v>49371.205387205395</v>
      </c>
      <c r="Y48" s="7">
        <f t="shared" si="48"/>
        <v>0</v>
      </c>
      <c r="Z48" s="7">
        <f t="shared" si="49"/>
        <v>0</v>
      </c>
      <c r="AA48" s="7">
        <f t="shared" si="50"/>
        <v>49371.205387205395</v>
      </c>
      <c r="AB48" s="7">
        <f t="shared" si="51"/>
        <v>55493.548821548829</v>
      </c>
      <c r="AC48" s="7">
        <f t="shared" si="52"/>
        <v>49755.251064374665</v>
      </c>
      <c r="AD48" s="7">
        <f t="shared" si="53"/>
        <v>0</v>
      </c>
      <c r="AE48" s="7">
        <f t="shared" si="54"/>
        <v>55493.548821548829</v>
      </c>
      <c r="AF48" s="34">
        <f t="shared" si="30"/>
        <v>58268.226262626275</v>
      </c>
      <c r="AG48" s="34">
        <f t="shared" si="31"/>
        <v>0</v>
      </c>
      <c r="AH48" s="34">
        <f t="shared" si="32"/>
        <v>58268.226262626275</v>
      </c>
      <c r="AI48" s="34">
        <v>65000</v>
      </c>
      <c r="AJ48" s="34"/>
      <c r="AK48" s="55">
        <f t="shared" si="0"/>
        <v>65000</v>
      </c>
      <c r="AL48" s="55">
        <f t="shared" si="1"/>
        <v>66857.142857142855</v>
      </c>
      <c r="AM48" s="55">
        <f t="shared" si="2"/>
        <v>0</v>
      </c>
      <c r="AN48" s="55">
        <f t="shared" si="3"/>
        <v>70509.523809523802</v>
      </c>
      <c r="AO48" s="55">
        <f t="shared" si="4"/>
        <v>0</v>
      </c>
      <c r="AP48" s="2"/>
      <c r="AQ48" s="76">
        <f t="shared" si="5"/>
        <v>80476.190476190459</v>
      </c>
      <c r="AR48" s="81">
        <f t="shared" si="6"/>
        <v>0</v>
      </c>
      <c r="AS48" s="76">
        <f t="shared" si="7"/>
        <v>80476.190476190459</v>
      </c>
      <c r="AT48" s="76">
        <f t="shared" si="8"/>
        <v>0</v>
      </c>
      <c r="AU48" s="85"/>
      <c r="AV48" s="85" t="s">
        <v>208</v>
      </c>
      <c r="AW48" s="85" t="s">
        <v>208</v>
      </c>
      <c r="AX48" s="85" t="s">
        <v>208</v>
      </c>
    </row>
    <row r="49" spans="1:50" x14ac:dyDescent="0.25">
      <c r="A49" s="2" t="s">
        <v>129</v>
      </c>
      <c r="B49" s="2" t="s">
        <v>22</v>
      </c>
      <c r="C49" s="2" t="s">
        <v>18</v>
      </c>
      <c r="D49" s="6" t="s">
        <v>49</v>
      </c>
      <c r="E49" s="7">
        <v>500421</v>
      </c>
      <c r="F49" s="7">
        <f t="shared" si="38"/>
        <v>506318.2171717172</v>
      </c>
      <c r="G49" s="7"/>
      <c r="H49" s="7">
        <f t="shared" si="39"/>
        <v>506318.2171717172</v>
      </c>
      <c r="I49" s="7">
        <f t="shared" si="40"/>
        <v>509688.05555555562</v>
      </c>
      <c r="J49" s="8"/>
      <c r="K49" s="8"/>
      <c r="L49" s="8"/>
      <c r="M49" s="8">
        <f t="shared" si="41"/>
        <v>0</v>
      </c>
      <c r="N49" s="7">
        <f t="shared" si="55"/>
        <v>500421</v>
      </c>
      <c r="O49" s="19">
        <f t="shared" si="42"/>
        <v>506318.2171717172</v>
      </c>
      <c r="P49" s="7">
        <f t="shared" si="43"/>
        <v>509688.05555555562</v>
      </c>
      <c r="Q49" s="7">
        <v>509688.05555555562</v>
      </c>
      <c r="R49" s="7"/>
      <c r="S49" s="7">
        <f t="shared" si="44"/>
        <v>509688.05555555562</v>
      </c>
      <c r="T49" s="7">
        <f t="shared" si="45"/>
        <v>518533.88131313137</v>
      </c>
      <c r="U49" s="8">
        <v>0</v>
      </c>
      <c r="V49" s="7"/>
      <c r="W49" s="7">
        <f t="shared" si="46"/>
        <v>0</v>
      </c>
      <c r="X49" s="7">
        <f t="shared" si="47"/>
        <v>529907.08585858601</v>
      </c>
      <c r="Y49" s="7">
        <f t="shared" si="48"/>
        <v>0</v>
      </c>
      <c r="Z49" s="7">
        <f t="shared" si="49"/>
        <v>0</v>
      </c>
      <c r="AA49" s="7">
        <f t="shared" si="50"/>
        <v>529907.08585858601</v>
      </c>
      <c r="AB49" s="7">
        <f t="shared" si="51"/>
        <v>595618.93434343452</v>
      </c>
      <c r="AC49" s="7">
        <f t="shared" si="52"/>
        <v>534029.09430519561</v>
      </c>
      <c r="AD49" s="7">
        <f t="shared" si="53"/>
        <v>0</v>
      </c>
      <c r="AE49" s="7">
        <f t="shared" si="54"/>
        <v>595618.93434343452</v>
      </c>
      <c r="AF49" s="34">
        <f t="shared" si="30"/>
        <v>625399.88106060622</v>
      </c>
      <c r="AG49" s="34">
        <f t="shared" si="31"/>
        <v>0</v>
      </c>
      <c r="AH49" s="34">
        <f t="shared" si="32"/>
        <v>625399.88106060622</v>
      </c>
      <c r="AI49" s="34">
        <v>675000</v>
      </c>
      <c r="AJ49" s="34"/>
      <c r="AK49" s="55">
        <f t="shared" si="0"/>
        <v>675000</v>
      </c>
      <c r="AL49" s="55">
        <f t="shared" si="1"/>
        <v>694285.7142857142</v>
      </c>
      <c r="AM49" s="55">
        <f t="shared" si="2"/>
        <v>0</v>
      </c>
      <c r="AN49" s="55">
        <f t="shared" si="3"/>
        <v>732214.28571428556</v>
      </c>
      <c r="AO49" s="55">
        <f t="shared" si="4"/>
        <v>0</v>
      </c>
      <c r="AP49" s="2"/>
      <c r="AQ49" s="76">
        <f t="shared" si="5"/>
        <v>835714.28571428545</v>
      </c>
      <c r="AR49" s="81">
        <f t="shared" si="6"/>
        <v>0</v>
      </c>
      <c r="AS49" s="76">
        <f t="shared" si="7"/>
        <v>835714.28571428545</v>
      </c>
      <c r="AT49" s="76">
        <f t="shared" si="8"/>
        <v>0</v>
      </c>
      <c r="AU49" s="85"/>
      <c r="AV49" s="85" t="s">
        <v>208</v>
      </c>
      <c r="AW49" s="85" t="s">
        <v>208</v>
      </c>
      <c r="AX49" s="85"/>
    </row>
    <row r="50" spans="1:50" x14ac:dyDescent="0.25">
      <c r="A50" s="2" t="s">
        <v>42</v>
      </c>
      <c r="B50" s="2" t="s">
        <v>32</v>
      </c>
      <c r="C50" s="2" t="s">
        <v>18</v>
      </c>
      <c r="D50" s="6" t="s">
        <v>49</v>
      </c>
      <c r="E50" s="7">
        <v>66606</v>
      </c>
      <c r="F50" s="7">
        <f t="shared" si="38"/>
        <v>67390.919191919194</v>
      </c>
      <c r="G50" s="7"/>
      <c r="H50" s="7">
        <f t="shared" si="39"/>
        <v>67390.919191919194</v>
      </c>
      <c r="I50" s="7">
        <f t="shared" si="40"/>
        <v>67839.444444444453</v>
      </c>
      <c r="J50" s="8"/>
      <c r="K50" s="8"/>
      <c r="L50" s="8"/>
      <c r="M50" s="8">
        <f t="shared" si="41"/>
        <v>0</v>
      </c>
      <c r="N50" s="7">
        <f t="shared" si="55"/>
        <v>66606</v>
      </c>
      <c r="O50" s="19">
        <f t="shared" si="42"/>
        <v>67390.919191919194</v>
      </c>
      <c r="P50" s="7">
        <f t="shared" si="43"/>
        <v>67839.444444444453</v>
      </c>
      <c r="Q50" s="7">
        <v>67839.444444444453</v>
      </c>
      <c r="R50" s="7"/>
      <c r="S50" s="7">
        <f t="shared" si="44"/>
        <v>67839.444444444453</v>
      </c>
      <c r="T50" s="7">
        <f t="shared" si="45"/>
        <v>69016.823232323237</v>
      </c>
      <c r="U50" s="8">
        <v>0</v>
      </c>
      <c r="V50" s="7"/>
      <c r="W50" s="7">
        <f t="shared" si="46"/>
        <v>0</v>
      </c>
      <c r="X50" s="7">
        <f t="shared" si="47"/>
        <v>70530.595959595972</v>
      </c>
      <c r="Y50" s="7">
        <f t="shared" si="48"/>
        <v>0</v>
      </c>
      <c r="Z50" s="7">
        <f t="shared" si="49"/>
        <v>0</v>
      </c>
      <c r="AA50" s="7">
        <f t="shared" si="50"/>
        <v>70530.595959595972</v>
      </c>
      <c r="AB50" s="7">
        <f t="shared" si="51"/>
        <v>79276.838383838403</v>
      </c>
      <c r="AC50" s="7">
        <f t="shared" si="52"/>
        <v>71079.23499471815</v>
      </c>
      <c r="AD50" s="7">
        <f t="shared" si="53"/>
        <v>0</v>
      </c>
      <c r="AE50" s="7">
        <f t="shared" si="54"/>
        <v>79276.838383838403</v>
      </c>
      <c r="AF50" s="34">
        <f t="shared" si="30"/>
        <v>83240.680303030327</v>
      </c>
      <c r="AG50" s="34">
        <f t="shared" si="31"/>
        <v>0</v>
      </c>
      <c r="AH50" s="34">
        <f t="shared" si="32"/>
        <v>83240.680303030327</v>
      </c>
      <c r="AI50" s="34">
        <v>80000</v>
      </c>
      <c r="AJ50" s="34"/>
      <c r="AK50" s="55">
        <f t="shared" si="0"/>
        <v>80000</v>
      </c>
      <c r="AL50" s="55">
        <f t="shared" si="1"/>
        <v>82285.714285714275</v>
      </c>
      <c r="AM50" s="55">
        <f t="shared" si="2"/>
        <v>0</v>
      </c>
      <c r="AN50" s="55">
        <f t="shared" si="3"/>
        <v>86780.952380952367</v>
      </c>
      <c r="AO50" s="55">
        <f t="shared" si="4"/>
        <v>0</v>
      </c>
      <c r="AP50" s="2"/>
      <c r="AQ50" s="76">
        <f t="shared" si="5"/>
        <v>99047.619047619024</v>
      </c>
      <c r="AR50" s="81">
        <f t="shared" si="6"/>
        <v>0</v>
      </c>
      <c r="AS50" s="76">
        <f t="shared" si="7"/>
        <v>99047.619047619024</v>
      </c>
      <c r="AT50" s="76">
        <f t="shared" si="8"/>
        <v>0</v>
      </c>
      <c r="AU50" s="85"/>
      <c r="AV50" s="85" t="s">
        <v>208</v>
      </c>
      <c r="AW50" s="85" t="s">
        <v>208</v>
      </c>
      <c r="AX50" s="85"/>
    </row>
    <row r="51" spans="1:50" x14ac:dyDescent="0.25">
      <c r="A51" s="2" t="s">
        <v>162</v>
      </c>
      <c r="B51" s="2" t="s">
        <v>139</v>
      </c>
      <c r="C51" s="2" t="s">
        <v>18</v>
      </c>
      <c r="D51" s="6" t="s">
        <v>49</v>
      </c>
      <c r="E51" s="7">
        <v>19982</v>
      </c>
      <c r="F51" s="7">
        <f t="shared" si="38"/>
        <v>20217.478114478115</v>
      </c>
      <c r="G51" s="7"/>
      <c r="H51" s="7">
        <f t="shared" si="39"/>
        <v>20217.478114478115</v>
      </c>
      <c r="I51" s="7">
        <f t="shared" si="40"/>
        <v>20352.03703703704</v>
      </c>
      <c r="J51" s="8"/>
      <c r="K51" s="8"/>
      <c r="L51" s="8"/>
      <c r="M51" s="8">
        <f t="shared" si="41"/>
        <v>0</v>
      </c>
      <c r="N51" s="7">
        <f t="shared" si="55"/>
        <v>19982</v>
      </c>
      <c r="O51" s="19">
        <f t="shared" si="42"/>
        <v>20217.478114478115</v>
      </c>
      <c r="P51" s="7">
        <f t="shared" si="43"/>
        <v>20352.03703703704</v>
      </c>
      <c r="Q51" s="7">
        <v>20352.03703703704</v>
      </c>
      <c r="R51" s="7"/>
      <c r="S51" s="7">
        <f t="shared" si="44"/>
        <v>20352.03703703704</v>
      </c>
      <c r="T51" s="7">
        <f t="shared" si="45"/>
        <v>20705.25420875421</v>
      </c>
      <c r="U51" s="8">
        <v>0</v>
      </c>
      <c r="V51" s="7"/>
      <c r="W51" s="7">
        <f t="shared" si="46"/>
        <v>0</v>
      </c>
      <c r="X51" s="7">
        <f t="shared" si="47"/>
        <v>21159.390572390574</v>
      </c>
      <c r="Y51" s="7">
        <f t="shared" si="48"/>
        <v>0</v>
      </c>
      <c r="Z51" s="7">
        <f t="shared" si="49"/>
        <v>0</v>
      </c>
      <c r="AA51" s="7">
        <f t="shared" si="50"/>
        <v>21159.390572390574</v>
      </c>
      <c r="AB51" s="7">
        <f t="shared" si="51"/>
        <v>23783.289562289563</v>
      </c>
      <c r="AC51" s="7">
        <f t="shared" si="52"/>
        <v>21323.983930343482</v>
      </c>
      <c r="AD51" s="7">
        <f t="shared" si="53"/>
        <v>0</v>
      </c>
      <c r="AE51" s="7">
        <f t="shared" si="54"/>
        <v>23783.289562289563</v>
      </c>
      <c r="AF51" s="34">
        <f t="shared" si="30"/>
        <v>24972.454040404042</v>
      </c>
      <c r="AG51" s="34">
        <f t="shared" si="31"/>
        <v>0</v>
      </c>
      <c r="AH51" s="34">
        <f t="shared" si="32"/>
        <v>24972.454040404042</v>
      </c>
      <c r="AI51" s="34">
        <v>25000</v>
      </c>
      <c r="AJ51" s="34"/>
      <c r="AK51" s="55">
        <f t="shared" si="0"/>
        <v>25000</v>
      </c>
      <c r="AL51" s="55">
        <f t="shared" si="1"/>
        <v>25714.28571428571</v>
      </c>
      <c r="AM51" s="55">
        <f t="shared" si="2"/>
        <v>0</v>
      </c>
      <c r="AN51" s="55">
        <f t="shared" si="3"/>
        <v>27119.047619047615</v>
      </c>
      <c r="AO51" s="55">
        <f t="shared" si="4"/>
        <v>0</v>
      </c>
      <c r="AP51" s="2"/>
      <c r="AQ51" s="76">
        <f t="shared" si="5"/>
        <v>30952.380952380943</v>
      </c>
      <c r="AR51" s="81">
        <f t="shared" si="6"/>
        <v>0</v>
      </c>
      <c r="AS51" s="76">
        <f t="shared" si="7"/>
        <v>30952.380952380943</v>
      </c>
      <c r="AT51" s="76">
        <f t="shared" si="8"/>
        <v>0</v>
      </c>
      <c r="AU51" s="85"/>
      <c r="AV51" s="85"/>
      <c r="AW51" s="85"/>
      <c r="AX51" s="85"/>
    </row>
    <row r="52" spans="1:50" x14ac:dyDescent="0.25">
      <c r="A52" s="2" t="s">
        <v>217</v>
      </c>
      <c r="B52" s="2" t="s">
        <v>140</v>
      </c>
      <c r="C52" s="2" t="s">
        <v>18</v>
      </c>
      <c r="D52" s="6" t="s">
        <v>49</v>
      </c>
      <c r="E52" s="7">
        <v>40034</v>
      </c>
      <c r="F52" s="7">
        <f>120.2/118.8*E52</f>
        <v>40505.781144781147</v>
      </c>
      <c r="G52" s="7"/>
      <c r="H52" s="7">
        <f>F52+G52</f>
        <v>40505.781144781147</v>
      </c>
      <c r="I52" s="7">
        <f>H52*121/120.2</f>
        <v>40775.370370370372</v>
      </c>
      <c r="J52" s="8"/>
      <c r="K52" s="8"/>
      <c r="L52" s="8"/>
      <c r="M52" s="8">
        <f>L52</f>
        <v>0</v>
      </c>
      <c r="N52" s="7">
        <f>+E52+K52</f>
        <v>40034</v>
      </c>
      <c r="O52" s="19">
        <f>F52+L52</f>
        <v>40505.781144781147</v>
      </c>
      <c r="P52" s="7">
        <f>I52+M52</f>
        <v>40775.370370370372</v>
      </c>
      <c r="Q52" s="7">
        <v>40775.370370370372</v>
      </c>
      <c r="R52" s="7"/>
      <c r="S52" s="7">
        <f>Q52+R52</f>
        <v>40775.370370370372</v>
      </c>
      <c r="T52" s="7">
        <f>(123.1/121)*S52</f>
        <v>41483.04208754209</v>
      </c>
      <c r="U52" s="8">
        <v>0</v>
      </c>
      <c r="V52" s="7"/>
      <c r="W52" s="7">
        <f>U52+V52</f>
        <v>0</v>
      </c>
      <c r="X52" s="7">
        <f>T52*(125.8/123.1)</f>
        <v>42392.905723905729</v>
      </c>
      <c r="Y52" s="7">
        <f>(116.6/115.7)*W52</f>
        <v>0</v>
      </c>
      <c r="Z52" s="7">
        <f>Y52*(118.3/116.6)</f>
        <v>0</v>
      </c>
      <c r="AA52" s="7">
        <f>X52+Z52</f>
        <v>42392.905723905729</v>
      </c>
      <c r="AB52" s="7">
        <f>X52*(141.4/125.8)</f>
        <v>47649.89562289563</v>
      </c>
      <c r="AC52" s="7">
        <f>(116.6/115.7)*AA52</f>
        <v>42722.669035500498</v>
      </c>
      <c r="AD52" s="7">
        <f>+Z52*(123.6/118.2)</f>
        <v>0</v>
      </c>
      <c r="AE52" s="7">
        <f>+AB52+AD52</f>
        <v>47649.89562289563</v>
      </c>
      <c r="AF52" s="34">
        <f t="shared" ref="AF52:AF54" si="59">1.05*AB52</f>
        <v>50032.390404040416</v>
      </c>
      <c r="AG52" s="34">
        <f t="shared" ref="AG52:AG54" si="60">1.016*AD52</f>
        <v>0</v>
      </c>
      <c r="AH52" s="34">
        <f t="shared" ref="AH52:AH54" si="61">AF52+AG52</f>
        <v>50032.390404040416</v>
      </c>
      <c r="AI52" s="34">
        <v>75000</v>
      </c>
      <c r="AJ52" s="34"/>
      <c r="AK52" s="55">
        <f t="shared" si="0"/>
        <v>75000</v>
      </c>
      <c r="AL52" s="55">
        <f t="shared" si="1"/>
        <v>77142.85714285713</v>
      </c>
      <c r="AM52" s="55">
        <f t="shared" si="2"/>
        <v>0</v>
      </c>
      <c r="AN52" s="55">
        <f t="shared" si="3"/>
        <v>81357.142857142841</v>
      </c>
      <c r="AO52" s="55">
        <f t="shared" si="4"/>
        <v>0</v>
      </c>
      <c r="AP52" s="2"/>
      <c r="AQ52" s="76">
        <f t="shared" si="5"/>
        <v>92857.142857142826</v>
      </c>
      <c r="AR52" s="81">
        <f t="shared" si="6"/>
        <v>0</v>
      </c>
      <c r="AS52" s="76">
        <f t="shared" si="7"/>
        <v>92857.142857142826</v>
      </c>
      <c r="AT52" s="76">
        <f t="shared" si="8"/>
        <v>0</v>
      </c>
      <c r="AU52" s="85"/>
      <c r="AV52" s="85" t="s">
        <v>208</v>
      </c>
      <c r="AW52" s="85" t="s">
        <v>208</v>
      </c>
      <c r="AX52" s="85" t="s">
        <v>208</v>
      </c>
    </row>
    <row r="53" spans="1:50" x14ac:dyDescent="0.25">
      <c r="A53" s="87" t="s">
        <v>90</v>
      </c>
      <c r="B53" s="87" t="s">
        <v>101</v>
      </c>
      <c r="C53" s="87" t="s">
        <v>18</v>
      </c>
      <c r="D53" s="91"/>
      <c r="E53" s="93"/>
      <c r="F53" s="21"/>
      <c r="G53" s="21"/>
      <c r="H53" s="21"/>
      <c r="I53" s="21"/>
      <c r="J53" s="92"/>
      <c r="K53" s="93"/>
      <c r="L53" s="93"/>
      <c r="M53" s="93"/>
      <c r="N53" s="22"/>
      <c r="O53" s="22"/>
      <c r="P53" s="12"/>
      <c r="Q53" s="21"/>
      <c r="R53" s="21"/>
      <c r="S53" s="21"/>
      <c r="T53" s="21"/>
      <c r="U53" s="93"/>
      <c r="V53" s="21"/>
      <c r="W53" s="21"/>
      <c r="X53" s="7"/>
      <c r="Y53" s="7"/>
      <c r="Z53" s="7"/>
      <c r="AA53" s="7"/>
      <c r="AB53" s="7">
        <v>190000</v>
      </c>
      <c r="AC53" s="7"/>
      <c r="AD53" s="7">
        <f>+Z53*(123.6/118.2)</f>
        <v>0</v>
      </c>
      <c r="AE53" s="7">
        <f>+AB53+AD53</f>
        <v>190000</v>
      </c>
      <c r="AF53" s="34">
        <f t="shared" si="59"/>
        <v>199500</v>
      </c>
      <c r="AG53" s="34">
        <f t="shared" si="60"/>
        <v>0</v>
      </c>
      <c r="AH53" s="34">
        <f t="shared" si="61"/>
        <v>199500</v>
      </c>
      <c r="AI53" s="34">
        <v>240000</v>
      </c>
      <c r="AJ53" s="34"/>
      <c r="AK53" s="55">
        <f t="shared" si="0"/>
        <v>240000</v>
      </c>
      <c r="AL53" s="55">
        <f t="shared" si="1"/>
        <v>246857.14285714284</v>
      </c>
      <c r="AM53" s="55">
        <f t="shared" si="2"/>
        <v>0</v>
      </c>
      <c r="AN53" s="55">
        <f t="shared" si="3"/>
        <v>260342.8571428571</v>
      </c>
      <c r="AO53" s="55">
        <f t="shared" si="4"/>
        <v>0</v>
      </c>
      <c r="AP53" s="2"/>
      <c r="AQ53" s="76">
        <f t="shared" si="5"/>
        <v>297142.85714285704</v>
      </c>
      <c r="AR53" s="81">
        <f t="shared" si="6"/>
        <v>0</v>
      </c>
      <c r="AS53" s="76">
        <f t="shared" si="7"/>
        <v>297142.85714285704</v>
      </c>
      <c r="AT53" s="76">
        <f t="shared" si="8"/>
        <v>0</v>
      </c>
      <c r="AU53" s="85"/>
      <c r="AV53" s="85" t="s">
        <v>208</v>
      </c>
      <c r="AW53" s="85" t="s">
        <v>208</v>
      </c>
      <c r="AX53" s="85"/>
    </row>
    <row r="54" spans="1:50" x14ac:dyDescent="0.25">
      <c r="A54" s="87" t="s">
        <v>90</v>
      </c>
      <c r="B54" s="87" t="s">
        <v>102</v>
      </c>
      <c r="C54" s="87" t="s">
        <v>18</v>
      </c>
      <c r="D54" s="91"/>
      <c r="E54" s="93"/>
      <c r="F54" s="21"/>
      <c r="G54" s="21"/>
      <c r="H54" s="21"/>
      <c r="I54" s="21"/>
      <c r="J54" s="92"/>
      <c r="K54" s="93"/>
      <c r="L54" s="93"/>
      <c r="M54" s="93"/>
      <c r="N54" s="22"/>
      <c r="O54" s="22"/>
      <c r="P54" s="12"/>
      <c r="Q54" s="21"/>
      <c r="R54" s="21"/>
      <c r="S54" s="21"/>
      <c r="T54" s="21"/>
      <c r="U54" s="93"/>
      <c r="V54" s="21"/>
      <c r="W54" s="21"/>
      <c r="X54" s="7"/>
      <c r="Y54" s="7"/>
      <c r="Z54" s="7"/>
      <c r="AA54" s="7"/>
      <c r="AB54" s="7">
        <v>167500</v>
      </c>
      <c r="AC54" s="7"/>
      <c r="AD54" s="7">
        <f>+Z54*(123.6/118.2)</f>
        <v>0</v>
      </c>
      <c r="AE54" s="7">
        <f>+AB54+AD54</f>
        <v>167500</v>
      </c>
      <c r="AF54" s="34">
        <f t="shared" si="59"/>
        <v>175875</v>
      </c>
      <c r="AG54" s="34">
        <f t="shared" si="60"/>
        <v>0</v>
      </c>
      <c r="AH54" s="34">
        <f t="shared" si="61"/>
        <v>175875</v>
      </c>
      <c r="AI54" s="34">
        <v>210000</v>
      </c>
      <c r="AJ54" s="34"/>
      <c r="AK54" s="55">
        <f t="shared" si="0"/>
        <v>210000</v>
      </c>
      <c r="AL54" s="55">
        <f t="shared" si="1"/>
        <v>215999.99999999997</v>
      </c>
      <c r="AM54" s="55">
        <f t="shared" si="2"/>
        <v>0</v>
      </c>
      <c r="AN54" s="55">
        <f t="shared" si="3"/>
        <v>227799.99999999997</v>
      </c>
      <c r="AO54" s="55">
        <f t="shared" si="4"/>
        <v>0</v>
      </c>
      <c r="AP54" s="2"/>
      <c r="AQ54" s="76">
        <f t="shared" si="5"/>
        <v>259999.99999999994</v>
      </c>
      <c r="AR54" s="81">
        <f t="shared" si="6"/>
        <v>0</v>
      </c>
      <c r="AS54" s="76">
        <f t="shared" si="7"/>
        <v>259999.99999999994</v>
      </c>
      <c r="AT54" s="76">
        <f t="shared" si="8"/>
        <v>0</v>
      </c>
      <c r="AU54" s="85"/>
      <c r="AV54" s="85" t="s">
        <v>208</v>
      </c>
      <c r="AW54" s="85" t="s">
        <v>208</v>
      </c>
      <c r="AX54" s="85"/>
    </row>
    <row r="55" spans="1:50" x14ac:dyDescent="0.25">
      <c r="A55" s="87" t="s">
        <v>189</v>
      </c>
      <c r="B55" s="87" t="s">
        <v>188</v>
      </c>
      <c r="C55" s="87" t="s">
        <v>18</v>
      </c>
      <c r="D55" s="91"/>
      <c r="E55" s="93"/>
      <c r="F55" s="21"/>
      <c r="G55" s="21"/>
      <c r="H55" s="21"/>
      <c r="I55" s="21"/>
      <c r="J55" s="92"/>
      <c r="K55" s="93"/>
      <c r="L55" s="93"/>
      <c r="M55" s="93"/>
      <c r="N55" s="22"/>
      <c r="O55" s="22"/>
      <c r="P55" s="12"/>
      <c r="Q55" s="21"/>
      <c r="R55" s="21"/>
      <c r="S55" s="21"/>
      <c r="T55" s="21"/>
      <c r="U55" s="93"/>
      <c r="V55" s="21"/>
      <c r="W55" s="21"/>
      <c r="X55" s="7"/>
      <c r="Y55" s="21"/>
      <c r="Z55" s="7"/>
      <c r="AA55" s="7"/>
      <c r="AB55" s="7"/>
      <c r="AC55" s="21"/>
      <c r="AD55" s="7"/>
      <c r="AE55" s="7"/>
      <c r="AF55" s="89"/>
      <c r="AG55" s="89"/>
      <c r="AH55" s="89"/>
      <c r="AI55" s="89"/>
      <c r="AJ55" s="89"/>
      <c r="AK55" s="90"/>
      <c r="AL55" s="55"/>
      <c r="AM55" s="55"/>
      <c r="AN55" s="55">
        <v>28500000</v>
      </c>
      <c r="AO55" s="55">
        <v>1816594</v>
      </c>
      <c r="AP55" s="2"/>
      <c r="AQ55" s="76">
        <f t="shared" si="5"/>
        <v>32528533.801580332</v>
      </c>
      <c r="AR55" s="81">
        <f t="shared" si="6"/>
        <v>2102724.1904761908</v>
      </c>
      <c r="AS55" s="76">
        <f t="shared" si="7"/>
        <v>32528533.801580332</v>
      </c>
      <c r="AT55" s="76">
        <f t="shared" si="8"/>
        <v>2109378.3809523811</v>
      </c>
      <c r="AU55" s="85" t="s">
        <v>212</v>
      </c>
      <c r="AV55" s="85" t="s">
        <v>207</v>
      </c>
      <c r="AW55" s="85" t="s">
        <v>208</v>
      </c>
      <c r="AX55" s="85" t="s">
        <v>208</v>
      </c>
    </row>
    <row r="56" spans="1:50" x14ac:dyDescent="0.25">
      <c r="A56" s="87" t="s">
        <v>184</v>
      </c>
      <c r="B56" s="87" t="s">
        <v>183</v>
      </c>
      <c r="C56" s="87" t="s">
        <v>18</v>
      </c>
      <c r="D56" s="91"/>
      <c r="E56" s="93"/>
      <c r="F56" s="21"/>
      <c r="G56" s="21"/>
      <c r="H56" s="21"/>
      <c r="I56" s="21"/>
      <c r="J56" s="92"/>
      <c r="K56" s="93"/>
      <c r="L56" s="93"/>
      <c r="M56" s="93"/>
      <c r="N56" s="22"/>
      <c r="O56" s="22"/>
      <c r="P56" s="12"/>
      <c r="Q56" s="21"/>
      <c r="R56" s="21"/>
      <c r="S56" s="21">
        <v>1</v>
      </c>
      <c r="T56" s="21"/>
      <c r="U56" s="93"/>
      <c r="V56" s="21"/>
      <c r="W56" s="21"/>
      <c r="X56" s="7"/>
      <c r="Y56" s="21"/>
      <c r="Z56" s="7"/>
      <c r="AA56" s="7"/>
      <c r="AB56" s="7"/>
      <c r="AC56" s="21"/>
      <c r="AD56" s="7"/>
      <c r="AE56" s="7"/>
      <c r="AF56" s="89"/>
      <c r="AG56" s="89"/>
      <c r="AH56" s="89"/>
      <c r="AI56" s="89"/>
      <c r="AJ56" s="89"/>
      <c r="AK56" s="90"/>
      <c r="AL56" s="55"/>
      <c r="AM56" s="55"/>
      <c r="AN56" s="55">
        <v>250000</v>
      </c>
      <c r="AO56" s="55"/>
      <c r="AP56" s="2"/>
      <c r="AQ56" s="76">
        <f>130/113.9*AN56+192000</f>
        <v>477338.01580333622</v>
      </c>
      <c r="AR56" s="81">
        <f t="shared" si="6"/>
        <v>0</v>
      </c>
      <c r="AS56" s="76">
        <f t="shared" si="7"/>
        <v>477338.01580333622</v>
      </c>
      <c r="AT56" s="76">
        <f t="shared" si="8"/>
        <v>0</v>
      </c>
      <c r="AU56" s="85" t="s">
        <v>215</v>
      </c>
      <c r="AV56" s="85" t="s">
        <v>208</v>
      </c>
      <c r="AW56" s="85" t="s">
        <v>208</v>
      </c>
      <c r="AX56" s="85"/>
    </row>
    <row r="57" spans="1:50" x14ac:dyDescent="0.25">
      <c r="A57" s="87" t="s">
        <v>216</v>
      </c>
      <c r="B57" s="87" t="s">
        <v>185</v>
      </c>
      <c r="C57" s="87" t="s">
        <v>18</v>
      </c>
      <c r="D57" s="91"/>
      <c r="E57" s="93"/>
      <c r="F57" s="21"/>
      <c r="G57" s="21"/>
      <c r="H57" s="21"/>
      <c r="I57" s="21"/>
      <c r="J57" s="92"/>
      <c r="K57" s="93"/>
      <c r="L57" s="93"/>
      <c r="M57" s="93"/>
      <c r="N57" s="22"/>
      <c r="O57" s="22"/>
      <c r="P57" s="12"/>
      <c r="Q57" s="21"/>
      <c r="R57" s="21"/>
      <c r="S57" s="21"/>
      <c r="T57" s="21"/>
      <c r="U57" s="93"/>
      <c r="V57" s="21"/>
      <c r="W57" s="21"/>
      <c r="X57" s="7"/>
      <c r="Y57" s="21"/>
      <c r="Z57" s="7"/>
      <c r="AA57" s="7"/>
      <c r="AB57" s="7"/>
      <c r="AC57" s="21"/>
      <c r="AD57" s="7"/>
      <c r="AE57" s="7"/>
      <c r="AF57" s="89"/>
      <c r="AG57" s="89"/>
      <c r="AH57" s="89"/>
      <c r="AI57" s="89"/>
      <c r="AJ57" s="89"/>
      <c r="AK57" s="90"/>
      <c r="AL57" s="55"/>
      <c r="AM57" s="55"/>
      <c r="AN57" s="55">
        <v>1223900</v>
      </c>
      <c r="AO57" s="55"/>
      <c r="AP57" s="2"/>
      <c r="AQ57" s="76">
        <f t="shared" si="5"/>
        <v>1396900.7901668129</v>
      </c>
      <c r="AR57" s="81">
        <f t="shared" si="6"/>
        <v>0</v>
      </c>
      <c r="AS57" s="76">
        <f t="shared" si="7"/>
        <v>1396900.7901668129</v>
      </c>
      <c r="AT57" s="76">
        <f t="shared" si="8"/>
        <v>0</v>
      </c>
      <c r="AU57" s="85"/>
      <c r="AV57" s="85" t="s">
        <v>208</v>
      </c>
      <c r="AW57" s="85" t="s">
        <v>208</v>
      </c>
      <c r="AX57" s="85" t="s">
        <v>208</v>
      </c>
    </row>
    <row r="58" spans="1:50" x14ac:dyDescent="0.25">
      <c r="A58" s="87" t="s">
        <v>195</v>
      </c>
      <c r="B58" s="87" t="s">
        <v>186</v>
      </c>
      <c r="C58" s="87" t="s">
        <v>18</v>
      </c>
      <c r="D58" s="91"/>
      <c r="E58" s="93"/>
      <c r="F58" s="21"/>
      <c r="G58" s="21"/>
      <c r="H58" s="21"/>
      <c r="I58" s="21"/>
      <c r="J58" s="92"/>
      <c r="K58" s="93"/>
      <c r="L58" s="93"/>
      <c r="M58" s="93"/>
      <c r="N58" s="22"/>
      <c r="O58" s="22"/>
      <c r="P58" s="12"/>
      <c r="Q58" s="21"/>
      <c r="R58" s="21"/>
      <c r="S58" s="21"/>
      <c r="T58" s="21"/>
      <c r="U58" s="93"/>
      <c r="V58" s="21"/>
      <c r="W58" s="21"/>
      <c r="X58" s="7"/>
      <c r="Y58" s="21"/>
      <c r="Z58" s="7"/>
      <c r="AA58" s="7"/>
      <c r="AB58" s="7"/>
      <c r="AC58" s="21"/>
      <c r="AD58" s="7"/>
      <c r="AE58" s="7"/>
      <c r="AF58" s="89"/>
      <c r="AG58" s="89"/>
      <c r="AH58" s="89"/>
      <c r="AI58" s="89"/>
      <c r="AJ58" s="89"/>
      <c r="AK58" s="90"/>
      <c r="AL58" s="55"/>
      <c r="AM58" s="55"/>
      <c r="AN58" s="55">
        <v>250000</v>
      </c>
      <c r="AO58" s="55"/>
      <c r="AP58" s="2"/>
      <c r="AQ58" s="76">
        <f t="shared" si="5"/>
        <v>285338.01580333622</v>
      </c>
      <c r="AR58" s="81">
        <f t="shared" si="6"/>
        <v>0</v>
      </c>
      <c r="AS58" s="76">
        <f t="shared" si="7"/>
        <v>285338.01580333622</v>
      </c>
      <c r="AT58" s="76">
        <f t="shared" si="8"/>
        <v>0</v>
      </c>
      <c r="AU58" s="85"/>
      <c r="AV58" s="85" t="s">
        <v>208</v>
      </c>
      <c r="AW58" s="85" t="s">
        <v>208</v>
      </c>
      <c r="AX58" s="85"/>
    </row>
    <row r="59" spans="1:50" x14ac:dyDescent="0.25">
      <c r="A59" s="87" t="s">
        <v>147</v>
      </c>
      <c r="B59" s="87" t="s">
        <v>91</v>
      </c>
      <c r="C59" s="87" t="s">
        <v>27</v>
      </c>
      <c r="D59" s="91" t="s">
        <v>49</v>
      </c>
      <c r="E59" s="21">
        <v>768997</v>
      </c>
      <c r="F59" s="21">
        <f t="shared" ref="F59:F65" si="62">120.2/118.8*E59</f>
        <v>778059.25420875428</v>
      </c>
      <c r="G59" s="21"/>
      <c r="H59" s="21">
        <f t="shared" ref="H59:H65" si="63">F59+G59</f>
        <v>778059.25420875428</v>
      </c>
      <c r="I59" s="21">
        <f t="shared" ref="I59:I65" si="64">H59*121/120.2</f>
        <v>783237.68518518528</v>
      </c>
      <c r="J59" s="92"/>
      <c r="K59" s="93"/>
      <c r="L59" s="93"/>
      <c r="M59" s="93">
        <f t="shared" ref="M59:M65" si="65">L59</f>
        <v>0</v>
      </c>
      <c r="N59" s="22">
        <f t="shared" ref="N59:N65" si="66">+E59+K59</f>
        <v>768997</v>
      </c>
      <c r="O59" s="22">
        <f t="shared" ref="O59:O65" si="67">F59+L59</f>
        <v>778059.25420875428</v>
      </c>
      <c r="P59" s="12">
        <f t="shared" ref="P59:P65" si="68">I59+M59</f>
        <v>783237.68518518528</v>
      </c>
      <c r="Q59" s="21">
        <v>783237.68518518528</v>
      </c>
      <c r="R59" s="21"/>
      <c r="S59" s="21">
        <f t="shared" ref="S59:S65" si="69">Q59+R59</f>
        <v>783237.68518518528</v>
      </c>
      <c r="T59" s="21">
        <f t="shared" ref="T59:T65" si="70">(123.1/121)*S59</f>
        <v>796831.06649831659</v>
      </c>
      <c r="U59" s="93">
        <v>0</v>
      </c>
      <c r="V59" s="21"/>
      <c r="W59" s="21">
        <f t="shared" ref="W59:W65" si="71">U59+V59</f>
        <v>0</v>
      </c>
      <c r="X59" s="7">
        <f t="shared" ref="X59:X81" si="72">T59*(125.8/123.1)</f>
        <v>814308.27104377118</v>
      </c>
      <c r="Y59" s="7">
        <f t="shared" ref="Y59:Y71" si="73">(116.6/115.7)*W59</f>
        <v>0</v>
      </c>
      <c r="Z59" s="7">
        <f t="shared" ref="Z59:Z86" si="74">Y59*(118.3/116.6)</f>
        <v>0</v>
      </c>
      <c r="AA59" s="7">
        <f t="shared" ref="AA59:AA85" si="75">X59+Z59</f>
        <v>814308.27104377118</v>
      </c>
      <c r="AB59" s="7">
        <f>X59*(141.4/125.8)+40000</f>
        <v>955287.67508417531</v>
      </c>
      <c r="AC59" s="7">
        <f t="shared" ref="AC59:AC71" si="76">(116.6/115.7)*AA59</f>
        <v>820642.56182976416</v>
      </c>
      <c r="AD59" s="7">
        <f t="shared" ref="AD59:AD69" si="77">+Z59*(123.6/118.2)</f>
        <v>0</v>
      </c>
      <c r="AE59" s="7">
        <f t="shared" ref="AE59:AE86" si="78">+AB59+AD59</f>
        <v>955287.67508417531</v>
      </c>
      <c r="AF59" s="34">
        <f t="shared" si="30"/>
        <v>1003052.0588383841</v>
      </c>
      <c r="AG59" s="34">
        <f t="shared" si="31"/>
        <v>0</v>
      </c>
      <c r="AH59" s="34">
        <f t="shared" si="32"/>
        <v>1003052.0588383841</v>
      </c>
      <c r="AI59" s="34">
        <v>1050000</v>
      </c>
      <c r="AJ59" s="34"/>
      <c r="AK59" s="55">
        <v>1050000</v>
      </c>
      <c r="AL59" s="55">
        <f t="shared" si="1"/>
        <v>1080000</v>
      </c>
      <c r="AM59" s="55">
        <f t="shared" si="2"/>
        <v>0</v>
      </c>
      <c r="AN59" s="55">
        <f t="shared" si="3"/>
        <v>1139000</v>
      </c>
      <c r="AO59" s="55">
        <f t="shared" si="4"/>
        <v>0</v>
      </c>
      <c r="AP59" s="2"/>
      <c r="AQ59" s="76">
        <f t="shared" si="5"/>
        <v>1299999.9999999998</v>
      </c>
      <c r="AR59" s="81">
        <f t="shared" si="6"/>
        <v>0</v>
      </c>
      <c r="AS59" s="76">
        <f t="shared" si="7"/>
        <v>1299999.9999999998</v>
      </c>
      <c r="AT59" s="76">
        <f t="shared" si="8"/>
        <v>0</v>
      </c>
      <c r="AU59" s="85"/>
      <c r="AV59" s="85" t="s">
        <v>207</v>
      </c>
      <c r="AW59" s="85" t="s">
        <v>208</v>
      </c>
      <c r="AX59" s="85" t="s">
        <v>207</v>
      </c>
    </row>
    <row r="60" spans="1:50" x14ac:dyDescent="0.25">
      <c r="A60" s="87" t="s">
        <v>103</v>
      </c>
      <c r="B60" s="87" t="s">
        <v>92</v>
      </c>
      <c r="C60" s="87" t="s">
        <v>27</v>
      </c>
      <c r="D60" s="91" t="s">
        <v>49</v>
      </c>
      <c r="E60" s="21">
        <v>230094</v>
      </c>
      <c r="F60" s="21">
        <f t="shared" si="62"/>
        <v>232805.54545454547</v>
      </c>
      <c r="G60" s="21"/>
      <c r="H60" s="21">
        <f t="shared" si="63"/>
        <v>232805.54545454547</v>
      </c>
      <c r="I60" s="21">
        <f t="shared" si="64"/>
        <v>234355.00000000003</v>
      </c>
      <c r="J60" s="92"/>
      <c r="K60" s="93"/>
      <c r="L60" s="93"/>
      <c r="M60" s="93">
        <f t="shared" si="65"/>
        <v>0</v>
      </c>
      <c r="N60" s="22">
        <f t="shared" si="66"/>
        <v>230094</v>
      </c>
      <c r="O60" s="22">
        <f t="shared" si="67"/>
        <v>232805.54545454547</v>
      </c>
      <c r="P60" s="12">
        <f t="shared" si="68"/>
        <v>234355.00000000003</v>
      </c>
      <c r="Q60" s="21">
        <v>234355.00000000003</v>
      </c>
      <c r="R60" s="21"/>
      <c r="S60" s="21">
        <f t="shared" si="69"/>
        <v>234355.00000000003</v>
      </c>
      <c r="T60" s="21">
        <f t="shared" si="70"/>
        <v>238422.31818181821</v>
      </c>
      <c r="U60" s="93">
        <v>0</v>
      </c>
      <c r="V60" s="21"/>
      <c r="W60" s="21">
        <f t="shared" si="71"/>
        <v>0</v>
      </c>
      <c r="X60" s="7">
        <f t="shared" si="72"/>
        <v>243651.72727272732</v>
      </c>
      <c r="Y60" s="7">
        <f t="shared" si="73"/>
        <v>0</v>
      </c>
      <c r="Z60" s="7">
        <f t="shared" si="74"/>
        <v>0</v>
      </c>
      <c r="AA60" s="7">
        <f t="shared" si="75"/>
        <v>243651.72727272732</v>
      </c>
      <c r="AB60" s="7">
        <f t="shared" ref="AB60:AB69" si="79">X60*(141.4/125.8)</f>
        <v>273866.090909091</v>
      </c>
      <c r="AC60" s="7">
        <f t="shared" si="76"/>
        <v>245547.03025064827</v>
      </c>
      <c r="AD60" s="7">
        <f t="shared" si="77"/>
        <v>0</v>
      </c>
      <c r="AE60" s="7">
        <f t="shared" si="78"/>
        <v>273866.090909091</v>
      </c>
      <c r="AF60" s="34">
        <f t="shared" si="30"/>
        <v>287559.39545454556</v>
      </c>
      <c r="AG60" s="34">
        <f t="shared" si="31"/>
        <v>0</v>
      </c>
      <c r="AH60" s="34">
        <f t="shared" si="32"/>
        <v>287559.39545454556</v>
      </c>
      <c r="AI60" s="34">
        <v>300000</v>
      </c>
      <c r="AJ60" s="34"/>
      <c r="AK60" s="55">
        <v>300000</v>
      </c>
      <c r="AL60" s="55">
        <f t="shared" si="1"/>
        <v>308571.42857142852</v>
      </c>
      <c r="AM60" s="55">
        <f t="shared" si="2"/>
        <v>0</v>
      </c>
      <c r="AN60" s="55">
        <f t="shared" si="3"/>
        <v>325428.57142857136</v>
      </c>
      <c r="AO60" s="55">
        <f t="shared" si="4"/>
        <v>0</v>
      </c>
      <c r="AP60" s="2"/>
      <c r="AQ60" s="76">
        <f t="shared" si="5"/>
        <v>371428.5714285713</v>
      </c>
      <c r="AR60" s="81">
        <f t="shared" si="6"/>
        <v>0</v>
      </c>
      <c r="AS60" s="76">
        <f t="shared" si="7"/>
        <v>371428.5714285713</v>
      </c>
      <c r="AT60" s="76">
        <f t="shared" si="8"/>
        <v>0</v>
      </c>
      <c r="AU60" s="85"/>
      <c r="AV60" s="85" t="s">
        <v>208</v>
      </c>
      <c r="AW60" s="85" t="s">
        <v>208</v>
      </c>
      <c r="AX60" s="85" t="s">
        <v>208</v>
      </c>
    </row>
    <row r="61" spans="1:50" x14ac:dyDescent="0.25">
      <c r="A61" s="87" t="s">
        <v>148</v>
      </c>
      <c r="B61" s="87" t="s">
        <v>163</v>
      </c>
      <c r="C61" s="87" t="s">
        <v>27</v>
      </c>
      <c r="D61" s="91" t="s">
        <v>49</v>
      </c>
      <c r="E61" s="21">
        <v>42386</v>
      </c>
      <c r="F61" s="21">
        <f t="shared" si="62"/>
        <v>42885.49831649832</v>
      </c>
      <c r="G61" s="21"/>
      <c r="H61" s="21">
        <f t="shared" si="63"/>
        <v>42885.49831649832</v>
      </c>
      <c r="I61" s="21">
        <f t="shared" si="64"/>
        <v>43170.925925925927</v>
      </c>
      <c r="J61" s="92"/>
      <c r="K61" s="93"/>
      <c r="L61" s="93"/>
      <c r="M61" s="93">
        <f t="shared" si="65"/>
        <v>0</v>
      </c>
      <c r="N61" s="22">
        <f t="shared" si="66"/>
        <v>42386</v>
      </c>
      <c r="O61" s="22">
        <f t="shared" si="67"/>
        <v>42885.49831649832</v>
      </c>
      <c r="P61" s="12">
        <f t="shared" si="68"/>
        <v>43170.925925925927</v>
      </c>
      <c r="Q61" s="21">
        <v>43170.925925925927</v>
      </c>
      <c r="R61" s="21"/>
      <c r="S61" s="21">
        <f t="shared" si="69"/>
        <v>43170.925925925927</v>
      </c>
      <c r="T61" s="21">
        <f t="shared" si="70"/>
        <v>43920.173400673397</v>
      </c>
      <c r="U61" s="93">
        <v>0</v>
      </c>
      <c r="V61" s="21"/>
      <c r="W61" s="21">
        <f t="shared" si="71"/>
        <v>0</v>
      </c>
      <c r="X61" s="7">
        <f t="shared" si="72"/>
        <v>44883.491582491581</v>
      </c>
      <c r="Y61" s="7">
        <f t="shared" si="73"/>
        <v>0</v>
      </c>
      <c r="Z61" s="7">
        <f t="shared" si="74"/>
        <v>0</v>
      </c>
      <c r="AA61" s="7">
        <f t="shared" si="75"/>
        <v>44883.491582491581</v>
      </c>
      <c r="AB61" s="7">
        <f t="shared" si="79"/>
        <v>50449.329966329969</v>
      </c>
      <c r="AC61" s="7">
        <f t="shared" si="76"/>
        <v>45232.628509235248</v>
      </c>
      <c r="AD61" s="7">
        <f t="shared" si="77"/>
        <v>0</v>
      </c>
      <c r="AE61" s="7">
        <f t="shared" si="78"/>
        <v>50449.329966329969</v>
      </c>
      <c r="AF61" s="34">
        <f t="shared" si="30"/>
        <v>52971.796464646468</v>
      </c>
      <c r="AG61" s="34">
        <f t="shared" si="31"/>
        <v>0</v>
      </c>
      <c r="AH61" s="34">
        <f t="shared" si="32"/>
        <v>52971.796464646468</v>
      </c>
      <c r="AI61" s="34">
        <v>50000</v>
      </c>
      <c r="AJ61" s="34"/>
      <c r="AK61" s="55">
        <f t="shared" ref="AK61:AK69" si="80">+AI61+AJ61</f>
        <v>50000</v>
      </c>
      <c r="AL61" s="55">
        <f t="shared" si="1"/>
        <v>51428.57142857142</v>
      </c>
      <c r="AM61" s="55">
        <f t="shared" si="2"/>
        <v>0</v>
      </c>
      <c r="AN61" s="55">
        <f t="shared" si="3"/>
        <v>54238.095238095229</v>
      </c>
      <c r="AO61" s="55">
        <f t="shared" si="4"/>
        <v>0</v>
      </c>
      <c r="AP61" s="2"/>
      <c r="AQ61" s="76">
        <f t="shared" si="5"/>
        <v>61904.761904761886</v>
      </c>
      <c r="AR61" s="81">
        <f t="shared" si="6"/>
        <v>0</v>
      </c>
      <c r="AS61" s="76">
        <f t="shared" si="7"/>
        <v>61904.761904761886</v>
      </c>
      <c r="AT61" s="76">
        <f t="shared" si="8"/>
        <v>0</v>
      </c>
      <c r="AU61" s="86"/>
      <c r="AV61" s="86" t="s">
        <v>208</v>
      </c>
      <c r="AW61" s="86" t="s">
        <v>208</v>
      </c>
      <c r="AX61" s="86"/>
    </row>
    <row r="62" spans="1:50" x14ac:dyDescent="0.25">
      <c r="A62" s="87" t="s">
        <v>3</v>
      </c>
      <c r="B62" s="87" t="s">
        <v>149</v>
      </c>
      <c r="C62" s="87" t="s">
        <v>27</v>
      </c>
      <c r="D62" s="91" t="s">
        <v>49</v>
      </c>
      <c r="E62" s="21">
        <v>52074</v>
      </c>
      <c r="F62" s="21">
        <f t="shared" si="62"/>
        <v>52687.666666666672</v>
      </c>
      <c r="G62" s="21"/>
      <c r="H62" s="21">
        <f t="shared" si="63"/>
        <v>52687.666666666672</v>
      </c>
      <c r="I62" s="21">
        <f t="shared" si="64"/>
        <v>53038.333333333336</v>
      </c>
      <c r="J62" s="92"/>
      <c r="K62" s="93"/>
      <c r="L62" s="93"/>
      <c r="M62" s="93">
        <f t="shared" si="65"/>
        <v>0</v>
      </c>
      <c r="N62" s="22">
        <f t="shared" si="66"/>
        <v>52074</v>
      </c>
      <c r="O62" s="22">
        <f t="shared" si="67"/>
        <v>52687.666666666672</v>
      </c>
      <c r="P62" s="12">
        <f t="shared" si="68"/>
        <v>53038.333333333336</v>
      </c>
      <c r="Q62" s="21">
        <v>53038.333333333336</v>
      </c>
      <c r="R62" s="21"/>
      <c r="S62" s="21">
        <f t="shared" si="69"/>
        <v>53038.333333333336</v>
      </c>
      <c r="T62" s="21">
        <f t="shared" si="70"/>
        <v>53958.833333333328</v>
      </c>
      <c r="U62" s="93">
        <v>0</v>
      </c>
      <c r="V62" s="21"/>
      <c r="W62" s="21">
        <f t="shared" si="71"/>
        <v>0</v>
      </c>
      <c r="X62" s="7">
        <f t="shared" si="72"/>
        <v>55142.333333333336</v>
      </c>
      <c r="Y62" s="7">
        <f t="shared" si="73"/>
        <v>0</v>
      </c>
      <c r="Z62" s="7">
        <f t="shared" si="74"/>
        <v>0</v>
      </c>
      <c r="AA62" s="7">
        <f t="shared" si="75"/>
        <v>55142.333333333336</v>
      </c>
      <c r="AB62" s="7">
        <f t="shared" si="79"/>
        <v>61980.333333333336</v>
      </c>
      <c r="AC62" s="7">
        <f t="shared" si="76"/>
        <v>55571.271103428408</v>
      </c>
      <c r="AD62" s="7">
        <f t="shared" si="77"/>
        <v>0</v>
      </c>
      <c r="AE62" s="7">
        <f t="shared" si="78"/>
        <v>61980.333333333336</v>
      </c>
      <c r="AF62" s="34">
        <f t="shared" si="30"/>
        <v>65079.350000000006</v>
      </c>
      <c r="AG62" s="34">
        <f t="shared" si="31"/>
        <v>0</v>
      </c>
      <c r="AH62" s="34">
        <f t="shared" si="32"/>
        <v>65079.350000000006</v>
      </c>
      <c r="AI62" s="34">
        <v>110000</v>
      </c>
      <c r="AJ62" s="34"/>
      <c r="AK62" s="55">
        <f t="shared" si="80"/>
        <v>110000</v>
      </c>
      <c r="AL62" s="55">
        <f t="shared" si="1"/>
        <v>113142.85714285713</v>
      </c>
      <c r="AM62" s="55">
        <f t="shared" si="2"/>
        <v>0</v>
      </c>
      <c r="AN62" s="55">
        <f t="shared" si="3"/>
        <v>119323.80952380951</v>
      </c>
      <c r="AO62" s="55">
        <f t="shared" si="4"/>
        <v>0</v>
      </c>
      <c r="AP62" s="2"/>
      <c r="AQ62" s="76">
        <f t="shared" si="5"/>
        <v>136190.47619047615</v>
      </c>
      <c r="AR62" s="81">
        <f t="shared" si="6"/>
        <v>0</v>
      </c>
      <c r="AS62" s="76">
        <f t="shared" si="7"/>
        <v>136190.47619047615</v>
      </c>
      <c r="AT62" s="76">
        <f t="shared" si="8"/>
        <v>0</v>
      </c>
      <c r="AU62" s="85"/>
      <c r="AV62" s="85" t="s">
        <v>208</v>
      </c>
      <c r="AW62" s="85" t="s">
        <v>208</v>
      </c>
      <c r="AX62" s="85" t="s">
        <v>208</v>
      </c>
    </row>
    <row r="63" spans="1:50" x14ac:dyDescent="0.25">
      <c r="A63" s="87" t="s">
        <v>5</v>
      </c>
      <c r="B63" s="87" t="s">
        <v>43</v>
      </c>
      <c r="C63" s="87" t="s">
        <v>27</v>
      </c>
      <c r="D63" s="91" t="s">
        <v>49</v>
      </c>
      <c r="E63" s="21">
        <v>1211019</v>
      </c>
      <c r="F63" s="21">
        <f t="shared" si="62"/>
        <v>1225290.2676767679</v>
      </c>
      <c r="G63" s="21"/>
      <c r="H63" s="21">
        <f t="shared" si="63"/>
        <v>1225290.2676767679</v>
      </c>
      <c r="I63" s="21">
        <f t="shared" si="64"/>
        <v>1233445.277777778</v>
      </c>
      <c r="J63" s="92"/>
      <c r="K63" s="93"/>
      <c r="L63" s="93"/>
      <c r="M63" s="93">
        <f t="shared" si="65"/>
        <v>0</v>
      </c>
      <c r="N63" s="22">
        <f t="shared" si="66"/>
        <v>1211019</v>
      </c>
      <c r="O63" s="22">
        <f t="shared" si="67"/>
        <v>1225290.2676767679</v>
      </c>
      <c r="P63" s="12">
        <f t="shared" si="68"/>
        <v>1233445.277777778</v>
      </c>
      <c r="Q63" s="21">
        <v>1233445.277777778</v>
      </c>
      <c r="R63" s="21"/>
      <c r="S63" s="21">
        <f t="shared" si="69"/>
        <v>1233445.277777778</v>
      </c>
      <c r="T63" s="21">
        <f t="shared" si="70"/>
        <v>1254852.1792929294</v>
      </c>
      <c r="U63" s="93">
        <v>0</v>
      </c>
      <c r="V63" s="21"/>
      <c r="W63" s="21">
        <f t="shared" si="71"/>
        <v>0</v>
      </c>
      <c r="X63" s="7">
        <f t="shared" si="72"/>
        <v>1282375.3383838385</v>
      </c>
      <c r="Y63" s="7">
        <f t="shared" si="73"/>
        <v>0</v>
      </c>
      <c r="Z63" s="7">
        <f t="shared" si="74"/>
        <v>0</v>
      </c>
      <c r="AA63" s="7">
        <f t="shared" si="75"/>
        <v>1282375.3383838385</v>
      </c>
      <c r="AB63" s="7">
        <f t="shared" si="79"/>
        <v>1441398.0353535356</v>
      </c>
      <c r="AC63" s="7">
        <f t="shared" si="76"/>
        <v>1292350.6003073084</v>
      </c>
      <c r="AD63" s="7">
        <f t="shared" si="77"/>
        <v>0</v>
      </c>
      <c r="AE63" s="7">
        <f t="shared" si="78"/>
        <v>1441398.0353535356</v>
      </c>
      <c r="AF63" s="34">
        <f t="shared" si="30"/>
        <v>1513467.9371212125</v>
      </c>
      <c r="AG63" s="34">
        <f t="shared" si="31"/>
        <v>0</v>
      </c>
      <c r="AH63" s="34">
        <f t="shared" si="32"/>
        <v>1513467.9371212125</v>
      </c>
      <c r="AI63" s="34">
        <v>1500000</v>
      </c>
      <c r="AJ63" s="34"/>
      <c r="AK63" s="55">
        <f t="shared" si="80"/>
        <v>1500000</v>
      </c>
      <c r="AL63" s="55">
        <f t="shared" si="1"/>
        <v>1542857.1428571427</v>
      </c>
      <c r="AM63" s="55">
        <f t="shared" si="2"/>
        <v>0</v>
      </c>
      <c r="AN63" s="55">
        <f t="shared" si="3"/>
        <v>1627142.857142857</v>
      </c>
      <c r="AO63" s="55">
        <f t="shared" si="4"/>
        <v>0</v>
      </c>
      <c r="AP63" s="2"/>
      <c r="AQ63" s="76">
        <f t="shared" si="5"/>
        <v>1857142.8571428568</v>
      </c>
      <c r="AR63" s="81">
        <f t="shared" si="6"/>
        <v>0</v>
      </c>
      <c r="AS63" s="76">
        <f t="shared" si="7"/>
        <v>1857142.8571428568</v>
      </c>
      <c r="AT63" s="76">
        <f t="shared" si="8"/>
        <v>0</v>
      </c>
      <c r="AU63" s="85"/>
      <c r="AV63" s="85" t="s">
        <v>208</v>
      </c>
      <c r="AW63" s="85" t="s">
        <v>208</v>
      </c>
      <c r="AX63" s="85" t="s">
        <v>208</v>
      </c>
    </row>
    <row r="64" spans="1:50" x14ac:dyDescent="0.25">
      <c r="A64" s="87" t="s">
        <v>164</v>
      </c>
      <c r="B64" s="87" t="s">
        <v>24</v>
      </c>
      <c r="C64" s="87" t="s">
        <v>27</v>
      </c>
      <c r="D64" s="91" t="s">
        <v>49</v>
      </c>
      <c r="E64" s="21">
        <v>95080</v>
      </c>
      <c r="F64" s="21">
        <f t="shared" si="62"/>
        <v>96200.471380471397</v>
      </c>
      <c r="G64" s="21"/>
      <c r="H64" s="21">
        <f t="shared" si="63"/>
        <v>96200.471380471397</v>
      </c>
      <c r="I64" s="21">
        <f t="shared" si="64"/>
        <v>96840.740740740759</v>
      </c>
      <c r="J64" s="92" t="s">
        <v>50</v>
      </c>
      <c r="K64" s="93">
        <v>27830</v>
      </c>
      <c r="L64" s="93">
        <f xml:space="preserve"> 115.7/114.7*K64</f>
        <v>28072.632955536181</v>
      </c>
      <c r="M64" s="93">
        <f t="shared" si="65"/>
        <v>28072.632955536181</v>
      </c>
      <c r="N64" s="22">
        <f t="shared" si="66"/>
        <v>122910</v>
      </c>
      <c r="O64" s="22">
        <f t="shared" si="67"/>
        <v>124273.10433600759</v>
      </c>
      <c r="P64" s="12">
        <f t="shared" si="68"/>
        <v>124913.37369627695</v>
      </c>
      <c r="Q64" s="21">
        <v>96840.740740740759</v>
      </c>
      <c r="R64" s="21"/>
      <c r="S64" s="21">
        <f t="shared" si="69"/>
        <v>96840.740740740759</v>
      </c>
      <c r="T64" s="21">
        <f t="shared" si="70"/>
        <v>98521.447811447826</v>
      </c>
      <c r="U64" s="93">
        <v>28072.632955536181</v>
      </c>
      <c r="V64" s="21"/>
      <c r="W64" s="21">
        <f t="shared" si="71"/>
        <v>28072.632955536181</v>
      </c>
      <c r="X64" s="7">
        <f t="shared" si="72"/>
        <v>100682.35690235693</v>
      </c>
      <c r="Y64" s="7">
        <f t="shared" si="73"/>
        <v>28291.002615518744</v>
      </c>
      <c r="Z64" s="7">
        <f t="shared" si="74"/>
        <v>28703.478639930254</v>
      </c>
      <c r="AA64" s="7">
        <f t="shared" si="75"/>
        <v>129385.83554228718</v>
      </c>
      <c r="AB64" s="7">
        <f t="shared" si="79"/>
        <v>113167.60942760947</v>
      </c>
      <c r="AC64" s="7">
        <f t="shared" si="76"/>
        <v>130392.29407286677</v>
      </c>
      <c r="AD64" s="7">
        <f t="shared" si="77"/>
        <v>30014.805075257016</v>
      </c>
      <c r="AE64" s="7">
        <f t="shared" si="78"/>
        <v>143182.41450286648</v>
      </c>
      <c r="AF64" s="34">
        <f t="shared" si="30"/>
        <v>118825.98989898994</v>
      </c>
      <c r="AG64" s="34">
        <f t="shared" si="31"/>
        <v>30495.041956461129</v>
      </c>
      <c r="AH64" s="34">
        <f t="shared" si="32"/>
        <v>149321.03185545106</v>
      </c>
      <c r="AI64" s="34">
        <v>275000</v>
      </c>
      <c r="AJ64" s="34"/>
      <c r="AK64" s="55">
        <f t="shared" si="80"/>
        <v>275000</v>
      </c>
      <c r="AL64" s="55">
        <f t="shared" si="1"/>
        <v>282857.14285714284</v>
      </c>
      <c r="AM64" s="55">
        <f t="shared" si="2"/>
        <v>0</v>
      </c>
      <c r="AN64" s="55">
        <f t="shared" si="3"/>
        <v>298309.52380952379</v>
      </c>
      <c r="AO64" s="55">
        <f t="shared" si="4"/>
        <v>0</v>
      </c>
      <c r="AP64" s="2"/>
      <c r="AQ64" s="76">
        <f t="shared" si="5"/>
        <v>340476.19047619042</v>
      </c>
      <c r="AR64" s="81">
        <f t="shared" si="6"/>
        <v>0</v>
      </c>
      <c r="AS64" s="76">
        <f t="shared" si="7"/>
        <v>340476.19047619042</v>
      </c>
      <c r="AT64" s="76">
        <f t="shared" si="8"/>
        <v>0</v>
      </c>
      <c r="AU64" s="85"/>
      <c r="AV64" s="85" t="s">
        <v>208</v>
      </c>
      <c r="AW64" s="85" t="s">
        <v>208</v>
      </c>
      <c r="AX64" s="85"/>
    </row>
    <row r="65" spans="1:50" x14ac:dyDescent="0.25">
      <c r="A65" s="87" t="s">
        <v>196</v>
      </c>
      <c r="B65" s="87" t="s">
        <v>26</v>
      </c>
      <c r="C65" s="87" t="s">
        <v>27</v>
      </c>
      <c r="D65" s="91" t="s">
        <v>49</v>
      </c>
      <c r="E65" s="21">
        <v>587344</v>
      </c>
      <c r="F65" s="21">
        <f t="shared" si="62"/>
        <v>594265.56228956231</v>
      </c>
      <c r="G65" s="21"/>
      <c r="H65" s="21">
        <f t="shared" si="63"/>
        <v>594265.56228956231</v>
      </c>
      <c r="I65" s="21">
        <f t="shared" si="64"/>
        <v>598220.74074074079</v>
      </c>
      <c r="J65" s="92"/>
      <c r="K65" s="93"/>
      <c r="L65" s="93"/>
      <c r="M65" s="93">
        <f t="shared" si="65"/>
        <v>0</v>
      </c>
      <c r="N65" s="22">
        <f t="shared" si="66"/>
        <v>587344</v>
      </c>
      <c r="O65" s="22">
        <f t="shared" si="67"/>
        <v>594265.56228956231</v>
      </c>
      <c r="P65" s="12">
        <f t="shared" si="68"/>
        <v>598220.74074074079</v>
      </c>
      <c r="Q65" s="21">
        <v>598220.74074074079</v>
      </c>
      <c r="R65" s="21"/>
      <c r="S65" s="21">
        <f t="shared" si="69"/>
        <v>598220.74074074079</v>
      </c>
      <c r="T65" s="21">
        <f t="shared" si="70"/>
        <v>608603.08417508414</v>
      </c>
      <c r="U65" s="93">
        <v>0</v>
      </c>
      <c r="V65" s="21"/>
      <c r="W65" s="21">
        <f t="shared" si="71"/>
        <v>0</v>
      </c>
      <c r="X65" s="7">
        <f t="shared" si="72"/>
        <v>621951.81144781143</v>
      </c>
      <c r="Y65" s="7">
        <f t="shared" si="73"/>
        <v>0</v>
      </c>
      <c r="Z65" s="7">
        <f t="shared" si="74"/>
        <v>0</v>
      </c>
      <c r="AA65" s="7">
        <f t="shared" si="75"/>
        <v>621951.81144781143</v>
      </c>
      <c r="AB65" s="7">
        <f t="shared" si="79"/>
        <v>699077.79124579125</v>
      </c>
      <c r="AC65" s="7">
        <f t="shared" si="76"/>
        <v>626789.81170972181</v>
      </c>
      <c r="AD65" s="7">
        <f t="shared" si="77"/>
        <v>0</v>
      </c>
      <c r="AE65" s="7">
        <f t="shared" si="78"/>
        <v>699077.79124579125</v>
      </c>
      <c r="AF65" s="34">
        <f t="shared" si="30"/>
        <v>734031.68080808083</v>
      </c>
      <c r="AG65" s="34">
        <f t="shared" si="31"/>
        <v>0</v>
      </c>
      <c r="AH65" s="34">
        <f t="shared" si="32"/>
        <v>734031.68080808083</v>
      </c>
      <c r="AI65" s="34">
        <v>625000</v>
      </c>
      <c r="AJ65" s="34"/>
      <c r="AK65" s="55">
        <f t="shared" si="80"/>
        <v>625000</v>
      </c>
      <c r="AL65" s="55">
        <f t="shared" si="1"/>
        <v>642857.14285714284</v>
      </c>
      <c r="AM65" s="55">
        <f t="shared" si="2"/>
        <v>0</v>
      </c>
      <c r="AN65" s="55">
        <f t="shared" si="3"/>
        <v>677976.19047619042</v>
      </c>
      <c r="AO65" s="55">
        <f t="shared" si="4"/>
        <v>0</v>
      </c>
      <c r="AP65" s="2"/>
      <c r="AQ65" s="76">
        <f t="shared" si="5"/>
        <v>773809.52380952367</v>
      </c>
      <c r="AR65" s="81">
        <f t="shared" si="6"/>
        <v>0</v>
      </c>
      <c r="AS65" s="76">
        <f t="shared" si="7"/>
        <v>773809.52380952367</v>
      </c>
      <c r="AT65" s="76">
        <f t="shared" si="8"/>
        <v>0</v>
      </c>
      <c r="AU65" s="85"/>
      <c r="AV65" s="85" t="s">
        <v>208</v>
      </c>
      <c r="AW65" s="85" t="s">
        <v>208</v>
      </c>
      <c r="AX65" s="85" t="s">
        <v>210</v>
      </c>
    </row>
    <row r="66" spans="1:50" x14ac:dyDescent="0.25">
      <c r="A66" s="87" t="s">
        <v>158</v>
      </c>
      <c r="B66" s="87" t="s">
        <v>87</v>
      </c>
      <c r="C66" s="87" t="s">
        <v>27</v>
      </c>
      <c r="D66" s="91"/>
      <c r="E66" s="93"/>
      <c r="F66" s="21"/>
      <c r="G66" s="21"/>
      <c r="H66" s="21"/>
      <c r="I66" s="21"/>
      <c r="J66" s="92"/>
      <c r="K66" s="93"/>
      <c r="L66" s="93"/>
      <c r="M66" s="93"/>
      <c r="N66" s="22"/>
      <c r="O66" s="22"/>
      <c r="P66" s="12"/>
      <c r="Q66" s="21"/>
      <c r="R66" s="21"/>
      <c r="S66" s="21">
        <v>190000</v>
      </c>
      <c r="T66" s="21">
        <v>190000</v>
      </c>
      <c r="U66" s="93"/>
      <c r="V66" s="21"/>
      <c r="W66" s="21"/>
      <c r="X66" s="7">
        <f t="shared" si="72"/>
        <v>194167.34362307069</v>
      </c>
      <c r="Y66" s="7">
        <f t="shared" si="73"/>
        <v>0</v>
      </c>
      <c r="Z66" s="7">
        <f t="shared" si="74"/>
        <v>0</v>
      </c>
      <c r="AA66" s="7">
        <f t="shared" si="75"/>
        <v>194167.34362307069</v>
      </c>
      <c r="AB66" s="7">
        <f t="shared" si="79"/>
        <v>218245.32900081237</v>
      </c>
      <c r="AC66" s="7">
        <f t="shared" si="76"/>
        <v>195677.72053975836</v>
      </c>
      <c r="AD66" s="7">
        <f t="shared" si="77"/>
        <v>0</v>
      </c>
      <c r="AE66" s="7">
        <f t="shared" si="78"/>
        <v>218245.32900081237</v>
      </c>
      <c r="AF66" s="34">
        <f t="shared" si="30"/>
        <v>229157.595450853</v>
      </c>
      <c r="AG66" s="34">
        <f t="shared" si="31"/>
        <v>0</v>
      </c>
      <c r="AH66" s="34">
        <f t="shared" si="32"/>
        <v>229157.595450853</v>
      </c>
      <c r="AI66" s="34">
        <v>225000</v>
      </c>
      <c r="AJ66" s="34"/>
      <c r="AK66" s="55">
        <f t="shared" si="80"/>
        <v>225000</v>
      </c>
      <c r="AL66" s="55">
        <f t="shared" si="1"/>
        <v>231428.57142857142</v>
      </c>
      <c r="AM66" s="55">
        <f t="shared" si="2"/>
        <v>0</v>
      </c>
      <c r="AN66" s="55">
        <f t="shared" si="3"/>
        <v>244071.42857142855</v>
      </c>
      <c r="AO66" s="55">
        <f t="shared" si="4"/>
        <v>0</v>
      </c>
      <c r="AP66" s="2"/>
      <c r="AQ66" s="76">
        <f t="shared" si="5"/>
        <v>278571.42857142852</v>
      </c>
      <c r="AR66" s="81">
        <f t="shared" si="6"/>
        <v>0</v>
      </c>
      <c r="AS66" s="76">
        <f t="shared" si="7"/>
        <v>278571.42857142852</v>
      </c>
      <c r="AT66" s="76">
        <f t="shared" si="8"/>
        <v>0</v>
      </c>
      <c r="AU66" s="85"/>
      <c r="AV66" s="85" t="s">
        <v>208</v>
      </c>
      <c r="AW66" s="85" t="s">
        <v>208</v>
      </c>
      <c r="AX66" s="85"/>
    </row>
    <row r="67" spans="1:50" x14ac:dyDescent="0.25">
      <c r="A67" s="87" t="s">
        <v>150</v>
      </c>
      <c r="B67" s="87" t="s">
        <v>21</v>
      </c>
      <c r="C67" s="87" t="s">
        <v>17</v>
      </c>
      <c r="D67" s="91" t="s">
        <v>49</v>
      </c>
      <c r="E67" s="21">
        <v>96882</v>
      </c>
      <c r="F67" s="21">
        <f>120.2/118.8*E67</f>
        <v>98023.707070707082</v>
      </c>
      <c r="G67" s="21"/>
      <c r="H67" s="21">
        <f>F67+G67</f>
        <v>98023.707070707082</v>
      </c>
      <c r="I67" s="21">
        <f>H67*121/120.2</f>
        <v>98676.111111111109</v>
      </c>
      <c r="J67" s="92"/>
      <c r="K67" s="93"/>
      <c r="L67" s="93"/>
      <c r="M67" s="93">
        <f>L67</f>
        <v>0</v>
      </c>
      <c r="N67" s="22">
        <f>+E67+K67</f>
        <v>96882</v>
      </c>
      <c r="O67" s="22">
        <f>F67+L67</f>
        <v>98023.707070707082</v>
      </c>
      <c r="P67" s="12">
        <f>I67+M67</f>
        <v>98676.111111111109</v>
      </c>
      <c r="Q67" s="21">
        <v>98676.111111111109</v>
      </c>
      <c r="R67" s="21"/>
      <c r="S67" s="21">
        <f>Q67+R67</f>
        <v>98676.111111111109</v>
      </c>
      <c r="T67" s="21">
        <v>275000</v>
      </c>
      <c r="U67" s="93">
        <v>0</v>
      </c>
      <c r="V67" s="21"/>
      <c r="W67" s="21">
        <f>U67+V67</f>
        <v>0</v>
      </c>
      <c r="X67" s="7">
        <f t="shared" si="72"/>
        <v>281031.68155970756</v>
      </c>
      <c r="Y67" s="7">
        <f t="shared" si="73"/>
        <v>0</v>
      </c>
      <c r="Z67" s="7">
        <f t="shared" si="74"/>
        <v>0</v>
      </c>
      <c r="AA67" s="7">
        <f t="shared" si="75"/>
        <v>281031.68155970756</v>
      </c>
      <c r="AB67" s="7">
        <f t="shared" si="79"/>
        <v>315881.39723801787</v>
      </c>
      <c r="AC67" s="7">
        <f t="shared" si="76"/>
        <v>283217.75341280812</v>
      </c>
      <c r="AD67" s="7">
        <f t="shared" si="77"/>
        <v>0</v>
      </c>
      <c r="AE67" s="7">
        <f t="shared" si="78"/>
        <v>315881.39723801787</v>
      </c>
      <c r="AF67" s="34">
        <f t="shared" si="30"/>
        <v>331675.46709991881</v>
      </c>
      <c r="AG67" s="34">
        <f t="shared" si="31"/>
        <v>0</v>
      </c>
      <c r="AH67" s="34">
        <f t="shared" si="32"/>
        <v>331675.46709991881</v>
      </c>
      <c r="AI67" s="34">
        <v>775000</v>
      </c>
      <c r="AJ67" s="34"/>
      <c r="AK67" s="55">
        <f t="shared" si="80"/>
        <v>775000</v>
      </c>
      <c r="AL67" s="55">
        <f t="shared" si="1"/>
        <v>797142.85714285704</v>
      </c>
      <c r="AM67" s="55">
        <f t="shared" si="2"/>
        <v>0</v>
      </c>
      <c r="AN67" s="55">
        <f t="shared" ref="AN67:AN82" si="81">113.9/108*AL67</f>
        <v>840690.4761904761</v>
      </c>
      <c r="AO67" s="55">
        <f t="shared" ref="AO67:AO69" si="82">109.2/103.5*AM67</f>
        <v>0</v>
      </c>
      <c r="AP67" s="2"/>
      <c r="AQ67" s="76">
        <f t="shared" si="5"/>
        <v>959523.80952380935</v>
      </c>
      <c r="AR67" s="81">
        <f t="shared" si="6"/>
        <v>0</v>
      </c>
      <c r="AS67" s="76">
        <f t="shared" si="7"/>
        <v>959523.80952380935</v>
      </c>
      <c r="AT67" s="76">
        <f t="shared" si="8"/>
        <v>0</v>
      </c>
      <c r="AU67" s="85"/>
      <c r="AV67" s="85" t="s">
        <v>207</v>
      </c>
      <c r="AW67" s="85" t="s">
        <v>208</v>
      </c>
      <c r="AX67" s="85"/>
    </row>
    <row r="68" spans="1:50" x14ac:dyDescent="0.25">
      <c r="A68" s="87" t="s">
        <v>9</v>
      </c>
      <c r="B68" s="87" t="s">
        <v>165</v>
      </c>
      <c r="C68" s="87" t="s">
        <v>17</v>
      </c>
      <c r="D68" s="91" t="s">
        <v>49</v>
      </c>
      <c r="E68" s="21">
        <v>15138</v>
      </c>
      <c r="F68" s="21">
        <f>120.2/118.8*E68</f>
        <v>15316.393939393942</v>
      </c>
      <c r="G68" s="21"/>
      <c r="H68" s="21">
        <f>F68+G68</f>
        <v>15316.393939393942</v>
      </c>
      <c r="I68" s="21">
        <f>H68*121/120.2</f>
        <v>15418.333333333336</v>
      </c>
      <c r="J68" s="92"/>
      <c r="K68" s="93"/>
      <c r="L68" s="93"/>
      <c r="M68" s="93">
        <f>L68</f>
        <v>0</v>
      </c>
      <c r="N68" s="22">
        <f>+E68+K68</f>
        <v>15138</v>
      </c>
      <c r="O68" s="22">
        <f>F68+L68</f>
        <v>15316.393939393942</v>
      </c>
      <c r="P68" s="12">
        <f>I68+M68</f>
        <v>15418.333333333336</v>
      </c>
      <c r="Q68" s="21">
        <v>15418.333333333336</v>
      </c>
      <c r="R68" s="21"/>
      <c r="S68" s="21">
        <f>Q68+R68</f>
        <v>15418.333333333336</v>
      </c>
      <c r="T68" s="21">
        <f>(123.1/121)*S68</f>
        <v>15685.924242424244</v>
      </c>
      <c r="U68" s="93">
        <v>0</v>
      </c>
      <c r="V68" s="21"/>
      <c r="W68" s="21">
        <f>U68+V68</f>
        <v>0</v>
      </c>
      <c r="X68" s="7">
        <f t="shared" si="72"/>
        <v>16029.9696969697</v>
      </c>
      <c r="Y68" s="21">
        <f t="shared" si="73"/>
        <v>0</v>
      </c>
      <c r="Z68" s="7">
        <f t="shared" si="74"/>
        <v>0</v>
      </c>
      <c r="AA68" s="7">
        <f t="shared" si="75"/>
        <v>16029.9696969697</v>
      </c>
      <c r="AB68" s="7">
        <f t="shared" si="79"/>
        <v>18017.787878787884</v>
      </c>
      <c r="AC68" s="7">
        <f t="shared" si="76"/>
        <v>16154.662633246906</v>
      </c>
      <c r="AD68" s="7">
        <f t="shared" si="77"/>
        <v>0</v>
      </c>
      <c r="AE68" s="7">
        <f t="shared" si="78"/>
        <v>18017.787878787884</v>
      </c>
      <c r="AF68" s="34">
        <f t="shared" si="30"/>
        <v>18918.67727272728</v>
      </c>
      <c r="AG68" s="34">
        <f t="shared" si="31"/>
        <v>0</v>
      </c>
      <c r="AH68" s="34">
        <f t="shared" si="32"/>
        <v>18918.67727272728</v>
      </c>
      <c r="AI68" s="34">
        <v>25000</v>
      </c>
      <c r="AJ68" s="34"/>
      <c r="AK68" s="55">
        <f t="shared" si="80"/>
        <v>25000</v>
      </c>
      <c r="AL68" s="55">
        <f t="shared" ref="AL68:AL82" si="83">108/105*AI68</f>
        <v>25714.28571428571</v>
      </c>
      <c r="AM68" s="55">
        <f t="shared" ref="AM68:AM82" si="84">103.5/101.6*AJ68</f>
        <v>0</v>
      </c>
      <c r="AN68" s="55">
        <f t="shared" si="81"/>
        <v>27119.047619047615</v>
      </c>
      <c r="AO68" s="55">
        <f t="shared" si="82"/>
        <v>0</v>
      </c>
      <c r="AP68" s="2"/>
      <c r="AQ68" s="76">
        <f t="shared" si="5"/>
        <v>30952.380952380943</v>
      </c>
      <c r="AR68" s="81">
        <f t="shared" si="6"/>
        <v>0</v>
      </c>
      <c r="AS68" s="76">
        <f t="shared" si="7"/>
        <v>30952.380952380943</v>
      </c>
      <c r="AT68" s="76">
        <f t="shared" si="8"/>
        <v>0</v>
      </c>
      <c r="AU68" s="85"/>
      <c r="AV68" s="85" t="s">
        <v>208</v>
      </c>
      <c r="AW68" s="85" t="s">
        <v>208</v>
      </c>
      <c r="AX68" s="85" t="s">
        <v>208</v>
      </c>
    </row>
    <row r="69" spans="1:50" x14ac:dyDescent="0.25">
      <c r="A69" s="87" t="s">
        <v>60</v>
      </c>
      <c r="B69" s="87" t="s">
        <v>61</v>
      </c>
      <c r="C69" s="87" t="s">
        <v>17</v>
      </c>
      <c r="D69" s="91" t="s">
        <v>49</v>
      </c>
      <c r="E69" s="93">
        <v>1391500</v>
      </c>
      <c r="F69" s="21">
        <f>120.2/118.8*E69</f>
        <v>1407898.1481481483</v>
      </c>
      <c r="G69" s="21"/>
      <c r="H69" s="21">
        <f>F69+G69</f>
        <v>1407898.1481481483</v>
      </c>
      <c r="I69" s="21">
        <f>H69*121/120.2</f>
        <v>1417268.5185185187</v>
      </c>
      <c r="J69" s="92" t="s">
        <v>50</v>
      </c>
      <c r="K69" s="93">
        <v>290400</v>
      </c>
      <c r="L69" s="93">
        <f xml:space="preserve"> 115.7/114.7*K69</f>
        <v>292931.82214472536</v>
      </c>
      <c r="M69" s="93">
        <f>L69</f>
        <v>292931.82214472536</v>
      </c>
      <c r="N69" s="22">
        <f>+E69+K69</f>
        <v>1681900</v>
      </c>
      <c r="O69" s="22">
        <f>F69+L69</f>
        <v>1700829.9702928737</v>
      </c>
      <c r="P69" s="12">
        <f>I69+M69</f>
        <v>1710200.340663244</v>
      </c>
      <c r="Q69" s="21">
        <v>1417268.5185185187</v>
      </c>
      <c r="R69" s="21"/>
      <c r="S69" s="21">
        <f>Q69+R69</f>
        <v>1417268.5185185187</v>
      </c>
      <c r="T69" s="21">
        <f>(123.1/121)*S69</f>
        <v>1441865.7407407407</v>
      </c>
      <c r="U69" s="93">
        <v>292931.82214472536</v>
      </c>
      <c r="V69" s="21"/>
      <c r="W69" s="21">
        <f>U69+V69</f>
        <v>292931.82214472536</v>
      </c>
      <c r="X69" s="7">
        <f t="shared" si="72"/>
        <v>1473490.7407407409</v>
      </c>
      <c r="Y69" s="21">
        <f t="shared" si="73"/>
        <v>295210.46207497816</v>
      </c>
      <c r="Z69" s="7">
        <f t="shared" si="74"/>
        <v>299514.55972101132</v>
      </c>
      <c r="AA69" s="7">
        <f t="shared" si="75"/>
        <v>1773005.3004617523</v>
      </c>
      <c r="AB69" s="7">
        <f t="shared" si="79"/>
        <v>1656212.9629629632</v>
      </c>
      <c r="AC69" s="7">
        <f t="shared" si="76"/>
        <v>1786797.0443719993</v>
      </c>
      <c r="AD69" s="7">
        <f t="shared" si="77"/>
        <v>313197.96600268187</v>
      </c>
      <c r="AE69" s="7">
        <f t="shared" si="78"/>
        <v>1969410.9289656449</v>
      </c>
      <c r="AF69" s="34">
        <f t="shared" si="30"/>
        <v>1739023.6111111115</v>
      </c>
      <c r="AG69" s="34">
        <f t="shared" si="31"/>
        <v>318209.13345872477</v>
      </c>
      <c r="AH69" s="34">
        <f t="shared" si="32"/>
        <v>2057232.7445698362</v>
      </c>
      <c r="AI69" s="34">
        <v>1900000</v>
      </c>
      <c r="AJ69" s="34">
        <v>294000</v>
      </c>
      <c r="AK69" s="55">
        <f t="shared" si="80"/>
        <v>2194000</v>
      </c>
      <c r="AL69" s="55">
        <f t="shared" si="83"/>
        <v>1954285.7142857141</v>
      </c>
      <c r="AM69" s="55">
        <f t="shared" si="84"/>
        <v>299498.03149606299</v>
      </c>
      <c r="AN69" s="55">
        <f t="shared" si="81"/>
        <v>2061047.6190476187</v>
      </c>
      <c r="AO69" s="55">
        <f t="shared" si="82"/>
        <v>315992.12598425196</v>
      </c>
      <c r="AP69" s="2"/>
      <c r="AQ69" s="76">
        <f t="shared" si="5"/>
        <v>2352380.952380952</v>
      </c>
      <c r="AR69" s="81">
        <f t="shared" si="6"/>
        <v>365763.77952755906</v>
      </c>
      <c r="AS69" s="76">
        <f t="shared" si="7"/>
        <v>2352380.952380952</v>
      </c>
      <c r="AT69" s="76">
        <f t="shared" si="8"/>
        <v>366921.25984251971</v>
      </c>
      <c r="AU69" s="85" t="s">
        <v>212</v>
      </c>
      <c r="AV69" s="85" t="s">
        <v>207</v>
      </c>
      <c r="AW69" s="85" t="s">
        <v>208</v>
      </c>
      <c r="AX69" s="85" t="s">
        <v>207</v>
      </c>
    </row>
    <row r="70" spans="1:50" x14ac:dyDescent="0.25">
      <c r="A70" s="87"/>
      <c r="B70" s="87"/>
      <c r="C70" s="87"/>
      <c r="D70" s="91"/>
      <c r="E70" s="93"/>
      <c r="F70" s="21"/>
      <c r="G70" s="21"/>
      <c r="H70" s="21"/>
      <c r="I70" s="21"/>
      <c r="J70" s="92"/>
      <c r="K70" s="93"/>
      <c r="L70" s="93"/>
      <c r="M70" s="93"/>
      <c r="N70" s="22"/>
      <c r="O70" s="22"/>
      <c r="P70" s="12"/>
      <c r="Q70" s="21"/>
      <c r="R70" s="21"/>
      <c r="S70" s="21"/>
      <c r="T70" s="21"/>
      <c r="U70" s="93"/>
      <c r="V70" s="21"/>
      <c r="W70" s="21"/>
      <c r="X70" s="7"/>
      <c r="Y70" s="21"/>
      <c r="Z70" s="7"/>
      <c r="AA70" s="7"/>
      <c r="AB70" s="7"/>
      <c r="AC70" s="21"/>
      <c r="AD70" s="7"/>
      <c r="AE70" s="7"/>
      <c r="AF70" s="89"/>
      <c r="AG70" s="89"/>
      <c r="AH70" s="89"/>
      <c r="AI70" s="89"/>
      <c r="AJ70" s="89"/>
      <c r="AK70" s="90"/>
      <c r="AL70" s="55"/>
      <c r="AM70" s="55"/>
      <c r="AN70" s="55"/>
      <c r="AO70" s="55"/>
      <c r="AP70" s="2"/>
      <c r="AQ70" s="76"/>
      <c r="AR70" s="81"/>
      <c r="AS70" s="76">
        <f t="shared" ref="AS70:AS86" si="85">AQ70</f>
        <v>0</v>
      </c>
      <c r="AT70" s="76">
        <f t="shared" ref="AT70:AT86" si="86">(126.8/126.4)*AR70</f>
        <v>0</v>
      </c>
      <c r="AU70" s="94"/>
      <c r="AV70" s="94"/>
      <c r="AW70" s="94"/>
      <c r="AX70" s="94"/>
    </row>
    <row r="71" spans="1:50" ht="13" thickBot="1" x14ac:dyDescent="0.3">
      <c r="A71" s="23" t="s">
        <v>0</v>
      </c>
      <c r="B71" s="24"/>
      <c r="C71" s="24"/>
      <c r="D71" s="24"/>
      <c r="E71" s="95">
        <f>SUM(E6:E54)</f>
        <v>29801270</v>
      </c>
      <c r="F71" s="95">
        <f>SUM(F6:F54)</f>
        <v>30152463.417508416</v>
      </c>
      <c r="G71" s="95"/>
      <c r="H71" s="95">
        <f>SUM(H6:H54)</f>
        <v>30152463.417508416</v>
      </c>
      <c r="I71" s="95">
        <f>SUM(I6:I54)</f>
        <v>30353145.370370384</v>
      </c>
      <c r="J71" s="25"/>
      <c r="K71" s="95">
        <f>SUM(K6:K54)</f>
        <v>1518630</v>
      </c>
      <c r="L71" s="95">
        <f>SUM(L21:L54)</f>
        <v>0</v>
      </c>
      <c r="M71" s="95">
        <f>SUM(M6:M54)</f>
        <v>1531870.0174367917</v>
      </c>
      <c r="N71" s="26">
        <f>SUM(N6:N54)</f>
        <v>30541820</v>
      </c>
      <c r="O71" s="10">
        <f>F71+L71</f>
        <v>30152463.417508416</v>
      </c>
      <c r="P71" s="10">
        <f>SUM(P6:P54)</f>
        <v>31885015.387807168</v>
      </c>
      <c r="Q71" s="95">
        <v>42819009.444444448</v>
      </c>
      <c r="R71" s="95"/>
      <c r="S71" s="95">
        <f>SUM(S6:S67)</f>
        <v>35489589.185185194</v>
      </c>
      <c r="T71" s="95">
        <f>SUM(T6:T67)</f>
        <v>35071855.589409247</v>
      </c>
      <c r="U71" s="95">
        <v>2419350.5492589362</v>
      </c>
      <c r="V71" s="95"/>
      <c r="W71" s="95">
        <f>SUM(W6:W54)</f>
        <v>1608935.0174367917</v>
      </c>
      <c r="X71" s="18">
        <f t="shared" si="72"/>
        <v>35841100.188039675</v>
      </c>
      <c r="Y71" s="95">
        <f t="shared" si="73"/>
        <v>1621450.5015827995</v>
      </c>
      <c r="Z71" s="18">
        <f t="shared" si="74"/>
        <v>1645090.860525259</v>
      </c>
      <c r="AA71" s="7">
        <f t="shared" si="75"/>
        <v>37486191.048564933</v>
      </c>
      <c r="AB71" s="7">
        <f>SUM(AB6:AB69)</f>
        <v>45338355.286523856</v>
      </c>
      <c r="AC71" s="95">
        <f t="shared" si="76"/>
        <v>37777786.311691195</v>
      </c>
      <c r="AD71" s="7">
        <f>SUM(AD6:AD69)</f>
        <v>2063460.0668556206</v>
      </c>
      <c r="AE71" s="7">
        <f t="shared" si="78"/>
        <v>47401815.353379473</v>
      </c>
      <c r="AF71" s="61">
        <f t="shared" ref="AF71:AL71" si="87">SUM(AF5:AF69)</f>
        <v>48435543.749082401</v>
      </c>
      <c r="AG71" s="61">
        <f t="shared" si="87"/>
        <v>2096475.4279253108</v>
      </c>
      <c r="AH71" s="61">
        <f t="shared" si="87"/>
        <v>50532019.177007705</v>
      </c>
      <c r="AI71" s="61">
        <f t="shared" si="87"/>
        <v>54970000</v>
      </c>
      <c r="AJ71" s="61">
        <f t="shared" si="87"/>
        <v>2249000</v>
      </c>
      <c r="AK71" s="96">
        <f t="shared" si="87"/>
        <v>57219000</v>
      </c>
      <c r="AL71" s="55">
        <f t="shared" si="87"/>
        <v>57140571.428571433</v>
      </c>
      <c r="AM71" s="55">
        <f t="shared" si="84"/>
        <v>2291058.0708661415</v>
      </c>
      <c r="AN71" s="97">
        <f>SUM(AN5:AN69)</f>
        <v>90736039.682539657</v>
      </c>
      <c r="AO71" s="97">
        <f>SUM(AO5:AO69)</f>
        <v>4233826.2834645668</v>
      </c>
      <c r="AP71" s="58"/>
      <c r="AQ71" s="98">
        <f>SUM(AQ5:AQ69)</f>
        <v>103783952.85947458</v>
      </c>
      <c r="AR71" s="99">
        <f>SUM(AR5:AR69)</f>
        <v>4900692.6944131991</v>
      </c>
      <c r="AS71" s="98">
        <f t="shared" si="85"/>
        <v>103783952.85947458</v>
      </c>
      <c r="AT71" s="98">
        <f t="shared" si="86"/>
        <v>4916201.2155980514</v>
      </c>
      <c r="AU71" s="94"/>
      <c r="AV71" s="94"/>
      <c r="AW71" s="94"/>
      <c r="AX71" s="94"/>
    </row>
    <row r="72" spans="1:50" ht="13" thickTop="1" x14ac:dyDescent="0.25">
      <c r="E72" s="88"/>
      <c r="F72" s="88"/>
      <c r="G72" s="88"/>
      <c r="H72" s="88"/>
      <c r="I72" s="88"/>
      <c r="K72" s="88"/>
      <c r="L72" s="88"/>
      <c r="M72" s="88"/>
      <c r="N72" s="27"/>
      <c r="O72" s="28"/>
      <c r="P72" s="29"/>
      <c r="Q72" s="88"/>
      <c r="R72" s="88"/>
      <c r="S72" s="88">
        <f t="shared" ref="S72:S81" si="88">Q72+R72</f>
        <v>0</v>
      </c>
      <c r="T72" s="88"/>
      <c r="U72" s="88"/>
      <c r="V72" s="88"/>
      <c r="W72" s="88">
        <f>U72+V72</f>
        <v>0</v>
      </c>
      <c r="X72" s="7">
        <f t="shared" si="72"/>
        <v>0</v>
      </c>
      <c r="Y72" s="88"/>
      <c r="Z72" s="7">
        <f t="shared" si="74"/>
        <v>0</v>
      </c>
      <c r="AA72" s="7">
        <f t="shared" si="75"/>
        <v>0</v>
      </c>
      <c r="AB72" s="7">
        <f>X72*(141.4/125.8)</f>
        <v>0</v>
      </c>
      <c r="AC72" s="88"/>
      <c r="AD72" s="7">
        <f t="shared" ref="AD72:AD81" si="89">+Z72*(123.6/118.2)</f>
        <v>0</v>
      </c>
      <c r="AE72" s="7">
        <f t="shared" si="78"/>
        <v>0</v>
      </c>
      <c r="AF72" s="62"/>
      <c r="AG72" s="62"/>
      <c r="AH72" s="62"/>
      <c r="AL72" s="55">
        <f t="shared" si="83"/>
        <v>0</v>
      </c>
      <c r="AM72" s="55">
        <f t="shared" si="84"/>
        <v>0</v>
      </c>
      <c r="AN72" s="55">
        <f t="shared" si="81"/>
        <v>0</v>
      </c>
      <c r="AO72" s="55">
        <f t="shared" ref="AO72:AO73" si="90">109.2/13.5*AM72</f>
        <v>0</v>
      </c>
      <c r="AP72" s="2"/>
      <c r="AQ72" s="76"/>
      <c r="AR72" s="81"/>
      <c r="AS72" s="76">
        <f t="shared" si="85"/>
        <v>0</v>
      </c>
      <c r="AT72" s="76">
        <f t="shared" si="86"/>
        <v>0</v>
      </c>
      <c r="AU72" s="94"/>
      <c r="AV72" s="94"/>
      <c r="AW72" s="94"/>
      <c r="AX72" s="94"/>
    </row>
    <row r="73" spans="1:50" x14ac:dyDescent="0.25">
      <c r="A73" s="30" t="s">
        <v>54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00"/>
      <c r="N73" s="31"/>
      <c r="O73" s="31"/>
      <c r="P73" s="32"/>
      <c r="Q73" s="2"/>
      <c r="R73" s="2"/>
      <c r="S73" s="2">
        <f t="shared" si="88"/>
        <v>0</v>
      </c>
      <c r="T73" s="2"/>
      <c r="U73" s="100"/>
      <c r="V73" s="2"/>
      <c r="W73" s="2"/>
      <c r="X73" s="7">
        <f t="shared" si="72"/>
        <v>0</v>
      </c>
      <c r="Y73" s="2"/>
      <c r="Z73" s="7">
        <f t="shared" si="74"/>
        <v>0</v>
      </c>
      <c r="AA73" s="7">
        <f t="shared" si="75"/>
        <v>0</v>
      </c>
      <c r="AB73" s="7">
        <f>X73*(141.4/125.8)</f>
        <v>0</v>
      </c>
      <c r="AC73" s="2"/>
      <c r="AD73" s="7">
        <f t="shared" si="89"/>
        <v>0</v>
      </c>
      <c r="AE73" s="7">
        <f t="shared" si="78"/>
        <v>0</v>
      </c>
      <c r="AF73" s="34"/>
      <c r="AG73" s="34"/>
      <c r="AH73" s="34"/>
      <c r="AL73" s="55">
        <f t="shared" si="83"/>
        <v>0</v>
      </c>
      <c r="AM73" s="55">
        <f t="shared" si="84"/>
        <v>0</v>
      </c>
      <c r="AN73" s="55">
        <f t="shared" si="81"/>
        <v>0</v>
      </c>
      <c r="AO73" s="55">
        <f t="shared" si="90"/>
        <v>0</v>
      </c>
      <c r="AP73" s="2"/>
      <c r="AQ73" s="76"/>
      <c r="AR73" s="81"/>
      <c r="AS73" s="76">
        <f t="shared" si="85"/>
        <v>0</v>
      </c>
      <c r="AT73" s="76">
        <f t="shared" si="86"/>
        <v>0</v>
      </c>
      <c r="AU73" s="94"/>
      <c r="AV73" s="94"/>
      <c r="AW73" s="94"/>
      <c r="AX73" s="94"/>
    </row>
    <row r="74" spans="1:50" x14ac:dyDescent="0.25">
      <c r="A74" s="2" t="s">
        <v>152</v>
      </c>
      <c r="B74" s="2" t="s">
        <v>10</v>
      </c>
      <c r="C74" s="2" t="s">
        <v>16</v>
      </c>
      <c r="D74" s="2"/>
      <c r="E74" s="7">
        <v>1469117</v>
      </c>
      <c r="F74" s="7">
        <f t="shared" ref="F74:F82" si="91">120.2/118.8*E74</f>
        <v>1486429.8265993267</v>
      </c>
      <c r="G74" s="7"/>
      <c r="H74" s="7">
        <f t="shared" ref="H74:H81" si="92">F74+G74</f>
        <v>1486429.8265993267</v>
      </c>
      <c r="I74" s="7">
        <f t="shared" ref="I74:I82" si="93">H74*121/120.2</f>
        <v>1496322.8703703706</v>
      </c>
      <c r="J74" s="8"/>
      <c r="K74" s="8">
        <v>142961</v>
      </c>
      <c r="L74" s="8">
        <f t="shared" ref="L74:L82" si="94" xml:space="preserve"> 115.7/114.7*K74</f>
        <v>144207.39058413252</v>
      </c>
      <c r="M74" s="8">
        <f t="shared" ref="M74:M82" si="95">L74</f>
        <v>144207.39058413252</v>
      </c>
      <c r="N74" s="7">
        <f t="shared" ref="N74:N81" si="96">+E74+K74</f>
        <v>1612078</v>
      </c>
      <c r="O74" s="19">
        <f t="shared" ref="O74:O81" si="97" xml:space="preserve"> F74+L74</f>
        <v>1630637.2171834591</v>
      </c>
      <c r="P74" s="7">
        <f t="shared" ref="P74:P81" si="98">I74+M74</f>
        <v>1640530.260954503</v>
      </c>
      <c r="Q74" s="7">
        <v>1496322.8703703706</v>
      </c>
      <c r="R74" s="7"/>
      <c r="S74" s="7">
        <f t="shared" si="88"/>
        <v>1496322.8703703706</v>
      </c>
      <c r="T74" s="7">
        <f t="shared" ref="T74:T86" si="99">(123.1/121)*S74</f>
        <v>1522292.1102693602</v>
      </c>
      <c r="U74" s="8">
        <v>144207.39058413252</v>
      </c>
      <c r="V74" s="7"/>
      <c r="W74" s="7">
        <f t="shared" ref="W74:W81" si="100">U74+V74</f>
        <v>144207.39058413252</v>
      </c>
      <c r="X74" s="7">
        <f t="shared" si="72"/>
        <v>1555681.1329966332</v>
      </c>
      <c r="Y74" s="7">
        <f t="shared" ref="Y74:Y86" si="101">(116.6/115.7)*W74</f>
        <v>145329.14210985179</v>
      </c>
      <c r="Z74" s="7">
        <f t="shared" si="74"/>
        <v>147448.00610287709</v>
      </c>
      <c r="AA74" s="7">
        <f t="shared" si="75"/>
        <v>1703129.1390995104</v>
      </c>
      <c r="AB74" s="7">
        <f>X74*(141.4/125.8)</f>
        <v>1748595.4865319869</v>
      </c>
      <c r="AC74" s="7">
        <f t="shared" ref="AC74:AC86" si="102">(116.6/115.7)*AA74</f>
        <v>1716377.3346499819</v>
      </c>
      <c r="AD74" s="7">
        <f t="shared" si="89"/>
        <v>154184.20942737401</v>
      </c>
      <c r="AE74" s="7">
        <f t="shared" si="78"/>
        <v>1902779.6959593608</v>
      </c>
      <c r="AF74" s="34">
        <f t="shared" ref="AF74:AF81" si="103">1.05*AB74</f>
        <v>1836025.2608585863</v>
      </c>
      <c r="AG74" s="34">
        <f t="shared" ref="AG74:AG81" si="104">1.016*AD74</f>
        <v>156651.156778212</v>
      </c>
      <c r="AH74" s="34">
        <f t="shared" ref="AH74:AH81" si="105">AF74+AG74</f>
        <v>1992676.4176367982</v>
      </c>
      <c r="AI74" s="34">
        <v>2450000</v>
      </c>
      <c r="AJ74" s="34">
        <v>505000</v>
      </c>
      <c r="AK74" s="60">
        <f>+AI74+AJ74</f>
        <v>2955000</v>
      </c>
      <c r="AL74" s="55">
        <f t="shared" si="83"/>
        <v>2519999.9999999995</v>
      </c>
      <c r="AM74" s="55">
        <f t="shared" si="84"/>
        <v>514443.89763779525</v>
      </c>
      <c r="AN74" s="55">
        <f t="shared" si="81"/>
        <v>2657666.666666666</v>
      </c>
      <c r="AO74" s="55">
        <f>109.2/103.5*AM74</f>
        <v>542775.59055118111</v>
      </c>
      <c r="AP74" s="2"/>
      <c r="AQ74" s="76">
        <f>130/113.9*AN74</f>
        <v>3033333.3333333321</v>
      </c>
      <c r="AR74" s="81">
        <f>126.4/109.2*AO74</f>
        <v>628267.7165354332</v>
      </c>
      <c r="AS74" s="76">
        <f t="shared" si="85"/>
        <v>3033333.3333333321</v>
      </c>
      <c r="AT74" s="76">
        <f t="shared" si="86"/>
        <v>630255.90551181114</v>
      </c>
      <c r="AU74" s="85" t="s">
        <v>212</v>
      </c>
      <c r="AV74" s="85" t="s">
        <v>208</v>
      </c>
      <c r="AW74" s="85" t="s">
        <v>208</v>
      </c>
      <c r="AX74" s="85"/>
    </row>
    <row r="75" spans="1:50" x14ac:dyDescent="0.25">
      <c r="A75" s="2" t="s">
        <v>47</v>
      </c>
      <c r="B75" s="2" t="s">
        <v>11</v>
      </c>
      <c r="C75" s="2" t="s">
        <v>16</v>
      </c>
      <c r="D75" s="2"/>
      <c r="E75" s="7">
        <v>2755999</v>
      </c>
      <c r="F75" s="7">
        <f t="shared" si="91"/>
        <v>2788477.1026936029</v>
      </c>
      <c r="G75" s="7"/>
      <c r="H75" s="7">
        <f t="shared" si="92"/>
        <v>2788477.1026936029</v>
      </c>
      <c r="I75" s="7">
        <f t="shared" si="93"/>
        <v>2807036.0185185187</v>
      </c>
      <c r="J75" s="8"/>
      <c r="K75" s="8">
        <v>280000</v>
      </c>
      <c r="L75" s="8">
        <f t="shared" si="94"/>
        <v>282441.1508282476</v>
      </c>
      <c r="M75" s="8">
        <f t="shared" si="95"/>
        <v>282441.1508282476</v>
      </c>
      <c r="N75" s="7">
        <f t="shared" si="96"/>
        <v>3035999</v>
      </c>
      <c r="O75" s="19">
        <f t="shared" si="97"/>
        <v>3070918.2535218503</v>
      </c>
      <c r="P75" s="7">
        <f t="shared" si="98"/>
        <v>3089477.1693467661</v>
      </c>
      <c r="Q75" s="7">
        <v>2807036.0185185187</v>
      </c>
      <c r="R75" s="7"/>
      <c r="S75" s="7">
        <f t="shared" si="88"/>
        <v>2807036.0185185187</v>
      </c>
      <c r="T75" s="7">
        <f t="shared" si="99"/>
        <v>2855753.1725589223</v>
      </c>
      <c r="U75" s="8">
        <v>282441.1508282476</v>
      </c>
      <c r="V75" s="7"/>
      <c r="W75" s="7">
        <f t="shared" si="100"/>
        <v>282441.1508282476</v>
      </c>
      <c r="X75" s="7">
        <f t="shared" si="72"/>
        <v>2918389.5134680136</v>
      </c>
      <c r="Y75" s="7">
        <f t="shared" si="101"/>
        <v>284638.18657367042</v>
      </c>
      <c r="Z75" s="7">
        <f t="shared" si="74"/>
        <v>288788.14298169134</v>
      </c>
      <c r="AA75" s="7">
        <f t="shared" si="75"/>
        <v>3207177.6564497049</v>
      </c>
      <c r="AB75" s="7">
        <v>4240697</v>
      </c>
      <c r="AC75" s="7">
        <f t="shared" si="102"/>
        <v>3232125.4515301259</v>
      </c>
      <c r="AD75" s="7">
        <f t="shared" si="89"/>
        <v>301981.50991994119</v>
      </c>
      <c r="AE75" s="7">
        <f t="shared" si="78"/>
        <v>4542678.5099199414</v>
      </c>
      <c r="AF75" s="34">
        <f t="shared" si="103"/>
        <v>4452731.8500000006</v>
      </c>
      <c r="AG75" s="34">
        <f t="shared" si="104"/>
        <v>306813.21407866024</v>
      </c>
      <c r="AH75" s="34">
        <f t="shared" si="105"/>
        <v>4759545.0640786607</v>
      </c>
      <c r="AI75" s="34">
        <v>4350000</v>
      </c>
      <c r="AJ75" s="34">
        <v>1080000</v>
      </c>
      <c r="AK75" s="60">
        <f t="shared" ref="AK75:AK82" si="106">+AI75+AJ75</f>
        <v>5430000</v>
      </c>
      <c r="AL75" s="55">
        <f t="shared" si="83"/>
        <v>4474285.7142857136</v>
      </c>
      <c r="AM75" s="55">
        <f t="shared" si="84"/>
        <v>1100196.8503937006</v>
      </c>
      <c r="AN75" s="55">
        <f t="shared" si="81"/>
        <v>4718714.2857142845</v>
      </c>
      <c r="AO75" s="55">
        <f t="shared" ref="AO75:AO82" si="107">109.2/103.5*AM75</f>
        <v>1160787.4015748031</v>
      </c>
      <c r="AP75" s="2"/>
      <c r="AQ75" s="76">
        <f t="shared" ref="AQ75:AQ82" si="108">130/113.9*AN75</f>
        <v>5385714.2857142836</v>
      </c>
      <c r="AR75" s="81">
        <f t="shared" ref="AR75:AR82" si="109">126.4/109.2*AO75</f>
        <v>1343622.0472440945</v>
      </c>
      <c r="AS75" s="76">
        <f t="shared" si="85"/>
        <v>5385714.2857142836</v>
      </c>
      <c r="AT75" s="76">
        <f t="shared" si="86"/>
        <v>1347874.0157480317</v>
      </c>
      <c r="AU75" s="86" t="s">
        <v>214</v>
      </c>
      <c r="AV75" s="86" t="s">
        <v>208</v>
      </c>
      <c r="AW75" s="86" t="s">
        <v>208</v>
      </c>
      <c r="AX75" s="86"/>
    </row>
    <row r="76" spans="1:50" x14ac:dyDescent="0.25">
      <c r="A76" s="2" t="s">
        <v>151</v>
      </c>
      <c r="B76" s="2" t="s">
        <v>85</v>
      </c>
      <c r="C76" s="2" t="s">
        <v>16</v>
      </c>
      <c r="D76" s="2"/>
      <c r="E76" s="7">
        <v>3105424</v>
      </c>
      <c r="F76" s="7">
        <f t="shared" si="91"/>
        <v>3142019.9057239061</v>
      </c>
      <c r="G76" s="7"/>
      <c r="H76" s="7">
        <f t="shared" ref="H76:H78" si="110">F76+G76</f>
        <v>3142019.9057239061</v>
      </c>
      <c r="I76" s="7">
        <f t="shared" si="93"/>
        <v>3162931.8518518521</v>
      </c>
      <c r="J76" s="8"/>
      <c r="K76" s="8">
        <v>316240</v>
      </c>
      <c r="L76" s="8">
        <f t="shared" si="94"/>
        <v>318997.10549258935</v>
      </c>
      <c r="M76" s="8">
        <f t="shared" si="95"/>
        <v>318997.10549258935</v>
      </c>
      <c r="N76" s="7">
        <f t="shared" ref="N76:N79" si="111">+E76+K76</f>
        <v>3421664</v>
      </c>
      <c r="O76" s="19">
        <f t="shared" ref="O76:O79" si="112" xml:space="preserve"> F76+L76</f>
        <v>3461017.0112164957</v>
      </c>
      <c r="P76" s="7">
        <f t="shared" ref="P76:P79" si="113">I76+M76</f>
        <v>3481928.9573444417</v>
      </c>
      <c r="Q76" s="7">
        <v>3162931.8518518521</v>
      </c>
      <c r="R76" s="7"/>
      <c r="S76" s="7">
        <f t="shared" ref="S76:S79" si="114">Q76+R76</f>
        <v>3162931.8518518521</v>
      </c>
      <c r="T76" s="7">
        <f t="shared" si="99"/>
        <v>3217825.7104377104</v>
      </c>
      <c r="U76" s="8">
        <v>318997.10549258935</v>
      </c>
      <c r="V76" s="7"/>
      <c r="W76" s="7">
        <f t="shared" ref="W76:W79" si="115">U76+V76</f>
        <v>318997.10549258935</v>
      </c>
      <c r="X76" s="7">
        <f t="shared" ref="X76:X79" si="116">T76*(125.8/123.1)</f>
        <v>3288403.5286195287</v>
      </c>
      <c r="Y76" s="7">
        <f t="shared" ref="Y76:Y79" si="117">(116.6/115.7)*W76</f>
        <v>321478.50043591979</v>
      </c>
      <c r="Z76" s="7">
        <f t="shared" si="74"/>
        <v>326165.57977332175</v>
      </c>
      <c r="AA76" s="7">
        <f t="shared" ref="AA76:AA79" si="118">X76+Z76</f>
        <v>3614569.1083928505</v>
      </c>
      <c r="AB76" s="7">
        <f t="shared" ref="AB76" si="119">X76*(141.4/125.8)</f>
        <v>3696186.4781144783</v>
      </c>
      <c r="AC76" s="7">
        <f t="shared" ref="AC76:AC79" si="120">(116.6/115.7)*AA76</f>
        <v>3642685.8948885598</v>
      </c>
      <c r="AD76" s="7">
        <f t="shared" ref="AD76:AD79" si="121">+Z76*(123.6/118.2)</f>
        <v>341066.54534672224</v>
      </c>
      <c r="AE76" s="7">
        <f t="shared" ref="AE76:AE79" si="122">+AB76+AD76</f>
        <v>4037253.0234612003</v>
      </c>
      <c r="AF76" s="34">
        <f t="shared" ref="AF76:AF79" si="123">1.05*AB76</f>
        <v>3880995.8020202024</v>
      </c>
      <c r="AG76" s="34">
        <f t="shared" ref="AG76:AG79" si="124">1.016*AD76</f>
        <v>346523.6100722698</v>
      </c>
      <c r="AH76" s="34">
        <f t="shared" ref="AH76:AH79" si="125">AF76+AG76</f>
        <v>4227519.4120924724</v>
      </c>
      <c r="AI76" s="34">
        <v>4300000</v>
      </c>
      <c r="AJ76" s="34">
        <v>940000</v>
      </c>
      <c r="AK76" s="60">
        <f t="shared" si="106"/>
        <v>5240000</v>
      </c>
      <c r="AL76" s="55">
        <f t="shared" si="83"/>
        <v>4422857.1428571427</v>
      </c>
      <c r="AM76" s="55">
        <f t="shared" si="84"/>
        <v>957578.74015748024</v>
      </c>
      <c r="AN76" s="55">
        <f t="shared" si="81"/>
        <v>4664476.1904761903</v>
      </c>
      <c r="AO76" s="55">
        <f t="shared" si="107"/>
        <v>1010314.9606299212</v>
      </c>
      <c r="AP76" s="2"/>
      <c r="AQ76" s="76">
        <f t="shared" si="108"/>
        <v>5323809.5238095233</v>
      </c>
      <c r="AR76" s="81">
        <f t="shared" si="109"/>
        <v>1169448.8188976378</v>
      </c>
      <c r="AS76" s="76">
        <f t="shared" si="85"/>
        <v>5323809.5238095233</v>
      </c>
      <c r="AT76" s="76">
        <f t="shared" si="86"/>
        <v>1173149.6062992127</v>
      </c>
      <c r="AU76" s="86" t="s">
        <v>212</v>
      </c>
      <c r="AV76" s="86" t="s">
        <v>208</v>
      </c>
      <c r="AW76" s="86" t="s">
        <v>208</v>
      </c>
      <c r="AX76" s="86"/>
    </row>
    <row r="77" spans="1:50" x14ac:dyDescent="0.25">
      <c r="A77" s="2" t="s">
        <v>211</v>
      </c>
      <c r="B77" s="2" t="s">
        <v>15</v>
      </c>
      <c r="C77" s="2" t="s">
        <v>16</v>
      </c>
      <c r="D77" s="2"/>
      <c r="E77" s="7">
        <v>2094883</v>
      </c>
      <c r="F77" s="7">
        <f t="shared" si="91"/>
        <v>2119570.1734006735</v>
      </c>
      <c r="G77" s="7"/>
      <c r="H77" s="7">
        <f t="shared" si="110"/>
        <v>2119570.1734006735</v>
      </c>
      <c r="I77" s="7">
        <f t="shared" si="93"/>
        <v>2133677.1296296297</v>
      </c>
      <c r="J77" s="8"/>
      <c r="K77" s="8">
        <v>211177</v>
      </c>
      <c r="L77" s="8">
        <f t="shared" si="94"/>
        <v>213018.12467306014</v>
      </c>
      <c r="M77" s="8">
        <f t="shared" si="95"/>
        <v>213018.12467306014</v>
      </c>
      <c r="N77" s="7">
        <f t="shared" si="111"/>
        <v>2306060</v>
      </c>
      <c r="O77" s="19">
        <f t="shared" si="112"/>
        <v>2332588.2980737337</v>
      </c>
      <c r="P77" s="7">
        <f t="shared" si="113"/>
        <v>2346695.2543026898</v>
      </c>
      <c r="Q77" s="7">
        <v>2133677.1296296297</v>
      </c>
      <c r="R77" s="7"/>
      <c r="S77" s="7">
        <f t="shared" si="114"/>
        <v>2133677.1296296297</v>
      </c>
      <c r="T77" s="7">
        <f t="shared" si="99"/>
        <v>2170707.8897306398</v>
      </c>
      <c r="U77" s="8">
        <v>213018.12467306014</v>
      </c>
      <c r="V77" s="7"/>
      <c r="W77" s="7">
        <f t="shared" si="115"/>
        <v>213018.12467306014</v>
      </c>
      <c r="X77" s="7">
        <f t="shared" si="116"/>
        <v>2218318.8670033673</v>
      </c>
      <c r="Y77" s="7">
        <f t="shared" si="117"/>
        <v>214675.13687881429</v>
      </c>
      <c r="Z77" s="7">
        <f t="shared" si="74"/>
        <v>217805.04882301658</v>
      </c>
      <c r="AA77" s="7">
        <f t="shared" si="118"/>
        <v>2436123.915826384</v>
      </c>
      <c r="AB77" s="7">
        <v>4332101</v>
      </c>
      <c r="AC77" s="7">
        <f t="shared" si="120"/>
        <v>2455073.8857852756</v>
      </c>
      <c r="AD77" s="7">
        <f t="shared" si="121"/>
        <v>227755.53328701228</v>
      </c>
      <c r="AE77" s="7">
        <f t="shared" si="122"/>
        <v>4559856.533287012</v>
      </c>
      <c r="AF77" s="34">
        <f t="shared" si="123"/>
        <v>4548706.05</v>
      </c>
      <c r="AG77" s="34">
        <f t="shared" si="124"/>
        <v>231399.62181960448</v>
      </c>
      <c r="AH77" s="34">
        <f t="shared" si="125"/>
        <v>4780105.671819604</v>
      </c>
      <c r="AI77" s="34">
        <v>4500000</v>
      </c>
      <c r="AJ77" s="34">
        <v>765000</v>
      </c>
      <c r="AK77" s="60">
        <f t="shared" si="106"/>
        <v>5265000</v>
      </c>
      <c r="AL77" s="55">
        <f t="shared" si="83"/>
        <v>4628571.4285714282</v>
      </c>
      <c r="AM77" s="55">
        <f t="shared" si="84"/>
        <v>779306.10236220469</v>
      </c>
      <c r="AN77" s="55">
        <f t="shared" si="81"/>
        <v>4881428.5714285709</v>
      </c>
      <c r="AO77" s="55">
        <f t="shared" si="107"/>
        <v>822224.40944881889</v>
      </c>
      <c r="AP77" s="2"/>
      <c r="AQ77" s="76">
        <f t="shared" si="108"/>
        <v>5571428.57142857</v>
      </c>
      <c r="AR77" s="81">
        <f t="shared" si="109"/>
        <v>951732.28346456704</v>
      </c>
      <c r="AS77" s="76">
        <f t="shared" si="85"/>
        <v>5571428.57142857</v>
      </c>
      <c r="AT77" s="76">
        <f t="shared" si="86"/>
        <v>954744.09448818909</v>
      </c>
      <c r="AU77" s="86" t="s">
        <v>212</v>
      </c>
      <c r="AV77" s="86" t="s">
        <v>208</v>
      </c>
      <c r="AW77" s="86" t="s">
        <v>208</v>
      </c>
      <c r="AX77" s="86"/>
    </row>
    <row r="78" spans="1:50" x14ac:dyDescent="0.25">
      <c r="A78" s="2" t="s">
        <v>171</v>
      </c>
      <c r="B78" s="2" t="s">
        <v>13</v>
      </c>
      <c r="C78" s="2" t="s">
        <v>16</v>
      </c>
      <c r="D78" s="2"/>
      <c r="E78" s="7">
        <v>2804294</v>
      </c>
      <c r="F78" s="7">
        <f t="shared" si="91"/>
        <v>2837341.2356902361</v>
      </c>
      <c r="G78" s="7"/>
      <c r="H78" s="7">
        <f t="shared" si="110"/>
        <v>2837341.2356902361</v>
      </c>
      <c r="I78" s="7">
        <f t="shared" si="93"/>
        <v>2856225.3703703708</v>
      </c>
      <c r="J78" s="8"/>
      <c r="K78" s="8">
        <v>265919</v>
      </c>
      <c r="L78" s="8">
        <f t="shared" si="94"/>
        <v>268237.38709677418</v>
      </c>
      <c r="M78" s="8">
        <f t="shared" si="95"/>
        <v>268237.38709677418</v>
      </c>
      <c r="N78" s="7">
        <f t="shared" si="111"/>
        <v>3070213</v>
      </c>
      <c r="O78" s="19">
        <f t="shared" si="112"/>
        <v>3105578.6227870104</v>
      </c>
      <c r="P78" s="7">
        <f t="shared" si="113"/>
        <v>3124462.7574671451</v>
      </c>
      <c r="Q78" s="7">
        <v>2856225.3703703708</v>
      </c>
      <c r="R78" s="7"/>
      <c r="S78" s="7">
        <f t="shared" si="114"/>
        <v>2856225.3703703708</v>
      </c>
      <c r="T78" s="7">
        <f t="shared" si="99"/>
        <v>2905796.223905724</v>
      </c>
      <c r="U78" s="8">
        <v>268237.38709677418</v>
      </c>
      <c r="V78" s="7"/>
      <c r="W78" s="7">
        <f t="shared" si="115"/>
        <v>268237.38709677418</v>
      </c>
      <c r="X78" s="7">
        <f t="shared" si="116"/>
        <v>2969530.1784511786</v>
      </c>
      <c r="Y78" s="7">
        <f t="shared" si="117"/>
        <v>270323.93548387097</v>
      </c>
      <c r="Z78" s="7">
        <f t="shared" si="74"/>
        <v>274265.19354838715</v>
      </c>
      <c r="AA78" s="7">
        <f t="shared" si="118"/>
        <v>3243795.3719995655</v>
      </c>
      <c r="AB78" s="7">
        <f t="shared" ref="AB78" si="126">X78*(141.4/125.8)</f>
        <v>3337770.8047138052</v>
      </c>
      <c r="AC78" s="7">
        <f t="shared" si="120"/>
        <v>3269028.0066996487</v>
      </c>
      <c r="AD78" s="7">
        <f t="shared" si="121"/>
        <v>286795.07548714598</v>
      </c>
      <c r="AE78" s="7">
        <f t="shared" si="122"/>
        <v>3624565.8802009514</v>
      </c>
      <c r="AF78" s="34">
        <f t="shared" si="123"/>
        <v>3504659.3449494955</v>
      </c>
      <c r="AG78" s="34">
        <f t="shared" si="124"/>
        <v>291383.79669494031</v>
      </c>
      <c r="AH78" s="34">
        <f t="shared" si="125"/>
        <v>3796043.1416444359</v>
      </c>
      <c r="AI78" s="34">
        <v>5450000</v>
      </c>
      <c r="AJ78" s="34">
        <v>700000</v>
      </c>
      <c r="AK78" s="60">
        <f>+AI78+AJ78</f>
        <v>6150000</v>
      </c>
      <c r="AL78" s="55">
        <v>5450000</v>
      </c>
      <c r="AM78" s="55">
        <v>700000</v>
      </c>
      <c r="AN78" s="55">
        <f t="shared" si="81"/>
        <v>5747731.4814814813</v>
      </c>
      <c r="AO78" s="55">
        <f t="shared" si="107"/>
        <v>738550.72463768115</v>
      </c>
      <c r="AP78" s="2"/>
      <c r="AQ78" s="76">
        <f t="shared" si="108"/>
        <v>6560185.1851851847</v>
      </c>
      <c r="AR78" s="81">
        <f t="shared" si="109"/>
        <v>854879.22705314017</v>
      </c>
      <c r="AS78" s="76">
        <f t="shared" si="85"/>
        <v>6560185.1851851847</v>
      </c>
      <c r="AT78" s="76">
        <f t="shared" si="86"/>
        <v>857584.54106280208</v>
      </c>
      <c r="AU78" s="86" t="s">
        <v>212</v>
      </c>
      <c r="AV78" s="86" t="s">
        <v>208</v>
      </c>
      <c r="AW78" s="86" t="s">
        <v>208</v>
      </c>
      <c r="AX78" s="86"/>
    </row>
    <row r="79" spans="1:50" x14ac:dyDescent="0.25">
      <c r="A79" s="2" t="s">
        <v>48</v>
      </c>
      <c r="B79" s="2" t="s">
        <v>35</v>
      </c>
      <c r="C79" s="2" t="s">
        <v>19</v>
      </c>
      <c r="D79" s="2"/>
      <c r="E79" s="7"/>
      <c r="F79" s="7"/>
      <c r="G79" s="7"/>
      <c r="H79" s="7">
        <v>0</v>
      </c>
      <c r="I79" s="7">
        <f t="shared" si="93"/>
        <v>0</v>
      </c>
      <c r="J79" s="8"/>
      <c r="K79" s="8">
        <v>129549</v>
      </c>
      <c r="L79" s="8">
        <f t="shared" si="94"/>
        <v>130678.45945945945</v>
      </c>
      <c r="M79" s="8">
        <f t="shared" si="95"/>
        <v>130678.45945945945</v>
      </c>
      <c r="N79" s="7">
        <f t="shared" si="111"/>
        <v>129549</v>
      </c>
      <c r="O79" s="19">
        <f t="shared" si="112"/>
        <v>130678.45945945945</v>
      </c>
      <c r="P79" s="7">
        <f t="shared" si="113"/>
        <v>130678.45945945945</v>
      </c>
      <c r="Q79" s="7">
        <v>0</v>
      </c>
      <c r="R79" s="7"/>
      <c r="S79" s="7">
        <f t="shared" si="114"/>
        <v>0</v>
      </c>
      <c r="T79" s="7">
        <f t="shared" si="99"/>
        <v>0</v>
      </c>
      <c r="U79" s="8">
        <v>130678.45945945945</v>
      </c>
      <c r="V79" s="7"/>
      <c r="W79" s="7">
        <f t="shared" si="115"/>
        <v>130678.45945945945</v>
      </c>
      <c r="X79" s="7">
        <f t="shared" si="116"/>
        <v>0</v>
      </c>
      <c r="Y79" s="7">
        <f t="shared" si="117"/>
        <v>131694.97297297296</v>
      </c>
      <c r="Z79" s="7">
        <f t="shared" si="74"/>
        <v>133615.05405405405</v>
      </c>
      <c r="AA79" s="7">
        <f t="shared" si="118"/>
        <v>133615.05405405405</v>
      </c>
      <c r="AB79" s="7">
        <f>X79*(141.4/125.8)</f>
        <v>0</v>
      </c>
      <c r="AC79" s="7">
        <f t="shared" si="120"/>
        <v>134654.41056787124</v>
      </c>
      <c r="AD79" s="7">
        <f t="shared" si="121"/>
        <v>139719.29510220882</v>
      </c>
      <c r="AE79" s="7">
        <f t="shared" si="122"/>
        <v>139719.29510220882</v>
      </c>
      <c r="AF79" s="34">
        <f t="shared" si="123"/>
        <v>0</v>
      </c>
      <c r="AG79" s="34">
        <f t="shared" si="124"/>
        <v>141954.80382384418</v>
      </c>
      <c r="AH79" s="34">
        <f t="shared" si="125"/>
        <v>141954.80382384418</v>
      </c>
      <c r="AI79" s="34"/>
      <c r="AJ79" s="34">
        <v>545000</v>
      </c>
      <c r="AK79" s="60">
        <f t="shared" si="106"/>
        <v>545000</v>
      </c>
      <c r="AL79" s="55">
        <f t="shared" si="83"/>
        <v>0</v>
      </c>
      <c r="AM79" s="55">
        <f t="shared" si="84"/>
        <v>555191.9291338583</v>
      </c>
      <c r="AN79" s="55">
        <f t="shared" si="81"/>
        <v>0</v>
      </c>
      <c r="AO79" s="55">
        <f t="shared" si="107"/>
        <v>585767.71653543308</v>
      </c>
      <c r="AP79" s="2"/>
      <c r="AQ79" s="76">
        <f t="shared" si="108"/>
        <v>0</v>
      </c>
      <c r="AR79" s="81">
        <f t="shared" si="109"/>
        <v>678031.49606299214</v>
      </c>
      <c r="AS79" s="76">
        <f t="shared" si="85"/>
        <v>0</v>
      </c>
      <c r="AT79" s="76">
        <f t="shared" si="86"/>
        <v>680177.16535433079</v>
      </c>
      <c r="AU79" s="86" t="s">
        <v>212</v>
      </c>
      <c r="AV79" s="86" t="s">
        <v>208</v>
      </c>
      <c r="AW79" s="86" t="s">
        <v>208</v>
      </c>
      <c r="AX79" s="86"/>
    </row>
    <row r="80" spans="1:50" x14ac:dyDescent="0.25">
      <c r="A80" s="2" t="s">
        <v>45</v>
      </c>
      <c r="B80" s="2" t="s">
        <v>12</v>
      </c>
      <c r="C80" s="2" t="s">
        <v>18</v>
      </c>
      <c r="D80" s="2"/>
      <c r="E80" s="7">
        <v>3959471</v>
      </c>
      <c r="F80" s="7">
        <f t="shared" si="91"/>
        <v>4006131.4326599329</v>
      </c>
      <c r="G80" s="7"/>
      <c r="H80" s="7">
        <f t="shared" si="92"/>
        <v>4006131.4326599329</v>
      </c>
      <c r="I80" s="7">
        <f t="shared" si="93"/>
        <v>4032794.5370370373</v>
      </c>
      <c r="J80" s="8"/>
      <c r="K80" s="8">
        <v>368666</v>
      </c>
      <c r="L80" s="8">
        <f t="shared" si="94"/>
        <v>371880.17611159547</v>
      </c>
      <c r="M80" s="8">
        <f t="shared" si="95"/>
        <v>371880.17611159547</v>
      </c>
      <c r="N80" s="7">
        <f t="shared" si="96"/>
        <v>4328137</v>
      </c>
      <c r="O80" s="19">
        <f t="shared" si="97"/>
        <v>4378011.6087715281</v>
      </c>
      <c r="P80" s="7">
        <f t="shared" si="98"/>
        <v>4404674.713148633</v>
      </c>
      <c r="Q80" s="7">
        <v>4032794.5370370373</v>
      </c>
      <c r="R80" s="7"/>
      <c r="S80" s="7">
        <f t="shared" si="88"/>
        <v>4032794.5370370373</v>
      </c>
      <c r="T80" s="7">
        <f t="shared" si="99"/>
        <v>4102785.1860269359</v>
      </c>
      <c r="U80" s="8">
        <v>371880.17611159547</v>
      </c>
      <c r="V80" s="7"/>
      <c r="W80" s="7">
        <f t="shared" si="100"/>
        <v>371880.17611159547</v>
      </c>
      <c r="X80" s="7">
        <f t="shared" si="72"/>
        <v>4192773.1632996635</v>
      </c>
      <c r="Y80" s="7">
        <f t="shared" si="101"/>
        <v>374772.93461203139</v>
      </c>
      <c r="Z80" s="7">
        <f t="shared" si="74"/>
        <v>380237.03400174371</v>
      </c>
      <c r="AA80" s="7">
        <f t="shared" si="75"/>
        <v>4573010.1973014073</v>
      </c>
      <c r="AB80" s="7">
        <f t="shared" ref="AB80:AB81" si="127">X80*(141.4/125.8)</f>
        <v>4712703.6986531988</v>
      </c>
      <c r="AC80" s="7">
        <f t="shared" si="102"/>
        <v>4608582.4460271746</v>
      </c>
      <c r="AD80" s="7">
        <f t="shared" si="89"/>
        <v>397608.26905766095</v>
      </c>
      <c r="AE80" s="7">
        <f t="shared" si="78"/>
        <v>5110311.9677108601</v>
      </c>
      <c r="AF80" s="34">
        <f t="shared" si="103"/>
        <v>4948338.8835858591</v>
      </c>
      <c r="AG80" s="34">
        <f t="shared" si="104"/>
        <v>403970.00136258354</v>
      </c>
      <c r="AH80" s="34">
        <f t="shared" si="105"/>
        <v>5352308.8849484427</v>
      </c>
      <c r="AI80" s="34">
        <v>6225000</v>
      </c>
      <c r="AJ80" s="34">
        <v>1390000</v>
      </c>
      <c r="AK80" s="60">
        <f t="shared" si="106"/>
        <v>7615000</v>
      </c>
      <c r="AL80" s="55">
        <f t="shared" si="83"/>
        <v>6402857.1428571418</v>
      </c>
      <c r="AM80" s="55">
        <f t="shared" si="84"/>
        <v>1415994.0944881889</v>
      </c>
      <c r="AN80" s="55">
        <f t="shared" si="81"/>
        <v>6752642.8571428554</v>
      </c>
      <c r="AO80" s="55">
        <f t="shared" si="107"/>
        <v>1493976.3779527557</v>
      </c>
      <c r="AP80" s="2"/>
      <c r="AQ80" s="76">
        <f t="shared" si="108"/>
        <v>7707142.8571428545</v>
      </c>
      <c r="AR80" s="81">
        <f t="shared" si="109"/>
        <v>1729291.3385826771</v>
      </c>
      <c r="AS80" s="76">
        <f t="shared" si="85"/>
        <v>7707142.8571428545</v>
      </c>
      <c r="AT80" s="76">
        <f t="shared" si="86"/>
        <v>1734763.7795275589</v>
      </c>
      <c r="AU80" s="86" t="s">
        <v>214</v>
      </c>
      <c r="AV80" s="86"/>
      <c r="AW80" s="86"/>
      <c r="AX80" s="86"/>
    </row>
    <row r="81" spans="1:50" x14ac:dyDescent="0.25">
      <c r="A81" s="2" t="s">
        <v>44</v>
      </c>
      <c r="B81" s="2" t="s">
        <v>14</v>
      </c>
      <c r="C81" s="2" t="s">
        <v>27</v>
      </c>
      <c r="D81" s="2"/>
      <c r="E81" s="7">
        <v>2211035</v>
      </c>
      <c r="F81" s="7">
        <f t="shared" si="91"/>
        <v>2237090.9680134682</v>
      </c>
      <c r="G81" s="7"/>
      <c r="H81" s="7">
        <f t="shared" si="92"/>
        <v>2237090.9680134682</v>
      </c>
      <c r="I81" s="7">
        <f t="shared" si="93"/>
        <v>2251980.0925925928</v>
      </c>
      <c r="J81" s="8"/>
      <c r="K81" s="8">
        <v>211177</v>
      </c>
      <c r="L81" s="8">
        <f t="shared" si="94"/>
        <v>213018.12467306014</v>
      </c>
      <c r="M81" s="8">
        <f t="shared" si="95"/>
        <v>213018.12467306014</v>
      </c>
      <c r="N81" s="7">
        <f t="shared" si="96"/>
        <v>2422212</v>
      </c>
      <c r="O81" s="19">
        <f t="shared" si="97"/>
        <v>2450109.0926865283</v>
      </c>
      <c r="P81" s="7">
        <f t="shared" si="98"/>
        <v>2464998.217265653</v>
      </c>
      <c r="Q81" s="7">
        <v>2251980.0925925928</v>
      </c>
      <c r="R81" s="7"/>
      <c r="S81" s="7">
        <f t="shared" si="88"/>
        <v>2251980.0925925928</v>
      </c>
      <c r="T81" s="7">
        <f t="shared" si="99"/>
        <v>2291064.0446127946</v>
      </c>
      <c r="U81" s="8">
        <v>213018.12467306014</v>
      </c>
      <c r="V81" s="7"/>
      <c r="W81" s="7">
        <f t="shared" si="100"/>
        <v>213018.12467306014</v>
      </c>
      <c r="X81" s="7">
        <f t="shared" si="72"/>
        <v>2341314.8400673405</v>
      </c>
      <c r="Y81" s="7">
        <f t="shared" si="101"/>
        <v>214675.13687881429</v>
      </c>
      <c r="Z81" s="7">
        <f t="shared" si="74"/>
        <v>217805.04882301658</v>
      </c>
      <c r="AA81" s="7">
        <f t="shared" si="75"/>
        <v>2559119.8888903572</v>
      </c>
      <c r="AB81" s="7">
        <f t="shared" si="127"/>
        <v>2631652.7693602699</v>
      </c>
      <c r="AC81" s="7">
        <f t="shared" si="102"/>
        <v>2579026.6123130135</v>
      </c>
      <c r="AD81" s="7">
        <f t="shared" si="89"/>
        <v>227755.53328701228</v>
      </c>
      <c r="AE81" s="7">
        <f t="shared" si="78"/>
        <v>2859408.3026472824</v>
      </c>
      <c r="AF81" s="34">
        <f t="shared" si="103"/>
        <v>2763235.4078282835</v>
      </c>
      <c r="AG81" s="34">
        <f t="shared" si="104"/>
        <v>231399.62181960448</v>
      </c>
      <c r="AH81" s="34">
        <f t="shared" si="105"/>
        <v>2994635.0296478882</v>
      </c>
      <c r="AI81" s="34"/>
      <c r="AJ81" s="34">
        <v>231400</v>
      </c>
      <c r="AK81" s="60">
        <f>+AI81+AJ81</f>
        <v>231400</v>
      </c>
      <c r="AL81" s="55">
        <v>3650000</v>
      </c>
      <c r="AM81" s="55">
        <v>775000</v>
      </c>
      <c r="AN81" s="55">
        <v>3650000</v>
      </c>
      <c r="AO81" s="55">
        <v>775000</v>
      </c>
      <c r="AP81" s="2" t="s">
        <v>178</v>
      </c>
      <c r="AQ81" s="76">
        <f t="shared" si="108"/>
        <v>4165935.030728709</v>
      </c>
      <c r="AR81" s="81">
        <f t="shared" si="109"/>
        <v>897069.5970695971</v>
      </c>
      <c r="AS81" s="76">
        <f t="shared" si="85"/>
        <v>4165935.030728709</v>
      </c>
      <c r="AT81" s="76">
        <f t="shared" si="86"/>
        <v>899908.42490842496</v>
      </c>
      <c r="AU81" s="86" t="s">
        <v>212</v>
      </c>
      <c r="AV81" s="86" t="s">
        <v>208</v>
      </c>
      <c r="AW81" s="86" t="s">
        <v>208</v>
      </c>
      <c r="AX81" s="86"/>
    </row>
    <row r="82" spans="1:50" x14ac:dyDescent="0.25">
      <c r="A82" s="2" t="s">
        <v>46</v>
      </c>
      <c r="B82" s="2" t="s">
        <v>89</v>
      </c>
      <c r="C82" s="2" t="s">
        <v>17</v>
      </c>
      <c r="D82" s="2"/>
      <c r="E82" s="7">
        <v>1352965</v>
      </c>
      <c r="F82" s="7">
        <f t="shared" si="91"/>
        <v>1368909.031986532</v>
      </c>
      <c r="G82" s="7"/>
      <c r="H82" s="7">
        <f t="shared" ref="H82" si="128">F82+G82</f>
        <v>1368909.031986532</v>
      </c>
      <c r="I82" s="7">
        <f t="shared" si="93"/>
        <v>1378019.9074074074</v>
      </c>
      <c r="J82" s="8"/>
      <c r="K82" s="8">
        <v>129591</v>
      </c>
      <c r="L82" s="8">
        <f t="shared" si="94"/>
        <v>130720.8256320837</v>
      </c>
      <c r="M82" s="8">
        <f t="shared" si="95"/>
        <v>130720.8256320837</v>
      </c>
      <c r="N82" s="7">
        <f t="shared" ref="N82" si="129">+E82+K82</f>
        <v>1482556</v>
      </c>
      <c r="O82" s="19">
        <f t="shared" ref="O82" si="130" xml:space="preserve"> F82+L82</f>
        <v>1499629.8576186157</v>
      </c>
      <c r="P82" s="7">
        <f t="shared" ref="P82" si="131">I82+M82</f>
        <v>1508740.7330394911</v>
      </c>
      <c r="Q82" s="7">
        <v>1378019.9074074074</v>
      </c>
      <c r="R82" s="7"/>
      <c r="S82" s="7">
        <f t="shared" ref="S82" si="132">Q82+R82</f>
        <v>1378019.9074074074</v>
      </c>
      <c r="T82" s="7">
        <f t="shared" si="99"/>
        <v>1401935.9553872054</v>
      </c>
      <c r="U82" s="8">
        <v>130720.8256320837</v>
      </c>
      <c r="V82" s="7"/>
      <c r="W82" s="7">
        <f t="shared" ref="W82" si="133">U82+V82</f>
        <v>130720.8256320837</v>
      </c>
      <c r="X82" s="7">
        <f t="shared" ref="X82" si="134">T82*(125.8/123.1)</f>
        <v>1432685.1599326599</v>
      </c>
      <c r="Y82" s="7">
        <f t="shared" ref="Y82" si="135">(116.6/115.7)*W82</f>
        <v>131737.66870095901</v>
      </c>
      <c r="Z82" s="7">
        <f t="shared" si="74"/>
        <v>133658.37227550132</v>
      </c>
      <c r="AA82" s="7">
        <f t="shared" ref="AA82" si="136">X82+Z82</f>
        <v>1566343.5322081612</v>
      </c>
      <c r="AB82" s="7">
        <f t="shared" ref="AB82" si="137">X82*(141.4/125.8)</f>
        <v>1610347.2306397308</v>
      </c>
      <c r="AC82" s="7">
        <f t="shared" ref="AC82" si="138">(116.6/115.7)*AA82</f>
        <v>1578527.7083446118</v>
      </c>
      <c r="AD82" s="7">
        <f t="shared" ref="AD82" si="139">+Z82*(123.6/118.2)</f>
        <v>139764.5923286968</v>
      </c>
      <c r="AE82" s="7">
        <f t="shared" ref="AE82" si="140">+AB82+AD82</f>
        <v>1750111.8229684276</v>
      </c>
      <c r="AF82" s="34">
        <f t="shared" ref="AF82" si="141">1.05*AB82</f>
        <v>1690864.5921717174</v>
      </c>
      <c r="AG82" s="34">
        <f t="shared" ref="AG82" si="142">1.016*AD82</f>
        <v>142000.82580595594</v>
      </c>
      <c r="AH82" s="34">
        <f t="shared" ref="AH82" si="143">AF82+AG82</f>
        <v>1832865.4179776735</v>
      </c>
      <c r="AI82" s="34">
        <v>1775000</v>
      </c>
      <c r="AJ82" s="34">
        <v>550000</v>
      </c>
      <c r="AK82" s="60">
        <f t="shared" si="106"/>
        <v>2325000</v>
      </c>
      <c r="AL82" s="55">
        <f t="shared" si="83"/>
        <v>1825714.2857142854</v>
      </c>
      <c r="AM82" s="55">
        <f t="shared" si="84"/>
        <v>560285.43307086616</v>
      </c>
      <c r="AN82" s="55">
        <f t="shared" si="81"/>
        <v>1925452.3809523806</v>
      </c>
      <c r="AO82" s="55">
        <f t="shared" si="107"/>
        <v>591141.73228346452</v>
      </c>
      <c r="AP82" s="2"/>
      <c r="AQ82" s="76">
        <f t="shared" si="108"/>
        <v>2197619.0476190471</v>
      </c>
      <c r="AR82" s="81">
        <f t="shared" si="109"/>
        <v>684251.96850393701</v>
      </c>
      <c r="AS82" s="76">
        <f t="shared" si="85"/>
        <v>2197619.0476190471</v>
      </c>
      <c r="AT82" s="76">
        <f t="shared" si="86"/>
        <v>686417.32283464563</v>
      </c>
      <c r="AU82" s="86" t="s">
        <v>214</v>
      </c>
      <c r="AV82" s="86" t="s">
        <v>208</v>
      </c>
      <c r="AW82" s="86" t="s">
        <v>208</v>
      </c>
      <c r="AX82" s="86"/>
    </row>
    <row r="83" spans="1:50" x14ac:dyDescent="0.25">
      <c r="A83" s="2"/>
      <c r="B83" s="2"/>
      <c r="C83" s="2"/>
      <c r="D83" s="2"/>
      <c r="E83" s="7"/>
      <c r="F83" s="7"/>
      <c r="G83" s="7"/>
      <c r="H83" s="7"/>
      <c r="I83" s="7"/>
      <c r="J83" s="8"/>
      <c r="K83" s="8"/>
      <c r="L83" s="8"/>
      <c r="M83" s="8"/>
      <c r="N83" s="7"/>
      <c r="O83" s="19"/>
      <c r="P83" s="7"/>
      <c r="Q83" s="7"/>
      <c r="R83" s="7"/>
      <c r="S83" s="7"/>
      <c r="T83" s="7"/>
      <c r="U83" s="8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34"/>
      <c r="AG83" s="34"/>
      <c r="AH83" s="34"/>
      <c r="AI83" s="34"/>
      <c r="AJ83" s="34"/>
      <c r="AK83" s="34"/>
      <c r="AL83" s="60"/>
      <c r="AM83" s="60"/>
      <c r="AN83" s="60"/>
      <c r="AO83" s="60"/>
      <c r="AS83" s="76">
        <f t="shared" si="85"/>
        <v>0</v>
      </c>
      <c r="AT83" s="76">
        <f t="shared" si="86"/>
        <v>0</v>
      </c>
    </row>
    <row r="84" spans="1:50" ht="13" thickBot="1" x14ac:dyDescent="0.3">
      <c r="A84" s="23" t="s">
        <v>0</v>
      </c>
      <c r="B84" s="24"/>
      <c r="C84" s="24"/>
      <c r="D84" s="24"/>
      <c r="E84" s="10">
        <f>SUM(E74:E83)</f>
        <v>19753188</v>
      </c>
      <c r="F84" s="10">
        <f>SUM(F74:F83)</f>
        <v>19985969.676767677</v>
      </c>
      <c r="G84" s="10"/>
      <c r="H84" s="10">
        <f>SUM(H74:H83)</f>
        <v>19985969.676767677</v>
      </c>
      <c r="I84" s="10">
        <f>SUM(I74:I83)</f>
        <v>20118987.777777776</v>
      </c>
      <c r="J84" s="25"/>
      <c r="K84" s="10">
        <f t="shared" ref="K84:P84" si="144">SUM(K74:K83)</f>
        <v>2055280</v>
      </c>
      <c r="L84" s="10">
        <f t="shared" si="144"/>
        <v>2073198.7445510025</v>
      </c>
      <c r="M84" s="10">
        <f t="shared" si="144"/>
        <v>2073198.7445510025</v>
      </c>
      <c r="N84" s="10">
        <f t="shared" si="144"/>
        <v>21808468</v>
      </c>
      <c r="O84" s="26">
        <f t="shared" si="144"/>
        <v>22059168.42131868</v>
      </c>
      <c r="P84" s="10">
        <f t="shared" si="144"/>
        <v>22192186.522328783</v>
      </c>
      <c r="Q84" s="10">
        <v>22326537.037037037</v>
      </c>
      <c r="R84" s="10"/>
      <c r="S84" s="10">
        <f>SUM(S74:S83)</f>
        <v>20118987.777777776</v>
      </c>
      <c r="T84" s="10">
        <f t="shared" si="99"/>
        <v>20468160.292929288</v>
      </c>
      <c r="U84" s="10">
        <v>2268164.8448125543</v>
      </c>
      <c r="V84" s="10"/>
      <c r="W84" s="10">
        <f>SUM(W74:W83)</f>
        <v>2073198.7445510025</v>
      </c>
      <c r="X84" s="10">
        <f>SUM(X74:X83)</f>
        <v>20917096.383838385</v>
      </c>
      <c r="Y84" s="10">
        <f t="shared" si="101"/>
        <v>2089325.6146469049</v>
      </c>
      <c r="Z84" s="18">
        <f t="shared" si="74"/>
        <v>2119787.4803836094</v>
      </c>
      <c r="AA84" s="7">
        <f t="shared" si="75"/>
        <v>23036883.864221994</v>
      </c>
      <c r="AB84" s="7">
        <f>SUM(AB72:AB83)</f>
        <v>26310054.468013469</v>
      </c>
      <c r="AC84" s="10">
        <f t="shared" si="102"/>
        <v>23216081.750806261</v>
      </c>
      <c r="AD84" s="7">
        <f>SUM(AD72:AD83)</f>
        <v>2216630.5632437742</v>
      </c>
      <c r="AE84" s="7">
        <f t="shared" si="78"/>
        <v>28526685.031257242</v>
      </c>
      <c r="AF84" s="61">
        <f>SUM(AF74:AF83)</f>
        <v>27625557.191414144</v>
      </c>
      <c r="AG84" s="61">
        <f>SUM(AG74:AG83)</f>
        <v>2252096.6522556753</v>
      </c>
      <c r="AH84" s="61">
        <f>SUM(AH74:AH83)</f>
        <v>29877653.843669821</v>
      </c>
      <c r="AI84" s="61">
        <f t="shared" ref="AI84:AO84" si="145">SUM(AI74:AI82)</f>
        <v>29050000</v>
      </c>
      <c r="AJ84" s="61">
        <f t="shared" si="145"/>
        <v>6706400</v>
      </c>
      <c r="AK84" s="61">
        <f t="shared" si="145"/>
        <v>35756400</v>
      </c>
      <c r="AL84" s="60">
        <f t="shared" si="145"/>
        <v>33374285.714285709</v>
      </c>
      <c r="AM84" s="60">
        <f t="shared" si="145"/>
        <v>7357997.0472440943</v>
      </c>
      <c r="AN84" s="77">
        <f t="shared" si="145"/>
        <v>34998112.433862433</v>
      </c>
      <c r="AO84" s="77">
        <f t="shared" si="145"/>
        <v>7720538.9136140589</v>
      </c>
      <c r="AP84" s="77"/>
      <c r="AQ84" s="78">
        <f>SUM(AQ74:AQ83)</f>
        <v>39945167.834961504</v>
      </c>
      <c r="AR84" s="78">
        <f>SUM(AR74:AR83)</f>
        <v>8936594.493414076</v>
      </c>
      <c r="AS84" s="83">
        <f>AQ84</f>
        <v>39945167.834961504</v>
      </c>
      <c r="AT84" s="83">
        <f t="shared" si="86"/>
        <v>8964874.8557350077</v>
      </c>
    </row>
    <row r="85" spans="1:50" ht="13" thickTop="1" x14ac:dyDescent="0.25">
      <c r="A85" s="63"/>
      <c r="B85" s="63"/>
      <c r="C85" s="63"/>
      <c r="D85" s="63"/>
      <c r="E85" s="64"/>
      <c r="F85" s="64"/>
      <c r="G85" s="64"/>
      <c r="H85" s="64"/>
      <c r="I85" s="64"/>
      <c r="J85" s="64"/>
      <c r="K85" s="64"/>
      <c r="L85" s="64"/>
      <c r="M85" s="64"/>
      <c r="N85" s="65"/>
      <c r="O85" s="66"/>
      <c r="P85" s="65"/>
      <c r="Q85" s="64"/>
      <c r="R85" s="64"/>
      <c r="S85" s="64">
        <f>Q85+R85</f>
        <v>0</v>
      </c>
      <c r="T85" s="64">
        <f t="shared" si="99"/>
        <v>0</v>
      </c>
      <c r="U85" s="64"/>
      <c r="V85" s="64"/>
      <c r="W85" s="64">
        <f>U85+V85</f>
        <v>0</v>
      </c>
      <c r="X85" s="64"/>
      <c r="Y85" s="64">
        <f t="shared" si="101"/>
        <v>0</v>
      </c>
      <c r="Z85" s="7">
        <f t="shared" si="74"/>
        <v>0</v>
      </c>
      <c r="AA85" s="7">
        <f t="shared" si="75"/>
        <v>0</v>
      </c>
      <c r="AB85" s="7">
        <f>X85*(141.4/125.8)</f>
        <v>0</v>
      </c>
      <c r="AC85" s="64">
        <f t="shared" si="102"/>
        <v>0</v>
      </c>
      <c r="AD85" s="7">
        <f>+Z85*(123.6/118.2)</f>
        <v>0</v>
      </c>
      <c r="AE85" s="7">
        <f t="shared" si="78"/>
        <v>0</v>
      </c>
      <c r="AF85" s="62"/>
      <c r="AG85" s="62"/>
      <c r="AH85" s="62"/>
      <c r="AS85" s="82">
        <f t="shared" si="85"/>
        <v>0</v>
      </c>
      <c r="AT85" s="82">
        <f t="shared" si="86"/>
        <v>0</v>
      </c>
    </row>
    <row r="86" spans="1:50" ht="13" thickBot="1" x14ac:dyDescent="0.3">
      <c r="A86" s="67" t="s">
        <v>57</v>
      </c>
      <c r="B86" s="67" t="s">
        <v>69</v>
      </c>
      <c r="C86" s="67"/>
      <c r="D86" s="67"/>
      <c r="E86" s="11">
        <f>+E71+E84</f>
        <v>49554458</v>
      </c>
      <c r="F86" s="11">
        <f>F71+F84</f>
        <v>50138433.094276093</v>
      </c>
      <c r="G86" s="11"/>
      <c r="H86" s="11">
        <f>H71+H84</f>
        <v>50138433.094276093</v>
      </c>
      <c r="I86" s="11">
        <f>I71+I84</f>
        <v>50472133.148148164</v>
      </c>
      <c r="J86" s="68"/>
      <c r="K86" s="11">
        <f t="shared" ref="K86:P86" si="146">K71+K84</f>
        <v>3573910</v>
      </c>
      <c r="L86" s="11">
        <f t="shared" si="146"/>
        <v>2073198.7445510025</v>
      </c>
      <c r="M86" s="11">
        <f t="shared" si="146"/>
        <v>3605068.7619877942</v>
      </c>
      <c r="N86" s="11">
        <f t="shared" si="146"/>
        <v>52350288</v>
      </c>
      <c r="O86" s="69">
        <f t="shared" si="146"/>
        <v>52211631.838827096</v>
      </c>
      <c r="P86" s="11">
        <f t="shared" si="146"/>
        <v>54077201.910135955</v>
      </c>
      <c r="Q86" s="11">
        <v>65145546.481481485</v>
      </c>
      <c r="R86" s="11"/>
      <c r="S86" s="11">
        <f>S84+S71</f>
        <v>55608576.96296297</v>
      </c>
      <c r="T86" s="11">
        <f t="shared" si="99"/>
        <v>56573684.497030921</v>
      </c>
      <c r="U86" s="11">
        <v>4687515.3940714905</v>
      </c>
      <c r="V86" s="11"/>
      <c r="W86" s="11">
        <f>SUM(W84+W71)</f>
        <v>3682133.7619877942</v>
      </c>
      <c r="X86" s="11"/>
      <c r="Y86" s="11">
        <f t="shared" si="101"/>
        <v>3710776.1162297046</v>
      </c>
      <c r="Z86" s="18">
        <f t="shared" si="74"/>
        <v>3764878.3409088687</v>
      </c>
      <c r="AA86" s="11">
        <f>SUM(AA71,AA84)</f>
        <v>60523074.912786931</v>
      </c>
      <c r="AB86" s="18">
        <f>AB71+AB84</f>
        <v>71648409.754537329</v>
      </c>
      <c r="AC86" s="11">
        <f t="shared" si="102"/>
        <v>60993868.062497459</v>
      </c>
      <c r="AD86" s="18">
        <f>AD71+AD84</f>
        <v>4280090.6300993953</v>
      </c>
      <c r="AE86" s="18">
        <f t="shared" si="78"/>
        <v>75928500.38463673</v>
      </c>
      <c r="AF86" s="58">
        <f>AF71+AF84</f>
        <v>76061100.940496549</v>
      </c>
      <c r="AG86" s="58">
        <f>AG71+AG84</f>
        <v>4348572.0801809859</v>
      </c>
      <c r="AH86" s="58">
        <f>AH71+AH84</f>
        <v>80409673.020677522</v>
      </c>
      <c r="AI86" s="70">
        <f>+AI71+AI84</f>
        <v>84020000</v>
      </c>
      <c r="AJ86" s="70">
        <f>+AJ71+AJ84</f>
        <v>8955400</v>
      </c>
      <c r="AK86" s="70">
        <f>+AK71+AK84</f>
        <v>92975400</v>
      </c>
      <c r="AL86" s="70">
        <f>AL84+AL71</f>
        <v>90514857.142857134</v>
      </c>
      <c r="AM86" s="70">
        <f>AM84+AM71</f>
        <v>9649055.1181102358</v>
      </c>
      <c r="AN86" s="70">
        <f>AN71+AN84</f>
        <v>125734152.11640209</v>
      </c>
      <c r="AO86" s="70">
        <f>AO71+AO84</f>
        <v>11954365.197078627</v>
      </c>
      <c r="AP86" s="42">
        <f>AN86+AO86</f>
        <v>137688517.31348071</v>
      </c>
      <c r="AQ86" s="79">
        <f>AQ71+AQ84</f>
        <v>143729120.69443607</v>
      </c>
      <c r="AR86" s="79">
        <f>AR71+AR84</f>
        <v>13837287.187827274</v>
      </c>
      <c r="AS86" s="84">
        <f t="shared" si="85"/>
        <v>143729120.69443607</v>
      </c>
      <c r="AT86" s="84">
        <f t="shared" si="86"/>
        <v>13881076.071333056</v>
      </c>
    </row>
    <row r="87" spans="1:50" x14ac:dyDescent="0.25">
      <c r="K87" s="71"/>
      <c r="L87" s="71"/>
      <c r="M87" s="71"/>
      <c r="U87" s="71"/>
      <c r="AP87" s="59">
        <v>4500000</v>
      </c>
    </row>
    <row r="88" spans="1:50" x14ac:dyDescent="0.25">
      <c r="A88" s="72"/>
      <c r="AE88" s="60"/>
      <c r="AH88" s="5"/>
      <c r="AK88" s="5"/>
      <c r="AL88" s="5"/>
      <c r="AM88" s="5"/>
      <c r="AN88" s="5"/>
      <c r="AO88" s="5"/>
      <c r="AP88" s="42">
        <f>AP86+AP87</f>
        <v>142188517.31348071</v>
      </c>
    </row>
    <row r="89" spans="1:50" x14ac:dyDescent="0.25">
      <c r="A89" s="72"/>
      <c r="AE89" s="60"/>
      <c r="AH89" s="5"/>
      <c r="AK89" s="5"/>
      <c r="AL89" s="5"/>
      <c r="AM89" s="5"/>
      <c r="AN89" s="5"/>
      <c r="AO89" s="5"/>
    </row>
    <row r="90" spans="1:50" x14ac:dyDescent="0.25">
      <c r="A90" s="72"/>
      <c r="AE90" s="60"/>
      <c r="AH90" s="5"/>
      <c r="AK90" s="5"/>
      <c r="AL90" s="5"/>
      <c r="AM90" s="5"/>
      <c r="AN90" s="5"/>
      <c r="AO90" s="5"/>
    </row>
    <row r="91" spans="1:50" ht="13" thickBot="1" x14ac:dyDescent="0.3">
      <c r="B91" s="73"/>
      <c r="AE91" s="74"/>
      <c r="AF91" s="75"/>
      <c r="AK91" s="5"/>
      <c r="AL91" s="5"/>
      <c r="AM91" s="5"/>
      <c r="AN91" s="5"/>
      <c r="AO91" s="5"/>
    </row>
    <row r="92" spans="1:50" ht="13" thickTop="1" x14ac:dyDescent="0.25">
      <c r="AF92" s="5"/>
    </row>
    <row r="93" spans="1:50" x14ac:dyDescent="0.25">
      <c r="F93" s="5"/>
      <c r="G93" s="5"/>
      <c r="H93" s="5"/>
      <c r="I93" s="5"/>
      <c r="Q93" s="5"/>
      <c r="R93" s="5"/>
      <c r="S93" s="5"/>
      <c r="T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1:50" x14ac:dyDescent="0.25">
      <c r="F94" s="5"/>
      <c r="G94" s="5"/>
      <c r="H94" s="5"/>
      <c r="I94" s="5"/>
      <c r="Q94" s="5"/>
      <c r="R94" s="5"/>
      <c r="S94" s="5"/>
      <c r="T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50" x14ac:dyDescent="0.25">
      <c r="F95" s="5"/>
      <c r="G95" s="5"/>
      <c r="H95" s="5"/>
      <c r="I95" s="5"/>
      <c r="Q95" s="5"/>
      <c r="R95" s="5"/>
      <c r="S95" s="5"/>
      <c r="T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K95" s="5"/>
      <c r="AL95" s="5"/>
      <c r="AM95" s="5"/>
      <c r="AN95" s="5"/>
      <c r="AO95" s="5"/>
    </row>
    <row r="96" spans="1:50" x14ac:dyDescent="0.25">
      <c r="F96" s="5"/>
      <c r="G96" s="5"/>
      <c r="H96" s="5"/>
      <c r="I96" s="5"/>
      <c r="Q96" s="5"/>
      <c r="R96" s="5"/>
      <c r="S96" s="5"/>
      <c r="T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K96" s="54"/>
      <c r="AL96" s="54"/>
      <c r="AM96" s="54"/>
      <c r="AN96" s="54"/>
      <c r="AO96" s="54"/>
    </row>
    <row r="97" spans="34:41" x14ac:dyDescent="0.25">
      <c r="AK97" s="54"/>
      <c r="AL97" s="54"/>
      <c r="AM97" s="54"/>
      <c r="AN97" s="54"/>
      <c r="AO97" s="54"/>
    </row>
    <row r="108" spans="34:41" x14ac:dyDescent="0.25">
      <c r="AH108" s="5"/>
    </row>
  </sheetData>
  <autoFilter ref="A3:AY88" xr:uid="{00000000-0009-0000-0000-000000000000}"/>
  <sortState xmlns:xlrd2="http://schemas.microsoft.com/office/spreadsheetml/2017/richdata2" ref="A5:AH78">
    <sortCondition ref="C5:C78"/>
  </sortState>
  <phoneticPr fontId="0" type="noConversion"/>
  <pageMargins left="0.70866141732283472" right="0.70866141732283472" top="0.74803149606299213" bottom="0.74803149606299213" header="0.31496062992125984" footer="0.31496062992125984"/>
  <pageSetup paperSize="8" fitToHeight="0" orientation="landscape"/>
  <headerFooter scaleWithDoc="0" alignWithMargins="0">
    <oddFooter>&amp;L&amp;8&amp;F&amp;C&amp;8&amp;P&amp;R&amp;8&amp;D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EA936EDBDEA4E87DC9586D96FDEB2" ma:contentTypeVersion="4" ma:contentTypeDescription="Een nieuw document maken." ma:contentTypeScope="" ma:versionID="0b1f2f74f330d5bb369278ef626772bb">
  <xsd:schema xmlns:xsd="http://www.w3.org/2001/XMLSchema" xmlns:xs="http://www.w3.org/2001/XMLSchema" xmlns:p="http://schemas.microsoft.com/office/2006/metadata/properties" xmlns:ns2="25cc6c80-50c5-429d-9ebb-f91fc730949e" targetNamespace="http://schemas.microsoft.com/office/2006/metadata/properties" ma:root="true" ma:fieldsID="2b6437b4b3ca47b02d6b3282708d7915" ns2:_="">
    <xsd:import namespace="25cc6c80-50c5-429d-9ebb-f91fc73094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c6c80-50c5-429d-9ebb-f91fc73094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21686D-B12F-4AB7-A351-627CEFF1842A}"/>
</file>

<file path=customXml/itemProps2.xml><?xml version="1.0" encoding="utf-8"?>
<ds:datastoreItem xmlns:ds="http://schemas.openxmlformats.org/officeDocument/2006/customXml" ds:itemID="{9AB9C4B8-186A-4883-91E7-F370360EEB78}"/>
</file>

<file path=customXml/itemProps3.xml><?xml version="1.0" encoding="utf-8"?>
<ds:datastoreItem xmlns:ds="http://schemas.openxmlformats.org/officeDocument/2006/customXml" ds:itemID="{3FF16A11-10BA-4B90-851C-FE7E9F1203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Brand-stormverzekering</vt:lpstr>
      <vt:lpstr>Blad3</vt:lpstr>
      <vt:lpstr>Blad4</vt:lpstr>
      <vt:lpstr>'Brand-stormverzekering'!Afdrukbereik</vt:lpstr>
      <vt:lpstr>'Brand-stormverzekering'!Afdruktitels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Maike Uijen</cp:lastModifiedBy>
  <cp:lastPrinted>2024-09-19T13:01:42Z</cp:lastPrinted>
  <dcterms:created xsi:type="dcterms:W3CDTF">1996-11-27T13:48:17Z</dcterms:created>
  <dcterms:modified xsi:type="dcterms:W3CDTF">2024-09-25T11:06:53Z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0x0101007AFEA936EDBDEA4E87DC9586D96FDEB2</vt:lpwstr>
  </property>
</Properties>
</file>