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arnix College\Aanbesteding 2025\Uitlever\"/>
    </mc:Choice>
  </mc:AlternateContent>
  <xr:revisionPtr revIDLastSave="0" documentId="13_ncr:1_{A2946875-EAFD-4604-A6B9-06F32D067E55}" xr6:coauthVersionLast="47" xr6:coauthVersionMax="47" xr10:uidLastSave="{00000000-0000-0000-0000-000000000000}"/>
  <bookViews>
    <workbookView xWindow="2070" yWindow="2940" windowWidth="21600" windowHeight="11295" firstSheet="3" activeTab="13" xr2:uid="{0BB88F13-DD35-4A4C-9CDA-3A759D03BD51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Totaalblad Objecten" sheetId="7" r:id="rId7"/>
    <sheet name="Additioneel werk" sheetId="8" r:id="rId8"/>
    <sheet name="Additioneel werk per locatie" sheetId="9" r:id="rId9"/>
    <sheet name="Afroep" sheetId="10" r:id="rId10"/>
    <sheet name="Afroep incidenteel" sheetId="11" r:id="rId11"/>
    <sheet name="Glas" sheetId="12" r:id="rId12"/>
    <sheet name="Glas per locatie" sheetId="13" r:id="rId13"/>
    <sheet name="Totaal" sheetId="14" r:id="rId14"/>
  </sheets>
  <definedNames>
    <definedName name="_xlnm._FilterDatabase" localSheetId="3" hidden="1">'Ruimten werkdag'!$A$3:$U$219</definedName>
    <definedName name="_xlnm.Print_Titles" localSheetId="7">'Additioneel werk'!$1:$3</definedName>
    <definedName name="_xlnm.Print_Titles" localSheetId="8">'Additioneel werk per locatie'!$1:$3</definedName>
    <definedName name="_xlnm.Print_Titles" localSheetId="9">Afroep!$1:$3</definedName>
    <definedName name="_xlnm.Print_Titles" localSheetId="10">'Afroep incidenteel'!$1:$3</definedName>
    <definedName name="_xlnm.Print_Titles" localSheetId="1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2">'Regulier werk'!$1:$3</definedName>
    <definedName name="_xlnm.Print_Titles" localSheetId="3">'Ruimten werkdag'!$1:$3</definedName>
    <definedName name="_xlnm.Print_Titles" localSheetId="13">Totaal!$1:$3</definedName>
    <definedName name="_xlnm.Print_Titles" localSheetId="6">'Totaalblad Objecten'!$A:$A,'Totaalblad Objecten'!$1:$3</definedName>
    <definedName name="catdw_1_BHV_40">Categorienormen!$F$6</definedName>
    <definedName name="catdw_1_BZV_40">Categorienormen!$F$7</definedName>
    <definedName name="catdw_1_EZB_1">Categorienormen!$F$22</definedName>
    <definedName name="catdw_1_EZV_40">Categorienormen!$F$23</definedName>
    <definedName name="catdw_1_GHB_1">Categorienormen!$F$24</definedName>
    <definedName name="catdw_1_GHV_40">Categorienormen!$F$25</definedName>
    <definedName name="catdw_1_IHB_1">Categorienormen!$F$26</definedName>
    <definedName name="catdw_1_IHV_40">Categorienormen!$F$27</definedName>
    <definedName name="catdw_1_KHB_1">Categorienormen!$F$18</definedName>
    <definedName name="catdw_1_KHV_40">Categorienormen!$F$19</definedName>
    <definedName name="catdw_1_LHB_1">Categorienormen!$F$8</definedName>
    <definedName name="catdw_1_LHV_40">Categorienormen!$F$9</definedName>
    <definedName name="catdw_1_LZB_1">Categorienormen!$F$10</definedName>
    <definedName name="catdw_1_LZV_40">Categorienormen!$F$11</definedName>
    <definedName name="catdw_1_MZB_1">Categorienormen!$F$12</definedName>
    <definedName name="catdw_1_MZV_40">Categorienormen!$F$13</definedName>
    <definedName name="catdw_1_PMHB_1">Categorienormen!$F$14</definedName>
    <definedName name="catdw_1_PMHV_40">Categorienormen!$F$15</definedName>
    <definedName name="catdw_1_PUHB_1">Categorienormen!$F$16</definedName>
    <definedName name="catdw_1_PUHV_40">Categorienormen!$F$17</definedName>
    <definedName name="catdw_1_RHB_1">Categorienormen!$F$28</definedName>
    <definedName name="catdw_1_RHV_40">Categorienormen!$F$29</definedName>
    <definedName name="catdw_1_RZB_1">Categorienormen!$F$30</definedName>
    <definedName name="catdw_1_RZV_40">Categorienormen!$F$31</definedName>
    <definedName name="catdw_1_SHB_1">Categorienormen!$F$20</definedName>
    <definedName name="catdw_1_SHV_40">Categorienormen!$F$21</definedName>
    <definedName name="catdw_1_THB_1">Categorienormen!$F$32</definedName>
    <definedName name="catdw_1_THV_40">Categorienormen!$F$33</definedName>
    <definedName name="catdw_1_VHB_1">Categorienormen!$F$34</definedName>
    <definedName name="catdw_1_VHV_40">Categorienormen!$F$35</definedName>
    <definedName name="catdw_1_VZB_1">Categorienormen!$F$36</definedName>
    <definedName name="catdw_1_VZV_40">Categorienormen!$F$37</definedName>
    <definedName name="catfd_1_BHV_40">Categorienormen!$C$6</definedName>
    <definedName name="catfd_1_BZV_40">Categorienormen!$C$7</definedName>
    <definedName name="catfd_1_EZB_1">Categorienormen!$C$22</definedName>
    <definedName name="catfd_1_EZV_40">Categorienormen!$C$23</definedName>
    <definedName name="catfd_1_GHB_1">Categorienormen!$C$24</definedName>
    <definedName name="catfd_1_GHV_40">Categorienormen!$C$25</definedName>
    <definedName name="catfd_1_IHB_1">Categorienormen!$C$26</definedName>
    <definedName name="catfd_1_IHV_40">Categorienormen!$C$27</definedName>
    <definedName name="catfd_1_KHB_1">Categorienormen!$C$18</definedName>
    <definedName name="catfd_1_KHV_40">Categorienormen!$C$19</definedName>
    <definedName name="catfd_1_LHB_1">Categorienormen!$C$8</definedName>
    <definedName name="catfd_1_LHV_40">Categorienormen!$C$9</definedName>
    <definedName name="catfd_1_LZB_1">Categorienormen!$C$10</definedName>
    <definedName name="catfd_1_LZV_40">Categorienormen!$C$11</definedName>
    <definedName name="catfd_1_MZB_1">Categorienormen!$C$12</definedName>
    <definedName name="catfd_1_MZV_40">Categorienormen!$C$13</definedName>
    <definedName name="catfd_1_PMHB_1">Categorienormen!$C$14</definedName>
    <definedName name="catfd_1_PMHV_40">Categorienormen!$C$15</definedName>
    <definedName name="catfd_1_PUHB_1">Categorienormen!$C$16</definedName>
    <definedName name="catfd_1_PUHV_40">Categorienormen!$C$17</definedName>
    <definedName name="catfd_1_RHB_1">Categorienormen!$C$28</definedName>
    <definedName name="catfd_1_RHV_40">Categorienormen!$C$29</definedName>
    <definedName name="catfd_1_RZB_1">Categorienormen!$C$30</definedName>
    <definedName name="catfd_1_RZV_40">Categorienormen!$C$31</definedName>
    <definedName name="catfd_1_SHB_1">Categorienormen!$C$20</definedName>
    <definedName name="catfd_1_SHV_40">Categorienormen!$C$21</definedName>
    <definedName name="catfd_1_THB_1">Categorienormen!$C$32</definedName>
    <definedName name="catfd_1_THV_40">Categorienormen!$C$33</definedName>
    <definedName name="catfd_1_VHB_1">Categorienormen!$C$34</definedName>
    <definedName name="catfd_1_VHV_40">Categorienormen!$C$35</definedName>
    <definedName name="catfd_1_VZB_1">Categorienormen!$C$36</definedName>
    <definedName name="catfd_1_VZV_40">Categorienormen!$C$37</definedName>
    <definedName name="catpn_1_BHV_40">Categorienormen!$E$6</definedName>
    <definedName name="catpn_1_BZV_40">Categorienormen!$E$7</definedName>
    <definedName name="catpn_1_EZB_1">Categorienormen!$E$22</definedName>
    <definedName name="catpn_1_EZV_40">Categorienormen!$E$23</definedName>
    <definedName name="catpn_1_GHB_1">Categorienormen!$E$24</definedName>
    <definedName name="catpn_1_GHV_40">Categorienormen!$E$25</definedName>
    <definedName name="catpn_1_IHB_1">Categorienormen!$E$26</definedName>
    <definedName name="catpn_1_IHV_40">Categorienormen!$E$27</definedName>
    <definedName name="catpn_1_KHB_1">Categorienormen!$E$18</definedName>
    <definedName name="catpn_1_KHV_40">Categorienormen!$E$19</definedName>
    <definedName name="catpn_1_LHB_1">Categorienormen!$E$8</definedName>
    <definedName name="catpn_1_LHV_40">Categorienormen!$E$9</definedName>
    <definedName name="catpn_1_LZB_1">Categorienormen!$E$10</definedName>
    <definedName name="catpn_1_LZV_40">Categorienormen!$E$11</definedName>
    <definedName name="catpn_1_MZB_1">Categorienormen!$E$12</definedName>
    <definedName name="catpn_1_MZV_40">Categorienormen!$E$13</definedName>
    <definedName name="catpn_1_PMHB_1">Categorienormen!$E$14</definedName>
    <definedName name="catpn_1_PMHV_40">Categorienormen!$E$15</definedName>
    <definedName name="catpn_1_PUHB_1">Categorienormen!$E$16</definedName>
    <definedName name="catpn_1_PUHV_40">Categorienormen!$E$17</definedName>
    <definedName name="catpn_1_RHB_1">Categorienormen!$E$28</definedName>
    <definedName name="catpn_1_RHV_40">Categorienormen!$E$29</definedName>
    <definedName name="catpn_1_RZB_1">Categorienormen!$E$30</definedName>
    <definedName name="catpn_1_RZV_40">Categorienormen!$E$31</definedName>
    <definedName name="catpn_1_SHB_1">Categorienormen!$E$20</definedName>
    <definedName name="catpn_1_SHV_40">Categorienormen!$E$21</definedName>
    <definedName name="catpn_1_THB_1">Categorienormen!$E$32</definedName>
    <definedName name="catpn_1_THV_40">Categorienormen!$E$33</definedName>
    <definedName name="catpn_1_VHB_1">Categorienormen!$E$34</definedName>
    <definedName name="catpn_1_VHV_40">Categorienormen!$E$35</definedName>
    <definedName name="catpn_1_VZB_1">Categorienormen!$E$36</definedName>
    <definedName name="catpn_1_VZV_40">Categorienormen!$E$37</definedName>
    <definedName name="cattf_1_BHV_40">Categorienormen!$H$6</definedName>
    <definedName name="cattf_1_BZV_40">Categorienormen!$H$7</definedName>
    <definedName name="cattf_1_EZB_1">Categorienormen!$H$22</definedName>
    <definedName name="cattf_1_EZV_40">Categorienormen!$H$23</definedName>
    <definedName name="cattf_1_GHB_1">Categorienormen!$H$24</definedName>
    <definedName name="cattf_1_GHV_40">Categorienormen!$H$25</definedName>
    <definedName name="cattf_1_IHB_1">Categorienormen!$H$26</definedName>
    <definedName name="cattf_1_IHV_40">Categorienormen!$H$27</definedName>
    <definedName name="cattf_1_KHB_1">Categorienormen!$H$18</definedName>
    <definedName name="cattf_1_KHV_40">Categorienormen!$H$19</definedName>
    <definedName name="cattf_1_LHB_1">Categorienormen!$H$8</definedName>
    <definedName name="cattf_1_LHV_40">Categorienormen!$H$9</definedName>
    <definedName name="cattf_1_LZB_1">Categorienormen!$H$10</definedName>
    <definedName name="cattf_1_LZV_40">Categorienormen!$H$11</definedName>
    <definedName name="cattf_1_MZB_1">Categorienormen!$H$12</definedName>
    <definedName name="cattf_1_MZV_40">Categorienormen!$H$13</definedName>
    <definedName name="cattf_1_PMHB_1">Categorienormen!$H$14</definedName>
    <definedName name="cattf_1_PMHV_40">Categorienormen!$H$15</definedName>
    <definedName name="cattf_1_PUHB_1">Categorienormen!$H$16</definedName>
    <definedName name="cattf_1_PUHV_40">Categorienormen!$H$17</definedName>
    <definedName name="cattf_1_RHB_1">Categorienormen!$H$28</definedName>
    <definedName name="cattf_1_RHV_40">Categorienormen!$H$29</definedName>
    <definedName name="cattf_1_RZB_1">Categorienormen!$H$30</definedName>
    <definedName name="cattf_1_RZV_40">Categorienormen!$H$31</definedName>
    <definedName name="cattf_1_SHB_1">Categorienormen!$H$20</definedName>
    <definedName name="cattf_1_SHV_40">Categorienormen!$H$21</definedName>
    <definedName name="cattf_1_THB_1">Categorienormen!$H$32</definedName>
    <definedName name="cattf_1_THV_40">Categorienormen!$H$33</definedName>
    <definedName name="cattf_1_VHB_1">Categorienormen!$H$34</definedName>
    <definedName name="cattf_1_VHV_40">Categorienormen!$H$35</definedName>
    <definedName name="cattf_1_VZB_1">Categorienormen!$H$36</definedName>
    <definedName name="cattf_1_VZV_40">Categorienormen!$H$37</definedName>
    <definedName name="dagenperjaar1">Omreken!$B$9</definedName>
    <definedName name="dagenperweek1">Omreken!$B$10</definedName>
    <definedName name="dagsoorttabel1">Omreken!$A$13:$B$27</definedName>
    <definedName name="dagwerk10">'Regulier werk'!$H$11</definedName>
    <definedName name="dagwerk11">'Regulier werk'!$H$12</definedName>
    <definedName name="dagwerk12">'Regulier werk'!$H$13</definedName>
    <definedName name="dagwerk13">'Regulier werk'!$H$14</definedName>
    <definedName name="dagwerk14">'Regulier werk'!$H$15</definedName>
    <definedName name="dagwerk15">'Regulier werk'!$H$16</definedName>
    <definedName name="dagwerk16">'Regulier werk'!$H$17</definedName>
    <definedName name="dagwerk17">'Regulier werk'!$H$18</definedName>
    <definedName name="dagwerk18">'Regulier werk'!$H$19</definedName>
    <definedName name="dagwerk19">'Regulier werk'!$H$20</definedName>
    <definedName name="dagwerk20">'Regulier werk'!$H$21</definedName>
    <definedName name="dagwerk21">'Regulier werk'!$H$22</definedName>
    <definedName name="dagwerk22">'Regulier werk'!$H$23</definedName>
    <definedName name="dagwerk23">'Regulier werk'!$H$24</definedName>
    <definedName name="dagwerk24">'Regulier werk'!$H$25</definedName>
    <definedName name="dagwerk25">'Regulier werk'!$H$26</definedName>
    <definedName name="dagwerk5">'Regulier werk'!$H$6</definedName>
    <definedName name="dagwerk6">'Regulier werk'!$H$7</definedName>
    <definedName name="dagwerk7">'Regulier werk'!$H$8</definedName>
    <definedName name="dagwerk8">'Regulier werk'!$H$9</definedName>
    <definedName name="dagwerk9">'Regulier werk'!$H$10</definedName>
    <definedName name="dagwerktabel1">Objectinformatie!$H$5:$H$25</definedName>
    <definedName name="gemuurtarief1">'Regulier werk'!$J$29</definedName>
    <definedName name="kengetaltabel1">Objectinformatie!$G$5:$G$25</definedName>
    <definedName name="object1_gemuurtarief1">'Ruimten werkdag'!$P$219</definedName>
    <definedName name="object1_opptabel1">Objectinformatie!$J$5:$J$25</definedName>
    <definedName name="object1_prijsdag1">'Ruimten werkdag'!$S$219</definedName>
    <definedName name="object1_prijsjaar1">'Ruimten werkdag'!$U$219</definedName>
    <definedName name="object1_urendag1">'Ruimten werkdag'!$Q$219</definedName>
    <definedName name="object1_urendaghf1">'Ruimten werkdag'!$R$219</definedName>
    <definedName name="object1_urenjaar1">'Ruimten werkdag'!$T$219</definedName>
    <definedName name="objectprijs1_1">Objecten!$Q$6</definedName>
    <definedName name="objecturen1_1">Objecten!$P$6</definedName>
    <definedName name="objecturenhf1_1">Objecten!$O$6</definedName>
    <definedName name="prijsdag1">'Regulier werk'!$L$27</definedName>
    <definedName name="prijsjaar">'Regulier werk'!$N$32</definedName>
    <definedName name="prijsjaar1">'Regulier werk'!$N$27</definedName>
    <definedName name="prijsjaaradditioneel">'Additioneel werk'!$K$9</definedName>
    <definedName name="prijsjaaradditioneel1">'Additioneel werk'!$K$7</definedName>
    <definedName name="prijsjaarafroep">Afroep!$K$11</definedName>
    <definedName name="prijsjaarafroep1">Afroep!$K$9</definedName>
    <definedName name="prijsjaarglas">Glas!$K$11</definedName>
    <definedName name="prijsjaarglas1">Glas!$K$9</definedName>
    <definedName name="prijsjaartotaal">Objecten!$Q$10</definedName>
    <definedName name="prijsjaartotaal1">Objecten!$Q$7</definedName>
    <definedName name="prijsjaartotaaloverzicht">'Totaalblad Objecten'!$B$12</definedName>
    <definedName name="prijsmaandtotaal1">Objecten!$R$7</definedName>
    <definedName name="prodnorm0">Afroep!$H$8</definedName>
    <definedName name="prodnorm1">'Glas per locatie'!$I$6</definedName>
    <definedName name="prodnorm10">'Regulier werk'!$G$11</definedName>
    <definedName name="prodnorm11">'Regulier werk'!$G$12</definedName>
    <definedName name="prodnorm12">'Regulier werk'!$G$13</definedName>
    <definedName name="prodnorm13">'Regulier werk'!$G$14</definedName>
    <definedName name="prodnorm14">'Regulier werk'!$G$15</definedName>
    <definedName name="prodnorm15">'Regulier werk'!$G$16</definedName>
    <definedName name="prodnorm16">'Regulier werk'!$G$17</definedName>
    <definedName name="prodnorm17">'Regulier werk'!$G$18</definedName>
    <definedName name="prodnorm18">'Regulier werk'!$G$19</definedName>
    <definedName name="prodnorm19">'Regulier werk'!$G$20</definedName>
    <definedName name="prodnorm2">'Glas per locatie'!$I$7</definedName>
    <definedName name="prodnorm20">'Regulier werk'!$G$21</definedName>
    <definedName name="prodnorm21">'Regulier werk'!$G$22</definedName>
    <definedName name="prodnorm22">'Regulier werk'!$G$23</definedName>
    <definedName name="prodnorm23">'Regulier werk'!$G$24</definedName>
    <definedName name="prodnorm24">'Regulier werk'!$G$25</definedName>
    <definedName name="prodnorm25">'Regulier werk'!$G$26</definedName>
    <definedName name="prodnorm3">'Glas per locatie'!$I$8</definedName>
    <definedName name="prodnorm4">'Additioneel werk per locatie'!$I$6</definedName>
    <definedName name="prodnorm5">'Regulier werk'!$G$6</definedName>
    <definedName name="prodnorm6">'Regulier werk'!$G$7</definedName>
    <definedName name="prodnorm7">'Regulier werk'!$G$8</definedName>
    <definedName name="prodnorm8">'Regulier werk'!$G$9</definedName>
    <definedName name="prodnorm9">'Regulier werk'!$G$10</definedName>
    <definedName name="taakfreqtabel1">Objectinformatie!$E$5:$E$25</definedName>
    <definedName name="tabeltype">Omreken!$B$5:$B$5</definedName>
    <definedName name="tarieftabel1">Objectinformatie!$I$5:$I$25</definedName>
    <definedName name="urendag1">'Regulier werk'!$K$27</definedName>
    <definedName name="urenjaar">'Regulier werk'!$M$32</definedName>
    <definedName name="urenjaar1">'Regulier werk'!$M$27</definedName>
    <definedName name="urenjaartotaal">Objecten!$P$10</definedName>
    <definedName name="urenjaartotaal1">Objecten!$P$7</definedName>
    <definedName name="urenjaartotaalhf">Objecten!$O$10</definedName>
    <definedName name="urenjaartotaalhf1">Objecten!$O$7</definedName>
    <definedName name="urenjaartotaaloverzicht">'Totaalblad Objecten'!$B$10</definedName>
    <definedName name="urenjaartotaaloverzichthf">'Totaalblad Objecten'!$B$9</definedName>
    <definedName name="uurfactortabel1">Objectinformatie!$F$5:$F$25</definedName>
    <definedName name="uurtarief0">'Afroep incidenteel'!$E$91</definedName>
    <definedName name="uurtarief1">'Glas per locatie'!$J$6</definedName>
    <definedName name="uurtarief10">'Regulier werk'!$J$11</definedName>
    <definedName name="uurtarief11">'Regulier werk'!$J$12</definedName>
    <definedName name="uurtarief12">'Regulier werk'!$J$13</definedName>
    <definedName name="uurtarief13">'Regulier werk'!$J$14</definedName>
    <definedName name="uurtarief14">'Regulier werk'!$J$15</definedName>
    <definedName name="uurtarief15">'Regulier werk'!$J$16</definedName>
    <definedName name="uurtarief16">'Regulier werk'!$J$17</definedName>
    <definedName name="uurtarief17">'Regulier werk'!$J$18</definedName>
    <definedName name="uurtarief18">'Regulier werk'!$J$19</definedName>
    <definedName name="uurtarief19">'Regulier werk'!$J$20</definedName>
    <definedName name="uurtarief2">'Glas per locatie'!$J$7</definedName>
    <definedName name="uurtarief20">'Regulier werk'!$J$21</definedName>
    <definedName name="uurtarief21">'Regulier werk'!$J$22</definedName>
    <definedName name="uurtarief22">'Regulier werk'!$J$23</definedName>
    <definedName name="uurtarief23">'Regulier werk'!$J$24</definedName>
    <definedName name="uurtarief24">'Regulier werk'!$J$25</definedName>
    <definedName name="uurtarief25">'Regulier werk'!$J$26</definedName>
    <definedName name="uurtarief3">'Glas per locatie'!$J$8</definedName>
    <definedName name="uurtarief4">'Additioneel werk per locatie'!$H$6</definedName>
    <definedName name="uurtarief5">'Regulier werk'!$J$6</definedName>
    <definedName name="uurtarief6">'Regulier werk'!$J$7</definedName>
    <definedName name="uurtarief7">'Regulier werk'!$J$8</definedName>
    <definedName name="uurtarief8">'Regulier werk'!$J$9</definedName>
    <definedName name="uurtarief9">'Regulier werk'!$J$10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4" l="1"/>
  <c r="E17" i="14"/>
  <c r="A1" i="14"/>
  <c r="J8" i="13"/>
  <c r="K8" i="13" s="1"/>
  <c r="H8" i="13"/>
  <c r="J7" i="13"/>
  <c r="K7" i="13" s="1"/>
  <c r="H7" i="13"/>
  <c r="J6" i="13"/>
  <c r="K6" i="13" s="1"/>
  <c r="K9" i="13" s="1"/>
  <c r="H6" i="13"/>
  <c r="A1" i="13"/>
  <c r="J8" i="12"/>
  <c r="J7" i="12"/>
  <c r="J6" i="12"/>
  <c r="A1" i="12"/>
  <c r="A1" i="11"/>
  <c r="J8" i="10"/>
  <c r="J7" i="10"/>
  <c r="J6" i="10"/>
  <c r="A1" i="10"/>
  <c r="I6" i="9"/>
  <c r="H6" i="9"/>
  <c r="A1" i="9"/>
  <c r="J6" i="8"/>
  <c r="A1" i="8"/>
  <c r="B7" i="7"/>
  <c r="A1" i="7"/>
  <c r="A1" i="6"/>
  <c r="I25" i="5"/>
  <c r="H25" i="5"/>
  <c r="G25" i="5"/>
  <c r="I24" i="5"/>
  <c r="H24" i="5"/>
  <c r="G24" i="5"/>
  <c r="P217" i="4"/>
  <c r="N217" i="4"/>
  <c r="M217" i="4"/>
  <c r="P214" i="4"/>
  <c r="N214" i="4"/>
  <c r="M214" i="4"/>
  <c r="P208" i="4"/>
  <c r="N208" i="4"/>
  <c r="M208" i="4"/>
  <c r="P204" i="4"/>
  <c r="N204" i="4"/>
  <c r="M204" i="4"/>
  <c r="P192" i="4"/>
  <c r="N192" i="4"/>
  <c r="M192" i="4"/>
  <c r="P179" i="4"/>
  <c r="N179" i="4"/>
  <c r="M179" i="4"/>
  <c r="P162" i="4"/>
  <c r="N162" i="4"/>
  <c r="M162" i="4"/>
  <c r="P153" i="4"/>
  <c r="N153" i="4"/>
  <c r="M153" i="4"/>
  <c r="P151" i="4"/>
  <c r="N151" i="4"/>
  <c r="M151" i="4"/>
  <c r="P144" i="4"/>
  <c r="N144" i="4"/>
  <c r="M144" i="4"/>
  <c r="P132" i="4"/>
  <c r="N132" i="4"/>
  <c r="M132" i="4"/>
  <c r="P126" i="4"/>
  <c r="N126" i="4"/>
  <c r="M126" i="4"/>
  <c r="P123" i="4"/>
  <c r="N123" i="4"/>
  <c r="M123" i="4"/>
  <c r="P121" i="4"/>
  <c r="N121" i="4"/>
  <c r="M121" i="4"/>
  <c r="P90" i="4"/>
  <c r="N90" i="4"/>
  <c r="M90" i="4"/>
  <c r="P84" i="4"/>
  <c r="N84" i="4"/>
  <c r="M84" i="4"/>
  <c r="P80" i="4"/>
  <c r="N80" i="4"/>
  <c r="M80" i="4"/>
  <c r="P68" i="4"/>
  <c r="N68" i="4"/>
  <c r="M68" i="4"/>
  <c r="P41" i="4"/>
  <c r="N41" i="4"/>
  <c r="M41" i="4"/>
  <c r="P39" i="4"/>
  <c r="N39" i="4"/>
  <c r="M39" i="4"/>
  <c r="P33" i="4"/>
  <c r="N33" i="4"/>
  <c r="M33" i="4"/>
  <c r="P25" i="4"/>
  <c r="N25" i="4"/>
  <c r="M25" i="4"/>
  <c r="P23" i="4"/>
  <c r="N23" i="4"/>
  <c r="M23" i="4"/>
  <c r="P21" i="4"/>
  <c r="N21" i="4"/>
  <c r="M21" i="4"/>
  <c r="P19" i="4"/>
  <c r="N19" i="4"/>
  <c r="M19" i="4"/>
  <c r="P17" i="4"/>
  <c r="N17" i="4"/>
  <c r="M17" i="4"/>
  <c r="P15" i="4"/>
  <c r="N15" i="4"/>
  <c r="M15" i="4"/>
  <c r="P13" i="4"/>
  <c r="N13" i="4"/>
  <c r="M13" i="4"/>
  <c r="P9" i="4"/>
  <c r="N9" i="4"/>
  <c r="M9" i="4"/>
  <c r="A1" i="4"/>
  <c r="K26" i="3"/>
  <c r="K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4" i="5" l="1"/>
  <c r="E23" i="5"/>
  <c r="E22" i="5"/>
  <c r="E21" i="5"/>
  <c r="E20" i="5"/>
  <c r="E19" i="5"/>
  <c r="E18" i="5"/>
  <c r="E17" i="5"/>
  <c r="E16" i="5"/>
  <c r="E15" i="5"/>
  <c r="E14" i="5"/>
  <c r="E12" i="5"/>
  <c r="E10" i="5"/>
  <c r="E9" i="5"/>
  <c r="E8" i="5"/>
  <c r="E7" i="5"/>
  <c r="L215" i="4"/>
  <c r="L212" i="4"/>
  <c r="L211" i="4"/>
  <c r="L210" i="4"/>
  <c r="L209" i="4"/>
  <c r="L206" i="4"/>
  <c r="L201" i="4"/>
  <c r="L196" i="4"/>
  <c r="L193" i="4"/>
  <c r="L177" i="4"/>
  <c r="L170" i="4"/>
  <c r="L169" i="4"/>
  <c r="L166" i="4"/>
  <c r="L164" i="4"/>
  <c r="L149" i="4"/>
  <c r="L148" i="4"/>
  <c r="L147" i="4"/>
  <c r="L146" i="4"/>
  <c r="L145" i="4"/>
  <c r="L142" i="4"/>
  <c r="L141" i="4"/>
  <c r="L134" i="4"/>
  <c r="L133" i="4"/>
  <c r="L130" i="4"/>
  <c r="L129" i="4"/>
  <c r="L128" i="4"/>
  <c r="L127" i="4"/>
  <c r="L118" i="4"/>
  <c r="L117" i="4"/>
  <c r="L116" i="4"/>
  <c r="L115" i="4"/>
  <c r="L114" i="4"/>
  <c r="L113" i="4"/>
  <c r="L112" i="4"/>
  <c r="L111" i="4"/>
  <c r="L109" i="4"/>
  <c r="L108" i="4"/>
  <c r="L107" i="4"/>
  <c r="L106" i="4"/>
  <c r="L104" i="4"/>
  <c r="L103" i="4"/>
  <c r="L102" i="4"/>
  <c r="L101" i="4"/>
  <c r="L99" i="4"/>
  <c r="L98" i="4"/>
  <c r="L97" i="4"/>
  <c r="L95" i="4"/>
  <c r="L93" i="4"/>
  <c r="L92" i="4"/>
  <c r="L86" i="4"/>
  <c r="L82" i="4"/>
  <c r="L81" i="4"/>
  <c r="L78" i="4"/>
  <c r="L77" i="4"/>
  <c r="L76" i="4"/>
  <c r="L75" i="4"/>
  <c r="L74" i="4"/>
  <c r="L73" i="4"/>
  <c r="L72" i="4"/>
  <c r="L71" i="4"/>
  <c r="L70" i="4"/>
  <c r="L69" i="4"/>
  <c r="L66" i="4"/>
  <c r="L65" i="4"/>
  <c r="L64" i="4"/>
  <c r="L63" i="4"/>
  <c r="L62" i="4"/>
  <c r="L61" i="4"/>
  <c r="L60" i="4"/>
  <c r="L59" i="4"/>
  <c r="L58" i="4"/>
  <c r="L57" i="4"/>
  <c r="L56" i="4"/>
  <c r="L54" i="4"/>
  <c r="L53" i="4"/>
  <c r="L52" i="4"/>
  <c r="L51" i="4"/>
  <c r="L50" i="4"/>
  <c r="L49" i="4"/>
  <c r="L48" i="4"/>
  <c r="L47" i="4"/>
  <c r="L46" i="4"/>
  <c r="L45" i="4"/>
  <c r="L44" i="4"/>
  <c r="L42" i="4"/>
  <c r="L37" i="4"/>
  <c r="L36" i="4"/>
  <c r="L35" i="4"/>
  <c r="L34" i="4"/>
  <c r="L33" i="4"/>
  <c r="L32" i="4"/>
  <c r="L31" i="4"/>
  <c r="L30" i="4"/>
  <c r="L29" i="4"/>
  <c r="L28" i="4"/>
  <c r="L27" i="4"/>
  <c r="L26" i="4"/>
  <c r="L13" i="4"/>
  <c r="L12" i="4"/>
  <c r="L11" i="4"/>
  <c r="L10" i="4"/>
  <c r="L7" i="4"/>
  <c r="L6" i="4"/>
  <c r="L5" i="4"/>
  <c r="F25" i="3"/>
  <c r="F24" i="3"/>
  <c r="F23" i="3"/>
  <c r="F22" i="3"/>
  <c r="F21" i="3"/>
  <c r="F20" i="3"/>
  <c r="F19" i="3"/>
  <c r="F18" i="3"/>
  <c r="F17" i="3"/>
  <c r="F16" i="3"/>
  <c r="F15" i="3"/>
  <c r="F13" i="3"/>
  <c r="F11" i="3"/>
  <c r="F10" i="3"/>
  <c r="F9" i="3"/>
  <c r="F8" i="3"/>
  <c r="E25" i="5"/>
  <c r="E13" i="5"/>
  <c r="E11" i="5"/>
  <c r="L218" i="4"/>
  <c r="L217" i="4"/>
  <c r="L214" i="4"/>
  <c r="L208" i="4"/>
  <c r="L205" i="4"/>
  <c r="L204" i="4"/>
  <c r="L202" i="4"/>
  <c r="L200" i="4"/>
  <c r="L199" i="4"/>
  <c r="L198" i="4"/>
  <c r="L197" i="4"/>
  <c r="L195" i="4"/>
  <c r="L194" i="4"/>
  <c r="L192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6" i="4"/>
  <c r="L175" i="4"/>
  <c r="L174" i="4"/>
  <c r="L173" i="4"/>
  <c r="L172" i="4"/>
  <c r="L171" i="4"/>
  <c r="L168" i="4"/>
  <c r="L167" i="4"/>
  <c r="L165" i="4"/>
  <c r="L163" i="4"/>
  <c r="L162" i="4"/>
  <c r="L160" i="4"/>
  <c r="L159" i="4"/>
  <c r="L158" i="4"/>
  <c r="L157" i="4"/>
  <c r="L156" i="4"/>
  <c r="L155" i="4"/>
  <c r="L154" i="4"/>
  <c r="L153" i="4"/>
  <c r="L151" i="4"/>
  <c r="L144" i="4"/>
  <c r="L140" i="4"/>
  <c r="L139" i="4"/>
  <c r="L138" i="4"/>
  <c r="L137" i="4"/>
  <c r="L136" i="4"/>
  <c r="L135" i="4"/>
  <c r="L132" i="4"/>
  <c r="L126" i="4"/>
  <c r="L124" i="4"/>
  <c r="L123" i="4"/>
  <c r="L121" i="4"/>
  <c r="L119" i="4"/>
  <c r="L110" i="4"/>
  <c r="L105" i="4"/>
  <c r="L100" i="4"/>
  <c r="L96" i="4"/>
  <c r="L94" i="4"/>
  <c r="L91" i="4"/>
  <c r="L90" i="4"/>
  <c r="L88" i="4"/>
  <c r="L87" i="4"/>
  <c r="L85" i="4"/>
  <c r="L84" i="4"/>
  <c r="L80" i="4"/>
  <c r="L68" i="4"/>
  <c r="L43" i="4"/>
  <c r="L41" i="4"/>
  <c r="L39" i="4"/>
  <c r="L25" i="4"/>
  <c r="L23" i="4"/>
  <c r="L21" i="4"/>
  <c r="L19" i="4"/>
  <c r="L17" i="4"/>
  <c r="L15" i="4"/>
  <c r="L9" i="4"/>
  <c r="F26" i="3"/>
  <c r="F14" i="3"/>
  <c r="F12" i="3"/>
  <c r="E6" i="5"/>
  <c r="E5" i="5"/>
  <c r="L216" i="4"/>
  <c r="L213" i="4"/>
  <c r="L207" i="4"/>
  <c r="L203" i="4"/>
  <c r="L191" i="4"/>
  <c r="L178" i="4"/>
  <c r="L161" i="4"/>
  <c r="L152" i="4"/>
  <c r="L150" i="4"/>
  <c r="L143" i="4"/>
  <c r="L131" i="4"/>
  <c r="L125" i="4"/>
  <c r="L122" i="4"/>
  <c r="L120" i="4"/>
  <c r="L89" i="4"/>
  <c r="L83" i="4"/>
  <c r="L79" i="4"/>
  <c r="L67" i="4"/>
  <c r="L55" i="4"/>
  <c r="L40" i="4"/>
  <c r="L38" i="4"/>
  <c r="L24" i="4"/>
  <c r="L22" i="4"/>
  <c r="L20" i="4"/>
  <c r="L18" i="4"/>
  <c r="L16" i="4"/>
  <c r="L14" i="4"/>
  <c r="L8" i="4"/>
  <c r="F7" i="3"/>
  <c r="F6" i="3"/>
  <c r="C8" i="10"/>
  <c r="K8" i="10" s="1"/>
  <c r="L8" i="10" s="1"/>
  <c r="C7" i="10"/>
  <c r="K7" i="10" s="1"/>
  <c r="L7" i="10" s="1"/>
  <c r="C6" i="10"/>
  <c r="K6" i="10" s="1"/>
  <c r="C8" i="13"/>
  <c r="L8" i="13" s="1"/>
  <c r="M8" i="13" s="1"/>
  <c r="C7" i="13"/>
  <c r="L7" i="13" s="1"/>
  <c r="M7" i="13" s="1"/>
  <c r="C6" i="13"/>
  <c r="L6" i="13" s="1"/>
  <c r="C8" i="12"/>
  <c r="K8" i="12" s="1"/>
  <c r="L8" i="12" s="1"/>
  <c r="C7" i="12"/>
  <c r="K7" i="12" s="1"/>
  <c r="L7" i="12" s="1"/>
  <c r="C6" i="12"/>
  <c r="K6" i="12" s="1"/>
  <c r="C6" i="9"/>
  <c r="C6" i="8"/>
  <c r="K6" i="8" s="1"/>
  <c r="G5" i="5"/>
  <c r="M216" i="4"/>
  <c r="M213" i="4"/>
  <c r="M207" i="4"/>
  <c r="M203" i="4"/>
  <c r="M191" i="4"/>
  <c r="M178" i="4"/>
  <c r="M83" i="4"/>
  <c r="M79" i="4"/>
  <c r="M67" i="4"/>
  <c r="M55" i="4"/>
  <c r="K6" i="3"/>
  <c r="H5" i="5"/>
  <c r="N216" i="4"/>
  <c r="N213" i="4"/>
  <c r="N207" i="4"/>
  <c r="N203" i="4"/>
  <c r="N191" i="4"/>
  <c r="N178" i="4"/>
  <c r="N83" i="4"/>
  <c r="N79" i="4"/>
  <c r="N67" i="4"/>
  <c r="N55" i="4"/>
  <c r="I5" i="5"/>
  <c r="P216" i="4"/>
  <c r="P213" i="4"/>
  <c r="P207" i="4"/>
  <c r="P203" i="4"/>
  <c r="P191" i="4"/>
  <c r="P178" i="4"/>
  <c r="P83" i="4"/>
  <c r="P79" i="4"/>
  <c r="P67" i="4"/>
  <c r="P55" i="4"/>
  <c r="L6" i="3"/>
  <c r="G6" i="5"/>
  <c r="M161" i="4"/>
  <c r="M152" i="4"/>
  <c r="M150" i="4"/>
  <c r="M143" i="4"/>
  <c r="M131" i="4"/>
  <c r="M125" i="4"/>
  <c r="M122" i="4"/>
  <c r="M120" i="4"/>
  <c r="M89" i="4"/>
  <c r="M40" i="4"/>
  <c r="M38" i="4"/>
  <c r="M24" i="4"/>
  <c r="M22" i="4"/>
  <c r="M20" i="4"/>
  <c r="M18" i="4"/>
  <c r="M16" i="4"/>
  <c r="M14" i="4"/>
  <c r="M8" i="4"/>
  <c r="K7" i="3"/>
  <c r="M7" i="3" s="1"/>
  <c r="N7" i="3" s="1"/>
  <c r="H6" i="5"/>
  <c r="N161" i="4"/>
  <c r="N152" i="4"/>
  <c r="N150" i="4"/>
  <c r="N143" i="4"/>
  <c r="N131" i="4"/>
  <c r="N125" i="4"/>
  <c r="N122" i="4"/>
  <c r="N120" i="4"/>
  <c r="N89" i="4"/>
  <c r="N40" i="4"/>
  <c r="N38" i="4"/>
  <c r="N24" i="4"/>
  <c r="N22" i="4"/>
  <c r="N20" i="4"/>
  <c r="N18" i="4"/>
  <c r="N16" i="4"/>
  <c r="N14" i="4"/>
  <c r="N8" i="4"/>
  <c r="I6" i="5"/>
  <c r="P161" i="4"/>
  <c r="P152" i="4"/>
  <c r="P150" i="4"/>
  <c r="P143" i="4"/>
  <c r="P131" i="4"/>
  <c r="P125" i="4"/>
  <c r="P122" i="4"/>
  <c r="P120" i="4"/>
  <c r="P89" i="4"/>
  <c r="P40" i="4"/>
  <c r="P38" i="4"/>
  <c r="P24" i="4"/>
  <c r="P22" i="4"/>
  <c r="P20" i="4"/>
  <c r="P18" i="4"/>
  <c r="P16" i="4"/>
  <c r="P14" i="4"/>
  <c r="P8" i="4"/>
  <c r="L7" i="3"/>
  <c r="G7" i="5"/>
  <c r="M70" i="4"/>
  <c r="M6" i="4"/>
  <c r="M5" i="4"/>
  <c r="K8" i="3"/>
  <c r="M8" i="3" s="1"/>
  <c r="N8" i="3" s="1"/>
  <c r="H7" i="5"/>
  <c r="N70" i="4"/>
  <c r="N6" i="4"/>
  <c r="N5" i="4"/>
  <c r="I7" i="5"/>
  <c r="P70" i="4"/>
  <c r="P6" i="4"/>
  <c r="P5" i="4"/>
  <c r="L8" i="3"/>
  <c r="G8" i="5"/>
  <c r="M58" i="4"/>
  <c r="M57" i="4"/>
  <c r="M56" i="4"/>
  <c r="K9" i="3"/>
  <c r="M9" i="3" s="1"/>
  <c r="N9" i="3" s="1"/>
  <c r="H8" i="5"/>
  <c r="N58" i="4"/>
  <c r="N57" i="4"/>
  <c r="N56" i="4"/>
  <c r="I8" i="5"/>
  <c r="P58" i="4"/>
  <c r="P57" i="4"/>
  <c r="P56" i="4"/>
  <c r="L9" i="3"/>
  <c r="G9" i="5"/>
  <c r="M82" i="4"/>
  <c r="K10" i="3"/>
  <c r="M10" i="3" s="1"/>
  <c r="N10" i="3" s="1"/>
  <c r="H9" i="5"/>
  <c r="N82" i="4"/>
  <c r="I9" i="5"/>
  <c r="P82" i="4"/>
  <c r="L10" i="3"/>
  <c r="G10" i="5"/>
  <c r="M54" i="4"/>
  <c r="M52" i="4"/>
  <c r="M51" i="4"/>
  <c r="M50" i="4"/>
  <c r="M48" i="4"/>
  <c r="M46" i="4"/>
  <c r="K11" i="3"/>
  <c r="M11" i="3" s="1"/>
  <c r="N11" i="3" s="1"/>
  <c r="H10" i="5"/>
  <c r="N54" i="4"/>
  <c r="N52" i="4"/>
  <c r="N51" i="4"/>
  <c r="N50" i="4"/>
  <c r="N48" i="4"/>
  <c r="N46" i="4"/>
  <c r="I10" i="5"/>
  <c r="P54" i="4"/>
  <c r="P52" i="4"/>
  <c r="P51" i="4"/>
  <c r="P50" i="4"/>
  <c r="P48" i="4"/>
  <c r="P46" i="4"/>
  <c r="L11" i="3"/>
  <c r="G11" i="5"/>
  <c r="M218" i="4"/>
  <c r="M205" i="4"/>
  <c r="M202" i="4"/>
  <c r="M200" i="4"/>
  <c r="M199" i="4"/>
  <c r="M198" i="4"/>
  <c r="M195" i="4"/>
  <c r="M194" i="4"/>
  <c r="M190" i="4"/>
  <c r="M189" i="4"/>
  <c r="M187" i="4"/>
  <c r="M185" i="4"/>
  <c r="M183" i="4"/>
  <c r="M181" i="4"/>
  <c r="M180" i="4"/>
  <c r="M176" i="4"/>
  <c r="M175" i="4"/>
  <c r="M173" i="4"/>
  <c r="M172" i="4"/>
  <c r="M168" i="4"/>
  <c r="M165" i="4"/>
  <c r="M163" i="4"/>
  <c r="M160" i="4"/>
  <c r="M159" i="4"/>
  <c r="M157" i="4"/>
  <c r="M155" i="4"/>
  <c r="M140" i="4"/>
  <c r="M138" i="4"/>
  <c r="M136" i="4"/>
  <c r="M124" i="4"/>
  <c r="M119" i="4"/>
  <c r="M110" i="4"/>
  <c r="M105" i="4"/>
  <c r="M100" i="4"/>
  <c r="M96" i="4"/>
  <c r="M94" i="4"/>
  <c r="M91" i="4"/>
  <c r="M88" i="4"/>
  <c r="M87" i="4"/>
  <c r="M85" i="4"/>
  <c r="M43" i="4"/>
  <c r="K12" i="3"/>
  <c r="M12" i="3" s="1"/>
  <c r="N12" i="3" s="1"/>
  <c r="H11" i="5"/>
  <c r="N218" i="4"/>
  <c r="N205" i="4"/>
  <c r="N202" i="4"/>
  <c r="N200" i="4"/>
  <c r="N199" i="4"/>
  <c r="N198" i="4"/>
  <c r="N195" i="4"/>
  <c r="N194" i="4"/>
  <c r="N190" i="4"/>
  <c r="N189" i="4"/>
  <c r="N187" i="4"/>
  <c r="N185" i="4"/>
  <c r="N183" i="4"/>
  <c r="N181" i="4"/>
  <c r="N180" i="4"/>
  <c r="N176" i="4"/>
  <c r="N175" i="4"/>
  <c r="N173" i="4"/>
  <c r="N172" i="4"/>
  <c r="N168" i="4"/>
  <c r="N165" i="4"/>
  <c r="N163" i="4"/>
  <c r="N160" i="4"/>
  <c r="N159" i="4"/>
  <c r="N157" i="4"/>
  <c r="N155" i="4"/>
  <c r="N140" i="4"/>
  <c r="N138" i="4"/>
  <c r="N136" i="4"/>
  <c r="N124" i="4"/>
  <c r="N119" i="4"/>
  <c r="N110" i="4"/>
  <c r="N105" i="4"/>
  <c r="N100" i="4"/>
  <c r="N96" i="4"/>
  <c r="N94" i="4"/>
  <c r="N91" i="4"/>
  <c r="N88" i="4"/>
  <c r="N87" i="4"/>
  <c r="N85" i="4"/>
  <c r="N43" i="4"/>
  <c r="I11" i="5"/>
  <c r="P218" i="4"/>
  <c r="P205" i="4"/>
  <c r="P202" i="4"/>
  <c r="P200" i="4"/>
  <c r="P199" i="4"/>
  <c r="P198" i="4"/>
  <c r="P195" i="4"/>
  <c r="P194" i="4"/>
  <c r="P190" i="4"/>
  <c r="P189" i="4"/>
  <c r="P187" i="4"/>
  <c r="P185" i="4"/>
  <c r="P183" i="4"/>
  <c r="P181" i="4"/>
  <c r="P180" i="4"/>
  <c r="P176" i="4"/>
  <c r="P175" i="4"/>
  <c r="P173" i="4"/>
  <c r="P172" i="4"/>
  <c r="P168" i="4"/>
  <c r="P165" i="4"/>
  <c r="P163" i="4"/>
  <c r="P160" i="4"/>
  <c r="P159" i="4"/>
  <c r="P157" i="4"/>
  <c r="P155" i="4"/>
  <c r="P140" i="4"/>
  <c r="P138" i="4"/>
  <c r="P136" i="4"/>
  <c r="P124" i="4"/>
  <c r="P119" i="4"/>
  <c r="P110" i="4"/>
  <c r="P105" i="4"/>
  <c r="P100" i="4"/>
  <c r="P96" i="4"/>
  <c r="P94" i="4"/>
  <c r="P91" i="4"/>
  <c r="P88" i="4"/>
  <c r="P87" i="4"/>
  <c r="P85" i="4"/>
  <c r="P43" i="4"/>
  <c r="L12" i="3"/>
  <c r="G12" i="5"/>
  <c r="M42" i="4"/>
  <c r="K13" i="3"/>
  <c r="M13" i="3" s="1"/>
  <c r="N13" i="3" s="1"/>
  <c r="H12" i="5"/>
  <c r="N42" i="4"/>
  <c r="I12" i="5"/>
  <c r="P42" i="4"/>
  <c r="L13" i="3"/>
  <c r="G13" i="5"/>
  <c r="M197" i="4"/>
  <c r="M188" i="4"/>
  <c r="M186" i="4"/>
  <c r="M184" i="4"/>
  <c r="M182" i="4"/>
  <c r="M174" i="4"/>
  <c r="M171" i="4"/>
  <c r="M167" i="4"/>
  <c r="M158" i="4"/>
  <c r="M156" i="4"/>
  <c r="M154" i="4"/>
  <c r="M139" i="4"/>
  <c r="M137" i="4"/>
  <c r="M135" i="4"/>
  <c r="K14" i="3"/>
  <c r="M14" i="3" s="1"/>
  <c r="N14" i="3" s="1"/>
  <c r="H13" i="5"/>
  <c r="N197" i="4"/>
  <c r="N188" i="4"/>
  <c r="N186" i="4"/>
  <c r="N184" i="4"/>
  <c r="N182" i="4"/>
  <c r="N174" i="4"/>
  <c r="N171" i="4"/>
  <c r="N167" i="4"/>
  <c r="N158" i="4"/>
  <c r="N156" i="4"/>
  <c r="N154" i="4"/>
  <c r="N139" i="4"/>
  <c r="N137" i="4"/>
  <c r="N135" i="4"/>
  <c r="I13" i="5"/>
  <c r="P197" i="4"/>
  <c r="P188" i="4"/>
  <c r="P186" i="4"/>
  <c r="P184" i="4"/>
  <c r="P182" i="4"/>
  <c r="P174" i="4"/>
  <c r="P171" i="4"/>
  <c r="P167" i="4"/>
  <c r="P158" i="4"/>
  <c r="P156" i="4"/>
  <c r="P154" i="4"/>
  <c r="P139" i="4"/>
  <c r="P137" i="4"/>
  <c r="P135" i="4"/>
  <c r="L14" i="3"/>
  <c r="G14" i="5"/>
  <c r="M193" i="4"/>
  <c r="K15" i="3"/>
  <c r="M15" i="3" s="1"/>
  <c r="N15" i="3" s="1"/>
  <c r="H14" i="5"/>
  <c r="N193" i="4"/>
  <c r="I14" i="5"/>
  <c r="P193" i="4"/>
  <c r="L15" i="3"/>
  <c r="G15" i="5"/>
  <c r="M107" i="4"/>
  <c r="M106" i="4"/>
  <c r="M86" i="4"/>
  <c r="K16" i="3"/>
  <c r="M16" i="3" s="1"/>
  <c r="N16" i="3" s="1"/>
  <c r="H15" i="5"/>
  <c r="N107" i="4"/>
  <c r="N106" i="4"/>
  <c r="N86" i="4"/>
  <c r="I15" i="5"/>
  <c r="P107" i="4"/>
  <c r="P106" i="4"/>
  <c r="P86" i="4"/>
  <c r="L16" i="3"/>
  <c r="G16" i="5"/>
  <c r="M215" i="4"/>
  <c r="M206" i="4"/>
  <c r="K17" i="3"/>
  <c r="M17" i="3" s="1"/>
  <c r="N17" i="3" s="1"/>
  <c r="H16" i="5"/>
  <c r="N215" i="4"/>
  <c r="N206" i="4"/>
  <c r="I16" i="5"/>
  <c r="P215" i="4"/>
  <c r="P206" i="4"/>
  <c r="L17" i="3"/>
  <c r="G17" i="5"/>
  <c r="M112" i="4"/>
  <c r="M111" i="4"/>
  <c r="M72" i="4"/>
  <c r="M12" i="4"/>
  <c r="M10" i="4"/>
  <c r="K18" i="3"/>
  <c r="M18" i="3" s="1"/>
  <c r="N18" i="3" s="1"/>
  <c r="H17" i="5"/>
  <c r="N112" i="4"/>
  <c r="N111" i="4"/>
  <c r="N72" i="4"/>
  <c r="N12" i="4"/>
  <c r="N10" i="4"/>
  <c r="I17" i="5"/>
  <c r="P112" i="4"/>
  <c r="P111" i="4"/>
  <c r="P72" i="4"/>
  <c r="P12" i="4"/>
  <c r="P10" i="4"/>
  <c r="L18" i="3"/>
  <c r="G18" i="5"/>
  <c r="M11" i="4"/>
  <c r="K19" i="3"/>
  <c r="M19" i="3" s="1"/>
  <c r="N19" i="3" s="1"/>
  <c r="H18" i="5"/>
  <c r="N11" i="4"/>
  <c r="I18" i="5"/>
  <c r="P11" i="4"/>
  <c r="L19" i="3"/>
  <c r="G19" i="5"/>
  <c r="M211" i="4"/>
  <c r="M209" i="4"/>
  <c r="M148" i="4"/>
  <c r="M146" i="4"/>
  <c r="M129" i="4"/>
  <c r="M127" i="4"/>
  <c r="M103" i="4"/>
  <c r="M101" i="4"/>
  <c r="M81" i="4"/>
  <c r="M77" i="4"/>
  <c r="M75" i="4"/>
  <c r="M63" i="4"/>
  <c r="M62" i="4"/>
  <c r="M60" i="4"/>
  <c r="M53" i="4"/>
  <c r="M49" i="4"/>
  <c r="M47" i="4"/>
  <c r="M45" i="4"/>
  <c r="M28" i="4"/>
  <c r="M26" i="4"/>
  <c r="K20" i="3"/>
  <c r="M20" i="3" s="1"/>
  <c r="N20" i="3" s="1"/>
  <c r="H19" i="5"/>
  <c r="N211" i="4"/>
  <c r="N209" i="4"/>
  <c r="N148" i="4"/>
  <c r="N146" i="4"/>
  <c r="N129" i="4"/>
  <c r="N127" i="4"/>
  <c r="N103" i="4"/>
  <c r="N101" i="4"/>
  <c r="N81" i="4"/>
  <c r="N77" i="4"/>
  <c r="N75" i="4"/>
  <c r="N63" i="4"/>
  <c r="N62" i="4"/>
  <c r="N60" i="4"/>
  <c r="N53" i="4"/>
  <c r="N49" i="4"/>
  <c r="N47" i="4"/>
  <c r="N45" i="4"/>
  <c r="N28" i="4"/>
  <c r="N26" i="4"/>
  <c r="I19" i="5"/>
  <c r="P211" i="4"/>
  <c r="P209" i="4"/>
  <c r="P148" i="4"/>
  <c r="P146" i="4"/>
  <c r="P129" i="4"/>
  <c r="P127" i="4"/>
  <c r="P103" i="4"/>
  <c r="P101" i="4"/>
  <c r="P81" i="4"/>
  <c r="P77" i="4"/>
  <c r="P75" i="4"/>
  <c r="P63" i="4"/>
  <c r="P62" i="4"/>
  <c r="P60" i="4"/>
  <c r="P53" i="4"/>
  <c r="P49" i="4"/>
  <c r="P47" i="4"/>
  <c r="P45" i="4"/>
  <c r="P28" i="4"/>
  <c r="P26" i="4"/>
  <c r="L20" i="3"/>
  <c r="G20" i="5"/>
  <c r="M212" i="4"/>
  <c r="M210" i="4"/>
  <c r="M149" i="4"/>
  <c r="M147" i="4"/>
  <c r="M130" i="4"/>
  <c r="M128" i="4"/>
  <c r="M104" i="4"/>
  <c r="M102" i="4"/>
  <c r="M78" i="4"/>
  <c r="M76" i="4"/>
  <c r="M64" i="4"/>
  <c r="M61" i="4"/>
  <c r="M29" i="4"/>
  <c r="M27" i="4"/>
  <c r="K21" i="3"/>
  <c r="M21" i="3" s="1"/>
  <c r="N21" i="3" s="1"/>
  <c r="H20" i="5"/>
  <c r="N212" i="4"/>
  <c r="N210" i="4"/>
  <c r="N149" i="4"/>
  <c r="N147" i="4"/>
  <c r="N130" i="4"/>
  <c r="N128" i="4"/>
  <c r="N104" i="4"/>
  <c r="N102" i="4"/>
  <c r="N78" i="4"/>
  <c r="N76" i="4"/>
  <c r="N64" i="4"/>
  <c r="N61" i="4"/>
  <c r="N29" i="4"/>
  <c r="N27" i="4"/>
  <c r="I20" i="5"/>
  <c r="P212" i="4"/>
  <c r="P210" i="4"/>
  <c r="P149" i="4"/>
  <c r="P147" i="4"/>
  <c r="P130" i="4"/>
  <c r="P128" i="4"/>
  <c r="P104" i="4"/>
  <c r="P102" i="4"/>
  <c r="P78" i="4"/>
  <c r="P76" i="4"/>
  <c r="P64" i="4"/>
  <c r="P61" i="4"/>
  <c r="P29" i="4"/>
  <c r="P27" i="4"/>
  <c r="L21" i="3"/>
  <c r="G21" i="5"/>
  <c r="M201" i="4"/>
  <c r="M196" i="4"/>
  <c r="M169" i="4"/>
  <c r="M142" i="4"/>
  <c r="M141" i="4"/>
  <c r="M134" i="4"/>
  <c r="M133" i="4"/>
  <c r="M117" i="4"/>
  <c r="M116" i="4"/>
  <c r="M115" i="4"/>
  <c r="M98" i="4"/>
  <c r="M97" i="4"/>
  <c r="M93" i="4"/>
  <c r="M74" i="4"/>
  <c r="M65" i="4"/>
  <c r="M36" i="4"/>
  <c r="M35" i="4"/>
  <c r="K22" i="3"/>
  <c r="M22" i="3" s="1"/>
  <c r="N22" i="3" s="1"/>
  <c r="H21" i="5"/>
  <c r="N201" i="4"/>
  <c r="N196" i="4"/>
  <c r="N169" i="4"/>
  <c r="N142" i="4"/>
  <c r="N141" i="4"/>
  <c r="N134" i="4"/>
  <c r="N133" i="4"/>
  <c r="N117" i="4"/>
  <c r="N116" i="4"/>
  <c r="N115" i="4"/>
  <c r="N98" i="4"/>
  <c r="N97" i="4"/>
  <c r="N93" i="4"/>
  <c r="N74" i="4"/>
  <c r="N65" i="4"/>
  <c r="N36" i="4"/>
  <c r="N35" i="4"/>
  <c r="I21" i="5"/>
  <c r="P201" i="4"/>
  <c r="P196" i="4"/>
  <c r="P169" i="4"/>
  <c r="P142" i="4"/>
  <c r="P141" i="4"/>
  <c r="P134" i="4"/>
  <c r="P133" i="4"/>
  <c r="P117" i="4"/>
  <c r="P116" i="4"/>
  <c r="P115" i="4"/>
  <c r="P98" i="4"/>
  <c r="P97" i="4"/>
  <c r="P93" i="4"/>
  <c r="P74" i="4"/>
  <c r="P65" i="4"/>
  <c r="P36" i="4"/>
  <c r="P35" i="4"/>
  <c r="L22" i="3"/>
  <c r="G22" i="5"/>
  <c r="M177" i="4"/>
  <c r="M170" i="4"/>
  <c r="M166" i="4"/>
  <c r="M164" i="4"/>
  <c r="M145" i="4"/>
  <c r="M118" i="4"/>
  <c r="M114" i="4"/>
  <c r="M113" i="4"/>
  <c r="M109" i="4"/>
  <c r="M108" i="4"/>
  <c r="M99" i="4"/>
  <c r="M95" i="4"/>
  <c r="M92" i="4"/>
  <c r="M73" i="4"/>
  <c r="M71" i="4"/>
  <c r="M66" i="4"/>
  <c r="M59" i="4"/>
  <c r="M44" i="4"/>
  <c r="M37" i="4"/>
  <c r="M34" i="4"/>
  <c r="M32" i="4"/>
  <c r="M31" i="4"/>
  <c r="M30" i="4"/>
  <c r="M7" i="4"/>
  <c r="K23" i="3"/>
  <c r="M23" i="3" s="1"/>
  <c r="N23" i="3" s="1"/>
  <c r="H22" i="5"/>
  <c r="N177" i="4"/>
  <c r="N170" i="4"/>
  <c r="N166" i="4"/>
  <c r="N164" i="4"/>
  <c r="N145" i="4"/>
  <c r="N118" i="4"/>
  <c r="N114" i="4"/>
  <c r="N113" i="4"/>
  <c r="N109" i="4"/>
  <c r="N108" i="4"/>
  <c r="N99" i="4"/>
  <c r="N95" i="4"/>
  <c r="N92" i="4"/>
  <c r="N73" i="4"/>
  <c r="N71" i="4"/>
  <c r="N66" i="4"/>
  <c r="N59" i="4"/>
  <c r="N44" i="4"/>
  <c r="N37" i="4"/>
  <c r="N34" i="4"/>
  <c r="N32" i="4"/>
  <c r="N31" i="4"/>
  <c r="N30" i="4"/>
  <c r="N7" i="4"/>
  <c r="I22" i="5"/>
  <c r="P177" i="4"/>
  <c r="P170" i="4"/>
  <c r="P166" i="4"/>
  <c r="P164" i="4"/>
  <c r="P145" i="4"/>
  <c r="P118" i="4"/>
  <c r="P114" i="4"/>
  <c r="P113" i="4"/>
  <c r="P109" i="4"/>
  <c r="P108" i="4"/>
  <c r="P99" i="4"/>
  <c r="P95" i="4"/>
  <c r="P92" i="4"/>
  <c r="P73" i="4"/>
  <c r="P71" i="4"/>
  <c r="P66" i="4"/>
  <c r="P59" i="4"/>
  <c r="P44" i="4"/>
  <c r="P37" i="4"/>
  <c r="P34" i="4"/>
  <c r="P32" i="4"/>
  <c r="P31" i="4"/>
  <c r="P30" i="4"/>
  <c r="P7" i="4"/>
  <c r="L23" i="3"/>
  <c r="G23" i="5"/>
  <c r="M69" i="4"/>
  <c r="K24" i="3"/>
  <c r="M24" i="3" s="1"/>
  <c r="N24" i="3" s="1"/>
  <c r="H23" i="5"/>
  <c r="N69" i="4"/>
  <c r="I23" i="5"/>
  <c r="P69" i="4"/>
  <c r="L24" i="3"/>
  <c r="M25" i="3"/>
  <c r="N25" i="3" s="1"/>
  <c r="L25" i="3"/>
  <c r="M26" i="3"/>
  <c r="N26" i="3" s="1"/>
  <c r="L26" i="3"/>
  <c r="Q9" i="4"/>
  <c r="S9" i="4"/>
  <c r="Q13" i="4"/>
  <c r="S13" i="4"/>
  <c r="Q15" i="4"/>
  <c r="S15" i="4"/>
  <c r="Q17" i="4"/>
  <c r="S17" i="4"/>
  <c r="Q19" i="4"/>
  <c r="S19" i="4"/>
  <c r="Q21" i="4"/>
  <c r="S21" i="4"/>
  <c r="Q23" i="4"/>
  <c r="S23" i="4"/>
  <c r="Q25" i="4"/>
  <c r="S25" i="4"/>
  <c r="Q33" i="4"/>
  <c r="S33" i="4"/>
  <c r="Q39" i="4"/>
  <c r="S39" i="4"/>
  <c r="Q41" i="4"/>
  <c r="S41" i="4"/>
  <c r="Q68" i="4"/>
  <c r="S68" i="4"/>
  <c r="Q80" i="4"/>
  <c r="S80" i="4"/>
  <c r="Q84" i="4"/>
  <c r="S84" i="4"/>
  <c r="Q90" i="4"/>
  <c r="S90" i="4"/>
  <c r="Q121" i="4"/>
  <c r="S121" i="4"/>
  <c r="Q123" i="4"/>
  <c r="S123" i="4"/>
  <c r="Q126" i="4"/>
  <c r="S126" i="4"/>
  <c r="Q132" i="4"/>
  <c r="S132" i="4"/>
  <c r="Q144" i="4"/>
  <c r="S144" i="4"/>
  <c r="Q151" i="4"/>
  <c r="S151" i="4"/>
  <c r="Q153" i="4"/>
  <c r="S153" i="4"/>
  <c r="Q162" i="4"/>
  <c r="S162" i="4"/>
  <c r="Q179" i="4"/>
  <c r="S179" i="4"/>
  <c r="Q192" i="4"/>
  <c r="S192" i="4"/>
  <c r="Q204" i="4"/>
  <c r="S204" i="4"/>
  <c r="Q208" i="4"/>
  <c r="S208" i="4"/>
  <c r="Q214" i="4"/>
  <c r="S214" i="4"/>
  <c r="Q217" i="4"/>
  <c r="S217" i="4"/>
  <c r="K6" i="9"/>
  <c r="K7" i="9" s="1"/>
  <c r="T217" i="4" l="1"/>
  <c r="U217" i="4" s="1"/>
  <c r="R217" i="4"/>
  <c r="T214" i="4"/>
  <c r="U214" i="4" s="1"/>
  <c r="R214" i="4"/>
  <c r="T208" i="4"/>
  <c r="U208" i="4" s="1"/>
  <c r="R208" i="4"/>
  <c r="T204" i="4"/>
  <c r="U204" i="4" s="1"/>
  <c r="R204" i="4"/>
  <c r="T192" i="4"/>
  <c r="U192" i="4" s="1"/>
  <c r="R192" i="4"/>
  <c r="T179" i="4"/>
  <c r="U179" i="4" s="1"/>
  <c r="R179" i="4"/>
  <c r="T162" i="4"/>
  <c r="U162" i="4" s="1"/>
  <c r="R162" i="4"/>
  <c r="T153" i="4"/>
  <c r="U153" i="4" s="1"/>
  <c r="R153" i="4"/>
  <c r="T151" i="4"/>
  <c r="U151" i="4" s="1"/>
  <c r="R151" i="4"/>
  <c r="T144" i="4"/>
  <c r="U144" i="4" s="1"/>
  <c r="R144" i="4"/>
  <c r="T132" i="4"/>
  <c r="U132" i="4" s="1"/>
  <c r="R132" i="4"/>
  <c r="T126" i="4"/>
  <c r="U126" i="4" s="1"/>
  <c r="R126" i="4"/>
  <c r="T123" i="4"/>
  <c r="U123" i="4" s="1"/>
  <c r="R123" i="4"/>
  <c r="T121" i="4"/>
  <c r="U121" i="4" s="1"/>
  <c r="R121" i="4"/>
  <c r="T90" i="4"/>
  <c r="U90" i="4" s="1"/>
  <c r="R90" i="4"/>
  <c r="T84" i="4"/>
  <c r="U84" i="4" s="1"/>
  <c r="R84" i="4"/>
  <c r="T80" i="4"/>
  <c r="U80" i="4" s="1"/>
  <c r="R80" i="4"/>
  <c r="T68" i="4"/>
  <c r="U68" i="4" s="1"/>
  <c r="R68" i="4"/>
  <c r="T41" i="4"/>
  <c r="U41" i="4" s="1"/>
  <c r="R41" i="4"/>
  <c r="T39" i="4"/>
  <c r="U39" i="4" s="1"/>
  <c r="R39" i="4"/>
  <c r="T33" i="4"/>
  <c r="U33" i="4" s="1"/>
  <c r="R33" i="4"/>
  <c r="T25" i="4"/>
  <c r="U25" i="4" s="1"/>
  <c r="R25" i="4"/>
  <c r="T23" i="4"/>
  <c r="U23" i="4" s="1"/>
  <c r="R23" i="4"/>
  <c r="T21" i="4"/>
  <c r="U21" i="4" s="1"/>
  <c r="R21" i="4"/>
  <c r="T19" i="4"/>
  <c r="U19" i="4" s="1"/>
  <c r="R19" i="4"/>
  <c r="T17" i="4"/>
  <c r="U17" i="4" s="1"/>
  <c r="R17" i="4"/>
  <c r="T15" i="4"/>
  <c r="U15" i="4" s="1"/>
  <c r="R15" i="4"/>
  <c r="T13" i="4"/>
  <c r="U13" i="4" s="1"/>
  <c r="R13" i="4"/>
  <c r="T9" i="4"/>
  <c r="U9" i="4" s="1"/>
  <c r="R9" i="4"/>
  <c r="Q69" i="4"/>
  <c r="Q7" i="4"/>
  <c r="Q30" i="4"/>
  <c r="Q31" i="4"/>
  <c r="Q32" i="4"/>
  <c r="Q34" i="4"/>
  <c r="Q37" i="4"/>
  <c r="Q44" i="4"/>
  <c r="Q59" i="4"/>
  <c r="Q66" i="4"/>
  <c r="Q71" i="4"/>
  <c r="Q73" i="4"/>
  <c r="Q92" i="4"/>
  <c r="Q95" i="4"/>
  <c r="Q99" i="4"/>
  <c r="Q108" i="4"/>
  <c r="Q109" i="4"/>
  <c r="Q113" i="4"/>
  <c r="Q114" i="4"/>
  <c r="Q118" i="4"/>
  <c r="Q145" i="4"/>
  <c r="Q164" i="4"/>
  <c r="Q166" i="4"/>
  <c r="Q170" i="4"/>
  <c r="Q177" i="4"/>
  <c r="Q35" i="4"/>
  <c r="Q36" i="4"/>
  <c r="Q65" i="4"/>
  <c r="Q74" i="4"/>
  <c r="Q93" i="4"/>
  <c r="Q97" i="4"/>
  <c r="Q98" i="4"/>
  <c r="Q115" i="4"/>
  <c r="Q116" i="4"/>
  <c r="Q117" i="4"/>
  <c r="Q133" i="4"/>
  <c r="Q134" i="4"/>
  <c r="Q141" i="4"/>
  <c r="Q142" i="4"/>
  <c r="Q169" i="4"/>
  <c r="Q196" i="4"/>
  <c r="Q201" i="4"/>
  <c r="Q27" i="4"/>
  <c r="Q29" i="4"/>
  <c r="Q61" i="4"/>
  <c r="Q64" i="4"/>
  <c r="Q76" i="4"/>
  <c r="Q78" i="4"/>
  <c r="Q102" i="4"/>
  <c r="Q104" i="4"/>
  <c r="Q128" i="4"/>
  <c r="Q130" i="4"/>
  <c r="Q147" i="4"/>
  <c r="Q149" i="4"/>
  <c r="Q210" i="4"/>
  <c r="Q212" i="4"/>
  <c r="Q26" i="4"/>
  <c r="Q28" i="4"/>
  <c r="Q45" i="4"/>
  <c r="Q47" i="4"/>
  <c r="Q49" i="4"/>
  <c r="Q53" i="4"/>
  <c r="Q60" i="4"/>
  <c r="Q62" i="4"/>
  <c r="Q63" i="4"/>
  <c r="Q75" i="4"/>
  <c r="Q77" i="4"/>
  <c r="Q81" i="4"/>
  <c r="Q101" i="4"/>
  <c r="Q103" i="4"/>
  <c r="Q127" i="4"/>
  <c r="Q129" i="4"/>
  <c r="Q146" i="4"/>
  <c r="Q148" i="4"/>
  <c r="Q209" i="4"/>
  <c r="Q211" i="4"/>
  <c r="Q11" i="4"/>
  <c r="Q10" i="4"/>
  <c r="Q12" i="4"/>
  <c r="Q72" i="4"/>
  <c r="Q111" i="4"/>
  <c r="Q112" i="4"/>
  <c r="Q206" i="4"/>
  <c r="Q215" i="4"/>
  <c r="Q86" i="4"/>
  <c r="Q106" i="4"/>
  <c r="Q107" i="4"/>
  <c r="Q193" i="4"/>
  <c r="Q135" i="4"/>
  <c r="Q137" i="4"/>
  <c r="Q139" i="4"/>
  <c r="Q154" i="4"/>
  <c r="Q156" i="4"/>
  <c r="Q158" i="4"/>
  <c r="Q167" i="4"/>
  <c r="Q171" i="4"/>
  <c r="Q174" i="4"/>
  <c r="Q182" i="4"/>
  <c r="Q184" i="4"/>
  <c r="Q186" i="4"/>
  <c r="Q188" i="4"/>
  <c r="Q197" i="4"/>
  <c r="Q42" i="4"/>
  <c r="Q43" i="4"/>
  <c r="Q85" i="4"/>
  <c r="Q87" i="4"/>
  <c r="Q88" i="4"/>
  <c r="Q91" i="4"/>
  <c r="Q94" i="4"/>
  <c r="Q96" i="4"/>
  <c r="Q100" i="4"/>
  <c r="Q105" i="4"/>
  <c r="Q110" i="4"/>
  <c r="Q119" i="4"/>
  <c r="Q124" i="4"/>
  <c r="Q136" i="4"/>
  <c r="Q138" i="4"/>
  <c r="Q140" i="4"/>
  <c r="Q155" i="4"/>
  <c r="Q157" i="4"/>
  <c r="Q159" i="4"/>
  <c r="Q160" i="4"/>
  <c r="Q163" i="4"/>
  <c r="Q165" i="4"/>
  <c r="Q168" i="4"/>
  <c r="Q172" i="4"/>
  <c r="Q173" i="4"/>
  <c r="Q175" i="4"/>
  <c r="Q176" i="4"/>
  <c r="Q180" i="4"/>
  <c r="Q181" i="4"/>
  <c r="Q183" i="4"/>
  <c r="Q185" i="4"/>
  <c r="Q187" i="4"/>
  <c r="Q189" i="4"/>
  <c r="Q190" i="4"/>
  <c r="Q194" i="4"/>
  <c r="Q195" i="4"/>
  <c r="Q198" i="4"/>
  <c r="Q199" i="4"/>
  <c r="Q200" i="4"/>
  <c r="Q202" i="4"/>
  <c r="Q205" i="4"/>
  <c r="Q218" i="4"/>
  <c r="Q46" i="4"/>
  <c r="Q48" i="4"/>
  <c r="Q50" i="4"/>
  <c r="Q51" i="4"/>
  <c r="Q52" i="4"/>
  <c r="Q54" i="4"/>
  <c r="Q82" i="4"/>
  <c r="Q56" i="4"/>
  <c r="Q57" i="4"/>
  <c r="Q58" i="4"/>
  <c r="Q5" i="4"/>
  <c r="Q6" i="4"/>
  <c r="Q70" i="4"/>
  <c r="Q8" i="4"/>
  <c r="Q14" i="4"/>
  <c r="Q16" i="4"/>
  <c r="Q18" i="4"/>
  <c r="Q20" i="4"/>
  <c r="Q22" i="4"/>
  <c r="Q24" i="4"/>
  <c r="Q38" i="4"/>
  <c r="Q40" i="4"/>
  <c r="Q89" i="4"/>
  <c r="Q120" i="4"/>
  <c r="Q122" i="4"/>
  <c r="Q125" i="4"/>
  <c r="Q131" i="4"/>
  <c r="Q143" i="4"/>
  <c r="Q150" i="4"/>
  <c r="Q152" i="4"/>
  <c r="Q161" i="4"/>
  <c r="L27" i="3"/>
  <c r="K27" i="3"/>
  <c r="M6" i="3"/>
  <c r="Q55" i="4"/>
  <c r="Q67" i="4"/>
  <c r="Q79" i="4"/>
  <c r="Q83" i="4"/>
  <c r="Q178" i="4"/>
  <c r="Q191" i="4"/>
  <c r="Q203" i="4"/>
  <c r="Q207" i="4"/>
  <c r="Q213" i="4"/>
  <c r="Q216" i="4"/>
  <c r="K7" i="8"/>
  <c r="L6" i="8"/>
  <c r="L6" i="9"/>
  <c r="K9" i="12"/>
  <c r="L6" i="12"/>
  <c r="L9" i="13"/>
  <c r="M9" i="13" s="1"/>
  <c r="M6" i="13"/>
  <c r="K9" i="10"/>
  <c r="L6" i="10"/>
  <c r="K11" i="10" l="1"/>
  <c r="L9" i="10"/>
  <c r="K11" i="12"/>
  <c r="L9" i="12"/>
  <c r="L7" i="9"/>
  <c r="M7" i="9" s="1"/>
  <c r="M6" i="9"/>
  <c r="K9" i="8"/>
  <c r="L7" i="8"/>
  <c r="T216" i="4"/>
  <c r="U216" i="4" s="1"/>
  <c r="S216" i="4"/>
  <c r="R216" i="4"/>
  <c r="T213" i="4"/>
  <c r="U213" i="4" s="1"/>
  <c r="S213" i="4"/>
  <c r="R213" i="4"/>
  <c r="T207" i="4"/>
  <c r="U207" i="4" s="1"/>
  <c r="S207" i="4"/>
  <c r="R207" i="4"/>
  <c r="T203" i="4"/>
  <c r="U203" i="4" s="1"/>
  <c r="S203" i="4"/>
  <c r="R203" i="4"/>
  <c r="T191" i="4"/>
  <c r="U191" i="4" s="1"/>
  <c r="S191" i="4"/>
  <c r="R191" i="4"/>
  <c r="T178" i="4"/>
  <c r="U178" i="4" s="1"/>
  <c r="S178" i="4"/>
  <c r="R178" i="4"/>
  <c r="T83" i="4"/>
  <c r="U83" i="4" s="1"/>
  <c r="S83" i="4"/>
  <c r="R83" i="4"/>
  <c r="T79" i="4"/>
  <c r="U79" i="4" s="1"/>
  <c r="S79" i="4"/>
  <c r="R79" i="4"/>
  <c r="T67" i="4"/>
  <c r="U67" i="4" s="1"/>
  <c r="S67" i="4"/>
  <c r="R67" i="4"/>
  <c r="T55" i="4"/>
  <c r="U55" i="4" s="1"/>
  <c r="S55" i="4"/>
  <c r="R55" i="4"/>
  <c r="M27" i="3"/>
  <c r="N6" i="3"/>
  <c r="N27" i="3" s="1"/>
  <c r="N32" i="3" s="1"/>
  <c r="T161" i="4"/>
  <c r="U161" i="4" s="1"/>
  <c r="S161" i="4"/>
  <c r="R161" i="4"/>
  <c r="T152" i="4"/>
  <c r="U152" i="4" s="1"/>
  <c r="S152" i="4"/>
  <c r="R152" i="4"/>
  <c r="T150" i="4"/>
  <c r="U150" i="4" s="1"/>
  <c r="S150" i="4"/>
  <c r="R150" i="4"/>
  <c r="T143" i="4"/>
  <c r="U143" i="4" s="1"/>
  <c r="S143" i="4"/>
  <c r="R143" i="4"/>
  <c r="T131" i="4"/>
  <c r="U131" i="4" s="1"/>
  <c r="S131" i="4"/>
  <c r="R131" i="4"/>
  <c r="T125" i="4"/>
  <c r="U125" i="4" s="1"/>
  <c r="S125" i="4"/>
  <c r="R125" i="4"/>
  <c r="T122" i="4"/>
  <c r="U122" i="4" s="1"/>
  <c r="S122" i="4"/>
  <c r="R122" i="4"/>
  <c r="T120" i="4"/>
  <c r="U120" i="4" s="1"/>
  <c r="S120" i="4"/>
  <c r="R120" i="4"/>
  <c r="T89" i="4"/>
  <c r="U89" i="4" s="1"/>
  <c r="S89" i="4"/>
  <c r="R89" i="4"/>
  <c r="T40" i="4"/>
  <c r="U40" i="4" s="1"/>
  <c r="S40" i="4"/>
  <c r="R40" i="4"/>
  <c r="T38" i="4"/>
  <c r="U38" i="4" s="1"/>
  <c r="S38" i="4"/>
  <c r="R38" i="4"/>
  <c r="T24" i="4"/>
  <c r="U24" i="4" s="1"/>
  <c r="S24" i="4"/>
  <c r="R24" i="4"/>
  <c r="T22" i="4"/>
  <c r="U22" i="4" s="1"/>
  <c r="S22" i="4"/>
  <c r="R22" i="4"/>
  <c r="T20" i="4"/>
  <c r="U20" i="4" s="1"/>
  <c r="S20" i="4"/>
  <c r="R20" i="4"/>
  <c r="T18" i="4"/>
  <c r="U18" i="4" s="1"/>
  <c r="S18" i="4"/>
  <c r="R18" i="4"/>
  <c r="T16" i="4"/>
  <c r="U16" i="4" s="1"/>
  <c r="S16" i="4"/>
  <c r="R16" i="4"/>
  <c r="T14" i="4"/>
  <c r="U14" i="4" s="1"/>
  <c r="S14" i="4"/>
  <c r="R14" i="4"/>
  <c r="T8" i="4"/>
  <c r="U8" i="4" s="1"/>
  <c r="S8" i="4"/>
  <c r="R8" i="4"/>
  <c r="T70" i="4"/>
  <c r="U70" i="4" s="1"/>
  <c r="S70" i="4"/>
  <c r="R70" i="4"/>
  <c r="T6" i="4"/>
  <c r="U6" i="4" s="1"/>
  <c r="S6" i="4"/>
  <c r="R6" i="4"/>
  <c r="Q219" i="4"/>
  <c r="T5" i="4"/>
  <c r="S5" i="4"/>
  <c r="S219" i="4" s="1"/>
  <c r="R5" i="4"/>
  <c r="R219" i="4" s="1"/>
  <c r="T58" i="4"/>
  <c r="U58" i="4" s="1"/>
  <c r="S58" i="4"/>
  <c r="R58" i="4"/>
  <c r="T57" i="4"/>
  <c r="U57" i="4" s="1"/>
  <c r="S57" i="4"/>
  <c r="R57" i="4"/>
  <c r="T56" i="4"/>
  <c r="U56" i="4" s="1"/>
  <c r="S56" i="4"/>
  <c r="R56" i="4"/>
  <c r="T82" i="4"/>
  <c r="U82" i="4" s="1"/>
  <c r="S82" i="4"/>
  <c r="R82" i="4"/>
  <c r="T54" i="4"/>
  <c r="U54" i="4" s="1"/>
  <c r="S54" i="4"/>
  <c r="R54" i="4"/>
  <c r="T52" i="4"/>
  <c r="U52" i="4" s="1"/>
  <c r="S52" i="4"/>
  <c r="R52" i="4"/>
  <c r="T51" i="4"/>
  <c r="U51" i="4" s="1"/>
  <c r="S51" i="4"/>
  <c r="R51" i="4"/>
  <c r="T50" i="4"/>
  <c r="U50" i="4" s="1"/>
  <c r="S50" i="4"/>
  <c r="R50" i="4"/>
  <c r="T48" i="4"/>
  <c r="U48" i="4" s="1"/>
  <c r="S48" i="4"/>
  <c r="R48" i="4"/>
  <c r="T46" i="4"/>
  <c r="U46" i="4" s="1"/>
  <c r="S46" i="4"/>
  <c r="R46" i="4"/>
  <c r="T218" i="4"/>
  <c r="U218" i="4" s="1"/>
  <c r="S218" i="4"/>
  <c r="R218" i="4"/>
  <c r="T205" i="4"/>
  <c r="U205" i="4" s="1"/>
  <c r="S205" i="4"/>
  <c r="R205" i="4"/>
  <c r="T202" i="4"/>
  <c r="U202" i="4" s="1"/>
  <c r="S202" i="4"/>
  <c r="R202" i="4"/>
  <c r="T200" i="4"/>
  <c r="U200" i="4" s="1"/>
  <c r="S200" i="4"/>
  <c r="R200" i="4"/>
  <c r="T199" i="4"/>
  <c r="U199" i="4" s="1"/>
  <c r="S199" i="4"/>
  <c r="R199" i="4"/>
  <c r="T198" i="4"/>
  <c r="U198" i="4" s="1"/>
  <c r="S198" i="4"/>
  <c r="R198" i="4"/>
  <c r="T195" i="4"/>
  <c r="U195" i="4" s="1"/>
  <c r="S195" i="4"/>
  <c r="R195" i="4"/>
  <c r="T194" i="4"/>
  <c r="U194" i="4" s="1"/>
  <c r="S194" i="4"/>
  <c r="R194" i="4"/>
  <c r="T190" i="4"/>
  <c r="U190" i="4" s="1"/>
  <c r="S190" i="4"/>
  <c r="R190" i="4"/>
  <c r="T189" i="4"/>
  <c r="U189" i="4" s="1"/>
  <c r="S189" i="4"/>
  <c r="R189" i="4"/>
  <c r="T187" i="4"/>
  <c r="U187" i="4" s="1"/>
  <c r="S187" i="4"/>
  <c r="R187" i="4"/>
  <c r="T185" i="4"/>
  <c r="U185" i="4" s="1"/>
  <c r="S185" i="4"/>
  <c r="R185" i="4"/>
  <c r="T183" i="4"/>
  <c r="U183" i="4" s="1"/>
  <c r="S183" i="4"/>
  <c r="R183" i="4"/>
  <c r="T181" i="4"/>
  <c r="U181" i="4" s="1"/>
  <c r="S181" i="4"/>
  <c r="R181" i="4"/>
  <c r="T180" i="4"/>
  <c r="U180" i="4" s="1"/>
  <c r="S180" i="4"/>
  <c r="R180" i="4"/>
  <c r="T176" i="4"/>
  <c r="U176" i="4" s="1"/>
  <c r="S176" i="4"/>
  <c r="R176" i="4"/>
  <c r="T175" i="4"/>
  <c r="U175" i="4" s="1"/>
  <c r="S175" i="4"/>
  <c r="R175" i="4"/>
  <c r="T173" i="4"/>
  <c r="U173" i="4" s="1"/>
  <c r="S173" i="4"/>
  <c r="R173" i="4"/>
  <c r="T172" i="4"/>
  <c r="U172" i="4" s="1"/>
  <c r="S172" i="4"/>
  <c r="R172" i="4"/>
  <c r="T168" i="4"/>
  <c r="U168" i="4" s="1"/>
  <c r="S168" i="4"/>
  <c r="R168" i="4"/>
  <c r="T165" i="4"/>
  <c r="U165" i="4" s="1"/>
  <c r="S165" i="4"/>
  <c r="R165" i="4"/>
  <c r="T163" i="4"/>
  <c r="U163" i="4" s="1"/>
  <c r="S163" i="4"/>
  <c r="R163" i="4"/>
  <c r="T160" i="4"/>
  <c r="U160" i="4" s="1"/>
  <c r="S160" i="4"/>
  <c r="R160" i="4"/>
  <c r="T159" i="4"/>
  <c r="U159" i="4" s="1"/>
  <c r="S159" i="4"/>
  <c r="R159" i="4"/>
  <c r="T157" i="4"/>
  <c r="U157" i="4" s="1"/>
  <c r="S157" i="4"/>
  <c r="R157" i="4"/>
  <c r="T155" i="4"/>
  <c r="U155" i="4" s="1"/>
  <c r="S155" i="4"/>
  <c r="R155" i="4"/>
  <c r="T140" i="4"/>
  <c r="U140" i="4" s="1"/>
  <c r="S140" i="4"/>
  <c r="R140" i="4"/>
  <c r="T138" i="4"/>
  <c r="U138" i="4" s="1"/>
  <c r="S138" i="4"/>
  <c r="R138" i="4"/>
  <c r="T136" i="4"/>
  <c r="U136" i="4" s="1"/>
  <c r="S136" i="4"/>
  <c r="R136" i="4"/>
  <c r="T124" i="4"/>
  <c r="U124" i="4" s="1"/>
  <c r="S124" i="4"/>
  <c r="R124" i="4"/>
  <c r="T119" i="4"/>
  <c r="U119" i="4" s="1"/>
  <c r="S119" i="4"/>
  <c r="R119" i="4"/>
  <c r="T110" i="4"/>
  <c r="U110" i="4" s="1"/>
  <c r="S110" i="4"/>
  <c r="R110" i="4"/>
  <c r="T105" i="4"/>
  <c r="U105" i="4" s="1"/>
  <c r="S105" i="4"/>
  <c r="R105" i="4"/>
  <c r="T100" i="4"/>
  <c r="U100" i="4" s="1"/>
  <c r="S100" i="4"/>
  <c r="R100" i="4"/>
  <c r="T96" i="4"/>
  <c r="U96" i="4" s="1"/>
  <c r="S96" i="4"/>
  <c r="R96" i="4"/>
  <c r="T94" i="4"/>
  <c r="U94" i="4" s="1"/>
  <c r="S94" i="4"/>
  <c r="R94" i="4"/>
  <c r="T91" i="4"/>
  <c r="U91" i="4" s="1"/>
  <c r="S91" i="4"/>
  <c r="R91" i="4"/>
  <c r="T88" i="4"/>
  <c r="U88" i="4" s="1"/>
  <c r="S88" i="4"/>
  <c r="R88" i="4"/>
  <c r="T87" i="4"/>
  <c r="U87" i="4" s="1"/>
  <c r="S87" i="4"/>
  <c r="R87" i="4"/>
  <c r="T85" i="4"/>
  <c r="U85" i="4" s="1"/>
  <c r="S85" i="4"/>
  <c r="R85" i="4"/>
  <c r="T43" i="4"/>
  <c r="U43" i="4" s="1"/>
  <c r="S43" i="4"/>
  <c r="R43" i="4"/>
  <c r="T42" i="4"/>
  <c r="U42" i="4" s="1"/>
  <c r="S42" i="4"/>
  <c r="R42" i="4"/>
  <c r="T197" i="4"/>
  <c r="U197" i="4" s="1"/>
  <c r="S197" i="4"/>
  <c r="R197" i="4"/>
  <c r="T188" i="4"/>
  <c r="U188" i="4" s="1"/>
  <c r="S188" i="4"/>
  <c r="R188" i="4"/>
  <c r="T186" i="4"/>
  <c r="U186" i="4" s="1"/>
  <c r="S186" i="4"/>
  <c r="R186" i="4"/>
  <c r="T184" i="4"/>
  <c r="U184" i="4" s="1"/>
  <c r="S184" i="4"/>
  <c r="R184" i="4"/>
  <c r="T182" i="4"/>
  <c r="U182" i="4" s="1"/>
  <c r="S182" i="4"/>
  <c r="R182" i="4"/>
  <c r="T174" i="4"/>
  <c r="U174" i="4" s="1"/>
  <c r="S174" i="4"/>
  <c r="R174" i="4"/>
  <c r="T171" i="4"/>
  <c r="U171" i="4" s="1"/>
  <c r="S171" i="4"/>
  <c r="R171" i="4"/>
  <c r="T167" i="4"/>
  <c r="U167" i="4" s="1"/>
  <c r="S167" i="4"/>
  <c r="R167" i="4"/>
  <c r="T158" i="4"/>
  <c r="U158" i="4" s="1"/>
  <c r="S158" i="4"/>
  <c r="R158" i="4"/>
  <c r="T156" i="4"/>
  <c r="U156" i="4" s="1"/>
  <c r="S156" i="4"/>
  <c r="R156" i="4"/>
  <c r="T154" i="4"/>
  <c r="U154" i="4" s="1"/>
  <c r="S154" i="4"/>
  <c r="R154" i="4"/>
  <c r="T139" i="4"/>
  <c r="U139" i="4" s="1"/>
  <c r="S139" i="4"/>
  <c r="R139" i="4"/>
  <c r="T137" i="4"/>
  <c r="U137" i="4" s="1"/>
  <c r="S137" i="4"/>
  <c r="R137" i="4"/>
  <c r="T135" i="4"/>
  <c r="U135" i="4" s="1"/>
  <c r="S135" i="4"/>
  <c r="R135" i="4"/>
  <c r="T193" i="4"/>
  <c r="U193" i="4" s="1"/>
  <c r="S193" i="4"/>
  <c r="R193" i="4"/>
  <c r="T107" i="4"/>
  <c r="U107" i="4" s="1"/>
  <c r="S107" i="4"/>
  <c r="R107" i="4"/>
  <c r="T106" i="4"/>
  <c r="U106" i="4" s="1"/>
  <c r="S106" i="4"/>
  <c r="R106" i="4"/>
  <c r="T86" i="4"/>
  <c r="U86" i="4" s="1"/>
  <c r="S86" i="4"/>
  <c r="R86" i="4"/>
  <c r="T215" i="4"/>
  <c r="U215" i="4" s="1"/>
  <c r="S215" i="4"/>
  <c r="R215" i="4"/>
  <c r="T206" i="4"/>
  <c r="U206" i="4" s="1"/>
  <c r="S206" i="4"/>
  <c r="R206" i="4"/>
  <c r="T112" i="4"/>
  <c r="U112" i="4" s="1"/>
  <c r="S112" i="4"/>
  <c r="R112" i="4"/>
  <c r="T111" i="4"/>
  <c r="U111" i="4" s="1"/>
  <c r="S111" i="4"/>
  <c r="R111" i="4"/>
  <c r="T72" i="4"/>
  <c r="U72" i="4" s="1"/>
  <c r="S72" i="4"/>
  <c r="R72" i="4"/>
  <c r="T12" i="4"/>
  <c r="U12" i="4" s="1"/>
  <c r="S12" i="4"/>
  <c r="R12" i="4"/>
  <c r="T10" i="4"/>
  <c r="U10" i="4" s="1"/>
  <c r="S10" i="4"/>
  <c r="R10" i="4"/>
  <c r="T11" i="4"/>
  <c r="U11" i="4" s="1"/>
  <c r="S11" i="4"/>
  <c r="R11" i="4"/>
  <c r="T211" i="4"/>
  <c r="U211" i="4" s="1"/>
  <c r="S211" i="4"/>
  <c r="R211" i="4"/>
  <c r="T209" i="4"/>
  <c r="U209" i="4" s="1"/>
  <c r="S209" i="4"/>
  <c r="R209" i="4"/>
  <c r="T148" i="4"/>
  <c r="U148" i="4" s="1"/>
  <c r="S148" i="4"/>
  <c r="R148" i="4"/>
  <c r="T146" i="4"/>
  <c r="U146" i="4" s="1"/>
  <c r="S146" i="4"/>
  <c r="R146" i="4"/>
  <c r="T129" i="4"/>
  <c r="U129" i="4" s="1"/>
  <c r="S129" i="4"/>
  <c r="R129" i="4"/>
  <c r="T127" i="4"/>
  <c r="U127" i="4" s="1"/>
  <c r="S127" i="4"/>
  <c r="R127" i="4"/>
  <c r="T103" i="4"/>
  <c r="U103" i="4" s="1"/>
  <c r="S103" i="4"/>
  <c r="R103" i="4"/>
  <c r="T101" i="4"/>
  <c r="U101" i="4" s="1"/>
  <c r="S101" i="4"/>
  <c r="R101" i="4"/>
  <c r="T81" i="4"/>
  <c r="U81" i="4" s="1"/>
  <c r="S81" i="4"/>
  <c r="R81" i="4"/>
  <c r="T77" i="4"/>
  <c r="U77" i="4" s="1"/>
  <c r="S77" i="4"/>
  <c r="R77" i="4"/>
  <c r="T75" i="4"/>
  <c r="U75" i="4" s="1"/>
  <c r="S75" i="4"/>
  <c r="R75" i="4"/>
  <c r="T63" i="4"/>
  <c r="U63" i="4" s="1"/>
  <c r="S63" i="4"/>
  <c r="R63" i="4"/>
  <c r="T62" i="4"/>
  <c r="U62" i="4" s="1"/>
  <c r="S62" i="4"/>
  <c r="R62" i="4"/>
  <c r="T60" i="4"/>
  <c r="U60" i="4" s="1"/>
  <c r="S60" i="4"/>
  <c r="R60" i="4"/>
  <c r="T53" i="4"/>
  <c r="U53" i="4" s="1"/>
  <c r="S53" i="4"/>
  <c r="R53" i="4"/>
  <c r="T49" i="4"/>
  <c r="U49" i="4" s="1"/>
  <c r="S49" i="4"/>
  <c r="R49" i="4"/>
  <c r="T47" i="4"/>
  <c r="U47" i="4" s="1"/>
  <c r="S47" i="4"/>
  <c r="R47" i="4"/>
  <c r="T45" i="4"/>
  <c r="U45" i="4" s="1"/>
  <c r="S45" i="4"/>
  <c r="R45" i="4"/>
  <c r="T28" i="4"/>
  <c r="U28" i="4" s="1"/>
  <c r="S28" i="4"/>
  <c r="R28" i="4"/>
  <c r="T26" i="4"/>
  <c r="U26" i="4" s="1"/>
  <c r="S26" i="4"/>
  <c r="R26" i="4"/>
  <c r="T212" i="4"/>
  <c r="U212" i="4" s="1"/>
  <c r="S212" i="4"/>
  <c r="R212" i="4"/>
  <c r="T210" i="4"/>
  <c r="U210" i="4" s="1"/>
  <c r="S210" i="4"/>
  <c r="R210" i="4"/>
  <c r="T149" i="4"/>
  <c r="U149" i="4" s="1"/>
  <c r="S149" i="4"/>
  <c r="R149" i="4"/>
  <c r="T147" i="4"/>
  <c r="U147" i="4" s="1"/>
  <c r="S147" i="4"/>
  <c r="R147" i="4"/>
  <c r="T130" i="4"/>
  <c r="U130" i="4" s="1"/>
  <c r="S130" i="4"/>
  <c r="R130" i="4"/>
  <c r="T128" i="4"/>
  <c r="U128" i="4" s="1"/>
  <c r="S128" i="4"/>
  <c r="R128" i="4"/>
  <c r="T104" i="4"/>
  <c r="U104" i="4" s="1"/>
  <c r="S104" i="4"/>
  <c r="R104" i="4"/>
  <c r="T102" i="4"/>
  <c r="U102" i="4" s="1"/>
  <c r="S102" i="4"/>
  <c r="R102" i="4"/>
  <c r="T78" i="4"/>
  <c r="U78" i="4" s="1"/>
  <c r="S78" i="4"/>
  <c r="R78" i="4"/>
  <c r="T76" i="4"/>
  <c r="U76" i="4" s="1"/>
  <c r="S76" i="4"/>
  <c r="R76" i="4"/>
  <c r="T64" i="4"/>
  <c r="U64" i="4" s="1"/>
  <c r="S64" i="4"/>
  <c r="R64" i="4"/>
  <c r="T61" i="4"/>
  <c r="U61" i="4" s="1"/>
  <c r="S61" i="4"/>
  <c r="R61" i="4"/>
  <c r="T29" i="4"/>
  <c r="U29" i="4" s="1"/>
  <c r="S29" i="4"/>
  <c r="R29" i="4"/>
  <c r="T27" i="4"/>
  <c r="U27" i="4" s="1"/>
  <c r="S27" i="4"/>
  <c r="R27" i="4"/>
  <c r="T201" i="4"/>
  <c r="U201" i="4" s="1"/>
  <c r="S201" i="4"/>
  <c r="R201" i="4"/>
  <c r="T196" i="4"/>
  <c r="U196" i="4" s="1"/>
  <c r="S196" i="4"/>
  <c r="R196" i="4"/>
  <c r="T169" i="4"/>
  <c r="U169" i="4" s="1"/>
  <c r="S169" i="4"/>
  <c r="R169" i="4"/>
  <c r="T142" i="4"/>
  <c r="U142" i="4" s="1"/>
  <c r="S142" i="4"/>
  <c r="R142" i="4"/>
  <c r="T141" i="4"/>
  <c r="U141" i="4" s="1"/>
  <c r="S141" i="4"/>
  <c r="R141" i="4"/>
  <c r="T134" i="4"/>
  <c r="U134" i="4" s="1"/>
  <c r="S134" i="4"/>
  <c r="R134" i="4"/>
  <c r="T133" i="4"/>
  <c r="U133" i="4" s="1"/>
  <c r="S133" i="4"/>
  <c r="R133" i="4"/>
  <c r="T117" i="4"/>
  <c r="U117" i="4" s="1"/>
  <c r="S117" i="4"/>
  <c r="R117" i="4"/>
  <c r="T116" i="4"/>
  <c r="U116" i="4" s="1"/>
  <c r="S116" i="4"/>
  <c r="R116" i="4"/>
  <c r="T115" i="4"/>
  <c r="U115" i="4" s="1"/>
  <c r="S115" i="4"/>
  <c r="R115" i="4"/>
  <c r="T98" i="4"/>
  <c r="U98" i="4" s="1"/>
  <c r="S98" i="4"/>
  <c r="R98" i="4"/>
  <c r="T97" i="4"/>
  <c r="U97" i="4" s="1"/>
  <c r="S97" i="4"/>
  <c r="R97" i="4"/>
  <c r="T93" i="4"/>
  <c r="U93" i="4" s="1"/>
  <c r="S93" i="4"/>
  <c r="R93" i="4"/>
  <c r="T74" i="4"/>
  <c r="U74" i="4" s="1"/>
  <c r="S74" i="4"/>
  <c r="R74" i="4"/>
  <c r="T65" i="4"/>
  <c r="U65" i="4" s="1"/>
  <c r="S65" i="4"/>
  <c r="R65" i="4"/>
  <c r="T36" i="4"/>
  <c r="U36" i="4" s="1"/>
  <c r="S36" i="4"/>
  <c r="R36" i="4"/>
  <c r="T35" i="4"/>
  <c r="U35" i="4" s="1"/>
  <c r="S35" i="4"/>
  <c r="R35" i="4"/>
  <c r="T177" i="4"/>
  <c r="U177" i="4" s="1"/>
  <c r="S177" i="4"/>
  <c r="R177" i="4"/>
  <c r="T170" i="4"/>
  <c r="U170" i="4" s="1"/>
  <c r="S170" i="4"/>
  <c r="R170" i="4"/>
  <c r="T166" i="4"/>
  <c r="U166" i="4" s="1"/>
  <c r="S166" i="4"/>
  <c r="R166" i="4"/>
  <c r="T164" i="4"/>
  <c r="U164" i="4" s="1"/>
  <c r="S164" i="4"/>
  <c r="R164" i="4"/>
  <c r="T145" i="4"/>
  <c r="U145" i="4" s="1"/>
  <c r="S145" i="4"/>
  <c r="R145" i="4"/>
  <c r="T118" i="4"/>
  <c r="U118" i="4" s="1"/>
  <c r="S118" i="4"/>
  <c r="R118" i="4"/>
  <c r="T114" i="4"/>
  <c r="U114" i="4" s="1"/>
  <c r="S114" i="4"/>
  <c r="R114" i="4"/>
  <c r="T113" i="4"/>
  <c r="U113" i="4" s="1"/>
  <c r="S113" i="4"/>
  <c r="R113" i="4"/>
  <c r="T109" i="4"/>
  <c r="U109" i="4" s="1"/>
  <c r="S109" i="4"/>
  <c r="R109" i="4"/>
  <c r="T108" i="4"/>
  <c r="U108" i="4" s="1"/>
  <c r="S108" i="4"/>
  <c r="R108" i="4"/>
  <c r="T99" i="4"/>
  <c r="U99" i="4" s="1"/>
  <c r="S99" i="4"/>
  <c r="R99" i="4"/>
  <c r="T95" i="4"/>
  <c r="U95" i="4" s="1"/>
  <c r="S95" i="4"/>
  <c r="R95" i="4"/>
  <c r="T92" i="4"/>
  <c r="U92" i="4" s="1"/>
  <c r="S92" i="4"/>
  <c r="R92" i="4"/>
  <c r="T73" i="4"/>
  <c r="U73" i="4" s="1"/>
  <c r="S73" i="4"/>
  <c r="R73" i="4"/>
  <c r="T71" i="4"/>
  <c r="U71" i="4" s="1"/>
  <c r="S71" i="4"/>
  <c r="R71" i="4"/>
  <c r="T66" i="4"/>
  <c r="U66" i="4" s="1"/>
  <c r="S66" i="4"/>
  <c r="R66" i="4"/>
  <c r="T59" i="4"/>
  <c r="U59" i="4" s="1"/>
  <c r="S59" i="4"/>
  <c r="R59" i="4"/>
  <c r="T44" i="4"/>
  <c r="U44" i="4" s="1"/>
  <c r="S44" i="4"/>
  <c r="R44" i="4"/>
  <c r="T37" i="4"/>
  <c r="U37" i="4" s="1"/>
  <c r="S37" i="4"/>
  <c r="R37" i="4"/>
  <c r="T34" i="4"/>
  <c r="U34" i="4" s="1"/>
  <c r="S34" i="4"/>
  <c r="R34" i="4"/>
  <c r="T32" i="4"/>
  <c r="U32" i="4" s="1"/>
  <c r="S32" i="4"/>
  <c r="R32" i="4"/>
  <c r="T31" i="4"/>
  <c r="U31" i="4" s="1"/>
  <c r="S31" i="4"/>
  <c r="R31" i="4"/>
  <c r="T30" i="4"/>
  <c r="U30" i="4" s="1"/>
  <c r="S30" i="4"/>
  <c r="R30" i="4"/>
  <c r="T7" i="4"/>
  <c r="U7" i="4" s="1"/>
  <c r="S7" i="4"/>
  <c r="R7" i="4"/>
  <c r="T69" i="4"/>
  <c r="U69" i="4" s="1"/>
  <c r="S69" i="4"/>
  <c r="R69" i="4"/>
  <c r="T219" i="4" l="1"/>
  <c r="P219" i="4" s="1"/>
  <c r="U5" i="4"/>
  <c r="U219" i="4" s="1"/>
  <c r="M32" i="3"/>
  <c r="J29" i="3"/>
  <c r="F6" i="6" s="1"/>
  <c r="M6" i="6" s="1"/>
  <c r="D5" i="14"/>
  <c r="E5" i="14" s="1"/>
  <c r="L9" i="8"/>
  <c r="D7" i="14"/>
  <c r="E7" i="14" s="1"/>
  <c r="L11" i="12"/>
  <c r="D6" i="14"/>
  <c r="E6" i="14" s="1"/>
  <c r="L11" i="10"/>
  <c r="L6" i="6"/>
  <c r="N6" i="6"/>
  <c r="Q6" i="6"/>
  <c r="R6" i="6"/>
  <c r="R7" i="6"/>
  <c r="R10" i="6"/>
  <c r="R12" i="6"/>
  <c r="Q7" i="6"/>
  <c r="Q10" i="6"/>
  <c r="Q12" i="6"/>
  <c r="C12" i="7"/>
  <c r="C13" i="7"/>
  <c r="C14" i="7"/>
  <c r="B14" i="7"/>
  <c r="B13" i="7"/>
  <c r="C17" i="7"/>
  <c r="B12" i="7"/>
  <c r="D4" i="14"/>
  <c r="E4" i="14"/>
  <c r="D9" i="14"/>
  <c r="E9" i="14"/>
  <c r="H6" i="6"/>
  <c r="J6" i="6"/>
  <c r="O6" i="6"/>
  <c r="O7" i="6"/>
  <c r="O10" i="6"/>
  <c r="C9" i="7"/>
  <c r="B9" i="7"/>
  <c r="C4" i="14"/>
  <c r="C9" i="14"/>
  <c r="G6" i="6"/>
  <c r="K6" i="6"/>
  <c r="P6" i="6"/>
  <c r="P7" i="6"/>
  <c r="P10" i="6"/>
  <c r="B11" i="7"/>
  <c r="C10" i="7"/>
  <c r="B10" i="7"/>
  <c r="B4" i="14"/>
  <c r="B9" i="14"/>
  <c r="C11" i="7"/>
  <c r="B17" i="7"/>
</calcChain>
</file>

<file path=xl/sharedStrings.xml><?xml version="1.0" encoding="utf-8"?>
<sst xmlns="http://schemas.openxmlformats.org/spreadsheetml/2006/main" count="3078" uniqueCount="602">
  <si>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</si>
  <si>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</si>
  <si>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</si>
  <si>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</si>
  <si>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</si>
  <si>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</si>
  <si>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</si>
  <si>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</si>
  <si>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</si>
  <si>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</si>
  <si>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</si>
  <si>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</si>
  <si>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160J</t>
  </si>
  <si>
    <t>3W</t>
  </si>
  <si>
    <t>2W</t>
  </si>
  <si>
    <t>1W</t>
  </si>
  <si>
    <t>40J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</si>
  <si>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</si>
  <si>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</si>
  <si>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</si>
  <si>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</si>
  <si>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</si>
  <si>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</si>
  <si>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</si>
  <si>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</si>
  <si>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</si>
  <si>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</si>
  <si>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</si>
  <si>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</si>
  <si>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</si>
  <si>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</si>
  <si>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</si>
  <si>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</si>
  <si>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BHV</t>
  </si>
  <si>
    <t xml:space="preserve">B    </t>
  </si>
  <si>
    <t>Kantoor-/vergader-/spreekruimte - harde vloeren (volledig)</t>
  </si>
  <si>
    <t>m²/uur</t>
  </si>
  <si>
    <t>BZV</t>
  </si>
  <si>
    <t>Kantoor-/vergader-/spreekruimte - zachte vloeren (volledig)</t>
  </si>
  <si>
    <t>LHB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</si>
  <si>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</si>
  <si>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</si>
  <si>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</si>
  <si>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</si>
  <si>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</si>
  <si>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</si>
  <si>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</si>
  <si>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MZB</t>
  </si>
  <si>
    <t>Mediatheek/bibliotheek - zachte vloeren (basis)</t>
  </si>
  <si>
    <t>MZV</t>
  </si>
  <si>
    <t>Mediatheek/bibliotheek - zachte vloeren (volledig)</t>
  </si>
  <si>
    <t>PMHB</t>
  </si>
  <si>
    <t xml:space="preserve">PM   </t>
  </si>
  <si>
    <t>Praktijklokaal minimaal - harde vloeren (basis)</t>
  </si>
  <si>
    <t>PMHV</t>
  </si>
  <si>
    <t>Praktijklokaal minimaal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</si>
  <si>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</si>
  <si>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</si>
  <si>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</si>
  <si>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</si>
  <si>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</si>
  <si>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KHB</t>
  </si>
  <si>
    <t xml:space="preserve">S    </t>
  </si>
  <si>
    <t>Kleedruimte - harde vloeren (basis)</t>
  </si>
  <si>
    <t>KHV</t>
  </si>
  <si>
    <t>Kleedruimte - harde vloeren (volledig)</t>
  </si>
  <si>
    <t>SHB</t>
  </si>
  <si>
    <t>Sanitaire ruimte - harde vloeren (basis)</t>
  </si>
  <si>
    <t>SHV</t>
  </si>
  <si>
    <t>Sanitaire ruimte - harde vloeren (volledig)</t>
  </si>
  <si>
    <t>EZB</t>
  </si>
  <si>
    <t xml:space="preserve">V    </t>
  </si>
  <si>
    <t>Entree - zachte vloeren (basis)</t>
  </si>
  <si>
    <t>EZV</t>
  </si>
  <si>
    <t>Entree - zachte vloeren (volledig)</t>
  </si>
  <si>
    <t>GHB</t>
  </si>
  <si>
    <t>Sportzaal - harde vloeren (basis)</t>
  </si>
  <si>
    <t>GHV</t>
  </si>
  <si>
    <t>Sportzaal - harde vloeren (volledig)</t>
  </si>
  <si>
    <t>IHB</t>
  </si>
  <si>
    <t>Lift - harde vloeren (basis)</t>
  </si>
  <si>
    <t>IHV</t>
  </si>
  <si>
    <t>Lift - harde vloeren (volledig)</t>
  </si>
  <si>
    <t>RHB</t>
  </si>
  <si>
    <t>Restaurant/kantine/docentenkamer - harde vloeren (basis)</t>
  </si>
  <si>
    <t>RHV</t>
  </si>
  <si>
    <t>Restaurant/kantine/docentenkamer - harde vloeren (volledig)</t>
  </si>
  <si>
    <t>RZB</t>
  </si>
  <si>
    <t>Restaurant/kantine/docentenkamer - zachte vloeren (basis)</t>
  </si>
  <si>
    <t>RZV</t>
  </si>
  <si>
    <t>Restaurant/kantine/docentenkamer - zachte vloeren (volledig)</t>
  </si>
  <si>
    <t>THB</t>
  </si>
  <si>
    <t>Trappenhuis - harde vloeren (basis)</t>
  </si>
  <si>
    <t>THV</t>
  </si>
  <si>
    <t>Trappenhuis - harde vloeren (volledig)</t>
  </si>
  <si>
    <t>VHB</t>
  </si>
  <si>
    <t>Verkeersruimte - harde vloeren (basis)</t>
  </si>
  <si>
    <t>VHV</t>
  </si>
  <si>
    <t>Verkeersruimte - harde vloeren (volledig)</t>
  </si>
  <si>
    <t>VZB</t>
  </si>
  <si>
    <t>Verkeersruimte - zachte vloeren (basis)</t>
  </si>
  <si>
    <t>VZV</t>
  </si>
  <si>
    <t>Verkeersruimte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</si>
  <si>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</si>
  <si>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</si>
  <si>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</si>
  <si>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</si>
  <si>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</si>
  <si>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</si>
  <si>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</si>
  <si>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</si>
  <si>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</si>
  <si>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</si>
  <si>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Kantoor-/vergader-/spreekruimte harde vloeren</t>
  </si>
  <si>
    <t>BZ</t>
  </si>
  <si>
    <t>Kantoor-/vergader-/spreekruimte zachte vloeren</t>
  </si>
  <si>
    <t>EZ</t>
  </si>
  <si>
    <t>Entree zachte vloeren</t>
  </si>
  <si>
    <t>GH</t>
  </si>
  <si>
    <t>Gymzaal harde vloer</t>
  </si>
  <si>
    <t>IH</t>
  </si>
  <si>
    <t>Lift harde vloeren</t>
  </si>
  <si>
    <t>KH</t>
  </si>
  <si>
    <t>Kleedruimte - harde vloeren</t>
  </si>
  <si>
    <t>LH</t>
  </si>
  <si>
    <t>Leslokaal/studieruimte - harde vloeren</t>
  </si>
  <si>
    <t>LZ</t>
  </si>
  <si>
    <t>Leslokaal/studieruimte - zachte vloeren</t>
  </si>
  <si>
    <t>MZ</t>
  </si>
  <si>
    <t>Media-/bibliotheek zachte vloeren</t>
  </si>
  <si>
    <t>PMH</t>
  </si>
  <si>
    <t>Praktijklokaal minimaal - harde vloeren</t>
  </si>
  <si>
    <t>PUH</t>
  </si>
  <si>
    <t>Praktijklokaal uitgebreid - harde vloeren</t>
  </si>
  <si>
    <t>RH</t>
  </si>
  <si>
    <t>Restaurant/kantine/docentenkamer harde vloeren</t>
  </si>
  <si>
    <t>RZ</t>
  </si>
  <si>
    <t>SH</t>
  </si>
  <si>
    <t>Sanitaire ruimte/toiletten harde vloer</t>
  </si>
  <si>
    <t>SHN</t>
  </si>
  <si>
    <t>Sanitaire ruimte/toiletten harde vloer naloop</t>
  </si>
  <si>
    <t>TH</t>
  </si>
  <si>
    <t>Trappenhuis harde vloeren</t>
  </si>
  <si>
    <t>VH</t>
  </si>
  <si>
    <t>Verkeersruimte/garderobe harde vloeren</t>
  </si>
  <si>
    <t>VZ</t>
  </si>
  <si>
    <t>Verkeersruimte/garderobe zachte vloeren</t>
  </si>
  <si>
    <t>Z001</t>
  </si>
  <si>
    <t>Vloeronderhoud</t>
  </si>
  <si>
    <t>Z002</t>
  </si>
  <si>
    <t>Ledigen afvalbakken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</si>
  <si>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</si>
  <si>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</si>
  <si>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</si>
  <si>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</si>
  <si>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</si>
  <si>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</si>
  <si>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</si>
  <si>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</si>
  <si>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</si>
  <si>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</si>
  <si>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</si>
  <si>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</si>
  <si>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01 - Pallas Athene College, Koekeltse Boslaan 21, Ede</t>
  </si>
  <si>
    <t>01</t>
  </si>
  <si>
    <t/>
  </si>
  <si>
    <t>00</t>
  </si>
  <si>
    <t>0.01</t>
  </si>
  <si>
    <t>Entree</t>
  </si>
  <si>
    <t>inloopmat</t>
  </si>
  <si>
    <t>0.02</t>
  </si>
  <si>
    <t>tapijt</t>
  </si>
  <si>
    <t>0.03</t>
  </si>
  <si>
    <t>Verkeersruimte</t>
  </si>
  <si>
    <t>marmoleum</t>
  </si>
  <si>
    <t>0.04</t>
  </si>
  <si>
    <t>Kantoor administratie</t>
  </si>
  <si>
    <t>0.05</t>
  </si>
  <si>
    <t>Personeelsruimte</t>
  </si>
  <si>
    <t>0.05a</t>
  </si>
  <si>
    <t>0.06</t>
  </si>
  <si>
    <t>Pauzeruimte</t>
  </si>
  <si>
    <t>hout</t>
  </si>
  <si>
    <t>0.06a</t>
  </si>
  <si>
    <t>Pantry</t>
  </si>
  <si>
    <t>0.07</t>
  </si>
  <si>
    <t>Kantoor</t>
  </si>
  <si>
    <t>0.08</t>
  </si>
  <si>
    <t>0.09</t>
  </si>
  <si>
    <t>0.10</t>
  </si>
  <si>
    <t>0.11</t>
  </si>
  <si>
    <t>Spreekkamer</t>
  </si>
  <si>
    <t>0.12</t>
  </si>
  <si>
    <t>0.13</t>
  </si>
  <si>
    <t>Toiletgroep meisjes</t>
  </si>
  <si>
    <t>dhgt</t>
  </si>
  <si>
    <t>0.14</t>
  </si>
  <si>
    <t>Toiletgroep jongens</t>
  </si>
  <si>
    <t>0.15</t>
  </si>
  <si>
    <t>0.16</t>
  </si>
  <si>
    <t>Garderobe</t>
  </si>
  <si>
    <t>0.17</t>
  </si>
  <si>
    <t>Repro</t>
  </si>
  <si>
    <t>0.18</t>
  </si>
  <si>
    <t>Keuken</t>
  </si>
  <si>
    <t>0.20</t>
  </si>
  <si>
    <t>Verkeersruimte/kluisjes</t>
  </si>
  <si>
    <t>0.21</t>
  </si>
  <si>
    <t>Trappenhuis</t>
  </si>
  <si>
    <t>0.21a</t>
  </si>
  <si>
    <t>rubber</t>
  </si>
  <si>
    <t>0.23</t>
  </si>
  <si>
    <t>0.24</t>
  </si>
  <si>
    <t>0.25</t>
  </si>
  <si>
    <t>0.26</t>
  </si>
  <si>
    <t>Theaterlokaal</t>
  </si>
  <si>
    <t>0.26b</t>
  </si>
  <si>
    <t>Podium</t>
  </si>
  <si>
    <t>0.27</t>
  </si>
  <si>
    <t>Gang</t>
  </si>
  <si>
    <t>0.27a</t>
  </si>
  <si>
    <t>Toilet</t>
  </si>
  <si>
    <t>0.28</t>
  </si>
  <si>
    <t>Kleedruimte</t>
  </si>
  <si>
    <t>gietvloer</t>
  </si>
  <si>
    <t>0.28a</t>
  </si>
  <si>
    <t>0.29</t>
  </si>
  <si>
    <t>0.29a</t>
  </si>
  <si>
    <t>0.30</t>
  </si>
  <si>
    <t>0.31</t>
  </si>
  <si>
    <t>0.32</t>
  </si>
  <si>
    <t>0.32a</t>
  </si>
  <si>
    <t>0.33</t>
  </si>
  <si>
    <t>0.34</t>
  </si>
  <si>
    <t>0.35</t>
  </si>
  <si>
    <t>Gymzaal</t>
  </si>
  <si>
    <t>gymvloer</t>
  </si>
  <si>
    <t>0.36</t>
  </si>
  <si>
    <t>0.37</t>
  </si>
  <si>
    <t>0.38</t>
  </si>
  <si>
    <t>0.39</t>
  </si>
  <si>
    <t>Toiletgroep</t>
  </si>
  <si>
    <t>0.40</t>
  </si>
  <si>
    <t>Toilet docenten</t>
  </si>
  <si>
    <t>0.41</t>
  </si>
  <si>
    <t>0.42</t>
  </si>
  <si>
    <t>0.44</t>
  </si>
  <si>
    <t>0.44a</t>
  </si>
  <si>
    <t>Kantoor concierge (Topshield 2-2015)</t>
  </si>
  <si>
    <t>0.45</t>
  </si>
  <si>
    <t>0.46</t>
  </si>
  <si>
    <t>0.47</t>
  </si>
  <si>
    <t>0.48</t>
  </si>
  <si>
    <t>Aula 2</t>
  </si>
  <si>
    <t>0.49</t>
  </si>
  <si>
    <t>0.49a</t>
  </si>
  <si>
    <t>0.50</t>
  </si>
  <si>
    <t>0.51</t>
  </si>
  <si>
    <t>0.52</t>
  </si>
  <si>
    <t>0.54</t>
  </si>
  <si>
    <t>Miva toilet</t>
  </si>
  <si>
    <t>0.55</t>
  </si>
  <si>
    <t>Lift</t>
  </si>
  <si>
    <t>0.56</t>
  </si>
  <si>
    <t>0.59</t>
  </si>
  <si>
    <t>Leslokaal</t>
  </si>
  <si>
    <t>0.60</t>
  </si>
  <si>
    <t>Leslokaal handvaardigheid</t>
  </si>
  <si>
    <t>0.62</t>
  </si>
  <si>
    <t>0.63</t>
  </si>
  <si>
    <t>0.64</t>
  </si>
  <si>
    <t>0.65</t>
  </si>
  <si>
    <t>0.66</t>
  </si>
  <si>
    <t>0.67</t>
  </si>
  <si>
    <t>Trap</t>
  </si>
  <si>
    <t>0.68</t>
  </si>
  <si>
    <t>0.69</t>
  </si>
  <si>
    <t>0.70</t>
  </si>
  <si>
    <t>0.71</t>
  </si>
  <si>
    <t>0.71a</t>
  </si>
  <si>
    <t>0.72</t>
  </si>
  <si>
    <t>0.73</t>
  </si>
  <si>
    <t>0.74</t>
  </si>
  <si>
    <t>0.75</t>
  </si>
  <si>
    <t>0.76</t>
  </si>
  <si>
    <t>Leslokaal computers</t>
  </si>
  <si>
    <t>0.78</t>
  </si>
  <si>
    <t>Leslokaal tekenen</t>
  </si>
  <si>
    <t>0.80</t>
  </si>
  <si>
    <t>0.83</t>
  </si>
  <si>
    <t>0.84</t>
  </si>
  <si>
    <t>Berging/werkplaats</t>
  </si>
  <si>
    <t>0.85</t>
  </si>
  <si>
    <t>0.88</t>
  </si>
  <si>
    <t>Aula</t>
  </si>
  <si>
    <t>0.89</t>
  </si>
  <si>
    <t>Aula 1</t>
  </si>
  <si>
    <t>0.90</t>
  </si>
  <si>
    <t>Hellingbaan</t>
  </si>
  <si>
    <t>0.91</t>
  </si>
  <si>
    <t>0.92</t>
  </si>
  <si>
    <t>0.93</t>
  </si>
  <si>
    <t>1.01</t>
  </si>
  <si>
    <t>1.02</t>
  </si>
  <si>
    <t>1.03</t>
  </si>
  <si>
    <t>1.04</t>
  </si>
  <si>
    <t>1.05</t>
  </si>
  <si>
    <t>1.06</t>
  </si>
  <si>
    <t>1.07</t>
  </si>
  <si>
    <t>1.08</t>
  </si>
  <si>
    <t>1.10</t>
  </si>
  <si>
    <t>1.12</t>
  </si>
  <si>
    <t>1.13</t>
  </si>
  <si>
    <t>1.13a</t>
  </si>
  <si>
    <t>1.14</t>
  </si>
  <si>
    <t>1.14a</t>
  </si>
  <si>
    <t>1.15</t>
  </si>
  <si>
    <t>1.15a</t>
  </si>
  <si>
    <t>1.16</t>
  </si>
  <si>
    <t>1.16a</t>
  </si>
  <si>
    <t>1.17</t>
  </si>
  <si>
    <t>1.17a</t>
  </si>
  <si>
    <t>1.18</t>
  </si>
  <si>
    <t>1.19</t>
  </si>
  <si>
    <t>1.21</t>
  </si>
  <si>
    <t>1.22</t>
  </si>
  <si>
    <t>1.23</t>
  </si>
  <si>
    <t>1.24</t>
  </si>
  <si>
    <t>1.25</t>
  </si>
  <si>
    <t>1.25a</t>
  </si>
  <si>
    <t>1.26</t>
  </si>
  <si>
    <t>1.26a</t>
  </si>
  <si>
    <t>1.27</t>
  </si>
  <si>
    <t>1.27a</t>
  </si>
  <si>
    <t>1.28</t>
  </si>
  <si>
    <t>1.29</t>
  </si>
  <si>
    <t>1.30</t>
  </si>
  <si>
    <t>1.31</t>
  </si>
  <si>
    <t>1.32</t>
  </si>
  <si>
    <t>1.33</t>
  </si>
  <si>
    <t>1.34</t>
  </si>
  <si>
    <t>1.34a</t>
  </si>
  <si>
    <t>1.35</t>
  </si>
  <si>
    <t>1.36</t>
  </si>
  <si>
    <t>1.37</t>
  </si>
  <si>
    <t>1.37a</t>
  </si>
  <si>
    <t>1.40</t>
  </si>
  <si>
    <t>Leslokaal ICT</t>
  </si>
  <si>
    <t>1.42</t>
  </si>
  <si>
    <t>1.42a</t>
  </si>
  <si>
    <t>1.43</t>
  </si>
  <si>
    <t>1.44</t>
  </si>
  <si>
    <t>1.45</t>
  </si>
  <si>
    <t>Kantoor systeembeheer</t>
  </si>
  <si>
    <t>1.46</t>
  </si>
  <si>
    <t>1.48</t>
  </si>
  <si>
    <t>1.51</t>
  </si>
  <si>
    <t>1.51a</t>
  </si>
  <si>
    <t>1.52</t>
  </si>
  <si>
    <t>1.52a</t>
  </si>
  <si>
    <t>1.53</t>
  </si>
  <si>
    <t>1.53a</t>
  </si>
  <si>
    <t>1.54</t>
  </si>
  <si>
    <t>1.54a</t>
  </si>
  <si>
    <t>1.55</t>
  </si>
  <si>
    <t>1.56</t>
  </si>
  <si>
    <t>1.57</t>
  </si>
  <si>
    <t>Mediatheek</t>
  </si>
  <si>
    <t>1.58</t>
  </si>
  <si>
    <t>1.59</t>
  </si>
  <si>
    <t>02</t>
  </si>
  <si>
    <t>2.01</t>
  </si>
  <si>
    <t>2.02</t>
  </si>
  <si>
    <t>2.02a</t>
  </si>
  <si>
    <t>2.03a</t>
  </si>
  <si>
    <t>2.04a</t>
  </si>
  <si>
    <t>2.05</t>
  </si>
  <si>
    <t>2.06</t>
  </si>
  <si>
    <t>2.07</t>
  </si>
  <si>
    <t>Kabinet</t>
  </si>
  <si>
    <t>2.08</t>
  </si>
  <si>
    <t>2.09</t>
  </si>
  <si>
    <t>Leslokaal scheikunde</t>
  </si>
  <si>
    <t>2.10</t>
  </si>
  <si>
    <t>Toa ruimte</t>
  </si>
  <si>
    <t>2.11</t>
  </si>
  <si>
    <t>2.12</t>
  </si>
  <si>
    <t>2.13</t>
  </si>
  <si>
    <t>2.14</t>
  </si>
  <si>
    <t>Leslokaal natuur-/scheikunde</t>
  </si>
  <si>
    <t>2.15</t>
  </si>
  <si>
    <t>2.16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</si>
  <si>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</si>
  <si>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</si>
  <si>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</si>
  <si>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</si>
  <si>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</si>
  <si>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</si>
  <si>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</si>
  <si>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</si>
  <si>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</si>
  <si>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 01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</si>
  <si>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</si>
  <si>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</si>
  <si>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</si>
  <si>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</si>
  <si>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</si>
  <si>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</si>
  <si>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</si>
  <si>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</si>
  <si>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</si>
  <si>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</si>
  <si>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</si>
  <si>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</si>
  <si>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</si>
  <si>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</si>
  <si>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</si>
  <si>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Pallas Athene College</t>
  </si>
  <si>
    <t>Koekeltse Boslaan 21</t>
  </si>
  <si>
    <t>Ede</t>
  </si>
  <si>
    <t>Totaal regulier werk incl. suppleties (excl. BTW)</t>
  </si>
  <si>
    <t>Totaal regulier werk incl. suppleties (incl. BTW)</t>
  </si>
  <si>
    <t>Object</t>
  </si>
  <si>
    <t>Naam</t>
  </si>
  <si>
    <t>Adres</t>
  </si>
  <si>
    <t>Plaats</t>
  </si>
  <si>
    <t>Oppervlakte in onderhoud</t>
  </si>
  <si>
    <t>Uren hoog-frequent/ jaar</t>
  </si>
  <si>
    <t xml:space="preserve">Uren/ jaar werkdag                  </t>
  </si>
  <si>
    <t xml:space="preserve">Gemiddelde productienorm werkdag     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</si>
  <si>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</si>
  <si>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</si>
  <si>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</si>
  <si>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</si>
  <si>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</si>
  <si>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</si>
  <si>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</si>
  <si>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</si>
  <si>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</si>
  <si>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</si>
  <si>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</si>
  <si>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</si>
  <si>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</si>
  <si>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vloeronderhoud strippen en polymeren</t>
  </si>
  <si>
    <t>tijdsnorm in vloer m²/uur</t>
  </si>
  <si>
    <t>Totaal additioneel werk excl. BTW</t>
  </si>
  <si>
    <t>Totaal 01 - Pallas Athene College, Koekeltse Boslaan 21, Ede</t>
  </si>
  <si>
    <t>9000</t>
  </si>
  <si>
    <t>Medewerker regiewerkzaamheden</t>
  </si>
  <si>
    <t>prijs per uur</t>
  </si>
  <si>
    <t>9100</t>
  </si>
  <si>
    <t>Medewerker specialistische werkzaamheden</t>
  </si>
  <si>
    <t>9200</t>
  </si>
  <si>
    <t>Medewerker verwijderen graffiti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</si>
  <si>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</si>
  <si>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</si>
  <si>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</si>
  <si>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</si>
  <si>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</si>
  <si>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</si>
  <si>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</si>
  <si>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</si>
  <si>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</si>
  <si>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</si>
  <si>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</si>
  <si>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</si>
  <si>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</si>
  <si>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</si>
  <si>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</si>
  <si>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</si>
  <si>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</si>
  <si>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</si>
  <si>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</si>
  <si>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</si>
  <si>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</si>
  <si>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</si>
  <si>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</si>
  <si>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</si>
  <si>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</si>
  <si>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</si>
  <si>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</si>
  <si>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</si>
  <si>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</si>
  <si>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</si>
  <si>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</si>
  <si>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</si>
  <si>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</si>
  <si>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</si>
  <si>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</si>
  <si>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</si>
  <si>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</si>
  <si>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</si>
  <si>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</si>
  <si>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</si>
  <si>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</si>
  <si>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</si>
  <si>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</si>
  <si>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</si>
  <si>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</si>
  <si>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</si>
  <si>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</si>
  <si>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</si>
  <si>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</si>
  <si>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</si>
  <si>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</si>
  <si>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</si>
  <si>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</si>
  <si>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</si>
  <si>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</si>
  <si>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</si>
  <si>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</si>
  <si>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</si>
  <si>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</si>
  <si>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</si>
  <si>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</si>
  <si>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</si>
  <si>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</si>
  <si>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</si>
  <si>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</si>
  <si>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</si>
  <si>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</si>
  <si>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</si>
  <si>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</si>
  <si>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</si>
  <si>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</si>
  <si>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</si>
  <si>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</si>
  <si>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</si>
  <si>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</si>
  <si>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</si>
  <si>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</si>
  <si>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</si>
  <si>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</si>
  <si>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</si>
  <si>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</si>
  <si>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</si>
  <si>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</si>
  <si>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</si>
  <si>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</si>
  <si>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</si>
  <si>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</si>
  <si>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</si>
  <si>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</si>
  <si>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</si>
  <si>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</si>
  <si>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</si>
  <si>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</si>
  <si>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</si>
  <si>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</si>
  <si>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</si>
  <si>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</si>
  <si>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</si>
  <si>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</si>
  <si>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</si>
  <si>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</si>
  <si>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</si>
  <si>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</si>
  <si>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</si>
  <si>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</si>
  <si>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</si>
  <si>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</si>
  <si>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</si>
  <si>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</si>
  <si>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</si>
  <si>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</si>
  <si>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</si>
  <si>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</si>
  <si>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</si>
  <si>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</si>
  <si>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</si>
  <si>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</si>
  <si>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</si>
  <si>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</si>
  <si>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</si>
  <si>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</si>
  <si>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Stoelbekleding (stof)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</si>
  <si>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</si>
  <si>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</si>
  <si>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</si>
  <si>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</si>
  <si>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</si>
  <si>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</si>
  <si>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</si>
  <si>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</si>
  <si>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</si>
  <si>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</si>
  <si>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</si>
  <si>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</si>
  <si>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</si>
  <si>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</si>
  <si>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</si>
  <si>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</si>
  <si>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</si>
  <si>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</si>
  <si>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</si>
  <si>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</si>
  <si>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Additioneel werk</t>
  </si>
  <si>
    <t>Afroepwerk (geschatte frequenties)</t>
  </si>
  <si>
    <t>Glas</t>
  </si>
  <si>
    <t>Totaal generaal</t>
  </si>
  <si>
    <t>BEGROOT BEDRAG REGULIERE WERKZAAMHEDEN (NIET HOGER DAN BUDGET)</t>
  </si>
  <si>
    <t>VERGELIJKINGSBEDRAG ADDITIONEEL/AFROEP/GLAS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</si>
</sst>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4" fontId="0" fillId="3" borderId="15" xfId="0" applyNumberFormat="1" applyFill="1" applyBorder="1"/>
    <xf numFmtId="0" fontId="0" fillId="3" borderId="15" xfId="0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3" borderId="12" xfId="0" applyNumberFormat="1" applyFill="1" applyBorder="1"/>
    <xf numFmtId="0" fontId="0" fillId="3" borderId="10" xfId="0" applyFill="1" applyBorder="1" applyAlignment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" fontId="0" fillId="3" borderId="16" xfId="0" applyNumberFormat="1" applyFill="1" applyBorder="1"/>
    <xf numFmtId="0" fontId="3" fillId="5" borderId="6" xfId="1" applyFont="1" applyFill="1" applyBorder="1"/>
    <xf numFmtId="0" fontId="4" fillId="5" borderId="6" xfId="1" applyFont="1" applyFill="1" applyBorder="1"/>
    <xf numFmtId="164" fontId="3" fillId="6" borderId="6" xfId="1" applyNumberFormat="1" applyFont="1" applyFill="1" applyBorder="1"/>
  </cellXfs>
  <cellStyles count="2">
    <cellStyle name="Standaard" xfId="0" builtinId="0"/>
    <cellStyle name="Standaard 2" xfId="1" xr:uid="{B490F2AF-2E5C-4760-83A0-16393AEA9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54D4-A95E-4D92-B1D5-5B49D3196FDD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0.76923076923076927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0.61538461538461542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0.6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0.15384615384615385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0.1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4.6153846153846156E-2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2.3076923076923078E-2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1.5384615384615385E-2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1.1538461538461539E-2</v>
      </c>
    </row>
    <row r="26" spans="1:2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7.6923076923076927E-3</v>
      </c>
    </row>
    <row r="27" spans="1:2" x14ac:dyDescent="0.2">
      <c r="A27" s="6" t="s">
        <v>23</v>
      </c>
      <c r="B27" s="7">
        <f>IF(A27="2½W",2.5/dagenperweek1,IF(RIGHT(A27,1)="W",VALUE(LEFT(A27,LEN(A27)-1))/dagenperweek1,IF(RIGHT(A27,1)="J",VALUE(LEFT(A27,LEN(A27)-1))/dagenperjaar1,"handmatig!")))</f>
        <v>3.8461538461538464E-3</v>
      </c>
    </row>
  </sheetData>
  <sheetProtection algorithmName="SHA-512" hashValue="H2NwllcUIIQjxS2d/OYusIyZpz07XBnzo2kSd7SfFuXgj3n0BJOZzULbnKVw4K0/J6DpedpTSvVgtFg0368rmQ==" saltValue="NQR6mxz20VL5SSW52zdy6g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8298-1875-43E7-8972-15EC9A6DE4DF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F2 .8: ",tabeltype," afroep")</f>
        <v>Bijlage F2 .8: Invultabel afroep</v>
      </c>
    </row>
    <row r="3" spans="1:12" ht="38.25" x14ac:dyDescent="0.2">
      <c r="A3" s="8" t="s">
        <v>435</v>
      </c>
      <c r="B3" s="8" t="s">
        <v>7</v>
      </c>
      <c r="C3" s="8" t="s">
        <v>436</v>
      </c>
      <c r="D3" s="8" t="s">
        <v>27</v>
      </c>
      <c r="E3" s="8" t="s">
        <v>30</v>
      </c>
      <c r="F3" s="8" t="s">
        <v>437</v>
      </c>
      <c r="G3" s="8" t="s">
        <v>438</v>
      </c>
      <c r="H3" s="8" t="s">
        <v>439</v>
      </c>
      <c r="I3" s="8" t="s">
        <v>440</v>
      </c>
      <c r="J3" s="8" t="s">
        <v>441</v>
      </c>
      <c r="K3" s="8" t="s">
        <v>110</v>
      </c>
      <c r="L3" s="8" t="s">
        <v>416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447</v>
      </c>
      <c r="B6" s="15" t="s">
        <v>18</v>
      </c>
      <c r="C6" s="16">
        <f>IF(ISBLANK(B6),0,IF(ISERROR(VALUE(B6)),VLOOKUP(B6,dagsoorttabel1,2,FALSE)*dagenperjaar1,VALUE(B6)))</f>
        <v>12</v>
      </c>
      <c r="D6" s="15" t="s">
        <v>448</v>
      </c>
      <c r="E6" s="15" t="s">
        <v>449</v>
      </c>
      <c r="F6" s="106">
        <v>20</v>
      </c>
      <c r="G6" s="19"/>
      <c r="H6" s="107"/>
      <c r="I6" s="19"/>
      <c r="J6" s="33">
        <f>IF(ISBLANK(F6),0,F6)*ROUND(I6,2)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450</v>
      </c>
      <c r="B7" s="20" t="s">
        <v>18</v>
      </c>
      <c r="C7" s="21">
        <f>IF(ISBLANK(B7),0,IF(ISERROR(VALUE(B7)),VLOOKUP(B7,dagsoorttabel1,2,FALSE)*dagenperjaar1,VALUE(B7)))</f>
        <v>12</v>
      </c>
      <c r="D7" s="20" t="s">
        <v>451</v>
      </c>
      <c r="E7" s="20" t="s">
        <v>449</v>
      </c>
      <c r="F7" s="108">
        <v>10</v>
      </c>
      <c r="G7" s="24"/>
      <c r="H7" s="109"/>
      <c r="I7" s="24"/>
      <c r="J7" s="37">
        <f>IF(ISBLANK(F7),0,F7)*ROUND(I7,2)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452</v>
      </c>
      <c r="B8" s="25" t="s">
        <v>18</v>
      </c>
      <c r="C8" s="26">
        <f>IF(ISBLANK(B8),0,IF(ISERROR(VALUE(B8)),VLOOKUP(B8,dagsoorttabel1,2,FALSE)*dagenperjaar1,VALUE(B8)))</f>
        <v>12</v>
      </c>
      <c r="D8" s="25" t="s">
        <v>453</v>
      </c>
      <c r="E8" s="25" t="s">
        <v>449</v>
      </c>
      <c r="F8" s="110">
        <v>5</v>
      </c>
      <c r="G8" s="29"/>
      <c r="H8" s="111"/>
      <c r="I8" s="29"/>
      <c r="J8" s="41">
        <f>IF(ISBLANK(F8),0,F8)*ROUND(I8,2)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151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1">
        <f>K9/12</f>
        <v>0</v>
      </c>
    </row>
    <row r="11" spans="1:12" x14ac:dyDescent="0.2">
      <c r="A11" s="43" t="s">
        <v>454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prijsjaarafroep1</f>
        <v>0</v>
      </c>
      <c r="L11" s="101">
        <f>K11/12</f>
        <v>0</v>
      </c>
    </row>
  </sheetData>
  <sheetProtection algorithmName="SHA-512" hashValue="vXeTgTHF8tlPvfocJE4q7zEYGOHOJRT4U6OJP/G+Q/taKFdRltI8BXlik0agWLN+Afzrm/SppK2+jjlsAM/i6g==" saltValue="G21M+6DQCz/7Vec3pL/Ri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C3B3-FA4D-4FAF-A9A0-5D586D4D391D}">
  <dimension ref="A1:E94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F2 .9: ",tabeltype," afroep incidenteel")</f>
        <v>Bijlage F2 .9: Invultabel afroep incidenteel</v>
      </c>
    </row>
    <row r="3" spans="1:5" ht="38.25" x14ac:dyDescent="0.2">
      <c r="A3" s="8" t="s">
        <v>435</v>
      </c>
      <c r="B3" s="8" t="s">
        <v>27</v>
      </c>
      <c r="C3" s="8" t="s">
        <v>30</v>
      </c>
      <c r="D3" s="8" t="s">
        <v>455</v>
      </c>
      <c r="E3" s="8" t="s">
        <v>440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456</v>
      </c>
      <c r="B6" s="15" t="s">
        <v>457</v>
      </c>
      <c r="C6" s="15" t="s">
        <v>458</v>
      </c>
      <c r="D6" s="15" t="s">
        <v>459</v>
      </c>
      <c r="E6" s="19"/>
    </row>
    <row r="7" spans="1:5" x14ac:dyDescent="0.2">
      <c r="A7" s="20" t="s">
        <v>460</v>
      </c>
      <c r="B7" s="20" t="s">
        <v>457</v>
      </c>
      <c r="C7" s="20" t="s">
        <v>458</v>
      </c>
      <c r="D7" s="20" t="s">
        <v>461</v>
      </c>
      <c r="E7" s="24"/>
    </row>
    <row r="8" spans="1:5" x14ac:dyDescent="0.2">
      <c r="A8" s="20" t="s">
        <v>462</v>
      </c>
      <c r="B8" s="20" t="s">
        <v>457</v>
      </c>
      <c r="C8" s="20" t="s">
        <v>458</v>
      </c>
      <c r="D8" s="20" t="s">
        <v>463</v>
      </c>
      <c r="E8" s="24"/>
    </row>
    <row r="9" spans="1:5" x14ac:dyDescent="0.2">
      <c r="A9" s="20" t="s">
        <v>464</v>
      </c>
      <c r="B9" s="20" t="s">
        <v>457</v>
      </c>
      <c r="C9" s="20" t="s">
        <v>458</v>
      </c>
      <c r="D9" s="20" t="s">
        <v>465</v>
      </c>
      <c r="E9" s="24"/>
    </row>
    <row r="10" spans="1:5" x14ac:dyDescent="0.2">
      <c r="A10" s="20" t="s">
        <v>466</v>
      </c>
      <c r="B10" s="20" t="s">
        <v>467</v>
      </c>
      <c r="C10" s="20" t="s">
        <v>458</v>
      </c>
      <c r="D10" s="20" t="s">
        <v>459</v>
      </c>
      <c r="E10" s="24"/>
    </row>
    <row r="11" spans="1:5" x14ac:dyDescent="0.2">
      <c r="A11" s="20" t="s">
        <v>468</v>
      </c>
      <c r="B11" s="20" t="s">
        <v>467</v>
      </c>
      <c r="C11" s="20" t="s">
        <v>458</v>
      </c>
      <c r="D11" s="20" t="s">
        <v>461</v>
      </c>
      <c r="E11" s="24"/>
    </row>
    <row r="12" spans="1:5" x14ac:dyDescent="0.2">
      <c r="A12" s="20" t="s">
        <v>469</v>
      </c>
      <c r="B12" s="20" t="s">
        <v>467</v>
      </c>
      <c r="C12" s="20" t="s">
        <v>458</v>
      </c>
      <c r="D12" s="20" t="s">
        <v>463</v>
      </c>
      <c r="E12" s="24"/>
    </row>
    <row r="13" spans="1:5" x14ac:dyDescent="0.2">
      <c r="A13" s="20" t="s">
        <v>470</v>
      </c>
      <c r="B13" s="20" t="s">
        <v>467</v>
      </c>
      <c r="C13" s="20" t="s">
        <v>458</v>
      </c>
      <c r="D13" s="20" t="s">
        <v>465</v>
      </c>
      <c r="E13" s="24"/>
    </row>
    <row r="14" spans="1:5" x14ac:dyDescent="0.2">
      <c r="A14" s="20" t="s">
        <v>471</v>
      </c>
      <c r="B14" s="20" t="s">
        <v>472</v>
      </c>
      <c r="C14" s="20" t="s">
        <v>458</v>
      </c>
      <c r="D14" s="20" t="s">
        <v>459</v>
      </c>
      <c r="E14" s="24"/>
    </row>
    <row r="15" spans="1:5" x14ac:dyDescent="0.2">
      <c r="A15" s="20" t="s">
        <v>473</v>
      </c>
      <c r="B15" s="20" t="s">
        <v>472</v>
      </c>
      <c r="C15" s="20" t="s">
        <v>458</v>
      </c>
      <c r="D15" s="20" t="s">
        <v>461</v>
      </c>
      <c r="E15" s="24"/>
    </row>
    <row r="16" spans="1:5" x14ac:dyDescent="0.2">
      <c r="A16" s="20" t="s">
        <v>474</v>
      </c>
      <c r="B16" s="20" t="s">
        <v>472</v>
      </c>
      <c r="C16" s="20" t="s">
        <v>458</v>
      </c>
      <c r="D16" s="20" t="s">
        <v>463</v>
      </c>
      <c r="E16" s="24"/>
    </row>
    <row r="17" spans="1:5" x14ac:dyDescent="0.2">
      <c r="A17" s="20" t="s">
        <v>475</v>
      </c>
      <c r="B17" s="20" t="s">
        <v>472</v>
      </c>
      <c r="C17" s="20" t="s">
        <v>458</v>
      </c>
      <c r="D17" s="20" t="s">
        <v>465</v>
      </c>
      <c r="E17" s="24"/>
    </row>
    <row r="18" spans="1:5" x14ac:dyDescent="0.2">
      <c r="A18" s="20" t="s">
        <v>476</v>
      </c>
      <c r="B18" s="20" t="s">
        <v>477</v>
      </c>
      <c r="C18" s="20" t="s">
        <v>458</v>
      </c>
      <c r="D18" s="20" t="s">
        <v>459</v>
      </c>
      <c r="E18" s="24"/>
    </row>
    <row r="19" spans="1:5" x14ac:dyDescent="0.2">
      <c r="A19" s="20" t="s">
        <v>478</v>
      </c>
      <c r="B19" s="20" t="s">
        <v>477</v>
      </c>
      <c r="C19" s="20" t="s">
        <v>458</v>
      </c>
      <c r="D19" s="20" t="s">
        <v>461</v>
      </c>
      <c r="E19" s="24"/>
    </row>
    <row r="20" spans="1:5" x14ac:dyDescent="0.2">
      <c r="A20" s="20" t="s">
        <v>479</v>
      </c>
      <c r="B20" s="20" t="s">
        <v>477</v>
      </c>
      <c r="C20" s="20" t="s">
        <v>458</v>
      </c>
      <c r="D20" s="20" t="s">
        <v>463</v>
      </c>
      <c r="E20" s="24"/>
    </row>
    <row r="21" spans="1:5" x14ac:dyDescent="0.2">
      <c r="A21" s="20" t="s">
        <v>480</v>
      </c>
      <c r="B21" s="20" t="s">
        <v>477</v>
      </c>
      <c r="C21" s="20" t="s">
        <v>458</v>
      </c>
      <c r="D21" s="20" t="s">
        <v>465</v>
      </c>
      <c r="E21" s="24"/>
    </row>
    <row r="22" spans="1:5" x14ac:dyDescent="0.2">
      <c r="A22" s="20" t="s">
        <v>481</v>
      </c>
      <c r="B22" s="20" t="s">
        <v>482</v>
      </c>
      <c r="C22" s="20" t="s">
        <v>483</v>
      </c>
      <c r="D22" s="20" t="s">
        <v>484</v>
      </c>
      <c r="E22" s="24"/>
    </row>
    <row r="23" spans="1:5" x14ac:dyDescent="0.2">
      <c r="A23" s="20" t="s">
        <v>485</v>
      </c>
      <c r="B23" s="20" t="s">
        <v>482</v>
      </c>
      <c r="C23" s="20" t="s">
        <v>483</v>
      </c>
      <c r="D23" s="20" t="s">
        <v>486</v>
      </c>
      <c r="E23" s="24"/>
    </row>
    <row r="24" spans="1:5" x14ac:dyDescent="0.2">
      <c r="A24" s="20" t="s">
        <v>487</v>
      </c>
      <c r="B24" s="20" t="s">
        <v>482</v>
      </c>
      <c r="C24" s="20" t="s">
        <v>483</v>
      </c>
      <c r="D24" s="20" t="s">
        <v>488</v>
      </c>
      <c r="E24" s="24"/>
    </row>
    <row r="25" spans="1:5" x14ac:dyDescent="0.2">
      <c r="A25" s="20" t="s">
        <v>489</v>
      </c>
      <c r="B25" s="20" t="s">
        <v>482</v>
      </c>
      <c r="C25" s="20" t="s">
        <v>483</v>
      </c>
      <c r="D25" s="20" t="s">
        <v>490</v>
      </c>
      <c r="E25" s="24"/>
    </row>
    <row r="26" spans="1:5" x14ac:dyDescent="0.2">
      <c r="A26" s="20" t="s">
        <v>491</v>
      </c>
      <c r="B26" s="20" t="s">
        <v>492</v>
      </c>
      <c r="C26" s="20" t="s">
        <v>483</v>
      </c>
      <c r="D26" s="20" t="s">
        <v>484</v>
      </c>
      <c r="E26" s="24"/>
    </row>
    <row r="27" spans="1:5" x14ac:dyDescent="0.2">
      <c r="A27" s="20" t="s">
        <v>493</v>
      </c>
      <c r="B27" s="20" t="s">
        <v>492</v>
      </c>
      <c r="C27" s="20" t="s">
        <v>483</v>
      </c>
      <c r="D27" s="20" t="s">
        <v>486</v>
      </c>
      <c r="E27" s="24"/>
    </row>
    <row r="28" spans="1:5" x14ac:dyDescent="0.2">
      <c r="A28" s="20" t="s">
        <v>494</v>
      </c>
      <c r="B28" s="20" t="s">
        <v>492</v>
      </c>
      <c r="C28" s="20" t="s">
        <v>483</v>
      </c>
      <c r="D28" s="20" t="s">
        <v>488</v>
      </c>
      <c r="E28" s="24"/>
    </row>
    <row r="29" spans="1:5" x14ac:dyDescent="0.2">
      <c r="A29" s="20" t="s">
        <v>495</v>
      </c>
      <c r="B29" s="20" t="s">
        <v>492</v>
      </c>
      <c r="C29" s="20" t="s">
        <v>483</v>
      </c>
      <c r="D29" s="20" t="s">
        <v>490</v>
      </c>
      <c r="E29" s="24"/>
    </row>
    <row r="30" spans="1:5" x14ac:dyDescent="0.2">
      <c r="A30" s="20" t="s">
        <v>496</v>
      </c>
      <c r="B30" s="20" t="s">
        <v>497</v>
      </c>
      <c r="C30" s="20" t="s">
        <v>483</v>
      </c>
      <c r="D30" s="20" t="s">
        <v>484</v>
      </c>
      <c r="E30" s="24"/>
    </row>
    <row r="31" spans="1:5" x14ac:dyDescent="0.2">
      <c r="A31" s="20" t="s">
        <v>498</v>
      </c>
      <c r="B31" s="20" t="s">
        <v>497</v>
      </c>
      <c r="C31" s="20" t="s">
        <v>483</v>
      </c>
      <c r="D31" s="20" t="s">
        <v>486</v>
      </c>
      <c r="E31" s="24"/>
    </row>
    <row r="32" spans="1:5" x14ac:dyDescent="0.2">
      <c r="A32" s="20" t="s">
        <v>499</v>
      </c>
      <c r="B32" s="20" t="s">
        <v>497</v>
      </c>
      <c r="C32" s="20" t="s">
        <v>483</v>
      </c>
      <c r="D32" s="20" t="s">
        <v>488</v>
      </c>
      <c r="E32" s="24"/>
    </row>
    <row r="33" spans="1:5" x14ac:dyDescent="0.2">
      <c r="A33" s="20" t="s">
        <v>500</v>
      </c>
      <c r="B33" s="20" t="s">
        <v>497</v>
      </c>
      <c r="C33" s="20" t="s">
        <v>483</v>
      </c>
      <c r="D33" s="20" t="s">
        <v>490</v>
      </c>
      <c r="E33" s="24"/>
    </row>
    <row r="34" spans="1:5" x14ac:dyDescent="0.2">
      <c r="A34" s="20" t="s">
        <v>501</v>
      </c>
      <c r="B34" s="20" t="s">
        <v>502</v>
      </c>
      <c r="C34" s="20" t="s">
        <v>483</v>
      </c>
      <c r="D34" s="20" t="s">
        <v>484</v>
      </c>
      <c r="E34" s="24"/>
    </row>
    <row r="35" spans="1:5" x14ac:dyDescent="0.2">
      <c r="A35" s="20" t="s">
        <v>503</v>
      </c>
      <c r="B35" s="20" t="s">
        <v>502</v>
      </c>
      <c r="C35" s="20" t="s">
        <v>483</v>
      </c>
      <c r="D35" s="20" t="s">
        <v>486</v>
      </c>
      <c r="E35" s="24"/>
    </row>
    <row r="36" spans="1:5" x14ac:dyDescent="0.2">
      <c r="A36" s="20" t="s">
        <v>504</v>
      </c>
      <c r="B36" s="20" t="s">
        <v>502</v>
      </c>
      <c r="C36" s="20" t="s">
        <v>483</v>
      </c>
      <c r="D36" s="20" t="s">
        <v>488</v>
      </c>
      <c r="E36" s="24"/>
    </row>
    <row r="37" spans="1:5" x14ac:dyDescent="0.2">
      <c r="A37" s="20" t="s">
        <v>505</v>
      </c>
      <c r="B37" s="20" t="s">
        <v>502</v>
      </c>
      <c r="C37" s="20" t="s">
        <v>483</v>
      </c>
      <c r="D37" s="20" t="s">
        <v>490</v>
      </c>
      <c r="E37" s="24"/>
    </row>
    <row r="38" spans="1:5" x14ac:dyDescent="0.2">
      <c r="A38" s="20" t="s">
        <v>506</v>
      </c>
      <c r="B38" s="20" t="s">
        <v>507</v>
      </c>
      <c r="C38" s="20" t="s">
        <v>483</v>
      </c>
      <c r="D38" s="20" t="s">
        <v>484</v>
      </c>
      <c r="E38" s="24"/>
    </row>
    <row r="39" spans="1:5" x14ac:dyDescent="0.2">
      <c r="A39" s="20" t="s">
        <v>508</v>
      </c>
      <c r="B39" s="20" t="s">
        <v>507</v>
      </c>
      <c r="C39" s="20" t="s">
        <v>483</v>
      </c>
      <c r="D39" s="20" t="s">
        <v>486</v>
      </c>
      <c r="E39" s="24"/>
    </row>
    <row r="40" spans="1:5" x14ac:dyDescent="0.2">
      <c r="A40" s="20" t="s">
        <v>509</v>
      </c>
      <c r="B40" s="20" t="s">
        <v>507</v>
      </c>
      <c r="C40" s="20" t="s">
        <v>483</v>
      </c>
      <c r="D40" s="20" t="s">
        <v>488</v>
      </c>
      <c r="E40" s="24"/>
    </row>
    <row r="41" spans="1:5" x14ac:dyDescent="0.2">
      <c r="A41" s="20" t="s">
        <v>510</v>
      </c>
      <c r="B41" s="20" t="s">
        <v>507</v>
      </c>
      <c r="C41" s="20" t="s">
        <v>483</v>
      </c>
      <c r="D41" s="20" t="s">
        <v>490</v>
      </c>
      <c r="E41" s="24"/>
    </row>
    <row r="42" spans="1:5" x14ac:dyDescent="0.2">
      <c r="A42" s="20" t="s">
        <v>511</v>
      </c>
      <c r="B42" s="20" t="s">
        <v>512</v>
      </c>
      <c r="C42" s="20" t="s">
        <v>483</v>
      </c>
      <c r="D42" s="20" t="s">
        <v>484</v>
      </c>
      <c r="E42" s="24"/>
    </row>
    <row r="43" spans="1:5" x14ac:dyDescent="0.2">
      <c r="A43" s="20" t="s">
        <v>513</v>
      </c>
      <c r="B43" s="20" t="s">
        <v>512</v>
      </c>
      <c r="C43" s="20" t="s">
        <v>483</v>
      </c>
      <c r="D43" s="20" t="s">
        <v>486</v>
      </c>
      <c r="E43" s="24"/>
    </row>
    <row r="44" spans="1:5" x14ac:dyDescent="0.2">
      <c r="A44" s="20" t="s">
        <v>514</v>
      </c>
      <c r="B44" s="20" t="s">
        <v>512</v>
      </c>
      <c r="C44" s="20" t="s">
        <v>483</v>
      </c>
      <c r="D44" s="20" t="s">
        <v>488</v>
      </c>
      <c r="E44" s="24"/>
    </row>
    <row r="45" spans="1:5" x14ac:dyDescent="0.2">
      <c r="A45" s="20" t="s">
        <v>515</v>
      </c>
      <c r="B45" s="20" t="s">
        <v>512</v>
      </c>
      <c r="C45" s="20" t="s">
        <v>483</v>
      </c>
      <c r="D45" s="20" t="s">
        <v>490</v>
      </c>
      <c r="E45" s="24"/>
    </row>
    <row r="46" spans="1:5" x14ac:dyDescent="0.2">
      <c r="A46" s="20" t="s">
        <v>516</v>
      </c>
      <c r="B46" s="20" t="s">
        <v>517</v>
      </c>
      <c r="C46" s="20" t="s">
        <v>483</v>
      </c>
      <c r="D46" s="20" t="s">
        <v>484</v>
      </c>
      <c r="E46" s="24"/>
    </row>
    <row r="47" spans="1:5" x14ac:dyDescent="0.2">
      <c r="A47" s="20" t="s">
        <v>518</v>
      </c>
      <c r="B47" s="20" t="s">
        <v>517</v>
      </c>
      <c r="C47" s="20" t="s">
        <v>483</v>
      </c>
      <c r="D47" s="20" t="s">
        <v>486</v>
      </c>
      <c r="E47" s="24"/>
    </row>
    <row r="48" spans="1:5" x14ac:dyDescent="0.2">
      <c r="A48" s="20" t="s">
        <v>519</v>
      </c>
      <c r="B48" s="20" t="s">
        <v>517</v>
      </c>
      <c r="C48" s="20" t="s">
        <v>483</v>
      </c>
      <c r="D48" s="20" t="s">
        <v>488</v>
      </c>
      <c r="E48" s="24"/>
    </row>
    <row r="49" spans="1:5" x14ac:dyDescent="0.2">
      <c r="A49" s="20" t="s">
        <v>520</v>
      </c>
      <c r="B49" s="20" t="s">
        <v>517</v>
      </c>
      <c r="C49" s="20" t="s">
        <v>483</v>
      </c>
      <c r="D49" s="20" t="s">
        <v>490</v>
      </c>
      <c r="E49" s="24"/>
    </row>
    <row r="50" spans="1:5" x14ac:dyDescent="0.2">
      <c r="A50" s="20" t="s">
        <v>521</v>
      </c>
      <c r="B50" s="20" t="s">
        <v>522</v>
      </c>
      <c r="C50" s="20" t="s">
        <v>483</v>
      </c>
      <c r="D50" s="20" t="s">
        <v>165</v>
      </c>
      <c r="E50" s="24"/>
    </row>
    <row r="51" spans="1:5" x14ac:dyDescent="0.2">
      <c r="A51" s="20" t="s">
        <v>523</v>
      </c>
      <c r="B51" s="20" t="s">
        <v>524</v>
      </c>
      <c r="C51" s="20" t="s">
        <v>449</v>
      </c>
      <c r="D51" s="20" t="s">
        <v>165</v>
      </c>
      <c r="E51" s="24"/>
    </row>
    <row r="52" spans="1:5" x14ac:dyDescent="0.2">
      <c r="A52" s="20" t="s">
        <v>525</v>
      </c>
      <c r="B52" s="20" t="s">
        <v>526</v>
      </c>
      <c r="C52" s="20" t="s">
        <v>483</v>
      </c>
      <c r="D52" s="20" t="s">
        <v>527</v>
      </c>
      <c r="E52" s="24"/>
    </row>
    <row r="53" spans="1:5" x14ac:dyDescent="0.2">
      <c r="A53" s="20" t="s">
        <v>528</v>
      </c>
      <c r="B53" s="20" t="s">
        <v>526</v>
      </c>
      <c r="C53" s="20" t="s">
        <v>483</v>
      </c>
      <c r="D53" s="20" t="s">
        <v>529</v>
      </c>
      <c r="E53" s="24"/>
    </row>
    <row r="54" spans="1:5" x14ac:dyDescent="0.2">
      <c r="A54" s="20" t="s">
        <v>530</v>
      </c>
      <c r="B54" s="20" t="s">
        <v>526</v>
      </c>
      <c r="C54" s="20" t="s">
        <v>483</v>
      </c>
      <c r="D54" s="20" t="s">
        <v>531</v>
      </c>
      <c r="E54" s="24"/>
    </row>
    <row r="55" spans="1:5" x14ac:dyDescent="0.2">
      <c r="A55" s="20" t="s">
        <v>532</v>
      </c>
      <c r="B55" s="20" t="s">
        <v>526</v>
      </c>
      <c r="C55" s="20" t="s">
        <v>483</v>
      </c>
      <c r="D55" s="20" t="s">
        <v>533</v>
      </c>
      <c r="E55" s="24"/>
    </row>
    <row r="56" spans="1:5" x14ac:dyDescent="0.2">
      <c r="A56" s="20" t="s">
        <v>534</v>
      </c>
      <c r="B56" s="20" t="s">
        <v>535</v>
      </c>
      <c r="C56" s="20" t="s">
        <v>483</v>
      </c>
      <c r="D56" s="20" t="s">
        <v>527</v>
      </c>
      <c r="E56" s="24"/>
    </row>
    <row r="57" spans="1:5" x14ac:dyDescent="0.2">
      <c r="A57" s="20" t="s">
        <v>536</v>
      </c>
      <c r="B57" s="20" t="s">
        <v>535</v>
      </c>
      <c r="C57" s="20" t="s">
        <v>483</v>
      </c>
      <c r="D57" s="20" t="s">
        <v>529</v>
      </c>
      <c r="E57" s="24"/>
    </row>
    <row r="58" spans="1:5" x14ac:dyDescent="0.2">
      <c r="A58" s="20" t="s">
        <v>537</v>
      </c>
      <c r="B58" s="20" t="s">
        <v>535</v>
      </c>
      <c r="C58" s="20" t="s">
        <v>483</v>
      </c>
      <c r="D58" s="20" t="s">
        <v>531</v>
      </c>
      <c r="E58" s="24"/>
    </row>
    <row r="59" spans="1:5" x14ac:dyDescent="0.2">
      <c r="A59" s="20" t="s">
        <v>538</v>
      </c>
      <c r="B59" s="20" t="s">
        <v>535</v>
      </c>
      <c r="C59" s="20" t="s">
        <v>483</v>
      </c>
      <c r="D59" s="20" t="s">
        <v>533</v>
      </c>
      <c r="E59" s="24"/>
    </row>
    <row r="60" spans="1:5" x14ac:dyDescent="0.2">
      <c r="A60" s="20" t="s">
        <v>539</v>
      </c>
      <c r="B60" s="20" t="s">
        <v>540</v>
      </c>
      <c r="C60" s="20" t="s">
        <v>483</v>
      </c>
      <c r="D60" s="20" t="s">
        <v>527</v>
      </c>
      <c r="E60" s="24"/>
    </row>
    <row r="61" spans="1:5" x14ac:dyDescent="0.2">
      <c r="A61" s="20" t="s">
        <v>541</v>
      </c>
      <c r="B61" s="20" t="s">
        <v>540</v>
      </c>
      <c r="C61" s="20" t="s">
        <v>483</v>
      </c>
      <c r="D61" s="20" t="s">
        <v>529</v>
      </c>
      <c r="E61" s="24"/>
    </row>
    <row r="62" spans="1:5" x14ac:dyDescent="0.2">
      <c r="A62" s="20" t="s">
        <v>542</v>
      </c>
      <c r="B62" s="20" t="s">
        <v>540</v>
      </c>
      <c r="C62" s="20" t="s">
        <v>483</v>
      </c>
      <c r="D62" s="20" t="s">
        <v>531</v>
      </c>
      <c r="E62" s="24"/>
    </row>
    <row r="63" spans="1:5" x14ac:dyDescent="0.2">
      <c r="A63" s="20" t="s">
        <v>543</v>
      </c>
      <c r="B63" s="20" t="s">
        <v>540</v>
      </c>
      <c r="C63" s="20" t="s">
        <v>483</v>
      </c>
      <c r="D63" s="20" t="s">
        <v>533</v>
      </c>
      <c r="E63" s="24"/>
    </row>
    <row r="64" spans="1:5" x14ac:dyDescent="0.2">
      <c r="A64" s="20" t="s">
        <v>544</v>
      </c>
      <c r="B64" s="20" t="s">
        <v>545</v>
      </c>
      <c r="C64" s="20" t="s">
        <v>483</v>
      </c>
      <c r="D64" s="20" t="s">
        <v>527</v>
      </c>
      <c r="E64" s="24"/>
    </row>
    <row r="65" spans="1:5" x14ac:dyDescent="0.2">
      <c r="A65" s="20" t="s">
        <v>546</v>
      </c>
      <c r="B65" s="20" t="s">
        <v>545</v>
      </c>
      <c r="C65" s="20" t="s">
        <v>483</v>
      </c>
      <c r="D65" s="20" t="s">
        <v>529</v>
      </c>
      <c r="E65" s="24"/>
    </row>
    <row r="66" spans="1:5" x14ac:dyDescent="0.2">
      <c r="A66" s="20" t="s">
        <v>547</v>
      </c>
      <c r="B66" s="20" t="s">
        <v>545</v>
      </c>
      <c r="C66" s="20" t="s">
        <v>483</v>
      </c>
      <c r="D66" s="20" t="s">
        <v>531</v>
      </c>
      <c r="E66" s="24"/>
    </row>
    <row r="67" spans="1:5" x14ac:dyDescent="0.2">
      <c r="A67" s="20" t="s">
        <v>548</v>
      </c>
      <c r="B67" s="20" t="s">
        <v>545</v>
      </c>
      <c r="C67" s="20" t="s">
        <v>483</v>
      </c>
      <c r="D67" s="20" t="s">
        <v>533</v>
      </c>
      <c r="E67" s="24"/>
    </row>
    <row r="68" spans="1:5" x14ac:dyDescent="0.2">
      <c r="A68" s="20" t="s">
        <v>549</v>
      </c>
      <c r="B68" s="20" t="s">
        <v>550</v>
      </c>
      <c r="C68" s="20" t="s">
        <v>483</v>
      </c>
      <c r="D68" s="20" t="s">
        <v>527</v>
      </c>
      <c r="E68" s="24"/>
    </row>
    <row r="69" spans="1:5" x14ac:dyDescent="0.2">
      <c r="A69" s="20" t="s">
        <v>551</v>
      </c>
      <c r="B69" s="20" t="s">
        <v>550</v>
      </c>
      <c r="C69" s="20" t="s">
        <v>483</v>
      </c>
      <c r="D69" s="20" t="s">
        <v>529</v>
      </c>
      <c r="E69" s="24"/>
    </row>
    <row r="70" spans="1:5" x14ac:dyDescent="0.2">
      <c r="A70" s="20" t="s">
        <v>552</v>
      </c>
      <c r="B70" s="20" t="s">
        <v>550</v>
      </c>
      <c r="C70" s="20" t="s">
        <v>483</v>
      </c>
      <c r="D70" s="20" t="s">
        <v>531</v>
      </c>
      <c r="E70" s="24"/>
    </row>
    <row r="71" spans="1:5" x14ac:dyDescent="0.2">
      <c r="A71" s="20" t="s">
        <v>553</v>
      </c>
      <c r="B71" s="20" t="s">
        <v>550</v>
      </c>
      <c r="C71" s="20" t="s">
        <v>483</v>
      </c>
      <c r="D71" s="20" t="s">
        <v>533</v>
      </c>
      <c r="E71" s="24"/>
    </row>
    <row r="72" spans="1:5" x14ac:dyDescent="0.2">
      <c r="A72" s="20" t="s">
        <v>554</v>
      </c>
      <c r="B72" s="20" t="s">
        <v>555</v>
      </c>
      <c r="C72" s="20" t="s">
        <v>483</v>
      </c>
      <c r="D72" s="20" t="s">
        <v>527</v>
      </c>
      <c r="E72" s="24"/>
    </row>
    <row r="73" spans="1:5" x14ac:dyDescent="0.2">
      <c r="A73" s="20" t="s">
        <v>556</v>
      </c>
      <c r="B73" s="20" t="s">
        <v>555</v>
      </c>
      <c r="C73" s="20" t="s">
        <v>483</v>
      </c>
      <c r="D73" s="20" t="s">
        <v>529</v>
      </c>
      <c r="E73" s="24"/>
    </row>
    <row r="74" spans="1:5" x14ac:dyDescent="0.2">
      <c r="A74" s="20" t="s">
        <v>557</v>
      </c>
      <c r="B74" s="20" t="s">
        <v>555</v>
      </c>
      <c r="C74" s="20" t="s">
        <v>483</v>
      </c>
      <c r="D74" s="20" t="s">
        <v>531</v>
      </c>
      <c r="E74" s="24"/>
    </row>
    <row r="75" spans="1:5" x14ac:dyDescent="0.2">
      <c r="A75" s="20" t="s">
        <v>558</v>
      </c>
      <c r="B75" s="20" t="s">
        <v>555</v>
      </c>
      <c r="C75" s="20" t="s">
        <v>483</v>
      </c>
      <c r="D75" s="20" t="s">
        <v>533</v>
      </c>
      <c r="E75" s="24"/>
    </row>
    <row r="76" spans="1:5" x14ac:dyDescent="0.2">
      <c r="A76" s="20" t="s">
        <v>559</v>
      </c>
      <c r="B76" s="20" t="s">
        <v>560</v>
      </c>
      <c r="C76" s="20" t="s">
        <v>483</v>
      </c>
      <c r="D76" s="20" t="s">
        <v>527</v>
      </c>
      <c r="E76" s="24"/>
    </row>
    <row r="77" spans="1:5" x14ac:dyDescent="0.2">
      <c r="A77" s="20" t="s">
        <v>561</v>
      </c>
      <c r="B77" s="20" t="s">
        <v>560</v>
      </c>
      <c r="C77" s="20" t="s">
        <v>483</v>
      </c>
      <c r="D77" s="20" t="s">
        <v>529</v>
      </c>
      <c r="E77" s="24"/>
    </row>
    <row r="78" spans="1:5" x14ac:dyDescent="0.2">
      <c r="A78" s="20" t="s">
        <v>562</v>
      </c>
      <c r="B78" s="20" t="s">
        <v>560</v>
      </c>
      <c r="C78" s="20" t="s">
        <v>483</v>
      </c>
      <c r="D78" s="20" t="s">
        <v>531</v>
      </c>
      <c r="E78" s="24"/>
    </row>
    <row r="79" spans="1:5" x14ac:dyDescent="0.2">
      <c r="A79" s="20" t="s">
        <v>563</v>
      </c>
      <c r="B79" s="20" t="s">
        <v>560</v>
      </c>
      <c r="C79" s="20" t="s">
        <v>483</v>
      </c>
      <c r="D79" s="20" t="s">
        <v>533</v>
      </c>
      <c r="E79" s="24"/>
    </row>
    <row r="80" spans="1:5" x14ac:dyDescent="0.2">
      <c r="A80" s="20" t="s">
        <v>564</v>
      </c>
      <c r="B80" s="20" t="s">
        <v>565</v>
      </c>
      <c r="C80" s="20" t="s">
        <v>483</v>
      </c>
      <c r="D80" s="20" t="s">
        <v>527</v>
      </c>
      <c r="E80" s="24"/>
    </row>
    <row r="81" spans="1:5" x14ac:dyDescent="0.2">
      <c r="A81" s="20" t="s">
        <v>566</v>
      </c>
      <c r="B81" s="20" t="s">
        <v>565</v>
      </c>
      <c r="C81" s="20" t="s">
        <v>483</v>
      </c>
      <c r="D81" s="20" t="s">
        <v>529</v>
      </c>
      <c r="E81" s="24"/>
    </row>
    <row r="82" spans="1:5" x14ac:dyDescent="0.2">
      <c r="A82" s="20" t="s">
        <v>567</v>
      </c>
      <c r="B82" s="20" t="s">
        <v>565</v>
      </c>
      <c r="C82" s="20" t="s">
        <v>483</v>
      </c>
      <c r="D82" s="20" t="s">
        <v>531</v>
      </c>
      <c r="E82" s="24"/>
    </row>
    <row r="83" spans="1:5" x14ac:dyDescent="0.2">
      <c r="A83" s="20" t="s">
        <v>568</v>
      </c>
      <c r="B83" s="20" t="s">
        <v>565</v>
      </c>
      <c r="C83" s="20" t="s">
        <v>483</v>
      </c>
      <c r="D83" s="20" t="s">
        <v>533</v>
      </c>
      <c r="E83" s="24"/>
    </row>
    <row r="84" spans="1:5" x14ac:dyDescent="0.2">
      <c r="A84" s="20" t="s">
        <v>569</v>
      </c>
      <c r="B84" s="20" t="s">
        <v>570</v>
      </c>
      <c r="C84" s="20" t="s">
        <v>483</v>
      </c>
      <c r="D84" s="20" t="s">
        <v>527</v>
      </c>
      <c r="E84" s="24"/>
    </row>
    <row r="85" spans="1:5" x14ac:dyDescent="0.2">
      <c r="A85" s="20" t="s">
        <v>571</v>
      </c>
      <c r="B85" s="20" t="s">
        <v>570</v>
      </c>
      <c r="C85" s="20" t="s">
        <v>483</v>
      </c>
      <c r="D85" s="20" t="s">
        <v>529</v>
      </c>
      <c r="E85" s="24"/>
    </row>
    <row r="86" spans="1:5" x14ac:dyDescent="0.2">
      <c r="A86" s="20" t="s">
        <v>572</v>
      </c>
      <c r="B86" s="20" t="s">
        <v>570</v>
      </c>
      <c r="C86" s="20" t="s">
        <v>483</v>
      </c>
      <c r="D86" s="20" t="s">
        <v>531</v>
      </c>
      <c r="E86" s="24"/>
    </row>
    <row r="87" spans="1:5" x14ac:dyDescent="0.2">
      <c r="A87" s="20" t="s">
        <v>573</v>
      </c>
      <c r="B87" s="20" t="s">
        <v>570</v>
      </c>
      <c r="C87" s="20" t="s">
        <v>483</v>
      </c>
      <c r="D87" s="20" t="s">
        <v>533</v>
      </c>
      <c r="E87" s="24"/>
    </row>
    <row r="88" spans="1:5" x14ac:dyDescent="0.2">
      <c r="A88" s="20" t="s">
        <v>574</v>
      </c>
      <c r="B88" s="20" t="s">
        <v>575</v>
      </c>
      <c r="C88" s="20" t="s">
        <v>458</v>
      </c>
      <c r="D88" s="20" t="s">
        <v>459</v>
      </c>
      <c r="E88" s="24"/>
    </row>
    <row r="89" spans="1:5" x14ac:dyDescent="0.2">
      <c r="A89" s="20" t="s">
        <v>576</v>
      </c>
      <c r="B89" s="20" t="s">
        <v>575</v>
      </c>
      <c r="C89" s="20" t="s">
        <v>458</v>
      </c>
      <c r="D89" s="20" t="s">
        <v>577</v>
      </c>
      <c r="E89" s="24"/>
    </row>
    <row r="90" spans="1:5" x14ac:dyDescent="0.2">
      <c r="A90" s="20" t="s">
        <v>578</v>
      </c>
      <c r="B90" s="20" t="s">
        <v>575</v>
      </c>
      <c r="C90" s="20" t="s">
        <v>458</v>
      </c>
      <c r="D90" s="20" t="s">
        <v>579</v>
      </c>
      <c r="E90" s="24"/>
    </row>
    <row r="91" spans="1:5" x14ac:dyDescent="0.2">
      <c r="A91" s="25" t="s">
        <v>580</v>
      </c>
      <c r="B91" s="25" t="s">
        <v>575</v>
      </c>
      <c r="C91" s="25" t="s">
        <v>458</v>
      </c>
      <c r="D91" s="25" t="s">
        <v>581</v>
      </c>
      <c r="E91" s="29"/>
    </row>
    <row r="92" spans="1:5" x14ac:dyDescent="0.2">
      <c r="A92" s="43" t="s">
        <v>151</v>
      </c>
      <c r="B92" s="44"/>
      <c r="C92" s="44"/>
      <c r="D92" s="44"/>
      <c r="E92" s="92"/>
    </row>
    <row r="94" spans="1:5" x14ac:dyDescent="0.2">
      <c r="A94" s="43" t="s">
        <v>582</v>
      </c>
      <c r="B94" s="44"/>
      <c r="C94" s="44"/>
      <c r="D94" s="44"/>
      <c r="E94" s="92"/>
    </row>
  </sheetData>
  <sheetProtection algorithmName="SHA-512" hashValue="cPEkCpoC2sGCAXSUsR7md0KGoSBkmqXUCc6twTuPSFq9/jPxXSDgUZNUgnIPQdO/ulUMdqnwpIT3kaERduc4yQ==" saltValue="dLqvdYjjHibwwX4lO4hjP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9848-CD3A-4C40-93FE-FE8913B71860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F2 .10: ",tabeltype," glas")</f>
        <v>Bijlage F2 .10: Invultabel glas</v>
      </c>
    </row>
    <row r="3" spans="1:12" ht="38.25" x14ac:dyDescent="0.2">
      <c r="A3" s="8" t="s">
        <v>435</v>
      </c>
      <c r="B3" s="8" t="s">
        <v>7</v>
      </c>
      <c r="C3" s="8" t="s">
        <v>436</v>
      </c>
      <c r="D3" s="8" t="s">
        <v>27</v>
      </c>
      <c r="E3" s="8" t="s">
        <v>30</v>
      </c>
      <c r="F3" s="8" t="s">
        <v>437</v>
      </c>
      <c r="G3" s="8" t="s">
        <v>438</v>
      </c>
      <c r="H3" s="8" t="s">
        <v>439</v>
      </c>
      <c r="I3" s="8" t="s">
        <v>440</v>
      </c>
      <c r="J3" s="8" t="s">
        <v>441</v>
      </c>
      <c r="K3" s="8" t="s">
        <v>110</v>
      </c>
      <c r="L3" s="8" t="s">
        <v>416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583</v>
      </c>
      <c r="B6" s="15" t="s">
        <v>22</v>
      </c>
      <c r="C6" s="16">
        <f>IF(ISBLANK(B6),0,IF(ISERROR(VALUE(B6)),VLOOKUP(B6,dagsoorttabel1,2,FALSE)*dagenperjaar1,VALUE(B6)))</f>
        <v>2</v>
      </c>
      <c r="D6" s="15" t="s">
        <v>584</v>
      </c>
      <c r="E6" s="15" t="s">
        <v>483</v>
      </c>
      <c r="F6" s="106">
        <v>1220.1599999999999</v>
      </c>
      <c r="G6" s="19"/>
      <c r="H6" s="107"/>
      <c r="I6" s="19"/>
      <c r="J6" s="33">
        <f>IF(ISBLANK(F6),0,F6)*ROUND(I6,2)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585</v>
      </c>
      <c r="B7" s="20" t="s">
        <v>22</v>
      </c>
      <c r="C7" s="21">
        <f>IF(ISBLANK(B7),0,IF(ISERROR(VALUE(B7)),VLOOKUP(B7,dagsoorttabel1,2,FALSE)*dagenperjaar1,VALUE(B7)))</f>
        <v>2</v>
      </c>
      <c r="D7" s="20" t="s">
        <v>586</v>
      </c>
      <c r="E7" s="20" t="s">
        <v>483</v>
      </c>
      <c r="F7" s="108">
        <v>1220.1599999999999</v>
      </c>
      <c r="G7" s="24"/>
      <c r="H7" s="109"/>
      <c r="I7" s="24"/>
      <c r="J7" s="37">
        <f>IF(ISBLANK(F7),0,F7)*ROUND(I7,2)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587</v>
      </c>
      <c r="B8" s="25" t="s">
        <v>22</v>
      </c>
      <c r="C8" s="26">
        <f>IF(ISBLANK(B8),0,IF(ISERROR(VALUE(B8)),VLOOKUP(B8,dagsoorttabel1,2,FALSE)*dagenperjaar1,VALUE(B8)))</f>
        <v>2</v>
      </c>
      <c r="D8" s="25" t="s">
        <v>588</v>
      </c>
      <c r="E8" s="25" t="s">
        <v>483</v>
      </c>
      <c r="F8" s="110">
        <v>1046.8799999999999</v>
      </c>
      <c r="G8" s="29"/>
      <c r="H8" s="111"/>
      <c r="I8" s="29"/>
      <c r="J8" s="41">
        <f>IF(ISBLANK(F8),0,F8)*ROUND(I8,2)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151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1">
        <f>K9/12</f>
        <v>0</v>
      </c>
    </row>
    <row r="11" spans="1:12" x14ac:dyDescent="0.2">
      <c r="A11" s="43" t="s">
        <v>589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prijsjaarglas1</f>
        <v>0</v>
      </c>
      <c r="L11" s="101">
        <f>K11/12</f>
        <v>0</v>
      </c>
    </row>
  </sheetData>
  <sheetProtection algorithmName="SHA-512" hashValue="1jrdumgFtmi1kTiuN4BoGcReaWj9Gf4h5q74H662pGEWp7aJ9CULjU3WzCx4wU5sr1UhCUvS8V0zCJwGvE5pzg==" saltValue="MCYKHQjB/laG1bKSxjcwA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6AC5-A364-4F9F-9CD0-DC7A903D71AC}">
  <dimension ref="A1:M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F2 .11: ",tabeltype," glas per locatie")</f>
        <v>Bijlage F2 .11: Invultabel glas per locatie</v>
      </c>
    </row>
    <row r="3" spans="1:13" ht="38.25" x14ac:dyDescent="0.2">
      <c r="A3" s="8" t="s">
        <v>435</v>
      </c>
      <c r="B3" s="8" t="s">
        <v>7</v>
      </c>
      <c r="C3" s="8" t="s">
        <v>436</v>
      </c>
      <c r="D3" s="8" t="s">
        <v>394</v>
      </c>
      <c r="E3" s="8" t="s">
        <v>27</v>
      </c>
      <c r="F3" s="8" t="s">
        <v>30</v>
      </c>
      <c r="G3" s="8" t="s">
        <v>437</v>
      </c>
      <c r="H3" s="8" t="s">
        <v>438</v>
      </c>
      <c r="I3" s="8" t="s">
        <v>439</v>
      </c>
      <c r="J3" s="8" t="s">
        <v>440</v>
      </c>
      <c r="K3" s="8" t="s">
        <v>441</v>
      </c>
      <c r="L3" s="8" t="s">
        <v>110</v>
      </c>
      <c r="M3" s="8" t="s">
        <v>416</v>
      </c>
    </row>
    <row r="5" spans="1:13" x14ac:dyDescent="0.2">
      <c r="A5" s="102" t="s">
        <v>163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92"/>
    </row>
    <row r="6" spans="1:13" x14ac:dyDescent="0.2">
      <c r="A6" s="15" t="s">
        <v>583</v>
      </c>
      <c r="B6" s="15" t="s">
        <v>22</v>
      </c>
      <c r="C6" s="16">
        <f>IF(ISBLANK(B6),0,IF(ISERROR(VALUE(B6)),VLOOKUP(B6,dagsoorttabel1,2,FALSE)*dagenperjaar1,VALUE(B6)))</f>
        <v>2</v>
      </c>
      <c r="D6" s="15" t="s">
        <v>402</v>
      </c>
      <c r="E6" s="15" t="s">
        <v>584</v>
      </c>
      <c r="F6" s="15" t="s">
        <v>483</v>
      </c>
      <c r="G6" s="106">
        <v>1220.1599999999999</v>
      </c>
      <c r="H6" s="112">
        <f>Glas!G6</f>
        <v>0</v>
      </c>
      <c r="I6" s="107"/>
      <c r="J6" s="112">
        <f>Glas!I6</f>
        <v>0</v>
      </c>
      <c r="K6" s="33">
        <f>IF(ISBLANK(G6),0,G6)*ROUND(J6,2)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585</v>
      </c>
      <c r="B7" s="20" t="s">
        <v>22</v>
      </c>
      <c r="C7" s="21">
        <f>IF(ISBLANK(B7),0,IF(ISERROR(VALUE(B7)),VLOOKUP(B7,dagsoorttabel1,2,FALSE)*dagenperjaar1,VALUE(B7)))</f>
        <v>2</v>
      </c>
      <c r="D7" s="20" t="s">
        <v>402</v>
      </c>
      <c r="E7" s="20" t="s">
        <v>586</v>
      </c>
      <c r="F7" s="20" t="s">
        <v>483</v>
      </c>
      <c r="G7" s="108">
        <v>1220.1599999999999</v>
      </c>
      <c r="H7" s="113">
        <f>Glas!G7</f>
        <v>0</v>
      </c>
      <c r="I7" s="109"/>
      <c r="J7" s="113">
        <f>Glas!I7</f>
        <v>0</v>
      </c>
      <c r="K7" s="37">
        <f>IF(ISBLANK(G7),0,G7)*ROUND(J7,2)</f>
        <v>0</v>
      </c>
      <c r="L7" s="37">
        <f>C7*K7</f>
        <v>0</v>
      </c>
      <c r="M7" s="37">
        <f>L7/12</f>
        <v>0</v>
      </c>
    </row>
    <row r="8" spans="1:13" x14ac:dyDescent="0.2">
      <c r="A8" s="25" t="s">
        <v>587</v>
      </c>
      <c r="B8" s="25" t="s">
        <v>22</v>
      </c>
      <c r="C8" s="26">
        <f>IF(ISBLANK(B8),0,IF(ISERROR(VALUE(B8)),VLOOKUP(B8,dagsoorttabel1,2,FALSE)*dagenperjaar1,VALUE(B8)))</f>
        <v>2</v>
      </c>
      <c r="D8" s="25" t="s">
        <v>402</v>
      </c>
      <c r="E8" s="25" t="s">
        <v>588</v>
      </c>
      <c r="F8" s="25" t="s">
        <v>483</v>
      </c>
      <c r="G8" s="110">
        <v>1046.8799999999999</v>
      </c>
      <c r="H8" s="114">
        <f>Glas!G8</f>
        <v>0</v>
      </c>
      <c r="I8" s="111"/>
      <c r="J8" s="114">
        <f>Glas!I8</f>
        <v>0</v>
      </c>
      <c r="K8" s="41">
        <f>IF(ISBLANK(G8),0,G8)*ROUND(J8,2)</f>
        <v>0</v>
      </c>
      <c r="L8" s="41">
        <f>C8*K8</f>
        <v>0</v>
      </c>
      <c r="M8" s="41">
        <f>L8/12</f>
        <v>0</v>
      </c>
    </row>
    <row r="9" spans="1:13" x14ac:dyDescent="0.2">
      <c r="A9" s="105" t="s">
        <v>446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46">
        <f>SUM(L6:L8)</f>
        <v>0</v>
      </c>
      <c r="M9" s="101">
        <f>L9/12</f>
        <v>0</v>
      </c>
    </row>
  </sheetData>
  <sheetProtection algorithmName="SHA-512" hashValue="UUc8hiaoZklYGxk56NeqEuoblO+EeUWGUHAuOB4pS7tSw3CuDRwpdSCrbqt1a8GKC0Gq6qQcGJps2Mf9jEnzeg==" saltValue="i4rifl8BhWN68KGWoshk3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6EDE-8985-4C63-B027-5484B63FE239}">
  <dimension ref="A1:E19"/>
  <sheetViews>
    <sheetView tabSelected="1" topLeftCell="A2" workbookViewId="0">
      <selection activeCell="I11" sqref="I11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F2 .12: ",tabeltype," totaalblad schoonmaakwerk")</f>
        <v>Bijlage F2 .12: Invultabel totaalblad schoonmaakwerk</v>
      </c>
    </row>
    <row r="3" spans="1:5" ht="25.5" x14ac:dyDescent="0.2">
      <c r="A3" s="8" t="s">
        <v>590</v>
      </c>
      <c r="B3" s="8" t="s">
        <v>591</v>
      </c>
      <c r="C3" s="8" t="s">
        <v>592</v>
      </c>
      <c r="D3" s="8" t="s">
        <v>593</v>
      </c>
      <c r="E3" s="8" t="s">
        <v>594</v>
      </c>
    </row>
    <row r="4" spans="1:5" x14ac:dyDescent="0.2">
      <c r="A4" s="89" t="s">
        <v>595</v>
      </c>
      <c r="B4" s="30">
        <f>urenjaartotaaloverzicht</f>
        <v>0</v>
      </c>
      <c r="C4" s="30">
        <f>urenjaartotaaloverzichthf</f>
        <v>0</v>
      </c>
      <c r="D4" s="33">
        <f>prijsjaartotaaloverzicht</f>
        <v>0</v>
      </c>
      <c r="E4" s="33">
        <f>D4*1.21</f>
        <v>0</v>
      </c>
    </row>
    <row r="5" spans="1:5" x14ac:dyDescent="0.2">
      <c r="A5" s="90" t="s">
        <v>596</v>
      </c>
      <c r="B5" s="95"/>
      <c r="C5" s="95"/>
      <c r="D5" s="37">
        <f>prijsjaaradditioneel</f>
        <v>0</v>
      </c>
      <c r="E5" s="37">
        <f>D5*1.21</f>
        <v>0</v>
      </c>
    </row>
    <row r="6" spans="1:5" ht="25.5" x14ac:dyDescent="0.2">
      <c r="A6" s="90" t="s">
        <v>597</v>
      </c>
      <c r="B6" s="95"/>
      <c r="C6" s="95"/>
      <c r="D6" s="37">
        <f>prijsjaarafroep</f>
        <v>0</v>
      </c>
      <c r="E6" s="37">
        <f>D6*1.21</f>
        <v>0</v>
      </c>
    </row>
    <row r="7" spans="1:5" x14ac:dyDescent="0.2">
      <c r="A7" s="91" t="s">
        <v>598</v>
      </c>
      <c r="B7" s="115"/>
      <c r="C7" s="115"/>
      <c r="D7" s="41">
        <f>prijsjaarglas</f>
        <v>0</v>
      </c>
      <c r="E7" s="41">
        <f>D7*1.21</f>
        <v>0</v>
      </c>
    </row>
    <row r="9" spans="1:5" x14ac:dyDescent="0.2">
      <c r="A9" s="8" t="s">
        <v>599</v>
      </c>
      <c r="B9" s="45">
        <f>SUM(B4:B7)</f>
        <v>0</v>
      </c>
      <c r="C9" s="45">
        <f>SUM(C4:C7)</f>
        <v>0</v>
      </c>
      <c r="D9" s="46">
        <f>SUM(D4:D7)</f>
        <v>0</v>
      </c>
      <c r="E9" s="46">
        <f>D9*1.21</f>
        <v>0</v>
      </c>
    </row>
    <row r="17" spans="1:5" ht="15" x14ac:dyDescent="0.25">
      <c r="A17" s="116" t="s">
        <v>600</v>
      </c>
      <c r="B17" s="117"/>
      <c r="C17" s="117"/>
      <c r="D17" s="117"/>
      <c r="E17" s="118">
        <f>D4</f>
        <v>0</v>
      </c>
    </row>
    <row r="18" spans="1:5" ht="15" x14ac:dyDescent="0.25">
      <c r="A18" s="117"/>
      <c r="B18" s="117"/>
      <c r="C18" s="117"/>
      <c r="D18" s="117"/>
      <c r="E18" s="117"/>
    </row>
    <row r="19" spans="1:5" ht="15" x14ac:dyDescent="0.25">
      <c r="A19" s="116" t="s">
        <v>601</v>
      </c>
      <c r="B19" s="117"/>
      <c r="C19" s="117"/>
      <c r="D19" s="117"/>
      <c r="E19" s="118">
        <f>D5+D6+D7</f>
        <v>0</v>
      </c>
    </row>
  </sheetData>
  <sheetProtection algorithmName="SHA-512" hashValue="j4UmuCU1xbn2/DHeQIgEN/vpA9nCz4/MQsrPLEy8gT/fMr+nPOmTzyIsJ6nSWks4CyeSahbWXlo85iHoFdha0Q==" saltValue="05BhTCX/bq26TTMRzE3fP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5D11-FBE7-4E6E-A7E6-AE8E72927D31}">
  <dimension ref="A1:H3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F2 .1: ",tabeltype," categorienormen")</f>
        <v>Bijlage F2 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40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40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1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34</v>
      </c>
      <c r="C10" s="20">
        <v>1</v>
      </c>
      <c r="D10" s="20" t="s">
        <v>44</v>
      </c>
      <c r="E10" s="22"/>
      <c r="F10" s="23"/>
      <c r="G10" s="20" t="s">
        <v>36</v>
      </c>
      <c r="H10" s="24"/>
    </row>
    <row r="11" spans="1:8" x14ac:dyDescent="0.2">
      <c r="A11" s="20" t="s">
        <v>45</v>
      </c>
      <c r="B11" s="21" t="s">
        <v>34</v>
      </c>
      <c r="C11" s="20">
        <v>40</v>
      </c>
      <c r="D11" s="20" t="s">
        <v>46</v>
      </c>
      <c r="E11" s="22"/>
      <c r="F11" s="23"/>
      <c r="G11" s="20" t="s">
        <v>36</v>
      </c>
      <c r="H11" s="24"/>
    </row>
    <row r="12" spans="1:8" x14ac:dyDescent="0.2">
      <c r="A12" s="20" t="s">
        <v>47</v>
      </c>
      <c r="B12" s="21" t="s">
        <v>34</v>
      </c>
      <c r="C12" s="20">
        <v>1</v>
      </c>
      <c r="D12" s="20" t="s">
        <v>48</v>
      </c>
      <c r="E12" s="22"/>
      <c r="F12" s="23"/>
      <c r="G12" s="20" t="s">
        <v>36</v>
      </c>
      <c r="H12" s="24"/>
    </row>
    <row r="13" spans="1:8" x14ac:dyDescent="0.2">
      <c r="A13" s="20" t="s">
        <v>49</v>
      </c>
      <c r="B13" s="21" t="s">
        <v>34</v>
      </c>
      <c r="C13" s="20">
        <v>40</v>
      </c>
      <c r="D13" s="20" t="s">
        <v>50</v>
      </c>
      <c r="E13" s="22"/>
      <c r="F13" s="23"/>
      <c r="G13" s="20" t="s">
        <v>36</v>
      </c>
      <c r="H13" s="24"/>
    </row>
    <row r="14" spans="1:8" x14ac:dyDescent="0.2">
      <c r="A14" s="20" t="s">
        <v>51</v>
      </c>
      <c r="B14" s="21" t="s">
        <v>52</v>
      </c>
      <c r="C14" s="20">
        <v>1</v>
      </c>
      <c r="D14" s="20" t="s">
        <v>53</v>
      </c>
      <c r="E14" s="22"/>
      <c r="F14" s="23"/>
      <c r="G14" s="20" t="s">
        <v>36</v>
      </c>
      <c r="H14" s="24"/>
    </row>
    <row r="15" spans="1:8" x14ac:dyDescent="0.2">
      <c r="A15" s="20" t="s">
        <v>54</v>
      </c>
      <c r="B15" s="21" t="s">
        <v>52</v>
      </c>
      <c r="C15" s="20">
        <v>40</v>
      </c>
      <c r="D15" s="20" t="s">
        <v>55</v>
      </c>
      <c r="E15" s="22"/>
      <c r="F15" s="23"/>
      <c r="G15" s="20" t="s">
        <v>36</v>
      </c>
      <c r="H15" s="24"/>
    </row>
    <row r="16" spans="1:8" x14ac:dyDescent="0.2">
      <c r="A16" s="20" t="s">
        <v>56</v>
      </c>
      <c r="B16" s="21" t="s">
        <v>57</v>
      </c>
      <c r="C16" s="20">
        <v>1</v>
      </c>
      <c r="D16" s="20" t="s">
        <v>58</v>
      </c>
      <c r="E16" s="22"/>
      <c r="F16" s="23"/>
      <c r="G16" s="20" t="s">
        <v>36</v>
      </c>
      <c r="H16" s="24"/>
    </row>
    <row r="17" spans="1:8" x14ac:dyDescent="0.2">
      <c r="A17" s="20" t="s">
        <v>59</v>
      </c>
      <c r="B17" s="21" t="s">
        <v>57</v>
      </c>
      <c r="C17" s="20">
        <v>40</v>
      </c>
      <c r="D17" s="20" t="s">
        <v>60</v>
      </c>
      <c r="E17" s="22"/>
      <c r="F17" s="23"/>
      <c r="G17" s="20" t="s">
        <v>36</v>
      </c>
      <c r="H17" s="24"/>
    </row>
    <row r="18" spans="1:8" x14ac:dyDescent="0.2">
      <c r="A18" s="20" t="s">
        <v>61</v>
      </c>
      <c r="B18" s="21" t="s">
        <v>62</v>
      </c>
      <c r="C18" s="20">
        <v>1</v>
      </c>
      <c r="D18" s="20" t="s">
        <v>63</v>
      </c>
      <c r="E18" s="22"/>
      <c r="F18" s="23"/>
      <c r="G18" s="20" t="s">
        <v>36</v>
      </c>
      <c r="H18" s="24"/>
    </row>
    <row r="19" spans="1:8" x14ac:dyDescent="0.2">
      <c r="A19" s="20" t="s">
        <v>64</v>
      </c>
      <c r="B19" s="21" t="s">
        <v>62</v>
      </c>
      <c r="C19" s="20">
        <v>40</v>
      </c>
      <c r="D19" s="20" t="s">
        <v>65</v>
      </c>
      <c r="E19" s="22"/>
      <c r="F19" s="23"/>
      <c r="G19" s="20" t="s">
        <v>36</v>
      </c>
      <c r="H19" s="24"/>
    </row>
    <row r="20" spans="1:8" x14ac:dyDescent="0.2">
      <c r="A20" s="20" t="s">
        <v>66</v>
      </c>
      <c r="B20" s="21" t="s">
        <v>62</v>
      </c>
      <c r="C20" s="20">
        <v>1</v>
      </c>
      <c r="D20" s="20" t="s">
        <v>67</v>
      </c>
      <c r="E20" s="22"/>
      <c r="F20" s="23"/>
      <c r="G20" s="20" t="s">
        <v>36</v>
      </c>
      <c r="H20" s="24"/>
    </row>
    <row r="21" spans="1:8" x14ac:dyDescent="0.2">
      <c r="A21" s="20" t="s">
        <v>68</v>
      </c>
      <c r="B21" s="21" t="s">
        <v>62</v>
      </c>
      <c r="C21" s="20">
        <v>40</v>
      </c>
      <c r="D21" s="20" t="s">
        <v>69</v>
      </c>
      <c r="E21" s="22"/>
      <c r="F21" s="23"/>
      <c r="G21" s="20" t="s">
        <v>36</v>
      </c>
      <c r="H21" s="24"/>
    </row>
    <row r="22" spans="1:8" x14ac:dyDescent="0.2">
      <c r="A22" s="20" t="s">
        <v>70</v>
      </c>
      <c r="B22" s="21" t="s">
        <v>71</v>
      </c>
      <c r="C22" s="20">
        <v>1</v>
      </c>
      <c r="D22" s="20" t="s">
        <v>72</v>
      </c>
      <c r="E22" s="22"/>
      <c r="F22" s="23"/>
      <c r="G22" s="20" t="s">
        <v>36</v>
      </c>
      <c r="H22" s="24"/>
    </row>
    <row r="23" spans="1:8" x14ac:dyDescent="0.2">
      <c r="A23" s="20" t="s">
        <v>73</v>
      </c>
      <c r="B23" s="21" t="s">
        <v>71</v>
      </c>
      <c r="C23" s="20">
        <v>40</v>
      </c>
      <c r="D23" s="20" t="s">
        <v>74</v>
      </c>
      <c r="E23" s="22"/>
      <c r="F23" s="23"/>
      <c r="G23" s="20" t="s">
        <v>36</v>
      </c>
      <c r="H23" s="24"/>
    </row>
    <row r="24" spans="1:8" x14ac:dyDescent="0.2">
      <c r="A24" s="20" t="s">
        <v>75</v>
      </c>
      <c r="B24" s="21" t="s">
        <v>71</v>
      </c>
      <c r="C24" s="20">
        <v>1</v>
      </c>
      <c r="D24" s="20" t="s">
        <v>76</v>
      </c>
      <c r="E24" s="22"/>
      <c r="F24" s="23"/>
      <c r="G24" s="20" t="s">
        <v>36</v>
      </c>
      <c r="H24" s="24"/>
    </row>
    <row r="25" spans="1:8" x14ac:dyDescent="0.2">
      <c r="A25" s="20" t="s">
        <v>77</v>
      </c>
      <c r="B25" s="21" t="s">
        <v>71</v>
      </c>
      <c r="C25" s="20">
        <v>40</v>
      </c>
      <c r="D25" s="20" t="s">
        <v>78</v>
      </c>
      <c r="E25" s="22"/>
      <c r="F25" s="23"/>
      <c r="G25" s="20" t="s">
        <v>36</v>
      </c>
      <c r="H25" s="24"/>
    </row>
    <row r="26" spans="1:8" x14ac:dyDescent="0.2">
      <c r="A26" s="20" t="s">
        <v>79</v>
      </c>
      <c r="B26" s="21" t="s">
        <v>71</v>
      </c>
      <c r="C26" s="20">
        <v>1</v>
      </c>
      <c r="D26" s="20" t="s">
        <v>80</v>
      </c>
      <c r="E26" s="22"/>
      <c r="F26" s="23"/>
      <c r="G26" s="20" t="s">
        <v>36</v>
      </c>
      <c r="H26" s="24"/>
    </row>
    <row r="27" spans="1:8" x14ac:dyDescent="0.2">
      <c r="A27" s="20" t="s">
        <v>81</v>
      </c>
      <c r="B27" s="21" t="s">
        <v>71</v>
      </c>
      <c r="C27" s="20">
        <v>40</v>
      </c>
      <c r="D27" s="20" t="s">
        <v>82</v>
      </c>
      <c r="E27" s="22"/>
      <c r="F27" s="23"/>
      <c r="G27" s="20" t="s">
        <v>36</v>
      </c>
      <c r="H27" s="24"/>
    </row>
    <row r="28" spans="1:8" x14ac:dyDescent="0.2">
      <c r="A28" s="20" t="s">
        <v>83</v>
      </c>
      <c r="B28" s="21" t="s">
        <v>71</v>
      </c>
      <c r="C28" s="20">
        <v>1</v>
      </c>
      <c r="D28" s="20" t="s">
        <v>84</v>
      </c>
      <c r="E28" s="22"/>
      <c r="F28" s="23"/>
      <c r="G28" s="20" t="s">
        <v>36</v>
      </c>
      <c r="H28" s="24"/>
    </row>
    <row r="29" spans="1:8" x14ac:dyDescent="0.2">
      <c r="A29" s="20" t="s">
        <v>85</v>
      </c>
      <c r="B29" s="21" t="s">
        <v>71</v>
      </c>
      <c r="C29" s="20">
        <v>40</v>
      </c>
      <c r="D29" s="20" t="s">
        <v>86</v>
      </c>
      <c r="E29" s="22"/>
      <c r="F29" s="23"/>
      <c r="G29" s="20" t="s">
        <v>36</v>
      </c>
      <c r="H29" s="24"/>
    </row>
    <row r="30" spans="1:8" x14ac:dyDescent="0.2">
      <c r="A30" s="20" t="s">
        <v>87</v>
      </c>
      <c r="B30" s="21" t="s">
        <v>71</v>
      </c>
      <c r="C30" s="20">
        <v>1</v>
      </c>
      <c r="D30" s="20" t="s">
        <v>88</v>
      </c>
      <c r="E30" s="22"/>
      <c r="F30" s="23"/>
      <c r="G30" s="20" t="s">
        <v>36</v>
      </c>
      <c r="H30" s="24"/>
    </row>
    <row r="31" spans="1:8" x14ac:dyDescent="0.2">
      <c r="A31" s="20" t="s">
        <v>89</v>
      </c>
      <c r="B31" s="21" t="s">
        <v>71</v>
      </c>
      <c r="C31" s="20">
        <v>40</v>
      </c>
      <c r="D31" s="20" t="s">
        <v>90</v>
      </c>
      <c r="E31" s="22"/>
      <c r="F31" s="23"/>
      <c r="G31" s="20" t="s">
        <v>36</v>
      </c>
      <c r="H31" s="24"/>
    </row>
    <row r="32" spans="1:8" x14ac:dyDescent="0.2">
      <c r="A32" s="20" t="s">
        <v>91</v>
      </c>
      <c r="B32" s="21" t="s">
        <v>71</v>
      </c>
      <c r="C32" s="20">
        <v>1</v>
      </c>
      <c r="D32" s="20" t="s">
        <v>92</v>
      </c>
      <c r="E32" s="22"/>
      <c r="F32" s="23"/>
      <c r="G32" s="20" t="s">
        <v>36</v>
      </c>
      <c r="H32" s="24"/>
    </row>
    <row r="33" spans="1:8" x14ac:dyDescent="0.2">
      <c r="A33" s="20" t="s">
        <v>93</v>
      </c>
      <c r="B33" s="21" t="s">
        <v>71</v>
      </c>
      <c r="C33" s="20">
        <v>40</v>
      </c>
      <c r="D33" s="20" t="s">
        <v>94</v>
      </c>
      <c r="E33" s="22"/>
      <c r="F33" s="23"/>
      <c r="G33" s="20" t="s">
        <v>36</v>
      </c>
      <c r="H33" s="24"/>
    </row>
    <row r="34" spans="1:8" x14ac:dyDescent="0.2">
      <c r="A34" s="20" t="s">
        <v>95</v>
      </c>
      <c r="B34" s="21" t="s">
        <v>71</v>
      </c>
      <c r="C34" s="20">
        <v>1</v>
      </c>
      <c r="D34" s="20" t="s">
        <v>96</v>
      </c>
      <c r="E34" s="22"/>
      <c r="F34" s="23"/>
      <c r="G34" s="20" t="s">
        <v>36</v>
      </c>
      <c r="H34" s="24"/>
    </row>
    <row r="35" spans="1:8" x14ac:dyDescent="0.2">
      <c r="A35" s="20" t="s">
        <v>97</v>
      </c>
      <c r="B35" s="21" t="s">
        <v>71</v>
      </c>
      <c r="C35" s="20">
        <v>40</v>
      </c>
      <c r="D35" s="20" t="s">
        <v>98</v>
      </c>
      <c r="E35" s="22"/>
      <c r="F35" s="23"/>
      <c r="G35" s="20" t="s">
        <v>36</v>
      </c>
      <c r="H35" s="24"/>
    </row>
    <row r="36" spans="1:8" x14ac:dyDescent="0.2">
      <c r="A36" s="20" t="s">
        <v>99</v>
      </c>
      <c r="B36" s="21" t="s">
        <v>71</v>
      </c>
      <c r="C36" s="20">
        <v>1</v>
      </c>
      <c r="D36" s="20" t="s">
        <v>100</v>
      </c>
      <c r="E36" s="22"/>
      <c r="F36" s="23"/>
      <c r="G36" s="20" t="s">
        <v>36</v>
      </c>
      <c r="H36" s="24"/>
    </row>
    <row r="37" spans="1:8" x14ac:dyDescent="0.2">
      <c r="A37" s="25" t="s">
        <v>101</v>
      </c>
      <c r="B37" s="26" t="s">
        <v>71</v>
      </c>
      <c r="C37" s="25">
        <v>40</v>
      </c>
      <c r="D37" s="25" t="s">
        <v>102</v>
      </c>
      <c r="E37" s="27"/>
      <c r="F37" s="28"/>
      <c r="G37" s="25" t="s">
        <v>36</v>
      </c>
      <c r="H37" s="29"/>
    </row>
  </sheetData>
  <sheetProtection algorithmName="SHA-512" hashValue="mu1tCcmnGvBJli/0tw/DHa6Pu+9R0ejelWL/o/5w4sAR6QP8zsA1u8XN4sSnwwXRiY5zU6viwNs/+VeSpIMWhA==" saltValue="6lno9fBdacEFOb05m1Rh7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B1B7-5A89-4AE9-A548-95516FADEA9F}">
  <dimension ref="A1:N3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F2 .2: ",tabeltype," regulier werk")</f>
        <v>Bijlage F2 .2: Invultabel regulier werk</v>
      </c>
    </row>
    <row r="3" spans="1:14" ht="38.25" x14ac:dyDescent="0.2">
      <c r="A3" s="8" t="s">
        <v>103</v>
      </c>
      <c r="B3" s="8" t="s">
        <v>7</v>
      </c>
      <c r="C3" s="8" t="s">
        <v>104</v>
      </c>
      <c r="D3" s="8" t="s">
        <v>27</v>
      </c>
      <c r="E3" s="8" t="s">
        <v>105</v>
      </c>
      <c r="F3" s="8" t="s">
        <v>106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107</v>
      </c>
      <c r="L3" s="8" t="s">
        <v>108</v>
      </c>
      <c r="M3" s="8" t="s">
        <v>109</v>
      </c>
      <c r="N3" s="8" t="s">
        <v>110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111</v>
      </c>
      <c r="B6" s="15" t="s">
        <v>16</v>
      </c>
      <c r="C6" s="15" t="s">
        <v>112</v>
      </c>
      <c r="D6" s="15" t="s">
        <v>113</v>
      </c>
      <c r="E6" s="30">
        <v>242.08</v>
      </c>
      <c r="F6" s="30">
        <f>E6*VLOOKUP(B6,dagsoorttabel1,2,FALSE)</f>
        <v>37.243076923076927</v>
      </c>
      <c r="G6" s="31">
        <f>catpn_1_BHV_40</f>
        <v>0</v>
      </c>
      <c r="H6" s="32">
        <f>catdw_1_BHV_40</f>
        <v>0</v>
      </c>
      <c r="I6" s="15" t="s">
        <v>36</v>
      </c>
      <c r="J6" s="33">
        <f>cattf_1_BHV_40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114</v>
      </c>
      <c r="B7" s="20" t="s">
        <v>16</v>
      </c>
      <c r="C7" s="20" t="s">
        <v>112</v>
      </c>
      <c r="D7" s="20" t="s">
        <v>115</v>
      </c>
      <c r="E7" s="34">
        <v>348.03999999999996</v>
      </c>
      <c r="F7" s="34">
        <f>E7*VLOOKUP(B7,dagsoorttabel1,2,FALSE)</f>
        <v>53.544615384615383</v>
      </c>
      <c r="G7" s="35">
        <f>catpn_1_BZV_40</f>
        <v>0</v>
      </c>
      <c r="H7" s="36">
        <f>catdw_1_BZV_40</f>
        <v>0</v>
      </c>
      <c r="I7" s="20" t="s">
        <v>36</v>
      </c>
      <c r="J7" s="37">
        <f>cattf_1_BZV_40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116</v>
      </c>
      <c r="B8" s="20" t="s">
        <v>11</v>
      </c>
      <c r="C8" s="20" t="s">
        <v>112</v>
      </c>
      <c r="D8" s="20" t="s">
        <v>117</v>
      </c>
      <c r="E8" s="34">
        <v>55.7</v>
      </c>
      <c r="F8" s="34">
        <f>E8*VLOOKUP(B8,dagsoorttabel1,2,FALSE)</f>
        <v>42.846153846153854</v>
      </c>
      <c r="G8" s="35">
        <f>IF(AND(catpn_1_EZB_1&gt;0,catpn_1_EZV_40&gt;0),(dagenperjaar1*VLOOKUP(B8,dagsoorttabel1,2,FALSE))/(((dagenperjaar1*VLOOKUP(B8,dagsoorttabel1,2,FALSE))-catfd_1_EZV_40)/catpn_1_EZB_1+catfd_1_EZV_40/catpn_1_EZV_40),0)</f>
        <v>0</v>
      </c>
      <c r="H8" s="36">
        <f>IF(AND(catpn_1_EZB_1&gt;0,catpn_1_EZV_40&gt;0),(catdw_1_EZB_1*((dagenperjaar1*VLOOKUP(B8,dagsoorttabel1,2,FALSE))-catfd_1_EZV_40)/catpn_1_EZB_1+catdw_1_EZV_40*catfd_1_EZV_40/catpn_1_EZV_40)/(((dagenperjaar1*VLOOKUP(B8,dagsoorttabel1,2,FALSE))-catfd_1_EZV_40)/catpn_1_EZB_1+catfd_1_EZV_40/catpn_1_EZV_40),0)</f>
        <v>0</v>
      </c>
      <c r="I8" s="20" t="s">
        <v>36</v>
      </c>
      <c r="J8" s="37">
        <f>IF(AND(catpn_1_EZB_1&gt;0,catpn_1_EZV_40&gt;0),(cattf_1_EZB_1*((dagenperjaar1*VLOOKUP(B8,dagsoorttabel1,2,FALSE))-catfd_1_EZV_40)/catpn_1_EZB_1+cattf_1_EZV_40*catfd_1_EZV_40/catpn_1_EZV_40)/(((dagenperjaar1*VLOOKUP(B8,dagsoorttabel1,2,FALSE))-catfd_1_EZV_40)/catpn_1_EZB_1+catfd_1_EZV_40/catpn_1_EZV_40)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118</v>
      </c>
      <c r="B9" s="20" t="s">
        <v>11</v>
      </c>
      <c r="C9" s="20" t="s">
        <v>112</v>
      </c>
      <c r="D9" s="20" t="s">
        <v>119</v>
      </c>
      <c r="E9" s="34">
        <v>762</v>
      </c>
      <c r="F9" s="34">
        <f>E9*VLOOKUP(B9,dagsoorttabel1,2,FALSE)</f>
        <v>586.15384615384619</v>
      </c>
      <c r="G9" s="35">
        <f>IF(AND(catpn_1_GHB_1&gt;0,catpn_1_GHV_40&gt;0),(dagenperjaar1*VLOOKUP(B9,dagsoorttabel1,2,FALSE))/(((dagenperjaar1*VLOOKUP(B9,dagsoorttabel1,2,FALSE))-catfd_1_GHV_40)/catpn_1_GHB_1+catfd_1_GHV_40/catpn_1_GHV_40),0)</f>
        <v>0</v>
      </c>
      <c r="H9" s="36">
        <f>IF(AND(catpn_1_GHB_1&gt;0,catpn_1_GHV_40&gt;0),(catdw_1_GHB_1*((dagenperjaar1*VLOOKUP(B9,dagsoorttabel1,2,FALSE))-catfd_1_GHV_40)/catpn_1_GHB_1+catdw_1_GHV_40*catfd_1_GHV_40/catpn_1_GHV_40)/(((dagenperjaar1*VLOOKUP(B9,dagsoorttabel1,2,FALSE))-catfd_1_GHV_40)/catpn_1_GHB_1+catfd_1_GHV_40/catpn_1_GHV_40),0)</f>
        <v>0</v>
      </c>
      <c r="I9" s="20" t="s">
        <v>36</v>
      </c>
      <c r="J9" s="37">
        <f>IF(AND(catpn_1_GHB_1&gt;0,catpn_1_GHV_40&gt;0),(cattf_1_GHB_1*((dagenperjaar1*VLOOKUP(B9,dagsoorttabel1,2,FALSE))-catfd_1_GHV_40)/catpn_1_GHB_1+cattf_1_GHV_40*catfd_1_GHV_40/catpn_1_GHV_40)/(((dagenperjaar1*VLOOKUP(B9,dagsoorttabel1,2,FALSE))-catfd_1_GHV_40)/catpn_1_GHB_1+catfd_1_GHV_40/catpn_1_GHV_40)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120</v>
      </c>
      <c r="B10" s="20" t="s">
        <v>11</v>
      </c>
      <c r="C10" s="20" t="s">
        <v>112</v>
      </c>
      <c r="D10" s="20" t="s">
        <v>121</v>
      </c>
      <c r="E10" s="34">
        <v>1.5</v>
      </c>
      <c r="F10" s="34">
        <f>E10*VLOOKUP(B10,dagsoorttabel1,2,FALSE)</f>
        <v>1.153846153846154</v>
      </c>
      <c r="G10" s="35">
        <f>IF(AND(catpn_1_IHB_1&gt;0,catpn_1_IHV_40&gt;0),(dagenperjaar1*VLOOKUP(B10,dagsoorttabel1,2,FALSE))/(((dagenperjaar1*VLOOKUP(B10,dagsoorttabel1,2,FALSE))-catfd_1_IHV_40)/catpn_1_IHB_1+catfd_1_IHV_40/catpn_1_IHV_40),0)</f>
        <v>0</v>
      </c>
      <c r="H10" s="36">
        <f>IF(AND(catpn_1_IHB_1&gt;0,catpn_1_IHV_40&gt;0),(catdw_1_IHB_1*((dagenperjaar1*VLOOKUP(B10,dagsoorttabel1,2,FALSE))-catfd_1_IHV_40)/catpn_1_IHB_1+catdw_1_IHV_40*catfd_1_IHV_40/catpn_1_IHV_40)/(((dagenperjaar1*VLOOKUP(B10,dagsoorttabel1,2,FALSE))-catfd_1_IHV_40)/catpn_1_IHB_1+catfd_1_IHV_40/catpn_1_IHV_40),0)</f>
        <v>0</v>
      </c>
      <c r="I10" s="20" t="s">
        <v>36</v>
      </c>
      <c r="J10" s="37">
        <f>IF(AND(catpn_1_IHB_1&gt;0,catpn_1_IHV_40&gt;0),(cattf_1_IHB_1*((dagenperjaar1*VLOOKUP(B10,dagsoorttabel1,2,FALSE))-catfd_1_IHV_40)/catpn_1_IHB_1+cattf_1_IHV_40*catfd_1_IHV_40/catpn_1_IHV_40)/(((dagenperjaar1*VLOOKUP(B10,dagsoorttabel1,2,FALSE))-catfd_1_IHV_40)/catpn_1_IHB_1+catfd_1_IHV_40/catpn_1_IHV_40)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122</v>
      </c>
      <c r="B11" s="20" t="s">
        <v>11</v>
      </c>
      <c r="C11" s="20" t="s">
        <v>112</v>
      </c>
      <c r="D11" s="20" t="s">
        <v>123</v>
      </c>
      <c r="E11" s="34">
        <v>101.5</v>
      </c>
      <c r="F11" s="34">
        <f>E11*VLOOKUP(B11,dagsoorttabel1,2,FALSE)</f>
        <v>78.07692307692308</v>
      </c>
      <c r="G11" s="35">
        <f>IF(AND(catpn_1_KHB_1&gt;0,catpn_1_KHV_40&gt;0),(dagenperjaar1*VLOOKUP(B11,dagsoorttabel1,2,FALSE))/(((dagenperjaar1*VLOOKUP(B11,dagsoorttabel1,2,FALSE))-catfd_1_KHV_40)/catpn_1_KHB_1+catfd_1_KHV_40/catpn_1_KHV_40),0)</f>
        <v>0</v>
      </c>
      <c r="H11" s="36">
        <f>IF(AND(catpn_1_KHB_1&gt;0,catpn_1_KHV_40&gt;0),(catdw_1_KHB_1*((dagenperjaar1*VLOOKUP(B11,dagsoorttabel1,2,FALSE))-catfd_1_KHV_40)/catpn_1_KHB_1+catdw_1_KHV_40*catfd_1_KHV_40/catpn_1_KHV_40)/(((dagenperjaar1*VLOOKUP(B11,dagsoorttabel1,2,FALSE))-catfd_1_KHV_40)/catpn_1_KHB_1+catfd_1_KHV_40/catpn_1_KHV_40),0)</f>
        <v>0</v>
      </c>
      <c r="I11" s="20" t="s">
        <v>36</v>
      </c>
      <c r="J11" s="37">
        <f>IF(AND(catpn_1_KHB_1&gt;0,catpn_1_KHV_40&gt;0),(cattf_1_KHB_1*((dagenperjaar1*VLOOKUP(B11,dagsoorttabel1,2,FALSE))-catfd_1_KHV_40)/catpn_1_KHB_1+cattf_1_KHV_40*catfd_1_KHV_40/catpn_1_KHV_40)/(((dagenperjaar1*VLOOKUP(B11,dagsoorttabel1,2,FALSE))-catfd_1_KHV_40)/catpn_1_KHB_1+catfd_1_KHV_40/catpn_1_KHV_40)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124</v>
      </c>
      <c r="B12" s="20" t="s">
        <v>12</v>
      </c>
      <c r="C12" s="20" t="s">
        <v>112</v>
      </c>
      <c r="D12" s="20" t="s">
        <v>125</v>
      </c>
      <c r="E12" s="34">
        <v>1869.92</v>
      </c>
      <c r="F12" s="34">
        <f>E12*VLOOKUP(B12,dagsoorttabel1,2,FALSE)</f>
        <v>1150.72</v>
      </c>
      <c r="G12" s="35">
        <f>IF(AND(catpn_1_LHB_1&gt;0,catpn_1_LHV_40&gt;0),(dagenperjaar1*VLOOKUP(B12,dagsoorttabel1,2,FALSE))/(((dagenperjaar1*VLOOKUP(B12,dagsoorttabel1,2,FALSE))-catfd_1_LHV_40)/catpn_1_LHB_1+catfd_1_LHV_40/catpn_1_LHV_40),0)</f>
        <v>0</v>
      </c>
      <c r="H12" s="36">
        <f>IF(AND(catpn_1_LHB_1&gt;0,catpn_1_LHV_40&gt;0),(catdw_1_LHB_1*((dagenperjaar1*VLOOKUP(B12,dagsoorttabel1,2,FALSE))-catfd_1_LHV_40)/catpn_1_LHB_1+catdw_1_LHV_40*catfd_1_LHV_40/catpn_1_LHV_40)/(((dagenperjaar1*VLOOKUP(B12,dagsoorttabel1,2,FALSE))-catfd_1_LHV_40)/catpn_1_LHB_1+catfd_1_LHV_40/catpn_1_LHV_40),0)</f>
        <v>0</v>
      </c>
      <c r="I12" s="20" t="s">
        <v>36</v>
      </c>
      <c r="J12" s="37">
        <f>IF(AND(catpn_1_LHB_1&gt;0,catpn_1_LHV_40&gt;0),(cattf_1_LHB_1*((dagenperjaar1*VLOOKUP(B12,dagsoorttabel1,2,FALSE))-catfd_1_LHV_40)/catpn_1_LHB_1+cattf_1_LHV_40*catfd_1_LHV_40/catpn_1_LHV_40)/(((dagenperjaar1*VLOOKUP(B12,dagsoorttabel1,2,FALSE))-catfd_1_LHV_40)/catpn_1_LHB_1+catfd_1_LHV_40/catpn_1_LHV_40)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124</v>
      </c>
      <c r="B13" s="20" t="s">
        <v>11</v>
      </c>
      <c r="C13" s="20" t="s">
        <v>112</v>
      </c>
      <c r="D13" s="20" t="s">
        <v>125</v>
      </c>
      <c r="E13" s="34">
        <v>94.48</v>
      </c>
      <c r="F13" s="34">
        <f>E13*VLOOKUP(B13,dagsoorttabel1,2,FALSE)</f>
        <v>72.676923076923089</v>
      </c>
      <c r="G13" s="35">
        <f>IF(AND(catpn_1_LHB_1&gt;0,catpn_1_LHV_40&gt;0),(dagenperjaar1*VLOOKUP(B13,dagsoorttabel1,2,FALSE))/(((dagenperjaar1*VLOOKUP(B13,dagsoorttabel1,2,FALSE))-catfd_1_LHV_40)/catpn_1_LHB_1+catfd_1_LHV_40/catpn_1_LHV_40),0)</f>
        <v>0</v>
      </c>
      <c r="H13" s="36">
        <f>IF(AND(catpn_1_LHB_1&gt;0,catpn_1_LHV_40&gt;0),(catdw_1_LHB_1*((dagenperjaar1*VLOOKUP(B13,dagsoorttabel1,2,FALSE))-catfd_1_LHV_40)/catpn_1_LHB_1+catdw_1_LHV_40*catfd_1_LHV_40/catpn_1_LHV_40)/(((dagenperjaar1*VLOOKUP(B13,dagsoorttabel1,2,FALSE))-catfd_1_LHV_40)/catpn_1_LHB_1+catfd_1_LHV_40/catpn_1_LHV_40),0)</f>
        <v>0</v>
      </c>
      <c r="I13" s="20" t="s">
        <v>36</v>
      </c>
      <c r="J13" s="37">
        <f>IF(AND(catpn_1_LHB_1&gt;0,catpn_1_LHV_40&gt;0),(cattf_1_LHB_1*((dagenperjaar1*VLOOKUP(B13,dagsoorttabel1,2,FALSE))-catfd_1_LHV_40)/catpn_1_LHB_1+cattf_1_LHV_40*catfd_1_LHV_40/catpn_1_LHV_40)/(((dagenperjaar1*VLOOKUP(B13,dagsoorttabel1,2,FALSE))-catfd_1_LHV_40)/catpn_1_LHB_1+catfd_1_LHV_40/catpn_1_LHV_40)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126</v>
      </c>
      <c r="B14" s="20" t="s">
        <v>12</v>
      </c>
      <c r="C14" s="20" t="s">
        <v>112</v>
      </c>
      <c r="D14" s="20" t="s">
        <v>127</v>
      </c>
      <c r="E14" s="34">
        <v>640</v>
      </c>
      <c r="F14" s="34">
        <f>E14*VLOOKUP(B14,dagsoorttabel1,2,FALSE)</f>
        <v>393.84615384615387</v>
      </c>
      <c r="G14" s="35">
        <f>IF(AND(catpn_1_LZB_1&gt;0,catpn_1_LZV_40&gt;0),(dagenperjaar1*VLOOKUP(B14,dagsoorttabel1,2,FALSE))/(((dagenperjaar1*VLOOKUP(B14,dagsoorttabel1,2,FALSE))-catfd_1_LZV_40)/catpn_1_LZB_1+catfd_1_LZV_40/catpn_1_LZV_40),0)</f>
        <v>0</v>
      </c>
      <c r="H14" s="36">
        <f>IF(AND(catpn_1_LZB_1&gt;0,catpn_1_LZV_40&gt;0),(catdw_1_LZB_1*((dagenperjaar1*VLOOKUP(B14,dagsoorttabel1,2,FALSE))-catfd_1_LZV_40)/catpn_1_LZB_1+catdw_1_LZV_40*catfd_1_LZV_40/catpn_1_LZV_40)/(((dagenperjaar1*VLOOKUP(B14,dagsoorttabel1,2,FALSE))-catfd_1_LZV_40)/catpn_1_LZB_1+catfd_1_LZV_40/catpn_1_LZV_40),0)</f>
        <v>0</v>
      </c>
      <c r="I14" s="20" t="s">
        <v>36</v>
      </c>
      <c r="J14" s="37">
        <f>IF(AND(catpn_1_LZB_1&gt;0,catpn_1_LZV_40&gt;0),(cattf_1_LZB_1*((dagenperjaar1*VLOOKUP(B14,dagsoorttabel1,2,FALSE))-catfd_1_LZV_40)/catpn_1_LZB_1+cattf_1_LZV_40*catfd_1_LZV_40/catpn_1_LZV_40)/(((dagenperjaar1*VLOOKUP(B14,dagsoorttabel1,2,FALSE))-catfd_1_LZV_40)/catpn_1_LZB_1+catfd_1_LZV_40/catpn_1_LZV_40)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128</v>
      </c>
      <c r="B15" s="20" t="s">
        <v>11</v>
      </c>
      <c r="C15" s="20" t="s">
        <v>112</v>
      </c>
      <c r="D15" s="20" t="s">
        <v>129</v>
      </c>
      <c r="E15" s="34">
        <v>124.9</v>
      </c>
      <c r="F15" s="34">
        <f>E15*VLOOKUP(B15,dagsoorttabel1,2,FALSE)</f>
        <v>96.07692307692308</v>
      </c>
      <c r="G15" s="35">
        <f>IF(AND(catpn_1_MZB_1&gt;0,catpn_1_MZV_40&gt;0),(dagenperjaar1*VLOOKUP(B15,dagsoorttabel1,2,FALSE))/(((dagenperjaar1*VLOOKUP(B15,dagsoorttabel1,2,FALSE))-catfd_1_MZV_40)/catpn_1_MZB_1+catfd_1_MZV_40/catpn_1_MZV_40),0)</f>
        <v>0</v>
      </c>
      <c r="H15" s="36">
        <f>IF(AND(catpn_1_MZB_1&gt;0,catpn_1_MZV_40&gt;0),(catdw_1_MZB_1*((dagenperjaar1*VLOOKUP(B15,dagsoorttabel1,2,FALSE))-catfd_1_MZV_40)/catpn_1_MZB_1+catdw_1_MZV_40*catfd_1_MZV_40/catpn_1_MZV_40)/(((dagenperjaar1*VLOOKUP(B15,dagsoorttabel1,2,FALSE))-catfd_1_MZV_40)/catpn_1_MZB_1+catfd_1_MZV_40/catpn_1_MZV_40),0)</f>
        <v>0</v>
      </c>
      <c r="I15" s="20" t="s">
        <v>36</v>
      </c>
      <c r="J15" s="37">
        <f>IF(AND(catpn_1_MZB_1&gt;0,catpn_1_MZV_40&gt;0),(cattf_1_MZB_1*((dagenperjaar1*VLOOKUP(B15,dagsoorttabel1,2,FALSE))-catfd_1_MZV_40)/catpn_1_MZB_1+cattf_1_MZV_40*catfd_1_MZV_40/catpn_1_MZV_40)/(((dagenperjaar1*VLOOKUP(B15,dagsoorttabel1,2,FALSE))-catfd_1_MZV_40)/catpn_1_MZB_1+catfd_1_MZV_40/catpn_1_MZV_40)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130</v>
      </c>
      <c r="B16" s="20" t="s">
        <v>11</v>
      </c>
      <c r="C16" s="20" t="s">
        <v>112</v>
      </c>
      <c r="D16" s="20" t="s">
        <v>131</v>
      </c>
      <c r="E16" s="34">
        <v>242.32</v>
      </c>
      <c r="F16" s="34">
        <f>E16*VLOOKUP(B16,dagsoorttabel1,2,FALSE)</f>
        <v>186.4</v>
      </c>
      <c r="G16" s="35">
        <f>IF(AND(catpn_1_PMHB_1&gt;0,catpn_1_PMHV_40&gt;0),(dagenperjaar1*VLOOKUP(B16,dagsoorttabel1,2,FALSE))/(((dagenperjaar1*VLOOKUP(B16,dagsoorttabel1,2,FALSE))-catfd_1_PMHV_40)/catpn_1_PMHB_1+catfd_1_PMHV_40/catpn_1_PMHV_40),0)</f>
        <v>0</v>
      </c>
      <c r="H16" s="36">
        <f>IF(AND(catpn_1_PMHB_1&gt;0,catpn_1_PMHV_40&gt;0),(catdw_1_PMHB_1*((dagenperjaar1*VLOOKUP(B16,dagsoorttabel1,2,FALSE))-catfd_1_PMHV_40)/catpn_1_PMHB_1+catdw_1_PMHV_40*catfd_1_PMHV_40/catpn_1_PMHV_40)/(((dagenperjaar1*VLOOKUP(B16,dagsoorttabel1,2,FALSE))-catfd_1_PMHV_40)/catpn_1_PMHB_1+catfd_1_PMHV_40/catpn_1_PMHV_40),0)</f>
        <v>0</v>
      </c>
      <c r="I16" s="20" t="s">
        <v>36</v>
      </c>
      <c r="J16" s="37">
        <f>IF(AND(catpn_1_PMHB_1&gt;0,catpn_1_PMHV_40&gt;0),(cattf_1_PMHB_1*((dagenperjaar1*VLOOKUP(B16,dagsoorttabel1,2,FALSE))-catfd_1_PMHV_40)/catpn_1_PMHB_1+cattf_1_PMHV_40*catfd_1_PMHV_40/catpn_1_PMHV_40)/(((dagenperjaar1*VLOOKUP(B16,dagsoorttabel1,2,FALSE))-catfd_1_PMHV_40)/catpn_1_PMHB_1+catfd_1_PMHV_40/catpn_1_PMHV_40)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132</v>
      </c>
      <c r="B17" s="20" t="s">
        <v>11</v>
      </c>
      <c r="C17" s="20" t="s">
        <v>112</v>
      </c>
      <c r="D17" s="20" t="s">
        <v>133</v>
      </c>
      <c r="E17" s="34">
        <v>277.73</v>
      </c>
      <c r="F17" s="34">
        <f>E17*VLOOKUP(B17,dagsoorttabel1,2,FALSE)</f>
        <v>213.63846153846157</v>
      </c>
      <c r="G17" s="35">
        <f>IF(AND(catpn_1_PUHB_1&gt;0,catpn_1_PUHV_40&gt;0),(dagenperjaar1*VLOOKUP(B17,dagsoorttabel1,2,FALSE))/(((dagenperjaar1*VLOOKUP(B17,dagsoorttabel1,2,FALSE))-catfd_1_PUHV_40)/catpn_1_PUHB_1+catfd_1_PUHV_40/catpn_1_PUHV_40),0)</f>
        <v>0</v>
      </c>
      <c r="H17" s="36">
        <f>IF(AND(catpn_1_PUHB_1&gt;0,catpn_1_PUHV_40&gt;0),(catdw_1_PUHB_1*((dagenperjaar1*VLOOKUP(B17,dagsoorttabel1,2,FALSE))-catfd_1_PUHV_40)/catpn_1_PUHB_1+catdw_1_PUHV_40*catfd_1_PUHV_40/catpn_1_PUHV_40)/(((dagenperjaar1*VLOOKUP(B17,dagsoorttabel1,2,FALSE))-catfd_1_PUHV_40)/catpn_1_PUHB_1+catfd_1_PUHV_40/catpn_1_PUHV_40),0)</f>
        <v>0</v>
      </c>
      <c r="I17" s="20" t="s">
        <v>36</v>
      </c>
      <c r="J17" s="37">
        <f>IF(AND(catpn_1_PUHB_1&gt;0,catpn_1_PUHV_40&gt;0),(cattf_1_PUHB_1*((dagenperjaar1*VLOOKUP(B17,dagsoorttabel1,2,FALSE))-catfd_1_PUHV_40)/catpn_1_PUHB_1+cattf_1_PUHV_40*catfd_1_PUHV_40/catpn_1_PUHV_40)/(((dagenperjaar1*VLOOKUP(B17,dagsoorttabel1,2,FALSE))-catfd_1_PUHV_40)/catpn_1_PUHB_1+catfd_1_PUHV_40/catpn_1_PUHV_40)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134</v>
      </c>
      <c r="B18" s="20" t="s">
        <v>11</v>
      </c>
      <c r="C18" s="20" t="s">
        <v>112</v>
      </c>
      <c r="D18" s="20" t="s">
        <v>135</v>
      </c>
      <c r="E18" s="34">
        <v>923.24</v>
      </c>
      <c r="F18" s="34">
        <f>E18*VLOOKUP(B18,dagsoorttabel1,2,FALSE)</f>
        <v>710.18461538461543</v>
      </c>
      <c r="G18" s="35">
        <f>IF(AND(catpn_1_RHB_1&gt;0,catpn_1_RHV_40&gt;0),(dagenperjaar1*VLOOKUP(B18,dagsoorttabel1,2,FALSE))/(((dagenperjaar1*VLOOKUP(B18,dagsoorttabel1,2,FALSE))-catfd_1_RHV_40)/catpn_1_RHB_1+catfd_1_RHV_40/catpn_1_RHV_40),0)</f>
        <v>0</v>
      </c>
      <c r="H18" s="36">
        <f>IF(AND(catpn_1_RHB_1&gt;0,catpn_1_RHV_40&gt;0),(catdw_1_RHB_1*((dagenperjaar1*VLOOKUP(B18,dagsoorttabel1,2,FALSE))-catfd_1_RHV_40)/catpn_1_RHB_1+catdw_1_RHV_40*catfd_1_RHV_40/catpn_1_RHV_40)/(((dagenperjaar1*VLOOKUP(B18,dagsoorttabel1,2,FALSE))-catfd_1_RHV_40)/catpn_1_RHB_1+catfd_1_RHV_40/catpn_1_RHV_40),0)</f>
        <v>0</v>
      </c>
      <c r="I18" s="20" t="s">
        <v>36</v>
      </c>
      <c r="J18" s="37">
        <f>IF(AND(catpn_1_RHB_1&gt;0,catpn_1_RHV_40&gt;0),(cattf_1_RHB_1*((dagenperjaar1*VLOOKUP(B18,dagsoorttabel1,2,FALSE))-catfd_1_RHV_40)/catpn_1_RHB_1+cattf_1_RHV_40*catfd_1_RHV_40/catpn_1_RHV_40)/(((dagenperjaar1*VLOOKUP(B18,dagsoorttabel1,2,FALSE))-catfd_1_RHV_40)/catpn_1_RHB_1+catfd_1_RHV_40/catpn_1_RHV_40)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136</v>
      </c>
      <c r="B19" s="20" t="s">
        <v>11</v>
      </c>
      <c r="C19" s="20" t="s">
        <v>112</v>
      </c>
      <c r="D19" s="20" t="s">
        <v>135</v>
      </c>
      <c r="E19" s="34">
        <v>28.71</v>
      </c>
      <c r="F19" s="34">
        <f>E19*VLOOKUP(B19,dagsoorttabel1,2,FALSE)</f>
        <v>22.084615384615386</v>
      </c>
      <c r="G19" s="35">
        <f>IF(AND(catpn_1_RZB_1&gt;0,catpn_1_RZV_40&gt;0),(dagenperjaar1*VLOOKUP(B19,dagsoorttabel1,2,FALSE))/(((dagenperjaar1*VLOOKUP(B19,dagsoorttabel1,2,FALSE))-catfd_1_RZV_40)/catpn_1_RZB_1+catfd_1_RZV_40/catpn_1_RZV_40),0)</f>
        <v>0</v>
      </c>
      <c r="H19" s="36">
        <f>IF(AND(catpn_1_RZB_1&gt;0,catpn_1_RZV_40&gt;0),(catdw_1_RZB_1*((dagenperjaar1*VLOOKUP(B19,dagsoorttabel1,2,FALSE))-catfd_1_RZV_40)/catpn_1_RZB_1+catdw_1_RZV_40*catfd_1_RZV_40/catpn_1_RZV_40)/(((dagenperjaar1*VLOOKUP(B19,dagsoorttabel1,2,FALSE))-catfd_1_RZV_40)/catpn_1_RZB_1+catfd_1_RZV_40/catpn_1_RZV_40),0)</f>
        <v>0</v>
      </c>
      <c r="I19" s="20" t="s">
        <v>36</v>
      </c>
      <c r="J19" s="37">
        <f>IF(AND(catpn_1_RZB_1&gt;0,catpn_1_RZV_40&gt;0),(cattf_1_RZB_1*((dagenperjaar1*VLOOKUP(B19,dagsoorttabel1,2,FALSE))-catfd_1_RZV_40)/catpn_1_RZB_1+cattf_1_RZV_40*catfd_1_RZV_40/catpn_1_RZV_40)/(((dagenperjaar1*VLOOKUP(B19,dagsoorttabel1,2,FALSE))-catfd_1_RZV_40)/catpn_1_RZB_1+catfd_1_RZV_40/catpn_1_RZV_40)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137</v>
      </c>
      <c r="B20" s="20" t="s">
        <v>11</v>
      </c>
      <c r="C20" s="20" t="s">
        <v>112</v>
      </c>
      <c r="D20" s="20" t="s">
        <v>138</v>
      </c>
      <c r="E20" s="34">
        <v>137.1</v>
      </c>
      <c r="F20" s="34">
        <f>E20*VLOOKUP(B20,dagsoorttabel1,2,FALSE)</f>
        <v>105.46153846153847</v>
      </c>
      <c r="G20" s="35">
        <f>IF(AND(catpn_1_SHB_1&gt;0,catpn_1_SHV_40&gt;0),(dagenperjaar1*VLOOKUP(B20,dagsoorttabel1,2,FALSE))/(((dagenperjaar1*VLOOKUP(B20,dagsoorttabel1,2,FALSE))-catfd_1_SHV_40)/catpn_1_SHB_1+catfd_1_SHV_40/catpn_1_SHV_40),0)</f>
        <v>0</v>
      </c>
      <c r="H20" s="36">
        <f>IF(AND(catpn_1_SHB_1&gt;0,catpn_1_SHV_40&gt;0),(catdw_1_SHB_1*((dagenperjaar1*VLOOKUP(B20,dagsoorttabel1,2,FALSE))-catfd_1_SHV_40)/catpn_1_SHB_1+catdw_1_SHV_40*catfd_1_SHV_40/catpn_1_SHV_40)/(((dagenperjaar1*VLOOKUP(B20,dagsoorttabel1,2,FALSE))-catfd_1_SHV_40)/catpn_1_SHB_1+catfd_1_SHV_40/catpn_1_SHV_40),0)</f>
        <v>0</v>
      </c>
      <c r="I20" s="20" t="s">
        <v>36</v>
      </c>
      <c r="J20" s="37">
        <f>IF(AND(catpn_1_SHB_1&gt;0,catpn_1_SHV_40&gt;0),(cattf_1_SHB_1*((dagenperjaar1*VLOOKUP(B20,dagsoorttabel1,2,FALSE))-catfd_1_SHV_40)/catpn_1_SHB_1+cattf_1_SHV_40*catfd_1_SHV_40/catpn_1_SHV_40)/(((dagenperjaar1*VLOOKUP(B20,dagsoorttabel1,2,FALSE))-catfd_1_SHV_40)/catpn_1_SHB_1+catfd_1_SHV_40/catpn_1_SHV_40)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139</v>
      </c>
      <c r="B21" s="20" t="s">
        <v>11</v>
      </c>
      <c r="C21" s="20" t="s">
        <v>112</v>
      </c>
      <c r="D21" s="20" t="s">
        <v>140</v>
      </c>
      <c r="E21" s="34">
        <v>124.4</v>
      </c>
      <c r="F21" s="34">
        <f>E21*VLOOKUP(B21,dagsoorttabel1,2,FALSE)</f>
        <v>95.692307692307708</v>
      </c>
      <c r="G21" s="35">
        <f>catpn_1_SHB_1</f>
        <v>0</v>
      </c>
      <c r="H21" s="36">
        <f>catdw_1_SHB_1</f>
        <v>0</v>
      </c>
      <c r="I21" s="20" t="s">
        <v>36</v>
      </c>
      <c r="J21" s="37">
        <f>cattf_1_SHB_1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141</v>
      </c>
      <c r="B22" s="20" t="s">
        <v>11</v>
      </c>
      <c r="C22" s="20" t="s">
        <v>112</v>
      </c>
      <c r="D22" s="20" t="s">
        <v>142</v>
      </c>
      <c r="E22" s="34">
        <v>191.14</v>
      </c>
      <c r="F22" s="34">
        <f>E22*VLOOKUP(B22,dagsoorttabel1,2,FALSE)</f>
        <v>147.03076923076924</v>
      </c>
      <c r="G22" s="35">
        <f>IF(AND(catpn_1_THB_1&gt;0,catpn_1_THV_40&gt;0),(dagenperjaar1*VLOOKUP(B22,dagsoorttabel1,2,FALSE))/(((dagenperjaar1*VLOOKUP(B22,dagsoorttabel1,2,FALSE))-catfd_1_THV_40)/catpn_1_THB_1+catfd_1_THV_40/catpn_1_THV_40),0)</f>
        <v>0</v>
      </c>
      <c r="H22" s="36">
        <f>IF(AND(catpn_1_THB_1&gt;0,catpn_1_THV_40&gt;0),(catdw_1_THB_1*((dagenperjaar1*VLOOKUP(B22,dagsoorttabel1,2,FALSE))-catfd_1_THV_40)/catpn_1_THB_1+catdw_1_THV_40*catfd_1_THV_40/catpn_1_THV_40)/(((dagenperjaar1*VLOOKUP(B22,dagsoorttabel1,2,FALSE))-catfd_1_THV_40)/catpn_1_THB_1+catfd_1_THV_40/catpn_1_THV_40),0)</f>
        <v>0</v>
      </c>
      <c r="I22" s="20" t="s">
        <v>36</v>
      </c>
      <c r="J22" s="37">
        <f>IF(AND(catpn_1_THB_1&gt;0,catpn_1_THV_40&gt;0),(cattf_1_THB_1*((dagenperjaar1*VLOOKUP(B22,dagsoorttabel1,2,FALSE))-catfd_1_THV_40)/catpn_1_THB_1+cattf_1_THV_40*catfd_1_THV_40/catpn_1_THV_40)/(((dagenperjaar1*VLOOKUP(B22,dagsoorttabel1,2,FALSE))-catfd_1_THV_40)/catpn_1_THB_1+catfd_1_THV_40/catpn_1_THV_40)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143</v>
      </c>
      <c r="B23" s="20" t="s">
        <v>11</v>
      </c>
      <c r="C23" s="20" t="s">
        <v>112</v>
      </c>
      <c r="D23" s="20" t="s">
        <v>144</v>
      </c>
      <c r="E23" s="34">
        <v>1539.7600000000002</v>
      </c>
      <c r="F23" s="34">
        <f>E23*VLOOKUP(B23,dagsoorttabel1,2,FALSE)</f>
        <v>1184.4307692307696</v>
      </c>
      <c r="G23" s="35">
        <f>IF(AND(catpn_1_VHB_1&gt;0,catpn_1_VHV_40&gt;0),(dagenperjaar1*VLOOKUP(B23,dagsoorttabel1,2,FALSE))/(((dagenperjaar1*VLOOKUP(B23,dagsoorttabel1,2,FALSE))-catfd_1_VHV_40)/catpn_1_VHB_1+catfd_1_VHV_40/catpn_1_VHV_40),0)</f>
        <v>0</v>
      </c>
      <c r="H23" s="36">
        <f>IF(AND(catpn_1_VHB_1&gt;0,catpn_1_VHV_40&gt;0),(catdw_1_VHB_1*((dagenperjaar1*VLOOKUP(B23,dagsoorttabel1,2,FALSE))-catfd_1_VHV_40)/catpn_1_VHB_1+catdw_1_VHV_40*catfd_1_VHV_40/catpn_1_VHV_40)/(((dagenperjaar1*VLOOKUP(B23,dagsoorttabel1,2,FALSE))-catfd_1_VHV_40)/catpn_1_VHB_1+catfd_1_VHV_40/catpn_1_VHV_40),0)</f>
        <v>0</v>
      </c>
      <c r="I23" s="20" t="s">
        <v>36</v>
      </c>
      <c r="J23" s="37">
        <f>IF(AND(catpn_1_VHB_1&gt;0,catpn_1_VHV_40&gt;0),(cattf_1_VHB_1*((dagenperjaar1*VLOOKUP(B23,dagsoorttabel1,2,FALSE))-catfd_1_VHV_40)/catpn_1_VHB_1+cattf_1_VHV_40*catfd_1_VHV_40/catpn_1_VHV_40)/(((dagenperjaar1*VLOOKUP(B23,dagsoorttabel1,2,FALSE))-catfd_1_VHV_40)/catpn_1_VHB_1+catfd_1_VHV_40/catpn_1_VHV_40)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145</v>
      </c>
      <c r="B24" s="20" t="s">
        <v>11</v>
      </c>
      <c r="C24" s="20" t="s">
        <v>112</v>
      </c>
      <c r="D24" s="20" t="s">
        <v>146</v>
      </c>
      <c r="E24" s="34">
        <v>29.3</v>
      </c>
      <c r="F24" s="34">
        <f>E24*VLOOKUP(B24,dagsoorttabel1,2,FALSE)</f>
        <v>22.53846153846154</v>
      </c>
      <c r="G24" s="35">
        <f>IF(AND(catpn_1_VZB_1&gt;0,catpn_1_VZV_40&gt;0),(dagenperjaar1*VLOOKUP(B24,dagsoorttabel1,2,FALSE))/(((dagenperjaar1*VLOOKUP(B24,dagsoorttabel1,2,FALSE))-catfd_1_VZV_40)/catpn_1_VZB_1+catfd_1_VZV_40/catpn_1_VZV_40),0)</f>
        <v>0</v>
      </c>
      <c r="H24" s="36">
        <f>IF(AND(catpn_1_VZB_1&gt;0,catpn_1_VZV_40&gt;0),(catdw_1_VZB_1*((dagenperjaar1*VLOOKUP(B24,dagsoorttabel1,2,FALSE))-catfd_1_VZV_40)/catpn_1_VZB_1+catdw_1_VZV_40*catfd_1_VZV_40/catpn_1_VZV_40)/(((dagenperjaar1*VLOOKUP(B24,dagsoorttabel1,2,FALSE))-catfd_1_VZV_40)/catpn_1_VZB_1+catfd_1_VZV_40/catpn_1_VZV_40),0)</f>
        <v>0</v>
      </c>
      <c r="I24" s="20" t="s">
        <v>36</v>
      </c>
      <c r="J24" s="37">
        <f>IF(AND(catpn_1_VZB_1&gt;0,catpn_1_VZV_40&gt;0),(cattf_1_VZB_1*((dagenperjaar1*VLOOKUP(B24,dagsoorttabel1,2,FALSE))-catfd_1_VZV_40)/catpn_1_VZB_1+cattf_1_VZV_40*catfd_1_VZV_40/catpn_1_VZV_40)/(((dagenperjaar1*VLOOKUP(B24,dagsoorttabel1,2,FALSE))-catfd_1_VZV_40)/catpn_1_VZB_1+catfd_1_VZV_40/catpn_1_VZV_40)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147</v>
      </c>
      <c r="B25" s="20" t="s">
        <v>11</v>
      </c>
      <c r="C25" s="20" t="s">
        <v>112</v>
      </c>
      <c r="D25" s="20" t="s">
        <v>148</v>
      </c>
      <c r="E25" s="34">
        <v>29.3</v>
      </c>
      <c r="F25" s="34">
        <f>E25*VLOOKUP(B25,dagsoorttabel1,2,FALSE)</f>
        <v>22.53846153846154</v>
      </c>
      <c r="G25" s="38"/>
      <c r="H25" s="23"/>
      <c r="I25" s="20" t="s">
        <v>36</v>
      </c>
      <c r="J25" s="24"/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5" t="s">
        <v>149</v>
      </c>
      <c r="B26" s="25" t="s">
        <v>12</v>
      </c>
      <c r="C26" s="25" t="s">
        <v>112</v>
      </c>
      <c r="D26" s="25" t="s">
        <v>150</v>
      </c>
      <c r="E26" s="39">
        <v>570.12</v>
      </c>
      <c r="F26" s="39">
        <f>E26*VLOOKUP(B26,dagsoorttabel1,2,FALSE)</f>
        <v>350.84307692307692</v>
      </c>
      <c r="G26" s="40"/>
      <c r="H26" s="28"/>
      <c r="I26" s="25" t="s">
        <v>36</v>
      </c>
      <c r="J26" s="29"/>
      <c r="K26" s="39">
        <f>IF(OR(ISBLANK(G26),G26=0),0,F26/ROUND(G26,4))</f>
        <v>0</v>
      </c>
      <c r="L26" s="41">
        <f>ROUND(J26,2)*K26</f>
        <v>0</v>
      </c>
      <c r="M26" s="39">
        <f>K26*dagenperjaar1</f>
        <v>0</v>
      </c>
      <c r="N26" s="41">
        <f>M26*ROUND(J26,2)</f>
        <v>0</v>
      </c>
    </row>
    <row r="27" spans="1:14" x14ac:dyDescent="0.2">
      <c r="A27" s="43" t="s">
        <v>151</v>
      </c>
      <c r="B27" s="44"/>
      <c r="C27" s="44"/>
      <c r="D27" s="44"/>
      <c r="E27" s="44"/>
      <c r="F27" s="44"/>
      <c r="G27" s="44"/>
      <c r="H27" s="44"/>
      <c r="I27" s="44"/>
      <c r="J27" s="44"/>
      <c r="K27" s="45">
        <f>SUM(K6:K26)</f>
        <v>0</v>
      </c>
      <c r="L27" s="46">
        <f>SUM(L6:L26)</f>
        <v>0</v>
      </c>
      <c r="M27" s="45">
        <f>SUM(M6:M26)</f>
        <v>0</v>
      </c>
      <c r="N27" s="47">
        <f>SUM(N6:N26)</f>
        <v>0</v>
      </c>
    </row>
    <row r="28" spans="1:14" x14ac:dyDescent="0.2">
      <c r="A28" s="48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9"/>
    </row>
    <row r="29" spans="1:14" x14ac:dyDescent="0.2">
      <c r="A29" s="43" t="s">
        <v>152</v>
      </c>
      <c r="B29" s="44"/>
      <c r="C29" s="44"/>
      <c r="D29" s="44"/>
      <c r="E29" s="44"/>
      <c r="F29" s="44"/>
      <c r="G29" s="44"/>
      <c r="H29" s="44"/>
      <c r="I29" s="44"/>
      <c r="J29" s="46">
        <f>IF(urenjaar1&gt;0,SUMIF(M6:M26,"&gt;0",N6:N26)/urenjaar1,0)</f>
        <v>0</v>
      </c>
      <c r="K29" s="44"/>
      <c r="L29" s="44"/>
      <c r="M29" s="44"/>
      <c r="N29" s="49"/>
    </row>
    <row r="30" spans="1:14" x14ac:dyDescent="0.2">
      <c r="A30" s="48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9"/>
    </row>
    <row r="32" spans="1:14" x14ac:dyDescent="0.2">
      <c r="A32" s="43" t="s">
        <v>153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>
        <f>urenjaar1</f>
        <v>0</v>
      </c>
      <c r="N32" s="46">
        <f>prijsjaar1</f>
        <v>0</v>
      </c>
    </row>
  </sheetData>
  <sheetProtection algorithmName="SHA-512" hashValue="kq87rYiwPaHYTa1ts7hqeWmPFTMF9jxHah44Ai6I0y0CVhrgsT5MxNB2x9QwoiFn/9IB/SpMicWmxPrFe61jEQ==" saltValue="KohEr0vB7sj3A84ujya1h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6507-7187-48C4-8454-0AFE9969C083}">
  <dimension ref="A1:U219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F2 .3: ",tabeltype," ruimten werkdag")</f>
        <v>Bijlage F2 .3: Invultabel ruimten werkdag</v>
      </c>
    </row>
    <row r="3" spans="1:21" ht="38.25" x14ac:dyDescent="0.2">
      <c r="A3" s="50" t="s">
        <v>154</v>
      </c>
      <c r="B3" s="8" t="s">
        <v>155</v>
      </c>
      <c r="C3" s="8" t="s">
        <v>156</v>
      </c>
      <c r="D3" s="8" t="s">
        <v>157</v>
      </c>
      <c r="E3" s="8" t="s">
        <v>158</v>
      </c>
      <c r="F3" s="8" t="s">
        <v>159</v>
      </c>
      <c r="G3" s="8" t="s">
        <v>103</v>
      </c>
      <c r="H3" s="8" t="s">
        <v>7</v>
      </c>
      <c r="I3" s="8" t="s">
        <v>160</v>
      </c>
      <c r="J3" s="8" t="s">
        <v>161</v>
      </c>
      <c r="K3" s="8" t="s">
        <v>105</v>
      </c>
      <c r="L3" s="8" t="s">
        <v>106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107</v>
      </c>
      <c r="R3" s="8" t="s">
        <v>162</v>
      </c>
      <c r="S3" s="8" t="s">
        <v>108</v>
      </c>
      <c r="T3" s="8" t="s">
        <v>109</v>
      </c>
      <c r="U3" s="51" t="s">
        <v>110</v>
      </c>
    </row>
    <row r="4" spans="1:21" x14ac:dyDescent="0.2">
      <c r="A4" s="52" t="s">
        <v>163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164</v>
      </c>
      <c r="B5" s="54" t="s">
        <v>165</v>
      </c>
      <c r="C5" s="54" t="s">
        <v>166</v>
      </c>
      <c r="D5" s="54" t="s">
        <v>167</v>
      </c>
      <c r="E5" s="55" t="s">
        <v>168</v>
      </c>
      <c r="F5" s="54" t="s">
        <v>169</v>
      </c>
      <c r="G5" s="54" t="s">
        <v>116</v>
      </c>
      <c r="H5" s="54" t="s">
        <v>11</v>
      </c>
      <c r="I5" s="54" t="s">
        <v>112</v>
      </c>
      <c r="J5" s="54"/>
      <c r="K5" s="56">
        <v>4.2</v>
      </c>
      <c r="L5" s="56">
        <f>K5*VLOOKUP(H5,dagsoorttabel1,2,FALSE)</f>
        <v>3.2307692307692313</v>
      </c>
      <c r="M5" s="57">
        <f>prodnorm7</f>
        <v>0</v>
      </c>
      <c r="N5" s="58">
        <f>dagwerk7</f>
        <v>0</v>
      </c>
      <c r="O5" s="54" t="s">
        <v>36</v>
      </c>
      <c r="P5" s="59">
        <f>uurtarief7</f>
        <v>0</v>
      </c>
      <c r="Q5" s="56" t="e">
        <f>IF(ISBLANK(M5),0,L5/ROUND(M5,4))</f>
        <v>#DIV/0!</v>
      </c>
      <c r="R5" s="56" t="e">
        <f>IF(ISBLANK(M5),0,Q5*ROUND(N5,2))</f>
        <v>#DIV/0!</v>
      </c>
      <c r="S5" s="59" t="e">
        <f>ROUND(P5,2)*Q5</f>
        <v>#DIV/0!</v>
      </c>
      <c r="T5" s="56" t="e">
        <f>Q5*dagenperjaar1</f>
        <v>#DIV/0!</v>
      </c>
      <c r="U5" s="60" t="e">
        <f>T5*ROUND(P5,2)</f>
        <v>#DIV/0!</v>
      </c>
    </row>
    <row r="6" spans="1:21" x14ac:dyDescent="0.2">
      <c r="A6" s="61" t="s">
        <v>164</v>
      </c>
      <c r="B6" s="62" t="s">
        <v>165</v>
      </c>
      <c r="C6" s="62" t="s">
        <v>166</v>
      </c>
      <c r="D6" s="62" t="s">
        <v>170</v>
      </c>
      <c r="E6" s="63" t="s">
        <v>168</v>
      </c>
      <c r="F6" s="62" t="s">
        <v>171</v>
      </c>
      <c r="G6" s="62" t="s">
        <v>116</v>
      </c>
      <c r="H6" s="62" t="s">
        <v>11</v>
      </c>
      <c r="I6" s="62" t="s">
        <v>112</v>
      </c>
      <c r="J6" s="62"/>
      <c r="K6" s="64">
        <v>36.6</v>
      </c>
      <c r="L6" s="64">
        <f>K6*VLOOKUP(H6,dagsoorttabel1,2,FALSE)</f>
        <v>28.153846153846157</v>
      </c>
      <c r="M6" s="65">
        <f>prodnorm7</f>
        <v>0</v>
      </c>
      <c r="N6" s="66">
        <f>dagwerk7</f>
        <v>0</v>
      </c>
      <c r="O6" s="62" t="s">
        <v>36</v>
      </c>
      <c r="P6" s="67">
        <f>uurtarief7</f>
        <v>0</v>
      </c>
      <c r="Q6" s="64" t="e">
        <f>IF(ISBLANK(M6),0,L6/ROUND(M6,4))</f>
        <v>#DIV/0!</v>
      </c>
      <c r="R6" s="64" t="e">
        <f>IF(ISBLANK(M6),0,Q6*ROUND(N6,2))</f>
        <v>#DIV/0!</v>
      </c>
      <c r="S6" s="67" t="e">
        <f>ROUND(P6,2)*Q6</f>
        <v>#DIV/0!</v>
      </c>
      <c r="T6" s="64" t="e">
        <f>Q6*dagenperjaar1</f>
        <v>#DIV/0!</v>
      </c>
      <c r="U6" s="68" t="e">
        <f>T6*ROUND(P6,2)</f>
        <v>#DIV/0!</v>
      </c>
    </row>
    <row r="7" spans="1:21" x14ac:dyDescent="0.2">
      <c r="A7" s="61" t="s">
        <v>164</v>
      </c>
      <c r="B7" s="62" t="s">
        <v>165</v>
      </c>
      <c r="C7" s="62" t="s">
        <v>166</v>
      </c>
      <c r="D7" s="62" t="s">
        <v>172</v>
      </c>
      <c r="E7" s="63" t="s">
        <v>173</v>
      </c>
      <c r="F7" s="62" t="s">
        <v>174</v>
      </c>
      <c r="G7" s="62" t="s">
        <v>143</v>
      </c>
      <c r="H7" s="62" t="s">
        <v>11</v>
      </c>
      <c r="I7" s="62" t="s">
        <v>112</v>
      </c>
      <c r="J7" s="62"/>
      <c r="K7" s="64">
        <v>55.4</v>
      </c>
      <c r="L7" s="64">
        <f>K7*VLOOKUP(H7,dagsoorttabel1,2,FALSE)</f>
        <v>42.615384615384613</v>
      </c>
      <c r="M7" s="65">
        <f>prodnorm22</f>
        <v>0</v>
      </c>
      <c r="N7" s="66">
        <f>dagwerk22</f>
        <v>0</v>
      </c>
      <c r="O7" s="62" t="s">
        <v>36</v>
      </c>
      <c r="P7" s="67">
        <f>uurtarief22</f>
        <v>0</v>
      </c>
      <c r="Q7" s="64" t="e">
        <f>IF(ISBLANK(M7),0,L7/ROUND(M7,4))</f>
        <v>#DIV/0!</v>
      </c>
      <c r="R7" s="64" t="e">
        <f>IF(ISBLANK(M7),0,Q7*ROUND(N7,2))</f>
        <v>#DIV/0!</v>
      </c>
      <c r="S7" s="67" t="e">
        <f>ROUND(P7,2)*Q7</f>
        <v>#DIV/0!</v>
      </c>
      <c r="T7" s="64" t="e">
        <f>Q7*dagenperjaar1</f>
        <v>#DIV/0!</v>
      </c>
      <c r="U7" s="68" t="e">
        <f>T7*ROUND(P7,2)</f>
        <v>#DIV/0!</v>
      </c>
    </row>
    <row r="8" spans="1:21" x14ac:dyDescent="0.2">
      <c r="A8" s="61" t="s">
        <v>164</v>
      </c>
      <c r="B8" s="62" t="s">
        <v>165</v>
      </c>
      <c r="C8" s="62" t="s">
        <v>166</v>
      </c>
      <c r="D8" s="62" t="s">
        <v>175</v>
      </c>
      <c r="E8" s="63" t="s">
        <v>176</v>
      </c>
      <c r="F8" s="62" t="s">
        <v>171</v>
      </c>
      <c r="G8" s="62" t="s">
        <v>114</v>
      </c>
      <c r="H8" s="62" t="s">
        <v>16</v>
      </c>
      <c r="I8" s="62" t="s">
        <v>112</v>
      </c>
      <c r="J8" s="62"/>
      <c r="K8" s="64">
        <v>23.3</v>
      </c>
      <c r="L8" s="64">
        <f>K8*VLOOKUP(H8,dagsoorttabel1,2,FALSE)</f>
        <v>3.5846153846153848</v>
      </c>
      <c r="M8" s="65">
        <f>prodnorm6</f>
        <v>0</v>
      </c>
      <c r="N8" s="66">
        <f>dagwerk6</f>
        <v>0</v>
      </c>
      <c r="O8" s="62" t="s">
        <v>36</v>
      </c>
      <c r="P8" s="67">
        <f>uurtarief6</f>
        <v>0</v>
      </c>
      <c r="Q8" s="64" t="e">
        <f>IF(ISBLANK(M8),0,L8/ROUND(M8,4))</f>
        <v>#DIV/0!</v>
      </c>
      <c r="R8" s="64" t="e">
        <f>IF(ISBLANK(M8),0,Q8*ROUND(N8,2))</f>
        <v>#DIV/0!</v>
      </c>
      <c r="S8" s="67" t="e">
        <f>ROUND(P8,2)*Q8</f>
        <v>#DIV/0!</v>
      </c>
      <c r="T8" s="64" t="e">
        <f>Q8*dagenperjaar1</f>
        <v>#DIV/0!</v>
      </c>
      <c r="U8" s="68" t="e">
        <f>T8*ROUND(P8,2)</f>
        <v>#DIV/0!</v>
      </c>
    </row>
    <row r="9" spans="1:21" x14ac:dyDescent="0.2">
      <c r="A9" s="61" t="s">
        <v>164</v>
      </c>
      <c r="B9" s="62" t="s">
        <v>165</v>
      </c>
      <c r="C9" s="62" t="s">
        <v>166</v>
      </c>
      <c r="D9" s="62" t="s">
        <v>175</v>
      </c>
      <c r="E9" s="63" t="s">
        <v>176</v>
      </c>
      <c r="F9" s="62" t="s">
        <v>171</v>
      </c>
      <c r="G9" s="62" t="s">
        <v>149</v>
      </c>
      <c r="H9" s="62" t="s">
        <v>12</v>
      </c>
      <c r="I9" s="62" t="s">
        <v>112</v>
      </c>
      <c r="J9" s="62"/>
      <c r="K9" s="64">
        <v>23.3</v>
      </c>
      <c r="L9" s="64">
        <f>K9*VLOOKUP(H9,dagsoorttabel1,2,FALSE)</f>
        <v>14.338461538461539</v>
      </c>
      <c r="M9" s="65">
        <f>prodnorm25</f>
        <v>0</v>
      </c>
      <c r="N9" s="66">
        <f>dagwerk25</f>
        <v>0</v>
      </c>
      <c r="O9" s="62" t="s">
        <v>36</v>
      </c>
      <c r="P9" s="67">
        <f>uurtarief25</f>
        <v>0</v>
      </c>
      <c r="Q9" s="64" t="e">
        <f>IF(ISBLANK(M9),0,L9/ROUND(M9,4))</f>
        <v>#DIV/0!</v>
      </c>
      <c r="R9" s="64" t="e">
        <f>IF(ISBLANK(M9),0,Q9*ROUND(N9,2))</f>
        <v>#DIV/0!</v>
      </c>
      <c r="S9" s="67" t="e">
        <f>ROUND(P9,2)*Q9</f>
        <v>#DIV/0!</v>
      </c>
      <c r="T9" s="64" t="e">
        <f>Q9*dagenperjaar1</f>
        <v>#DIV/0!</v>
      </c>
      <c r="U9" s="68" t="e">
        <f>T9*ROUND(P9,2)</f>
        <v>#DIV/0!</v>
      </c>
    </row>
    <row r="10" spans="1:21" x14ac:dyDescent="0.2">
      <c r="A10" s="61" t="s">
        <v>164</v>
      </c>
      <c r="B10" s="62" t="s">
        <v>165</v>
      </c>
      <c r="C10" s="62" t="s">
        <v>166</v>
      </c>
      <c r="D10" s="62" t="s">
        <v>177</v>
      </c>
      <c r="E10" s="63" t="s">
        <v>178</v>
      </c>
      <c r="F10" s="62" t="s">
        <v>174</v>
      </c>
      <c r="G10" s="62" t="s">
        <v>134</v>
      </c>
      <c r="H10" s="62" t="s">
        <v>11</v>
      </c>
      <c r="I10" s="62" t="s">
        <v>112</v>
      </c>
      <c r="J10" s="62"/>
      <c r="K10" s="64">
        <v>81.86</v>
      </c>
      <c r="L10" s="64">
        <f>K10*VLOOKUP(H10,dagsoorttabel1,2,FALSE)</f>
        <v>62.969230769230769</v>
      </c>
      <c r="M10" s="65">
        <f>prodnorm17</f>
        <v>0</v>
      </c>
      <c r="N10" s="66">
        <f>dagwerk17</f>
        <v>0</v>
      </c>
      <c r="O10" s="62" t="s">
        <v>36</v>
      </c>
      <c r="P10" s="67">
        <f>uurtarief17</f>
        <v>0</v>
      </c>
      <c r="Q10" s="64" t="e">
        <f>IF(ISBLANK(M10),0,L10/ROUND(M10,4))</f>
        <v>#DIV/0!</v>
      </c>
      <c r="R10" s="64" t="e">
        <f>IF(ISBLANK(M10),0,Q10*ROUND(N10,2))</f>
        <v>#DIV/0!</v>
      </c>
      <c r="S10" s="67" t="e">
        <f>ROUND(P10,2)*Q10</f>
        <v>#DIV/0!</v>
      </c>
      <c r="T10" s="64" t="e">
        <f>Q10*dagenperjaar1</f>
        <v>#DIV/0!</v>
      </c>
      <c r="U10" s="68" t="e">
        <f>T10*ROUND(P10,2)</f>
        <v>#DIV/0!</v>
      </c>
    </row>
    <row r="11" spans="1:21" x14ac:dyDescent="0.2">
      <c r="A11" s="61" t="s">
        <v>164</v>
      </c>
      <c r="B11" s="62" t="s">
        <v>165</v>
      </c>
      <c r="C11" s="62" t="s">
        <v>166</v>
      </c>
      <c r="D11" s="62" t="s">
        <v>179</v>
      </c>
      <c r="E11" s="63" t="s">
        <v>178</v>
      </c>
      <c r="F11" s="62" t="s">
        <v>171</v>
      </c>
      <c r="G11" s="62" t="s">
        <v>136</v>
      </c>
      <c r="H11" s="62" t="s">
        <v>11</v>
      </c>
      <c r="I11" s="62" t="s">
        <v>112</v>
      </c>
      <c r="J11" s="62"/>
      <c r="K11" s="64">
        <v>28.71</v>
      </c>
      <c r="L11" s="64">
        <f>K11*VLOOKUP(H11,dagsoorttabel1,2,FALSE)</f>
        <v>22.084615384615386</v>
      </c>
      <c r="M11" s="65">
        <f>prodnorm18</f>
        <v>0</v>
      </c>
      <c r="N11" s="66">
        <f>dagwerk18</f>
        <v>0</v>
      </c>
      <c r="O11" s="62" t="s">
        <v>36</v>
      </c>
      <c r="P11" s="67">
        <f>uurtarief18</f>
        <v>0</v>
      </c>
      <c r="Q11" s="64" t="e">
        <f>IF(ISBLANK(M11),0,L11/ROUND(M11,4))</f>
        <v>#DIV/0!</v>
      </c>
      <c r="R11" s="64" t="e">
        <f>IF(ISBLANK(M11),0,Q11*ROUND(N11,2))</f>
        <v>#DIV/0!</v>
      </c>
      <c r="S11" s="67" t="e">
        <f>ROUND(P11,2)*Q11</f>
        <v>#DIV/0!</v>
      </c>
      <c r="T11" s="64" t="e">
        <f>Q11*dagenperjaar1</f>
        <v>#DIV/0!</v>
      </c>
      <c r="U11" s="68" t="e">
        <f>T11*ROUND(P11,2)</f>
        <v>#DIV/0!</v>
      </c>
    </row>
    <row r="12" spans="1:21" x14ac:dyDescent="0.2">
      <c r="A12" s="61" t="s">
        <v>164</v>
      </c>
      <c r="B12" s="62" t="s">
        <v>165</v>
      </c>
      <c r="C12" s="62" t="s">
        <v>166</v>
      </c>
      <c r="D12" s="62" t="s">
        <v>180</v>
      </c>
      <c r="E12" s="63" t="s">
        <v>181</v>
      </c>
      <c r="F12" s="62" t="s">
        <v>182</v>
      </c>
      <c r="G12" s="62" t="s">
        <v>134</v>
      </c>
      <c r="H12" s="62" t="s">
        <v>11</v>
      </c>
      <c r="I12" s="62" t="s">
        <v>112</v>
      </c>
      <c r="J12" s="62"/>
      <c r="K12" s="64">
        <v>22.43</v>
      </c>
      <c r="L12" s="64">
        <f>K12*VLOOKUP(H12,dagsoorttabel1,2,FALSE)</f>
        <v>17.253846153846155</v>
      </c>
      <c r="M12" s="65">
        <f>prodnorm17</f>
        <v>0</v>
      </c>
      <c r="N12" s="66">
        <f>dagwerk17</f>
        <v>0</v>
      </c>
      <c r="O12" s="62" t="s">
        <v>36</v>
      </c>
      <c r="P12" s="67">
        <f>uurtarief17</f>
        <v>0</v>
      </c>
      <c r="Q12" s="64" t="e">
        <f>IF(ISBLANK(M12),0,L12/ROUND(M12,4))</f>
        <v>#DIV/0!</v>
      </c>
      <c r="R12" s="64" t="e">
        <f>IF(ISBLANK(M12),0,Q12*ROUND(N12,2))</f>
        <v>#DIV/0!</v>
      </c>
      <c r="S12" s="67" t="e">
        <f>ROUND(P12,2)*Q12</f>
        <v>#DIV/0!</v>
      </c>
      <c r="T12" s="64" t="e">
        <f>Q12*dagenperjaar1</f>
        <v>#DIV/0!</v>
      </c>
      <c r="U12" s="68" t="e">
        <f>T12*ROUND(P12,2)</f>
        <v>#DIV/0!</v>
      </c>
    </row>
    <row r="13" spans="1:21" x14ac:dyDescent="0.2">
      <c r="A13" s="61" t="s">
        <v>164</v>
      </c>
      <c r="B13" s="62" t="s">
        <v>165</v>
      </c>
      <c r="C13" s="62" t="s">
        <v>166</v>
      </c>
      <c r="D13" s="62" t="s">
        <v>183</v>
      </c>
      <c r="E13" s="63" t="s">
        <v>184</v>
      </c>
      <c r="F13" s="62" t="s">
        <v>182</v>
      </c>
      <c r="G13" s="62" t="s">
        <v>147</v>
      </c>
      <c r="H13" s="62" t="s">
        <v>11</v>
      </c>
      <c r="I13" s="62" t="s">
        <v>112</v>
      </c>
      <c r="J13" s="62"/>
      <c r="K13" s="64">
        <v>6.2</v>
      </c>
      <c r="L13" s="64">
        <f>K13*VLOOKUP(H13,dagsoorttabel1,2,FALSE)</f>
        <v>4.7692307692307701</v>
      </c>
      <c r="M13" s="65">
        <f>prodnorm24</f>
        <v>0</v>
      </c>
      <c r="N13" s="66">
        <f>dagwerk24</f>
        <v>0</v>
      </c>
      <c r="O13" s="62" t="s">
        <v>36</v>
      </c>
      <c r="P13" s="67">
        <f>uurtarief24</f>
        <v>0</v>
      </c>
      <c r="Q13" s="64" t="e">
        <f>IF(ISBLANK(M13),0,L13/ROUND(M13,4))</f>
        <v>#DIV/0!</v>
      </c>
      <c r="R13" s="64" t="e">
        <f>IF(ISBLANK(M13),0,Q13*ROUND(N13,2))</f>
        <v>#DIV/0!</v>
      </c>
      <c r="S13" s="67" t="e">
        <f>ROUND(P13,2)*Q13</f>
        <v>#DIV/0!</v>
      </c>
      <c r="T13" s="64" t="e">
        <f>Q13*dagenperjaar1</f>
        <v>#DIV/0!</v>
      </c>
      <c r="U13" s="68" t="e">
        <f>T13*ROUND(P13,2)</f>
        <v>#DIV/0!</v>
      </c>
    </row>
    <row r="14" spans="1:21" x14ac:dyDescent="0.2">
      <c r="A14" s="61" t="s">
        <v>164</v>
      </c>
      <c r="B14" s="62" t="s">
        <v>165</v>
      </c>
      <c r="C14" s="62" t="s">
        <v>166</v>
      </c>
      <c r="D14" s="62" t="s">
        <v>185</v>
      </c>
      <c r="E14" s="63" t="s">
        <v>186</v>
      </c>
      <c r="F14" s="62" t="s">
        <v>171</v>
      </c>
      <c r="G14" s="62" t="s">
        <v>114</v>
      </c>
      <c r="H14" s="62" t="s">
        <v>16</v>
      </c>
      <c r="I14" s="62" t="s">
        <v>112</v>
      </c>
      <c r="J14" s="62"/>
      <c r="K14" s="64">
        <v>10.3</v>
      </c>
      <c r="L14" s="64">
        <f>K14*VLOOKUP(H14,dagsoorttabel1,2,FALSE)</f>
        <v>1.5846153846153848</v>
      </c>
      <c r="M14" s="65">
        <f>prodnorm6</f>
        <v>0</v>
      </c>
      <c r="N14" s="66">
        <f>dagwerk6</f>
        <v>0</v>
      </c>
      <c r="O14" s="62" t="s">
        <v>36</v>
      </c>
      <c r="P14" s="67">
        <f>uurtarief6</f>
        <v>0</v>
      </c>
      <c r="Q14" s="64" t="e">
        <f>IF(ISBLANK(M14),0,L14/ROUND(M14,4))</f>
        <v>#DIV/0!</v>
      </c>
      <c r="R14" s="64" t="e">
        <f>IF(ISBLANK(M14),0,Q14*ROUND(N14,2))</f>
        <v>#DIV/0!</v>
      </c>
      <c r="S14" s="67" t="e">
        <f>ROUND(P14,2)*Q14</f>
        <v>#DIV/0!</v>
      </c>
      <c r="T14" s="64" t="e">
        <f>Q14*dagenperjaar1</f>
        <v>#DIV/0!</v>
      </c>
      <c r="U14" s="68" t="e">
        <f>T14*ROUND(P14,2)</f>
        <v>#DIV/0!</v>
      </c>
    </row>
    <row r="15" spans="1:21" x14ac:dyDescent="0.2">
      <c r="A15" s="61" t="s">
        <v>164</v>
      </c>
      <c r="B15" s="62" t="s">
        <v>165</v>
      </c>
      <c r="C15" s="62" t="s">
        <v>166</v>
      </c>
      <c r="D15" s="62" t="s">
        <v>185</v>
      </c>
      <c r="E15" s="63" t="s">
        <v>186</v>
      </c>
      <c r="F15" s="62" t="s">
        <v>171</v>
      </c>
      <c r="G15" s="62" t="s">
        <v>149</v>
      </c>
      <c r="H15" s="62" t="s">
        <v>12</v>
      </c>
      <c r="I15" s="62" t="s">
        <v>112</v>
      </c>
      <c r="J15" s="62"/>
      <c r="K15" s="64">
        <v>10.3</v>
      </c>
      <c r="L15" s="64">
        <f>K15*VLOOKUP(H15,dagsoorttabel1,2,FALSE)</f>
        <v>6.338461538461539</v>
      </c>
      <c r="M15" s="65">
        <f>prodnorm25</f>
        <v>0</v>
      </c>
      <c r="N15" s="66">
        <f>dagwerk25</f>
        <v>0</v>
      </c>
      <c r="O15" s="62" t="s">
        <v>36</v>
      </c>
      <c r="P15" s="67">
        <f>uurtarief25</f>
        <v>0</v>
      </c>
      <c r="Q15" s="64" t="e">
        <f>IF(ISBLANK(M15),0,L15/ROUND(M15,4))</f>
        <v>#DIV/0!</v>
      </c>
      <c r="R15" s="64" t="e">
        <f>IF(ISBLANK(M15),0,Q15*ROUND(N15,2))</f>
        <v>#DIV/0!</v>
      </c>
      <c r="S15" s="67" t="e">
        <f>ROUND(P15,2)*Q15</f>
        <v>#DIV/0!</v>
      </c>
      <c r="T15" s="64" t="e">
        <f>Q15*dagenperjaar1</f>
        <v>#DIV/0!</v>
      </c>
      <c r="U15" s="68" t="e">
        <f>T15*ROUND(P15,2)</f>
        <v>#DIV/0!</v>
      </c>
    </row>
    <row r="16" spans="1:21" x14ac:dyDescent="0.2">
      <c r="A16" s="61" t="s">
        <v>164</v>
      </c>
      <c r="B16" s="62" t="s">
        <v>165</v>
      </c>
      <c r="C16" s="62" t="s">
        <v>166</v>
      </c>
      <c r="D16" s="62" t="s">
        <v>187</v>
      </c>
      <c r="E16" s="63" t="s">
        <v>186</v>
      </c>
      <c r="F16" s="62" t="s">
        <v>171</v>
      </c>
      <c r="G16" s="62" t="s">
        <v>114</v>
      </c>
      <c r="H16" s="62" t="s">
        <v>16</v>
      </c>
      <c r="I16" s="62" t="s">
        <v>112</v>
      </c>
      <c r="J16" s="62"/>
      <c r="K16" s="64">
        <v>17</v>
      </c>
      <c r="L16" s="64">
        <f>K16*VLOOKUP(H16,dagsoorttabel1,2,FALSE)</f>
        <v>2.6153846153846154</v>
      </c>
      <c r="M16" s="65">
        <f>prodnorm6</f>
        <v>0</v>
      </c>
      <c r="N16" s="66">
        <f>dagwerk6</f>
        <v>0</v>
      </c>
      <c r="O16" s="62" t="s">
        <v>36</v>
      </c>
      <c r="P16" s="67">
        <f>uurtarief6</f>
        <v>0</v>
      </c>
      <c r="Q16" s="64" t="e">
        <f>IF(ISBLANK(M16),0,L16/ROUND(M16,4))</f>
        <v>#DIV/0!</v>
      </c>
      <c r="R16" s="64" t="e">
        <f>IF(ISBLANK(M16),0,Q16*ROUND(N16,2))</f>
        <v>#DIV/0!</v>
      </c>
      <c r="S16" s="67" t="e">
        <f>ROUND(P16,2)*Q16</f>
        <v>#DIV/0!</v>
      </c>
      <c r="T16" s="64" t="e">
        <f>Q16*dagenperjaar1</f>
        <v>#DIV/0!</v>
      </c>
      <c r="U16" s="68" t="e">
        <f>T16*ROUND(P16,2)</f>
        <v>#DIV/0!</v>
      </c>
    </row>
    <row r="17" spans="1:21" x14ac:dyDescent="0.2">
      <c r="A17" s="61" t="s">
        <v>164</v>
      </c>
      <c r="B17" s="62" t="s">
        <v>165</v>
      </c>
      <c r="C17" s="62" t="s">
        <v>166</v>
      </c>
      <c r="D17" s="62" t="s">
        <v>187</v>
      </c>
      <c r="E17" s="63" t="s">
        <v>186</v>
      </c>
      <c r="F17" s="62" t="s">
        <v>171</v>
      </c>
      <c r="G17" s="62" t="s">
        <v>149</v>
      </c>
      <c r="H17" s="62" t="s">
        <v>12</v>
      </c>
      <c r="I17" s="62" t="s">
        <v>112</v>
      </c>
      <c r="J17" s="62"/>
      <c r="K17" s="64">
        <v>17</v>
      </c>
      <c r="L17" s="64">
        <f>K17*VLOOKUP(H17,dagsoorttabel1,2,FALSE)</f>
        <v>10.461538461538462</v>
      </c>
      <c r="M17" s="65">
        <f>prodnorm25</f>
        <v>0</v>
      </c>
      <c r="N17" s="66">
        <f>dagwerk25</f>
        <v>0</v>
      </c>
      <c r="O17" s="62" t="s">
        <v>36</v>
      </c>
      <c r="P17" s="67">
        <f>uurtarief25</f>
        <v>0</v>
      </c>
      <c r="Q17" s="64" t="e">
        <f>IF(ISBLANK(M17),0,L17/ROUND(M17,4))</f>
        <v>#DIV/0!</v>
      </c>
      <c r="R17" s="64" t="e">
        <f>IF(ISBLANK(M17),0,Q17*ROUND(N17,2))</f>
        <v>#DIV/0!</v>
      </c>
      <c r="S17" s="67" t="e">
        <f>ROUND(P17,2)*Q17</f>
        <v>#DIV/0!</v>
      </c>
      <c r="T17" s="64" t="e">
        <f>Q17*dagenperjaar1</f>
        <v>#DIV/0!</v>
      </c>
      <c r="U17" s="68" t="e">
        <f>T17*ROUND(P17,2)</f>
        <v>#DIV/0!</v>
      </c>
    </row>
    <row r="18" spans="1:21" x14ac:dyDescent="0.2">
      <c r="A18" s="61" t="s">
        <v>164</v>
      </c>
      <c r="B18" s="62" t="s">
        <v>165</v>
      </c>
      <c r="C18" s="62" t="s">
        <v>166</v>
      </c>
      <c r="D18" s="62" t="s">
        <v>188</v>
      </c>
      <c r="E18" s="63" t="s">
        <v>186</v>
      </c>
      <c r="F18" s="62" t="s">
        <v>171</v>
      </c>
      <c r="G18" s="62" t="s">
        <v>114</v>
      </c>
      <c r="H18" s="62" t="s">
        <v>16</v>
      </c>
      <c r="I18" s="62" t="s">
        <v>112</v>
      </c>
      <c r="J18" s="62"/>
      <c r="K18" s="64">
        <v>15.7</v>
      </c>
      <c r="L18" s="64">
        <f>K18*VLOOKUP(H18,dagsoorttabel1,2,FALSE)</f>
        <v>2.4153846153846152</v>
      </c>
      <c r="M18" s="65">
        <f>prodnorm6</f>
        <v>0</v>
      </c>
      <c r="N18" s="66">
        <f>dagwerk6</f>
        <v>0</v>
      </c>
      <c r="O18" s="62" t="s">
        <v>36</v>
      </c>
      <c r="P18" s="67">
        <f>uurtarief6</f>
        <v>0</v>
      </c>
      <c r="Q18" s="64" t="e">
        <f>IF(ISBLANK(M18),0,L18/ROUND(M18,4))</f>
        <v>#DIV/0!</v>
      </c>
      <c r="R18" s="64" t="e">
        <f>IF(ISBLANK(M18),0,Q18*ROUND(N18,2))</f>
        <v>#DIV/0!</v>
      </c>
      <c r="S18" s="67" t="e">
        <f>ROUND(P18,2)*Q18</f>
        <v>#DIV/0!</v>
      </c>
      <c r="T18" s="64" t="e">
        <f>Q18*dagenperjaar1</f>
        <v>#DIV/0!</v>
      </c>
      <c r="U18" s="68" t="e">
        <f>T18*ROUND(P18,2)</f>
        <v>#DIV/0!</v>
      </c>
    </row>
    <row r="19" spans="1:21" x14ac:dyDescent="0.2">
      <c r="A19" s="61" t="s">
        <v>164</v>
      </c>
      <c r="B19" s="62" t="s">
        <v>165</v>
      </c>
      <c r="C19" s="62" t="s">
        <v>166</v>
      </c>
      <c r="D19" s="62" t="s">
        <v>188</v>
      </c>
      <c r="E19" s="63" t="s">
        <v>186</v>
      </c>
      <c r="F19" s="62" t="s">
        <v>171</v>
      </c>
      <c r="G19" s="62" t="s">
        <v>149</v>
      </c>
      <c r="H19" s="62" t="s">
        <v>12</v>
      </c>
      <c r="I19" s="62" t="s">
        <v>112</v>
      </c>
      <c r="J19" s="62"/>
      <c r="K19" s="64">
        <v>15.7</v>
      </c>
      <c r="L19" s="64">
        <f>K19*VLOOKUP(H19,dagsoorttabel1,2,FALSE)</f>
        <v>9.661538461538461</v>
      </c>
      <c r="M19" s="65">
        <f>prodnorm25</f>
        <v>0</v>
      </c>
      <c r="N19" s="66">
        <f>dagwerk25</f>
        <v>0</v>
      </c>
      <c r="O19" s="62" t="s">
        <v>36</v>
      </c>
      <c r="P19" s="67">
        <f>uurtarief25</f>
        <v>0</v>
      </c>
      <c r="Q19" s="64" t="e">
        <f>IF(ISBLANK(M19),0,L19/ROUND(M19,4))</f>
        <v>#DIV/0!</v>
      </c>
      <c r="R19" s="64" t="e">
        <f>IF(ISBLANK(M19),0,Q19*ROUND(N19,2))</f>
        <v>#DIV/0!</v>
      </c>
      <c r="S19" s="67" t="e">
        <f>ROUND(P19,2)*Q19</f>
        <v>#DIV/0!</v>
      </c>
      <c r="T19" s="64" t="e">
        <f>Q19*dagenperjaar1</f>
        <v>#DIV/0!</v>
      </c>
      <c r="U19" s="68" t="e">
        <f>T19*ROUND(P19,2)</f>
        <v>#DIV/0!</v>
      </c>
    </row>
    <row r="20" spans="1:21" x14ac:dyDescent="0.2">
      <c r="A20" s="61" t="s">
        <v>164</v>
      </c>
      <c r="B20" s="62" t="s">
        <v>165</v>
      </c>
      <c r="C20" s="62" t="s">
        <v>166</v>
      </c>
      <c r="D20" s="62" t="s">
        <v>189</v>
      </c>
      <c r="E20" s="63" t="s">
        <v>186</v>
      </c>
      <c r="F20" s="62" t="s">
        <v>171</v>
      </c>
      <c r="G20" s="62" t="s">
        <v>114</v>
      </c>
      <c r="H20" s="62" t="s">
        <v>16</v>
      </c>
      <c r="I20" s="62" t="s">
        <v>112</v>
      </c>
      <c r="J20" s="62"/>
      <c r="K20" s="64">
        <v>19.170000000000002</v>
      </c>
      <c r="L20" s="64">
        <f>K20*VLOOKUP(H20,dagsoorttabel1,2,FALSE)</f>
        <v>2.9492307692307698</v>
      </c>
      <c r="M20" s="65">
        <f>prodnorm6</f>
        <v>0</v>
      </c>
      <c r="N20" s="66">
        <f>dagwerk6</f>
        <v>0</v>
      </c>
      <c r="O20" s="62" t="s">
        <v>36</v>
      </c>
      <c r="P20" s="67">
        <f>uurtarief6</f>
        <v>0</v>
      </c>
      <c r="Q20" s="64" t="e">
        <f>IF(ISBLANK(M20),0,L20/ROUND(M20,4))</f>
        <v>#DIV/0!</v>
      </c>
      <c r="R20" s="64" t="e">
        <f>IF(ISBLANK(M20),0,Q20*ROUND(N20,2))</f>
        <v>#DIV/0!</v>
      </c>
      <c r="S20" s="67" t="e">
        <f>ROUND(P20,2)*Q20</f>
        <v>#DIV/0!</v>
      </c>
      <c r="T20" s="64" t="e">
        <f>Q20*dagenperjaar1</f>
        <v>#DIV/0!</v>
      </c>
      <c r="U20" s="68" t="e">
        <f>T20*ROUND(P20,2)</f>
        <v>#DIV/0!</v>
      </c>
    </row>
    <row r="21" spans="1:21" x14ac:dyDescent="0.2">
      <c r="A21" s="61" t="s">
        <v>164</v>
      </c>
      <c r="B21" s="62" t="s">
        <v>165</v>
      </c>
      <c r="C21" s="62" t="s">
        <v>166</v>
      </c>
      <c r="D21" s="62" t="s">
        <v>189</v>
      </c>
      <c r="E21" s="63" t="s">
        <v>186</v>
      </c>
      <c r="F21" s="62" t="s">
        <v>171</v>
      </c>
      <c r="G21" s="62" t="s">
        <v>149</v>
      </c>
      <c r="H21" s="62" t="s">
        <v>12</v>
      </c>
      <c r="I21" s="62" t="s">
        <v>112</v>
      </c>
      <c r="J21" s="62"/>
      <c r="K21" s="64">
        <v>19.170000000000002</v>
      </c>
      <c r="L21" s="64">
        <f>K21*VLOOKUP(H21,dagsoorttabel1,2,FALSE)</f>
        <v>11.796923076923079</v>
      </c>
      <c r="M21" s="65">
        <f>prodnorm25</f>
        <v>0</v>
      </c>
      <c r="N21" s="66">
        <f>dagwerk25</f>
        <v>0</v>
      </c>
      <c r="O21" s="62" t="s">
        <v>36</v>
      </c>
      <c r="P21" s="67">
        <f>uurtarief25</f>
        <v>0</v>
      </c>
      <c r="Q21" s="64" t="e">
        <f>IF(ISBLANK(M21),0,L21/ROUND(M21,4))</f>
        <v>#DIV/0!</v>
      </c>
      <c r="R21" s="64" t="e">
        <f>IF(ISBLANK(M21),0,Q21*ROUND(N21,2))</f>
        <v>#DIV/0!</v>
      </c>
      <c r="S21" s="67" t="e">
        <f>ROUND(P21,2)*Q21</f>
        <v>#DIV/0!</v>
      </c>
      <c r="T21" s="64" t="e">
        <f>Q21*dagenperjaar1</f>
        <v>#DIV/0!</v>
      </c>
      <c r="U21" s="68" t="e">
        <f>T21*ROUND(P21,2)</f>
        <v>#DIV/0!</v>
      </c>
    </row>
    <row r="22" spans="1:21" x14ac:dyDescent="0.2">
      <c r="A22" s="61" t="s">
        <v>164</v>
      </c>
      <c r="B22" s="62" t="s">
        <v>165</v>
      </c>
      <c r="C22" s="62" t="s">
        <v>166</v>
      </c>
      <c r="D22" s="62" t="s">
        <v>190</v>
      </c>
      <c r="E22" s="63" t="s">
        <v>191</v>
      </c>
      <c r="F22" s="62" t="s">
        <v>171</v>
      </c>
      <c r="G22" s="62" t="s">
        <v>114</v>
      </c>
      <c r="H22" s="62" t="s">
        <v>16</v>
      </c>
      <c r="I22" s="62" t="s">
        <v>112</v>
      </c>
      <c r="J22" s="62"/>
      <c r="K22" s="64">
        <v>6.6</v>
      </c>
      <c r="L22" s="64">
        <f>K22*VLOOKUP(H22,dagsoorttabel1,2,FALSE)</f>
        <v>1.0153846153846153</v>
      </c>
      <c r="M22" s="65">
        <f>prodnorm6</f>
        <v>0</v>
      </c>
      <c r="N22" s="66">
        <f>dagwerk6</f>
        <v>0</v>
      </c>
      <c r="O22" s="62" t="s">
        <v>36</v>
      </c>
      <c r="P22" s="67">
        <f>uurtarief6</f>
        <v>0</v>
      </c>
      <c r="Q22" s="64" t="e">
        <f>IF(ISBLANK(M22),0,L22/ROUND(M22,4))</f>
        <v>#DIV/0!</v>
      </c>
      <c r="R22" s="64" t="e">
        <f>IF(ISBLANK(M22),0,Q22*ROUND(N22,2))</f>
        <v>#DIV/0!</v>
      </c>
      <c r="S22" s="67" t="e">
        <f>ROUND(P22,2)*Q22</f>
        <v>#DIV/0!</v>
      </c>
      <c r="T22" s="64" t="e">
        <f>Q22*dagenperjaar1</f>
        <v>#DIV/0!</v>
      </c>
      <c r="U22" s="68" t="e">
        <f>T22*ROUND(P22,2)</f>
        <v>#DIV/0!</v>
      </c>
    </row>
    <row r="23" spans="1:21" x14ac:dyDescent="0.2">
      <c r="A23" s="61" t="s">
        <v>164</v>
      </c>
      <c r="B23" s="62" t="s">
        <v>165</v>
      </c>
      <c r="C23" s="62" t="s">
        <v>166</v>
      </c>
      <c r="D23" s="62" t="s">
        <v>190</v>
      </c>
      <c r="E23" s="63" t="s">
        <v>191</v>
      </c>
      <c r="F23" s="62" t="s">
        <v>171</v>
      </c>
      <c r="G23" s="62" t="s">
        <v>149</v>
      </c>
      <c r="H23" s="62" t="s">
        <v>12</v>
      </c>
      <c r="I23" s="62" t="s">
        <v>112</v>
      </c>
      <c r="J23" s="62"/>
      <c r="K23" s="64">
        <v>6.6</v>
      </c>
      <c r="L23" s="64">
        <f>K23*VLOOKUP(H23,dagsoorttabel1,2,FALSE)</f>
        <v>4.0615384615384613</v>
      </c>
      <c r="M23" s="65">
        <f>prodnorm25</f>
        <v>0</v>
      </c>
      <c r="N23" s="66">
        <f>dagwerk25</f>
        <v>0</v>
      </c>
      <c r="O23" s="62" t="s">
        <v>36</v>
      </c>
      <c r="P23" s="67">
        <f>uurtarief25</f>
        <v>0</v>
      </c>
      <c r="Q23" s="64" t="e">
        <f>IF(ISBLANK(M23),0,L23/ROUND(M23,4))</f>
        <v>#DIV/0!</v>
      </c>
      <c r="R23" s="64" t="e">
        <f>IF(ISBLANK(M23),0,Q23*ROUND(N23,2))</f>
        <v>#DIV/0!</v>
      </c>
      <c r="S23" s="67" t="e">
        <f>ROUND(P23,2)*Q23</f>
        <v>#DIV/0!</v>
      </c>
      <c r="T23" s="64" t="e">
        <f>Q23*dagenperjaar1</f>
        <v>#DIV/0!</v>
      </c>
      <c r="U23" s="68" t="e">
        <f>T23*ROUND(P23,2)</f>
        <v>#DIV/0!</v>
      </c>
    </row>
    <row r="24" spans="1:21" x14ac:dyDescent="0.2">
      <c r="A24" s="61" t="s">
        <v>164</v>
      </c>
      <c r="B24" s="62" t="s">
        <v>165</v>
      </c>
      <c r="C24" s="62" t="s">
        <v>166</v>
      </c>
      <c r="D24" s="62" t="s">
        <v>192</v>
      </c>
      <c r="E24" s="63" t="s">
        <v>191</v>
      </c>
      <c r="F24" s="62" t="s">
        <v>171</v>
      </c>
      <c r="G24" s="62" t="s">
        <v>114</v>
      </c>
      <c r="H24" s="62" t="s">
        <v>16</v>
      </c>
      <c r="I24" s="62" t="s">
        <v>112</v>
      </c>
      <c r="J24" s="62"/>
      <c r="K24" s="64">
        <v>6.6</v>
      </c>
      <c r="L24" s="64">
        <f>K24*VLOOKUP(H24,dagsoorttabel1,2,FALSE)</f>
        <v>1.0153846153846153</v>
      </c>
      <c r="M24" s="65">
        <f>prodnorm6</f>
        <v>0</v>
      </c>
      <c r="N24" s="66">
        <f>dagwerk6</f>
        <v>0</v>
      </c>
      <c r="O24" s="62" t="s">
        <v>36</v>
      </c>
      <c r="P24" s="67">
        <f>uurtarief6</f>
        <v>0</v>
      </c>
      <c r="Q24" s="64" t="e">
        <f>IF(ISBLANK(M24),0,L24/ROUND(M24,4))</f>
        <v>#DIV/0!</v>
      </c>
      <c r="R24" s="64" t="e">
        <f>IF(ISBLANK(M24),0,Q24*ROUND(N24,2))</f>
        <v>#DIV/0!</v>
      </c>
      <c r="S24" s="67" t="e">
        <f>ROUND(P24,2)*Q24</f>
        <v>#DIV/0!</v>
      </c>
      <c r="T24" s="64" t="e">
        <f>Q24*dagenperjaar1</f>
        <v>#DIV/0!</v>
      </c>
      <c r="U24" s="68" t="e">
        <f>T24*ROUND(P24,2)</f>
        <v>#DIV/0!</v>
      </c>
    </row>
    <row r="25" spans="1:21" x14ac:dyDescent="0.2">
      <c r="A25" s="61" t="s">
        <v>164</v>
      </c>
      <c r="B25" s="62" t="s">
        <v>165</v>
      </c>
      <c r="C25" s="62" t="s">
        <v>166</v>
      </c>
      <c r="D25" s="62" t="s">
        <v>192</v>
      </c>
      <c r="E25" s="63" t="s">
        <v>191</v>
      </c>
      <c r="F25" s="62" t="s">
        <v>171</v>
      </c>
      <c r="G25" s="62" t="s">
        <v>149</v>
      </c>
      <c r="H25" s="62" t="s">
        <v>12</v>
      </c>
      <c r="I25" s="62" t="s">
        <v>112</v>
      </c>
      <c r="J25" s="62"/>
      <c r="K25" s="64">
        <v>6.6</v>
      </c>
      <c r="L25" s="64">
        <f>K25*VLOOKUP(H25,dagsoorttabel1,2,FALSE)</f>
        <v>4.0615384615384613</v>
      </c>
      <c r="M25" s="65">
        <f>prodnorm25</f>
        <v>0</v>
      </c>
      <c r="N25" s="66">
        <f>dagwerk25</f>
        <v>0</v>
      </c>
      <c r="O25" s="62" t="s">
        <v>36</v>
      </c>
      <c r="P25" s="67">
        <f>uurtarief25</f>
        <v>0</v>
      </c>
      <c r="Q25" s="64" t="e">
        <f>IF(ISBLANK(M25),0,L25/ROUND(M25,4))</f>
        <v>#DIV/0!</v>
      </c>
      <c r="R25" s="64" t="e">
        <f>IF(ISBLANK(M25),0,Q25*ROUND(N25,2))</f>
        <v>#DIV/0!</v>
      </c>
      <c r="S25" s="67" t="e">
        <f>ROUND(P25,2)*Q25</f>
        <v>#DIV/0!</v>
      </c>
      <c r="T25" s="64" t="e">
        <f>Q25*dagenperjaar1</f>
        <v>#DIV/0!</v>
      </c>
      <c r="U25" s="68" t="e">
        <f>T25*ROUND(P25,2)</f>
        <v>#DIV/0!</v>
      </c>
    </row>
    <row r="26" spans="1:21" x14ac:dyDescent="0.2">
      <c r="A26" s="61" t="s">
        <v>164</v>
      </c>
      <c r="B26" s="62" t="s">
        <v>165</v>
      </c>
      <c r="C26" s="62" t="s">
        <v>166</v>
      </c>
      <c r="D26" s="62" t="s">
        <v>193</v>
      </c>
      <c r="E26" s="63" t="s">
        <v>194</v>
      </c>
      <c r="F26" s="62" t="s">
        <v>195</v>
      </c>
      <c r="G26" s="62" t="s">
        <v>137</v>
      </c>
      <c r="H26" s="62" t="s">
        <v>11</v>
      </c>
      <c r="I26" s="62" t="s">
        <v>112</v>
      </c>
      <c r="J26" s="62"/>
      <c r="K26" s="64">
        <v>5.21</v>
      </c>
      <c r="L26" s="64">
        <f>K26*VLOOKUP(H26,dagsoorttabel1,2,FALSE)</f>
        <v>4.0076923076923077</v>
      </c>
      <c r="M26" s="65">
        <f>prodnorm19</f>
        <v>0</v>
      </c>
      <c r="N26" s="66">
        <f>dagwerk19</f>
        <v>0</v>
      </c>
      <c r="O26" s="62" t="s">
        <v>36</v>
      </c>
      <c r="P26" s="67">
        <f>uurtarief19</f>
        <v>0</v>
      </c>
      <c r="Q26" s="64" t="e">
        <f>IF(ISBLANK(M26),0,L26/ROUND(M26,4))</f>
        <v>#DIV/0!</v>
      </c>
      <c r="R26" s="64" t="e">
        <f>IF(ISBLANK(M26),0,Q26*ROUND(N26,2))</f>
        <v>#DIV/0!</v>
      </c>
      <c r="S26" s="67" t="e">
        <f>ROUND(P26,2)*Q26</f>
        <v>#DIV/0!</v>
      </c>
      <c r="T26" s="64" t="e">
        <f>Q26*dagenperjaar1</f>
        <v>#DIV/0!</v>
      </c>
      <c r="U26" s="68" t="e">
        <f>T26*ROUND(P26,2)</f>
        <v>#DIV/0!</v>
      </c>
    </row>
    <row r="27" spans="1:21" x14ac:dyDescent="0.2">
      <c r="A27" s="61" t="s">
        <v>164</v>
      </c>
      <c r="B27" s="62" t="s">
        <v>165</v>
      </c>
      <c r="C27" s="62" t="s">
        <v>166</v>
      </c>
      <c r="D27" s="62" t="s">
        <v>193</v>
      </c>
      <c r="E27" s="63" t="s">
        <v>194</v>
      </c>
      <c r="F27" s="62" t="s">
        <v>195</v>
      </c>
      <c r="G27" s="62" t="s">
        <v>139</v>
      </c>
      <c r="H27" s="62" t="s">
        <v>11</v>
      </c>
      <c r="I27" s="62" t="s">
        <v>112</v>
      </c>
      <c r="J27" s="62"/>
      <c r="K27" s="64">
        <v>5.21</v>
      </c>
      <c r="L27" s="64">
        <f>K27*VLOOKUP(H27,dagsoorttabel1,2,FALSE)</f>
        <v>4.0076923076923077</v>
      </c>
      <c r="M27" s="65">
        <f>prodnorm20</f>
        <v>0</v>
      </c>
      <c r="N27" s="66">
        <f>dagwerk20</f>
        <v>0</v>
      </c>
      <c r="O27" s="62" t="s">
        <v>36</v>
      </c>
      <c r="P27" s="67">
        <f>uurtarief20</f>
        <v>0</v>
      </c>
      <c r="Q27" s="64" t="e">
        <f>IF(ISBLANK(M27),0,L27/ROUND(M27,4))</f>
        <v>#DIV/0!</v>
      </c>
      <c r="R27" s="64" t="e">
        <f>IF(ISBLANK(M27),0,Q27*ROUND(N27,2))</f>
        <v>#DIV/0!</v>
      </c>
      <c r="S27" s="67" t="e">
        <f>ROUND(P27,2)*Q27</f>
        <v>#DIV/0!</v>
      </c>
      <c r="T27" s="64" t="e">
        <f>Q27*dagenperjaar1</f>
        <v>#DIV/0!</v>
      </c>
      <c r="U27" s="68" t="e">
        <f>T27*ROUND(P27,2)</f>
        <v>#DIV/0!</v>
      </c>
    </row>
    <row r="28" spans="1:21" x14ac:dyDescent="0.2">
      <c r="A28" s="61" t="s">
        <v>164</v>
      </c>
      <c r="B28" s="62" t="s">
        <v>165</v>
      </c>
      <c r="C28" s="62" t="s">
        <v>166</v>
      </c>
      <c r="D28" s="62" t="s">
        <v>196</v>
      </c>
      <c r="E28" s="63" t="s">
        <v>197</v>
      </c>
      <c r="F28" s="62" t="s">
        <v>195</v>
      </c>
      <c r="G28" s="62" t="s">
        <v>137</v>
      </c>
      <c r="H28" s="62" t="s">
        <v>11</v>
      </c>
      <c r="I28" s="62" t="s">
        <v>112</v>
      </c>
      <c r="J28" s="62"/>
      <c r="K28" s="64">
        <v>5.21</v>
      </c>
      <c r="L28" s="64">
        <f>K28*VLOOKUP(H28,dagsoorttabel1,2,FALSE)</f>
        <v>4.0076923076923077</v>
      </c>
      <c r="M28" s="65">
        <f>prodnorm19</f>
        <v>0</v>
      </c>
      <c r="N28" s="66">
        <f>dagwerk19</f>
        <v>0</v>
      </c>
      <c r="O28" s="62" t="s">
        <v>36</v>
      </c>
      <c r="P28" s="67">
        <f>uurtarief19</f>
        <v>0</v>
      </c>
      <c r="Q28" s="64" t="e">
        <f>IF(ISBLANK(M28),0,L28/ROUND(M28,4))</f>
        <v>#DIV/0!</v>
      </c>
      <c r="R28" s="64" t="e">
        <f>IF(ISBLANK(M28),0,Q28*ROUND(N28,2))</f>
        <v>#DIV/0!</v>
      </c>
      <c r="S28" s="67" t="e">
        <f>ROUND(P28,2)*Q28</f>
        <v>#DIV/0!</v>
      </c>
      <c r="T28" s="64" t="e">
        <f>Q28*dagenperjaar1</f>
        <v>#DIV/0!</v>
      </c>
      <c r="U28" s="68" t="e">
        <f>T28*ROUND(P28,2)</f>
        <v>#DIV/0!</v>
      </c>
    </row>
    <row r="29" spans="1:21" x14ac:dyDescent="0.2">
      <c r="A29" s="61" t="s">
        <v>164</v>
      </c>
      <c r="B29" s="62" t="s">
        <v>165</v>
      </c>
      <c r="C29" s="62" t="s">
        <v>166</v>
      </c>
      <c r="D29" s="62" t="s">
        <v>196</v>
      </c>
      <c r="E29" s="63" t="s">
        <v>197</v>
      </c>
      <c r="F29" s="62" t="s">
        <v>195</v>
      </c>
      <c r="G29" s="62" t="s">
        <v>139</v>
      </c>
      <c r="H29" s="62" t="s">
        <v>11</v>
      </c>
      <c r="I29" s="62" t="s">
        <v>112</v>
      </c>
      <c r="J29" s="62"/>
      <c r="K29" s="64">
        <v>5.21</v>
      </c>
      <c r="L29" s="64">
        <f>K29*VLOOKUP(H29,dagsoorttabel1,2,FALSE)</f>
        <v>4.0076923076923077</v>
      </c>
      <c r="M29" s="65">
        <f>prodnorm20</f>
        <v>0</v>
      </c>
      <c r="N29" s="66">
        <f>dagwerk20</f>
        <v>0</v>
      </c>
      <c r="O29" s="62" t="s">
        <v>36</v>
      </c>
      <c r="P29" s="67">
        <f>uurtarief20</f>
        <v>0</v>
      </c>
      <c r="Q29" s="64" t="e">
        <f>IF(ISBLANK(M29),0,L29/ROUND(M29,4))</f>
        <v>#DIV/0!</v>
      </c>
      <c r="R29" s="64" t="e">
        <f>IF(ISBLANK(M29),0,Q29*ROUND(N29,2))</f>
        <v>#DIV/0!</v>
      </c>
      <c r="S29" s="67" t="e">
        <f>ROUND(P29,2)*Q29</f>
        <v>#DIV/0!</v>
      </c>
      <c r="T29" s="64" t="e">
        <f>Q29*dagenperjaar1</f>
        <v>#DIV/0!</v>
      </c>
      <c r="U29" s="68" t="e">
        <f>T29*ROUND(P29,2)</f>
        <v>#DIV/0!</v>
      </c>
    </row>
    <row r="30" spans="1:21" x14ac:dyDescent="0.2">
      <c r="A30" s="61" t="s">
        <v>164</v>
      </c>
      <c r="B30" s="62" t="s">
        <v>165</v>
      </c>
      <c r="C30" s="62" t="s">
        <v>166</v>
      </c>
      <c r="D30" s="62" t="s">
        <v>198</v>
      </c>
      <c r="E30" s="63" t="s">
        <v>173</v>
      </c>
      <c r="F30" s="62" t="s">
        <v>174</v>
      </c>
      <c r="G30" s="62" t="s">
        <v>143</v>
      </c>
      <c r="H30" s="62" t="s">
        <v>11</v>
      </c>
      <c r="I30" s="62" t="s">
        <v>112</v>
      </c>
      <c r="J30" s="62"/>
      <c r="K30" s="64">
        <v>12</v>
      </c>
      <c r="L30" s="64">
        <f>K30*VLOOKUP(H30,dagsoorttabel1,2,FALSE)</f>
        <v>9.2307692307692317</v>
      </c>
      <c r="M30" s="65">
        <f>prodnorm22</f>
        <v>0</v>
      </c>
      <c r="N30" s="66">
        <f>dagwerk22</f>
        <v>0</v>
      </c>
      <c r="O30" s="62" t="s">
        <v>36</v>
      </c>
      <c r="P30" s="67">
        <f>uurtarief22</f>
        <v>0</v>
      </c>
      <c r="Q30" s="64" t="e">
        <f>IF(ISBLANK(M30),0,L30/ROUND(M30,4))</f>
        <v>#DIV/0!</v>
      </c>
      <c r="R30" s="64" t="e">
        <f>IF(ISBLANK(M30),0,Q30*ROUND(N30,2))</f>
        <v>#DIV/0!</v>
      </c>
      <c r="S30" s="67" t="e">
        <f>ROUND(P30,2)*Q30</f>
        <v>#DIV/0!</v>
      </c>
      <c r="T30" s="64" t="e">
        <f>Q30*dagenperjaar1</f>
        <v>#DIV/0!</v>
      </c>
      <c r="U30" s="68" t="e">
        <f>T30*ROUND(P30,2)</f>
        <v>#DIV/0!</v>
      </c>
    </row>
    <row r="31" spans="1:21" x14ac:dyDescent="0.2">
      <c r="A31" s="61" t="s">
        <v>164</v>
      </c>
      <c r="B31" s="62" t="s">
        <v>165</v>
      </c>
      <c r="C31" s="62" t="s">
        <v>166</v>
      </c>
      <c r="D31" s="62" t="s">
        <v>199</v>
      </c>
      <c r="E31" s="63" t="s">
        <v>200</v>
      </c>
      <c r="F31" s="62" t="s">
        <v>174</v>
      </c>
      <c r="G31" s="62" t="s">
        <v>143</v>
      </c>
      <c r="H31" s="62" t="s">
        <v>11</v>
      </c>
      <c r="I31" s="62" t="s">
        <v>112</v>
      </c>
      <c r="J31" s="62"/>
      <c r="K31" s="64">
        <v>12.9</v>
      </c>
      <c r="L31" s="64">
        <f>K31*VLOOKUP(H31,dagsoorttabel1,2,FALSE)</f>
        <v>9.9230769230769234</v>
      </c>
      <c r="M31" s="65">
        <f>prodnorm22</f>
        <v>0</v>
      </c>
      <c r="N31" s="66">
        <f>dagwerk22</f>
        <v>0</v>
      </c>
      <c r="O31" s="62" t="s">
        <v>36</v>
      </c>
      <c r="P31" s="67">
        <f>uurtarief22</f>
        <v>0</v>
      </c>
      <c r="Q31" s="64" t="e">
        <f>IF(ISBLANK(M31),0,L31/ROUND(M31,4))</f>
        <v>#DIV/0!</v>
      </c>
      <c r="R31" s="64" t="e">
        <f>IF(ISBLANK(M31),0,Q31*ROUND(N31,2))</f>
        <v>#DIV/0!</v>
      </c>
      <c r="S31" s="67" t="e">
        <f>ROUND(P31,2)*Q31</f>
        <v>#DIV/0!</v>
      </c>
      <c r="T31" s="64" t="e">
        <f>Q31*dagenperjaar1</f>
        <v>#DIV/0!</v>
      </c>
      <c r="U31" s="68" t="e">
        <f>T31*ROUND(P31,2)</f>
        <v>#DIV/0!</v>
      </c>
    </row>
    <row r="32" spans="1:21" x14ac:dyDescent="0.2">
      <c r="A32" s="61" t="s">
        <v>164</v>
      </c>
      <c r="B32" s="62" t="s">
        <v>165</v>
      </c>
      <c r="C32" s="62" t="s">
        <v>166</v>
      </c>
      <c r="D32" s="62" t="s">
        <v>201</v>
      </c>
      <c r="E32" s="63" t="s">
        <v>202</v>
      </c>
      <c r="F32" s="62" t="s">
        <v>174</v>
      </c>
      <c r="G32" s="62" t="s">
        <v>143</v>
      </c>
      <c r="H32" s="62" t="s">
        <v>11</v>
      </c>
      <c r="I32" s="62" t="s">
        <v>112</v>
      </c>
      <c r="J32" s="62"/>
      <c r="K32" s="64">
        <v>20.100000000000001</v>
      </c>
      <c r="L32" s="64">
        <f>K32*VLOOKUP(H32,dagsoorttabel1,2,FALSE)</f>
        <v>15.461538461538463</v>
      </c>
      <c r="M32" s="65">
        <f>prodnorm22</f>
        <v>0</v>
      </c>
      <c r="N32" s="66">
        <f>dagwerk22</f>
        <v>0</v>
      </c>
      <c r="O32" s="62" t="s">
        <v>36</v>
      </c>
      <c r="P32" s="67">
        <f>uurtarief22</f>
        <v>0</v>
      </c>
      <c r="Q32" s="64" t="e">
        <f>IF(ISBLANK(M32),0,L32/ROUND(M32,4))</f>
        <v>#DIV/0!</v>
      </c>
      <c r="R32" s="64" t="e">
        <f>IF(ISBLANK(M32),0,Q32*ROUND(N32,2))</f>
        <v>#DIV/0!</v>
      </c>
      <c r="S32" s="67" t="e">
        <f>ROUND(P32,2)*Q32</f>
        <v>#DIV/0!</v>
      </c>
      <c r="T32" s="64" t="e">
        <f>Q32*dagenperjaar1</f>
        <v>#DIV/0!</v>
      </c>
      <c r="U32" s="68" t="e">
        <f>T32*ROUND(P32,2)</f>
        <v>#DIV/0!</v>
      </c>
    </row>
    <row r="33" spans="1:21" x14ac:dyDescent="0.2">
      <c r="A33" s="61" t="s">
        <v>164</v>
      </c>
      <c r="B33" s="62" t="s">
        <v>165</v>
      </c>
      <c r="C33" s="62" t="s">
        <v>166</v>
      </c>
      <c r="D33" s="62" t="s">
        <v>203</v>
      </c>
      <c r="E33" s="63" t="s">
        <v>204</v>
      </c>
      <c r="F33" s="62" t="s">
        <v>195</v>
      </c>
      <c r="G33" s="62" t="s">
        <v>147</v>
      </c>
      <c r="H33" s="62" t="s">
        <v>11</v>
      </c>
      <c r="I33" s="62" t="s">
        <v>112</v>
      </c>
      <c r="J33" s="62"/>
      <c r="K33" s="64">
        <v>23.1</v>
      </c>
      <c r="L33" s="64">
        <f>K33*VLOOKUP(H33,dagsoorttabel1,2,FALSE)</f>
        <v>17.76923076923077</v>
      </c>
      <c r="M33" s="65">
        <f>prodnorm24</f>
        <v>0</v>
      </c>
      <c r="N33" s="66">
        <f>dagwerk24</f>
        <v>0</v>
      </c>
      <c r="O33" s="62" t="s">
        <v>36</v>
      </c>
      <c r="P33" s="67">
        <f>uurtarief24</f>
        <v>0</v>
      </c>
      <c r="Q33" s="64" t="e">
        <f>IF(ISBLANK(M33),0,L33/ROUND(M33,4))</f>
        <v>#DIV/0!</v>
      </c>
      <c r="R33" s="64" t="e">
        <f>IF(ISBLANK(M33),0,Q33*ROUND(N33,2))</f>
        <v>#DIV/0!</v>
      </c>
      <c r="S33" s="67" t="e">
        <f>ROUND(P33,2)*Q33</f>
        <v>#DIV/0!</v>
      </c>
      <c r="T33" s="64" t="e">
        <f>Q33*dagenperjaar1</f>
        <v>#DIV/0!</v>
      </c>
      <c r="U33" s="68" t="e">
        <f>T33*ROUND(P33,2)</f>
        <v>#DIV/0!</v>
      </c>
    </row>
    <row r="34" spans="1:21" x14ac:dyDescent="0.2">
      <c r="A34" s="61" t="s">
        <v>164</v>
      </c>
      <c r="B34" s="62" t="s">
        <v>165</v>
      </c>
      <c r="C34" s="62" t="s">
        <v>166</v>
      </c>
      <c r="D34" s="62" t="s">
        <v>205</v>
      </c>
      <c r="E34" s="63" t="s">
        <v>206</v>
      </c>
      <c r="F34" s="62" t="s">
        <v>195</v>
      </c>
      <c r="G34" s="62" t="s">
        <v>143</v>
      </c>
      <c r="H34" s="62" t="s">
        <v>11</v>
      </c>
      <c r="I34" s="62" t="s">
        <v>112</v>
      </c>
      <c r="J34" s="62"/>
      <c r="K34" s="64">
        <v>226.9</v>
      </c>
      <c r="L34" s="64">
        <f>K34*VLOOKUP(H34,dagsoorttabel1,2,FALSE)</f>
        <v>174.53846153846155</v>
      </c>
      <c r="M34" s="65">
        <f>prodnorm22</f>
        <v>0</v>
      </c>
      <c r="N34" s="66">
        <f>dagwerk22</f>
        <v>0</v>
      </c>
      <c r="O34" s="62" t="s">
        <v>36</v>
      </c>
      <c r="P34" s="67">
        <f>uurtarief22</f>
        <v>0</v>
      </c>
      <c r="Q34" s="64" t="e">
        <f>IF(ISBLANK(M34),0,L34/ROUND(M34,4))</f>
        <v>#DIV/0!</v>
      </c>
      <c r="R34" s="64" t="e">
        <f>IF(ISBLANK(M34),0,Q34*ROUND(N34,2))</f>
        <v>#DIV/0!</v>
      </c>
      <c r="S34" s="67" t="e">
        <f>ROUND(P34,2)*Q34</f>
        <v>#DIV/0!</v>
      </c>
      <c r="T34" s="64" t="e">
        <f>Q34*dagenperjaar1</f>
        <v>#DIV/0!</v>
      </c>
      <c r="U34" s="68" t="e">
        <f>T34*ROUND(P34,2)</f>
        <v>#DIV/0!</v>
      </c>
    </row>
    <row r="35" spans="1:21" x14ac:dyDescent="0.2">
      <c r="A35" s="61" t="s">
        <v>164</v>
      </c>
      <c r="B35" s="62" t="s">
        <v>165</v>
      </c>
      <c r="C35" s="62" t="s">
        <v>166</v>
      </c>
      <c r="D35" s="62" t="s">
        <v>207</v>
      </c>
      <c r="E35" s="63" t="s">
        <v>208</v>
      </c>
      <c r="F35" s="62" t="s">
        <v>174</v>
      </c>
      <c r="G35" s="62" t="s">
        <v>141</v>
      </c>
      <c r="H35" s="62" t="s">
        <v>11</v>
      </c>
      <c r="I35" s="62" t="s">
        <v>112</v>
      </c>
      <c r="J35" s="62"/>
      <c r="K35" s="64">
        <v>17.73</v>
      </c>
      <c r="L35" s="64">
        <f>K35*VLOOKUP(H35,dagsoorttabel1,2,FALSE)</f>
        <v>13.63846153846154</v>
      </c>
      <c r="M35" s="65">
        <f>prodnorm21</f>
        <v>0</v>
      </c>
      <c r="N35" s="66">
        <f>dagwerk21</f>
        <v>0</v>
      </c>
      <c r="O35" s="62" t="s">
        <v>36</v>
      </c>
      <c r="P35" s="67">
        <f>uurtarief21</f>
        <v>0</v>
      </c>
      <c r="Q35" s="64" t="e">
        <f>IF(ISBLANK(M35),0,L35/ROUND(M35,4))</f>
        <v>#DIV/0!</v>
      </c>
      <c r="R35" s="64" t="e">
        <f>IF(ISBLANK(M35),0,Q35*ROUND(N35,2))</f>
        <v>#DIV/0!</v>
      </c>
      <c r="S35" s="67" t="e">
        <f>ROUND(P35,2)*Q35</f>
        <v>#DIV/0!</v>
      </c>
      <c r="T35" s="64" t="e">
        <f>Q35*dagenperjaar1</f>
        <v>#DIV/0!</v>
      </c>
      <c r="U35" s="68" t="e">
        <f>T35*ROUND(P35,2)</f>
        <v>#DIV/0!</v>
      </c>
    </row>
    <row r="36" spans="1:21" x14ac:dyDescent="0.2">
      <c r="A36" s="61" t="s">
        <v>164</v>
      </c>
      <c r="B36" s="62" t="s">
        <v>165</v>
      </c>
      <c r="C36" s="62" t="s">
        <v>166</v>
      </c>
      <c r="D36" s="62" t="s">
        <v>209</v>
      </c>
      <c r="E36" s="63" t="s">
        <v>208</v>
      </c>
      <c r="F36" s="62" t="s">
        <v>210</v>
      </c>
      <c r="G36" s="62" t="s">
        <v>141</v>
      </c>
      <c r="H36" s="62" t="s">
        <v>11</v>
      </c>
      <c r="I36" s="62" t="s">
        <v>112</v>
      </c>
      <c r="J36" s="62"/>
      <c r="K36" s="64">
        <v>14.69</v>
      </c>
      <c r="L36" s="64">
        <f>K36*VLOOKUP(H36,dagsoorttabel1,2,FALSE)</f>
        <v>11.3</v>
      </c>
      <c r="M36" s="65">
        <f>prodnorm21</f>
        <v>0</v>
      </c>
      <c r="N36" s="66">
        <f>dagwerk21</f>
        <v>0</v>
      </c>
      <c r="O36" s="62" t="s">
        <v>36</v>
      </c>
      <c r="P36" s="67">
        <f>uurtarief21</f>
        <v>0</v>
      </c>
      <c r="Q36" s="64" t="e">
        <f>IF(ISBLANK(M36),0,L36/ROUND(M36,4))</f>
        <v>#DIV/0!</v>
      </c>
      <c r="R36" s="64" t="e">
        <f>IF(ISBLANK(M36),0,Q36*ROUND(N36,2))</f>
        <v>#DIV/0!</v>
      </c>
      <c r="S36" s="67" t="e">
        <f>ROUND(P36,2)*Q36</f>
        <v>#DIV/0!</v>
      </c>
      <c r="T36" s="64" t="e">
        <f>Q36*dagenperjaar1</f>
        <v>#DIV/0!</v>
      </c>
      <c r="U36" s="68" t="e">
        <f>T36*ROUND(P36,2)</f>
        <v>#DIV/0!</v>
      </c>
    </row>
    <row r="37" spans="1:21" x14ac:dyDescent="0.2">
      <c r="A37" s="61" t="s">
        <v>164</v>
      </c>
      <c r="B37" s="62" t="s">
        <v>165</v>
      </c>
      <c r="C37" s="62" t="s">
        <v>166</v>
      </c>
      <c r="D37" s="62" t="s">
        <v>211</v>
      </c>
      <c r="E37" s="63" t="s">
        <v>173</v>
      </c>
      <c r="F37" s="62" t="s">
        <v>195</v>
      </c>
      <c r="G37" s="62" t="s">
        <v>143</v>
      </c>
      <c r="H37" s="62" t="s">
        <v>11</v>
      </c>
      <c r="I37" s="62" t="s">
        <v>112</v>
      </c>
      <c r="J37" s="62"/>
      <c r="K37" s="64">
        <v>3.3</v>
      </c>
      <c r="L37" s="64">
        <f>K37*VLOOKUP(H37,dagsoorttabel1,2,FALSE)</f>
        <v>2.5384615384615383</v>
      </c>
      <c r="M37" s="65">
        <f>prodnorm22</f>
        <v>0</v>
      </c>
      <c r="N37" s="66">
        <f>dagwerk22</f>
        <v>0</v>
      </c>
      <c r="O37" s="62" t="s">
        <v>36</v>
      </c>
      <c r="P37" s="67">
        <f>uurtarief22</f>
        <v>0</v>
      </c>
      <c r="Q37" s="64" t="e">
        <f>IF(ISBLANK(M37),0,L37/ROUND(M37,4))</f>
        <v>#DIV/0!</v>
      </c>
      <c r="R37" s="64" t="e">
        <f>IF(ISBLANK(M37),0,Q37*ROUND(N37,2))</f>
        <v>#DIV/0!</v>
      </c>
      <c r="S37" s="67" t="e">
        <f>ROUND(P37,2)*Q37</f>
        <v>#DIV/0!</v>
      </c>
      <c r="T37" s="64" t="e">
        <f>Q37*dagenperjaar1</f>
        <v>#DIV/0!</v>
      </c>
      <c r="U37" s="68" t="e">
        <f>T37*ROUND(P37,2)</f>
        <v>#DIV/0!</v>
      </c>
    </row>
    <row r="38" spans="1:21" x14ac:dyDescent="0.2">
      <c r="A38" s="61" t="s">
        <v>164</v>
      </c>
      <c r="B38" s="62" t="s">
        <v>165</v>
      </c>
      <c r="C38" s="62" t="s">
        <v>166</v>
      </c>
      <c r="D38" s="62" t="s">
        <v>212</v>
      </c>
      <c r="E38" s="63" t="s">
        <v>186</v>
      </c>
      <c r="F38" s="62" t="s">
        <v>171</v>
      </c>
      <c r="G38" s="62" t="s">
        <v>114</v>
      </c>
      <c r="H38" s="62" t="s">
        <v>16</v>
      </c>
      <c r="I38" s="62" t="s">
        <v>112</v>
      </c>
      <c r="J38" s="62"/>
      <c r="K38" s="64">
        <v>21.51</v>
      </c>
      <c r="L38" s="64">
        <f>K38*VLOOKUP(H38,dagsoorttabel1,2,FALSE)</f>
        <v>3.3092307692307696</v>
      </c>
      <c r="M38" s="65">
        <f>prodnorm6</f>
        <v>0</v>
      </c>
      <c r="N38" s="66">
        <f>dagwerk6</f>
        <v>0</v>
      </c>
      <c r="O38" s="62" t="s">
        <v>36</v>
      </c>
      <c r="P38" s="67">
        <f>uurtarief6</f>
        <v>0</v>
      </c>
      <c r="Q38" s="64" t="e">
        <f>IF(ISBLANK(M38),0,L38/ROUND(M38,4))</f>
        <v>#DIV/0!</v>
      </c>
      <c r="R38" s="64" t="e">
        <f>IF(ISBLANK(M38),0,Q38*ROUND(N38,2))</f>
        <v>#DIV/0!</v>
      </c>
      <c r="S38" s="67" t="e">
        <f>ROUND(P38,2)*Q38</f>
        <v>#DIV/0!</v>
      </c>
      <c r="T38" s="64" t="e">
        <f>Q38*dagenperjaar1</f>
        <v>#DIV/0!</v>
      </c>
      <c r="U38" s="68" t="e">
        <f>T38*ROUND(P38,2)</f>
        <v>#DIV/0!</v>
      </c>
    </row>
    <row r="39" spans="1:21" x14ac:dyDescent="0.2">
      <c r="A39" s="61" t="s">
        <v>164</v>
      </c>
      <c r="B39" s="62" t="s">
        <v>165</v>
      </c>
      <c r="C39" s="62" t="s">
        <v>166</v>
      </c>
      <c r="D39" s="62" t="s">
        <v>212</v>
      </c>
      <c r="E39" s="63" t="s">
        <v>186</v>
      </c>
      <c r="F39" s="62" t="s">
        <v>171</v>
      </c>
      <c r="G39" s="62" t="s">
        <v>149</v>
      </c>
      <c r="H39" s="62" t="s">
        <v>12</v>
      </c>
      <c r="I39" s="62" t="s">
        <v>112</v>
      </c>
      <c r="J39" s="62"/>
      <c r="K39" s="64">
        <v>21.51</v>
      </c>
      <c r="L39" s="64">
        <f>K39*VLOOKUP(H39,dagsoorttabel1,2,FALSE)</f>
        <v>13.236923076923079</v>
      </c>
      <c r="M39" s="65">
        <f>prodnorm25</f>
        <v>0</v>
      </c>
      <c r="N39" s="66">
        <f>dagwerk25</f>
        <v>0</v>
      </c>
      <c r="O39" s="62" t="s">
        <v>36</v>
      </c>
      <c r="P39" s="67">
        <f>uurtarief25</f>
        <v>0</v>
      </c>
      <c r="Q39" s="64" t="e">
        <f>IF(ISBLANK(M39),0,L39/ROUND(M39,4))</f>
        <v>#DIV/0!</v>
      </c>
      <c r="R39" s="64" t="e">
        <f>IF(ISBLANK(M39),0,Q39*ROUND(N39,2))</f>
        <v>#DIV/0!</v>
      </c>
      <c r="S39" s="67" t="e">
        <f>ROUND(P39,2)*Q39</f>
        <v>#DIV/0!</v>
      </c>
      <c r="T39" s="64" t="e">
        <f>Q39*dagenperjaar1</f>
        <v>#DIV/0!</v>
      </c>
      <c r="U39" s="68" t="e">
        <f>T39*ROUND(P39,2)</f>
        <v>#DIV/0!</v>
      </c>
    </row>
    <row r="40" spans="1:21" x14ac:dyDescent="0.2">
      <c r="A40" s="61" t="s">
        <v>164</v>
      </c>
      <c r="B40" s="62" t="s">
        <v>165</v>
      </c>
      <c r="C40" s="62" t="s">
        <v>166</v>
      </c>
      <c r="D40" s="62" t="s">
        <v>213</v>
      </c>
      <c r="E40" s="63" t="s">
        <v>186</v>
      </c>
      <c r="F40" s="62" t="s">
        <v>171</v>
      </c>
      <c r="G40" s="62" t="s">
        <v>114</v>
      </c>
      <c r="H40" s="62" t="s">
        <v>16</v>
      </c>
      <c r="I40" s="62" t="s">
        <v>112</v>
      </c>
      <c r="J40" s="62"/>
      <c r="K40" s="64">
        <v>28.41</v>
      </c>
      <c r="L40" s="64">
        <f>K40*VLOOKUP(H40,dagsoorttabel1,2,FALSE)</f>
        <v>4.3707692307692314</v>
      </c>
      <c r="M40" s="65">
        <f>prodnorm6</f>
        <v>0</v>
      </c>
      <c r="N40" s="66">
        <f>dagwerk6</f>
        <v>0</v>
      </c>
      <c r="O40" s="62" t="s">
        <v>36</v>
      </c>
      <c r="P40" s="67">
        <f>uurtarief6</f>
        <v>0</v>
      </c>
      <c r="Q40" s="64" t="e">
        <f>IF(ISBLANK(M40),0,L40/ROUND(M40,4))</f>
        <v>#DIV/0!</v>
      </c>
      <c r="R40" s="64" t="e">
        <f>IF(ISBLANK(M40),0,Q40*ROUND(N40,2))</f>
        <v>#DIV/0!</v>
      </c>
      <c r="S40" s="67" t="e">
        <f>ROUND(P40,2)*Q40</f>
        <v>#DIV/0!</v>
      </c>
      <c r="T40" s="64" t="e">
        <f>Q40*dagenperjaar1</f>
        <v>#DIV/0!</v>
      </c>
      <c r="U40" s="68" t="e">
        <f>T40*ROUND(P40,2)</f>
        <v>#DIV/0!</v>
      </c>
    </row>
    <row r="41" spans="1:21" x14ac:dyDescent="0.2">
      <c r="A41" s="61" t="s">
        <v>164</v>
      </c>
      <c r="B41" s="62" t="s">
        <v>165</v>
      </c>
      <c r="C41" s="62" t="s">
        <v>166</v>
      </c>
      <c r="D41" s="62" t="s">
        <v>213</v>
      </c>
      <c r="E41" s="63" t="s">
        <v>186</v>
      </c>
      <c r="F41" s="62" t="s">
        <v>171</v>
      </c>
      <c r="G41" s="62" t="s">
        <v>149</v>
      </c>
      <c r="H41" s="62" t="s">
        <v>12</v>
      </c>
      <c r="I41" s="62" t="s">
        <v>112</v>
      </c>
      <c r="J41" s="62"/>
      <c r="K41" s="64">
        <v>28.41</v>
      </c>
      <c r="L41" s="64">
        <f>K41*VLOOKUP(H41,dagsoorttabel1,2,FALSE)</f>
        <v>17.483076923076926</v>
      </c>
      <c r="M41" s="65">
        <f>prodnorm25</f>
        <v>0</v>
      </c>
      <c r="N41" s="66">
        <f>dagwerk25</f>
        <v>0</v>
      </c>
      <c r="O41" s="62" t="s">
        <v>36</v>
      </c>
      <c r="P41" s="67">
        <f>uurtarief25</f>
        <v>0</v>
      </c>
      <c r="Q41" s="64" t="e">
        <f>IF(ISBLANK(M41),0,L41/ROUND(M41,4))</f>
        <v>#DIV/0!</v>
      </c>
      <c r="R41" s="64" t="e">
        <f>IF(ISBLANK(M41),0,Q41*ROUND(N41,2))</f>
        <v>#DIV/0!</v>
      </c>
      <c r="S41" s="67" t="e">
        <f>ROUND(P41,2)*Q41</f>
        <v>#DIV/0!</v>
      </c>
      <c r="T41" s="64" t="e">
        <f>Q41*dagenperjaar1</f>
        <v>#DIV/0!</v>
      </c>
      <c r="U41" s="68" t="e">
        <f>T41*ROUND(P41,2)</f>
        <v>#DIV/0!</v>
      </c>
    </row>
    <row r="42" spans="1:21" x14ac:dyDescent="0.2">
      <c r="A42" s="61" t="s">
        <v>164</v>
      </c>
      <c r="B42" s="62" t="s">
        <v>165</v>
      </c>
      <c r="C42" s="62" t="s">
        <v>166</v>
      </c>
      <c r="D42" s="62" t="s">
        <v>214</v>
      </c>
      <c r="E42" s="63" t="s">
        <v>215</v>
      </c>
      <c r="F42" s="62" t="s">
        <v>174</v>
      </c>
      <c r="G42" s="62" t="s">
        <v>124</v>
      </c>
      <c r="H42" s="62" t="s">
        <v>11</v>
      </c>
      <c r="I42" s="62" t="s">
        <v>112</v>
      </c>
      <c r="J42" s="62"/>
      <c r="K42" s="64">
        <v>94.48</v>
      </c>
      <c r="L42" s="64">
        <f>K42*VLOOKUP(H42,dagsoorttabel1,2,FALSE)</f>
        <v>72.676923076923089</v>
      </c>
      <c r="M42" s="65">
        <f>prodnorm12</f>
        <v>0</v>
      </c>
      <c r="N42" s="66">
        <f>dagwerk12</f>
        <v>0</v>
      </c>
      <c r="O42" s="62" t="s">
        <v>36</v>
      </c>
      <c r="P42" s="67">
        <f>uurtarief12</f>
        <v>0</v>
      </c>
      <c r="Q42" s="64" t="e">
        <f>IF(ISBLANK(M42),0,L42/ROUND(M42,4))</f>
        <v>#DIV/0!</v>
      </c>
      <c r="R42" s="64" t="e">
        <f>IF(ISBLANK(M42),0,Q42*ROUND(N42,2))</f>
        <v>#DIV/0!</v>
      </c>
      <c r="S42" s="67" t="e">
        <f>ROUND(P42,2)*Q42</f>
        <v>#DIV/0!</v>
      </c>
      <c r="T42" s="64" t="e">
        <f>Q42*dagenperjaar1</f>
        <v>#DIV/0!</v>
      </c>
      <c r="U42" s="68" t="e">
        <f>T42*ROUND(P42,2)</f>
        <v>#DIV/0!</v>
      </c>
    </row>
    <row r="43" spans="1:21" x14ac:dyDescent="0.2">
      <c r="A43" s="61" t="s">
        <v>164</v>
      </c>
      <c r="B43" s="62" t="s">
        <v>165</v>
      </c>
      <c r="C43" s="62" t="s">
        <v>166</v>
      </c>
      <c r="D43" s="62" t="s">
        <v>216</v>
      </c>
      <c r="E43" s="63" t="s">
        <v>217</v>
      </c>
      <c r="F43" s="62" t="s">
        <v>174</v>
      </c>
      <c r="G43" s="62" t="s">
        <v>124</v>
      </c>
      <c r="H43" s="62" t="s">
        <v>12</v>
      </c>
      <c r="I43" s="62" t="s">
        <v>112</v>
      </c>
      <c r="J43" s="62"/>
      <c r="K43" s="64">
        <v>26.19</v>
      </c>
      <c r="L43" s="64">
        <f>K43*VLOOKUP(H43,dagsoorttabel1,2,FALSE)</f>
        <v>16.116923076923079</v>
      </c>
      <c r="M43" s="65">
        <f>prodnorm11</f>
        <v>0</v>
      </c>
      <c r="N43" s="66">
        <f>dagwerk11</f>
        <v>0</v>
      </c>
      <c r="O43" s="62" t="s">
        <v>36</v>
      </c>
      <c r="P43" s="67">
        <f>uurtarief11</f>
        <v>0</v>
      </c>
      <c r="Q43" s="64" t="e">
        <f>IF(ISBLANK(M43),0,L43/ROUND(M43,4))</f>
        <v>#DIV/0!</v>
      </c>
      <c r="R43" s="64" t="e">
        <f>IF(ISBLANK(M43),0,Q43*ROUND(N43,2))</f>
        <v>#DIV/0!</v>
      </c>
      <c r="S43" s="67" t="e">
        <f>ROUND(P43,2)*Q43</f>
        <v>#DIV/0!</v>
      </c>
      <c r="T43" s="64" t="e">
        <f>Q43*dagenperjaar1</f>
        <v>#DIV/0!</v>
      </c>
      <c r="U43" s="68" t="e">
        <f>T43*ROUND(P43,2)</f>
        <v>#DIV/0!</v>
      </c>
    </row>
    <row r="44" spans="1:21" x14ac:dyDescent="0.2">
      <c r="A44" s="61" t="s">
        <v>164</v>
      </c>
      <c r="B44" s="62" t="s">
        <v>165</v>
      </c>
      <c r="C44" s="62" t="s">
        <v>166</v>
      </c>
      <c r="D44" s="62" t="s">
        <v>218</v>
      </c>
      <c r="E44" s="63" t="s">
        <v>219</v>
      </c>
      <c r="F44" s="62" t="s">
        <v>174</v>
      </c>
      <c r="G44" s="62" t="s">
        <v>143</v>
      </c>
      <c r="H44" s="62" t="s">
        <v>11</v>
      </c>
      <c r="I44" s="62" t="s">
        <v>112</v>
      </c>
      <c r="J44" s="62"/>
      <c r="K44" s="64">
        <v>78.2</v>
      </c>
      <c r="L44" s="64">
        <f>K44*VLOOKUP(H44,dagsoorttabel1,2,FALSE)</f>
        <v>60.15384615384616</v>
      </c>
      <c r="M44" s="65">
        <f>prodnorm22</f>
        <v>0</v>
      </c>
      <c r="N44" s="66">
        <f>dagwerk22</f>
        <v>0</v>
      </c>
      <c r="O44" s="62" t="s">
        <v>36</v>
      </c>
      <c r="P44" s="67">
        <f>uurtarief22</f>
        <v>0</v>
      </c>
      <c r="Q44" s="64" t="e">
        <f>IF(ISBLANK(M44),0,L44/ROUND(M44,4))</f>
        <v>#DIV/0!</v>
      </c>
      <c r="R44" s="64" t="e">
        <f>IF(ISBLANK(M44),0,Q44*ROUND(N44,2))</f>
        <v>#DIV/0!</v>
      </c>
      <c r="S44" s="67" t="e">
        <f>ROUND(P44,2)*Q44</f>
        <v>#DIV/0!</v>
      </c>
      <c r="T44" s="64" t="e">
        <f>Q44*dagenperjaar1</f>
        <v>#DIV/0!</v>
      </c>
      <c r="U44" s="68" t="e">
        <f>T44*ROUND(P44,2)</f>
        <v>#DIV/0!</v>
      </c>
    </row>
    <row r="45" spans="1:21" x14ac:dyDescent="0.2">
      <c r="A45" s="61" t="s">
        <v>164</v>
      </c>
      <c r="B45" s="62" t="s">
        <v>165</v>
      </c>
      <c r="C45" s="62" t="s">
        <v>166</v>
      </c>
      <c r="D45" s="62" t="s">
        <v>220</v>
      </c>
      <c r="E45" s="63" t="s">
        <v>221</v>
      </c>
      <c r="F45" s="62" t="s">
        <v>174</v>
      </c>
      <c r="G45" s="62" t="s">
        <v>137</v>
      </c>
      <c r="H45" s="62" t="s">
        <v>11</v>
      </c>
      <c r="I45" s="62" t="s">
        <v>112</v>
      </c>
      <c r="J45" s="62"/>
      <c r="K45" s="64">
        <v>1.5</v>
      </c>
      <c r="L45" s="64">
        <f>K45*VLOOKUP(H45,dagsoorttabel1,2,FALSE)</f>
        <v>1.153846153846154</v>
      </c>
      <c r="M45" s="65">
        <f>prodnorm19</f>
        <v>0</v>
      </c>
      <c r="N45" s="66">
        <f>dagwerk19</f>
        <v>0</v>
      </c>
      <c r="O45" s="62" t="s">
        <v>36</v>
      </c>
      <c r="P45" s="67">
        <f>uurtarief19</f>
        <v>0</v>
      </c>
      <c r="Q45" s="64" t="e">
        <f>IF(ISBLANK(M45),0,L45/ROUND(M45,4))</f>
        <v>#DIV/0!</v>
      </c>
      <c r="R45" s="64" t="e">
        <f>IF(ISBLANK(M45),0,Q45*ROUND(N45,2))</f>
        <v>#DIV/0!</v>
      </c>
      <c r="S45" s="67" t="e">
        <f>ROUND(P45,2)*Q45</f>
        <v>#DIV/0!</v>
      </c>
      <c r="T45" s="64" t="e">
        <f>Q45*dagenperjaar1</f>
        <v>#DIV/0!</v>
      </c>
      <c r="U45" s="68" t="e">
        <f>T45*ROUND(P45,2)</f>
        <v>#DIV/0!</v>
      </c>
    </row>
    <row r="46" spans="1:21" x14ac:dyDescent="0.2">
      <c r="A46" s="61" t="s">
        <v>164</v>
      </c>
      <c r="B46" s="62" t="s">
        <v>165</v>
      </c>
      <c r="C46" s="62" t="s">
        <v>166</v>
      </c>
      <c r="D46" s="62" t="s">
        <v>222</v>
      </c>
      <c r="E46" s="63" t="s">
        <v>223</v>
      </c>
      <c r="F46" s="62" t="s">
        <v>224</v>
      </c>
      <c r="G46" s="62" t="s">
        <v>122</v>
      </c>
      <c r="H46" s="62" t="s">
        <v>11</v>
      </c>
      <c r="I46" s="62" t="s">
        <v>112</v>
      </c>
      <c r="J46" s="62"/>
      <c r="K46" s="64">
        <v>16</v>
      </c>
      <c r="L46" s="64">
        <f>K46*VLOOKUP(H46,dagsoorttabel1,2,FALSE)</f>
        <v>12.307692307692308</v>
      </c>
      <c r="M46" s="65">
        <f>prodnorm10</f>
        <v>0</v>
      </c>
      <c r="N46" s="66">
        <f>dagwerk10</f>
        <v>0</v>
      </c>
      <c r="O46" s="62" t="s">
        <v>36</v>
      </c>
      <c r="P46" s="67">
        <f>uurtarief10</f>
        <v>0</v>
      </c>
      <c r="Q46" s="64" t="e">
        <f>IF(ISBLANK(M46),0,L46/ROUND(M46,4))</f>
        <v>#DIV/0!</v>
      </c>
      <c r="R46" s="64" t="e">
        <f>IF(ISBLANK(M46),0,Q46*ROUND(N46,2))</f>
        <v>#DIV/0!</v>
      </c>
      <c r="S46" s="67" t="e">
        <f>ROUND(P46,2)*Q46</f>
        <v>#DIV/0!</v>
      </c>
      <c r="T46" s="64" t="e">
        <f>Q46*dagenperjaar1</f>
        <v>#DIV/0!</v>
      </c>
      <c r="U46" s="68" t="e">
        <f>T46*ROUND(P46,2)</f>
        <v>#DIV/0!</v>
      </c>
    </row>
    <row r="47" spans="1:21" x14ac:dyDescent="0.2">
      <c r="A47" s="61" t="s">
        <v>164</v>
      </c>
      <c r="B47" s="62" t="s">
        <v>165</v>
      </c>
      <c r="C47" s="62" t="s">
        <v>166</v>
      </c>
      <c r="D47" s="62" t="s">
        <v>225</v>
      </c>
      <c r="E47" s="63" t="s">
        <v>221</v>
      </c>
      <c r="F47" s="62" t="s">
        <v>224</v>
      </c>
      <c r="G47" s="62" t="s">
        <v>137</v>
      </c>
      <c r="H47" s="62" t="s">
        <v>11</v>
      </c>
      <c r="I47" s="62" t="s">
        <v>112</v>
      </c>
      <c r="J47" s="62"/>
      <c r="K47" s="64">
        <v>1.7</v>
      </c>
      <c r="L47" s="64">
        <f>K47*VLOOKUP(H47,dagsoorttabel1,2,FALSE)</f>
        <v>1.3076923076923077</v>
      </c>
      <c r="M47" s="65">
        <f>prodnorm19</f>
        <v>0</v>
      </c>
      <c r="N47" s="66">
        <f>dagwerk19</f>
        <v>0</v>
      </c>
      <c r="O47" s="62" t="s">
        <v>36</v>
      </c>
      <c r="P47" s="67">
        <f>uurtarief19</f>
        <v>0</v>
      </c>
      <c r="Q47" s="64" t="e">
        <f>IF(ISBLANK(M47),0,L47/ROUND(M47,4))</f>
        <v>#DIV/0!</v>
      </c>
      <c r="R47" s="64" t="e">
        <f>IF(ISBLANK(M47),0,Q47*ROUND(N47,2))</f>
        <v>#DIV/0!</v>
      </c>
      <c r="S47" s="67" t="e">
        <f>ROUND(P47,2)*Q47</f>
        <v>#DIV/0!</v>
      </c>
      <c r="T47" s="64" t="e">
        <f>Q47*dagenperjaar1</f>
        <v>#DIV/0!</v>
      </c>
      <c r="U47" s="68" t="e">
        <f>T47*ROUND(P47,2)</f>
        <v>#DIV/0!</v>
      </c>
    </row>
    <row r="48" spans="1:21" x14ac:dyDescent="0.2">
      <c r="A48" s="61" t="s">
        <v>164</v>
      </c>
      <c r="B48" s="62" t="s">
        <v>165</v>
      </c>
      <c r="C48" s="62" t="s">
        <v>166</v>
      </c>
      <c r="D48" s="62" t="s">
        <v>226</v>
      </c>
      <c r="E48" s="63" t="s">
        <v>223</v>
      </c>
      <c r="F48" s="62" t="s">
        <v>224</v>
      </c>
      <c r="G48" s="62" t="s">
        <v>122</v>
      </c>
      <c r="H48" s="62" t="s">
        <v>11</v>
      </c>
      <c r="I48" s="62" t="s">
        <v>112</v>
      </c>
      <c r="J48" s="62"/>
      <c r="K48" s="64">
        <v>16</v>
      </c>
      <c r="L48" s="64">
        <f>K48*VLOOKUP(H48,dagsoorttabel1,2,FALSE)</f>
        <v>12.307692307692308</v>
      </c>
      <c r="M48" s="65">
        <f>prodnorm10</f>
        <v>0</v>
      </c>
      <c r="N48" s="66">
        <f>dagwerk10</f>
        <v>0</v>
      </c>
      <c r="O48" s="62" t="s">
        <v>36</v>
      </c>
      <c r="P48" s="67">
        <f>uurtarief10</f>
        <v>0</v>
      </c>
      <c r="Q48" s="64" t="e">
        <f>IF(ISBLANK(M48),0,L48/ROUND(M48,4))</f>
        <v>#DIV/0!</v>
      </c>
      <c r="R48" s="64" t="e">
        <f>IF(ISBLANK(M48),0,Q48*ROUND(N48,2))</f>
        <v>#DIV/0!</v>
      </c>
      <c r="S48" s="67" t="e">
        <f>ROUND(P48,2)*Q48</f>
        <v>#DIV/0!</v>
      </c>
      <c r="T48" s="64" t="e">
        <f>Q48*dagenperjaar1</f>
        <v>#DIV/0!</v>
      </c>
      <c r="U48" s="68" t="e">
        <f>T48*ROUND(P48,2)</f>
        <v>#DIV/0!</v>
      </c>
    </row>
    <row r="49" spans="1:21" x14ac:dyDescent="0.2">
      <c r="A49" s="61" t="s">
        <v>164</v>
      </c>
      <c r="B49" s="62" t="s">
        <v>165</v>
      </c>
      <c r="C49" s="62" t="s">
        <v>166</v>
      </c>
      <c r="D49" s="62" t="s">
        <v>227</v>
      </c>
      <c r="E49" s="63" t="s">
        <v>221</v>
      </c>
      <c r="F49" s="62" t="s">
        <v>224</v>
      </c>
      <c r="G49" s="62" t="s">
        <v>137</v>
      </c>
      <c r="H49" s="62" t="s">
        <v>11</v>
      </c>
      <c r="I49" s="62" t="s">
        <v>112</v>
      </c>
      <c r="J49" s="62"/>
      <c r="K49" s="64">
        <v>1.7</v>
      </c>
      <c r="L49" s="64">
        <f>K49*VLOOKUP(H49,dagsoorttabel1,2,FALSE)</f>
        <v>1.3076923076923077</v>
      </c>
      <c r="M49" s="65">
        <f>prodnorm19</f>
        <v>0</v>
      </c>
      <c r="N49" s="66">
        <f>dagwerk19</f>
        <v>0</v>
      </c>
      <c r="O49" s="62" t="s">
        <v>36</v>
      </c>
      <c r="P49" s="67">
        <f>uurtarief19</f>
        <v>0</v>
      </c>
      <c r="Q49" s="64" t="e">
        <f>IF(ISBLANK(M49),0,L49/ROUND(M49,4))</f>
        <v>#DIV/0!</v>
      </c>
      <c r="R49" s="64" t="e">
        <f>IF(ISBLANK(M49),0,Q49*ROUND(N49,2))</f>
        <v>#DIV/0!</v>
      </c>
      <c r="S49" s="67" t="e">
        <f>ROUND(P49,2)*Q49</f>
        <v>#DIV/0!</v>
      </c>
      <c r="T49" s="64" t="e">
        <f>Q49*dagenperjaar1</f>
        <v>#DIV/0!</v>
      </c>
      <c r="U49" s="68" t="e">
        <f>T49*ROUND(P49,2)</f>
        <v>#DIV/0!</v>
      </c>
    </row>
    <row r="50" spans="1:21" x14ac:dyDescent="0.2">
      <c r="A50" s="61" t="s">
        <v>164</v>
      </c>
      <c r="B50" s="62" t="s">
        <v>165</v>
      </c>
      <c r="C50" s="62" t="s">
        <v>166</v>
      </c>
      <c r="D50" s="62" t="s">
        <v>228</v>
      </c>
      <c r="E50" s="63" t="s">
        <v>223</v>
      </c>
      <c r="F50" s="62" t="s">
        <v>224</v>
      </c>
      <c r="G50" s="62" t="s">
        <v>122</v>
      </c>
      <c r="H50" s="62" t="s">
        <v>11</v>
      </c>
      <c r="I50" s="62" t="s">
        <v>112</v>
      </c>
      <c r="J50" s="62"/>
      <c r="K50" s="64">
        <v>18</v>
      </c>
      <c r="L50" s="64">
        <f>K50*VLOOKUP(H50,dagsoorttabel1,2,FALSE)</f>
        <v>13.846153846153847</v>
      </c>
      <c r="M50" s="65">
        <f>prodnorm10</f>
        <v>0</v>
      </c>
      <c r="N50" s="66">
        <f>dagwerk10</f>
        <v>0</v>
      </c>
      <c r="O50" s="62" t="s">
        <v>36</v>
      </c>
      <c r="P50" s="67">
        <f>uurtarief10</f>
        <v>0</v>
      </c>
      <c r="Q50" s="64" t="e">
        <f>IF(ISBLANK(M50),0,L50/ROUND(M50,4))</f>
        <v>#DIV/0!</v>
      </c>
      <c r="R50" s="64" t="e">
        <f>IF(ISBLANK(M50),0,Q50*ROUND(N50,2))</f>
        <v>#DIV/0!</v>
      </c>
      <c r="S50" s="67" t="e">
        <f>ROUND(P50,2)*Q50</f>
        <v>#DIV/0!</v>
      </c>
      <c r="T50" s="64" t="e">
        <f>Q50*dagenperjaar1</f>
        <v>#DIV/0!</v>
      </c>
      <c r="U50" s="68" t="e">
        <f>T50*ROUND(P50,2)</f>
        <v>#DIV/0!</v>
      </c>
    </row>
    <row r="51" spans="1:21" x14ac:dyDescent="0.2">
      <c r="A51" s="61" t="s">
        <v>164</v>
      </c>
      <c r="B51" s="62" t="s">
        <v>165</v>
      </c>
      <c r="C51" s="62" t="s">
        <v>166</v>
      </c>
      <c r="D51" s="62" t="s">
        <v>229</v>
      </c>
      <c r="E51" s="63" t="s">
        <v>223</v>
      </c>
      <c r="F51" s="62" t="s">
        <v>224</v>
      </c>
      <c r="G51" s="62" t="s">
        <v>122</v>
      </c>
      <c r="H51" s="62" t="s">
        <v>11</v>
      </c>
      <c r="I51" s="62" t="s">
        <v>112</v>
      </c>
      <c r="J51" s="62"/>
      <c r="K51" s="64">
        <v>18</v>
      </c>
      <c r="L51" s="64">
        <f>K51*VLOOKUP(H51,dagsoorttabel1,2,FALSE)</f>
        <v>13.846153846153847</v>
      </c>
      <c r="M51" s="65">
        <f>prodnorm10</f>
        <v>0</v>
      </c>
      <c r="N51" s="66">
        <f>dagwerk10</f>
        <v>0</v>
      </c>
      <c r="O51" s="62" t="s">
        <v>36</v>
      </c>
      <c r="P51" s="67">
        <f>uurtarief10</f>
        <v>0</v>
      </c>
      <c r="Q51" s="64" t="e">
        <f>IF(ISBLANK(M51),0,L51/ROUND(M51,4))</f>
        <v>#DIV/0!</v>
      </c>
      <c r="R51" s="64" t="e">
        <f>IF(ISBLANK(M51),0,Q51*ROUND(N51,2))</f>
        <v>#DIV/0!</v>
      </c>
      <c r="S51" s="67" t="e">
        <f>ROUND(P51,2)*Q51</f>
        <v>#DIV/0!</v>
      </c>
      <c r="T51" s="64" t="e">
        <f>Q51*dagenperjaar1</f>
        <v>#DIV/0!</v>
      </c>
      <c r="U51" s="68" t="e">
        <f>T51*ROUND(P51,2)</f>
        <v>#DIV/0!</v>
      </c>
    </row>
    <row r="52" spans="1:21" x14ac:dyDescent="0.2">
      <c r="A52" s="61" t="s">
        <v>164</v>
      </c>
      <c r="B52" s="62" t="s">
        <v>165</v>
      </c>
      <c r="C52" s="62" t="s">
        <v>166</v>
      </c>
      <c r="D52" s="62" t="s">
        <v>230</v>
      </c>
      <c r="E52" s="63" t="s">
        <v>223</v>
      </c>
      <c r="F52" s="62" t="s">
        <v>224</v>
      </c>
      <c r="G52" s="62" t="s">
        <v>122</v>
      </c>
      <c r="H52" s="62" t="s">
        <v>11</v>
      </c>
      <c r="I52" s="62" t="s">
        <v>112</v>
      </c>
      <c r="J52" s="62"/>
      <c r="K52" s="64">
        <v>16</v>
      </c>
      <c r="L52" s="64">
        <f>K52*VLOOKUP(H52,dagsoorttabel1,2,FALSE)</f>
        <v>12.307692307692308</v>
      </c>
      <c r="M52" s="65">
        <f>prodnorm10</f>
        <v>0</v>
      </c>
      <c r="N52" s="66">
        <f>dagwerk10</f>
        <v>0</v>
      </c>
      <c r="O52" s="62" t="s">
        <v>36</v>
      </c>
      <c r="P52" s="67">
        <f>uurtarief10</f>
        <v>0</v>
      </c>
      <c r="Q52" s="64" t="e">
        <f>IF(ISBLANK(M52),0,L52/ROUND(M52,4))</f>
        <v>#DIV/0!</v>
      </c>
      <c r="R52" s="64" t="e">
        <f>IF(ISBLANK(M52),0,Q52*ROUND(N52,2))</f>
        <v>#DIV/0!</v>
      </c>
      <c r="S52" s="67" t="e">
        <f>ROUND(P52,2)*Q52</f>
        <v>#DIV/0!</v>
      </c>
      <c r="T52" s="64" t="e">
        <f>Q52*dagenperjaar1</f>
        <v>#DIV/0!</v>
      </c>
      <c r="U52" s="68" t="e">
        <f>T52*ROUND(P52,2)</f>
        <v>#DIV/0!</v>
      </c>
    </row>
    <row r="53" spans="1:21" x14ac:dyDescent="0.2">
      <c r="A53" s="61" t="s">
        <v>164</v>
      </c>
      <c r="B53" s="62" t="s">
        <v>165</v>
      </c>
      <c r="C53" s="62" t="s">
        <v>166</v>
      </c>
      <c r="D53" s="62" t="s">
        <v>231</v>
      </c>
      <c r="E53" s="63" t="s">
        <v>221</v>
      </c>
      <c r="F53" s="62" t="s">
        <v>224</v>
      </c>
      <c r="G53" s="62" t="s">
        <v>137</v>
      </c>
      <c r="H53" s="62" t="s">
        <v>11</v>
      </c>
      <c r="I53" s="62" t="s">
        <v>112</v>
      </c>
      <c r="J53" s="62"/>
      <c r="K53" s="64">
        <v>1.7</v>
      </c>
      <c r="L53" s="64">
        <f>K53*VLOOKUP(H53,dagsoorttabel1,2,FALSE)</f>
        <v>1.3076923076923077</v>
      </c>
      <c r="M53" s="65">
        <f>prodnorm19</f>
        <v>0</v>
      </c>
      <c r="N53" s="66">
        <f>dagwerk19</f>
        <v>0</v>
      </c>
      <c r="O53" s="62" t="s">
        <v>36</v>
      </c>
      <c r="P53" s="67">
        <f>uurtarief19</f>
        <v>0</v>
      </c>
      <c r="Q53" s="64" t="e">
        <f>IF(ISBLANK(M53),0,L53/ROUND(M53,4))</f>
        <v>#DIV/0!</v>
      </c>
      <c r="R53" s="64" t="e">
        <f>IF(ISBLANK(M53),0,Q53*ROUND(N53,2))</f>
        <v>#DIV/0!</v>
      </c>
      <c r="S53" s="67" t="e">
        <f>ROUND(P53,2)*Q53</f>
        <v>#DIV/0!</v>
      </c>
      <c r="T53" s="64" t="e">
        <f>Q53*dagenperjaar1</f>
        <v>#DIV/0!</v>
      </c>
      <c r="U53" s="68" t="e">
        <f>T53*ROUND(P53,2)</f>
        <v>#DIV/0!</v>
      </c>
    </row>
    <row r="54" spans="1:21" x14ac:dyDescent="0.2">
      <c r="A54" s="61" t="s">
        <v>164</v>
      </c>
      <c r="B54" s="62" t="s">
        <v>165</v>
      </c>
      <c r="C54" s="62" t="s">
        <v>166</v>
      </c>
      <c r="D54" s="62" t="s">
        <v>232</v>
      </c>
      <c r="E54" s="63" t="s">
        <v>223</v>
      </c>
      <c r="F54" s="62" t="s">
        <v>224</v>
      </c>
      <c r="G54" s="62" t="s">
        <v>122</v>
      </c>
      <c r="H54" s="62" t="s">
        <v>11</v>
      </c>
      <c r="I54" s="62" t="s">
        <v>112</v>
      </c>
      <c r="J54" s="62"/>
      <c r="K54" s="64">
        <v>17.5</v>
      </c>
      <c r="L54" s="64">
        <f>K54*VLOOKUP(H54,dagsoorttabel1,2,FALSE)</f>
        <v>13.461538461538462</v>
      </c>
      <c r="M54" s="65">
        <f>prodnorm10</f>
        <v>0</v>
      </c>
      <c r="N54" s="66">
        <f>dagwerk10</f>
        <v>0</v>
      </c>
      <c r="O54" s="62" t="s">
        <v>36</v>
      </c>
      <c r="P54" s="67">
        <f>uurtarief10</f>
        <v>0</v>
      </c>
      <c r="Q54" s="64" t="e">
        <f>IF(ISBLANK(M54),0,L54/ROUND(M54,4))</f>
        <v>#DIV/0!</v>
      </c>
      <c r="R54" s="64" t="e">
        <f>IF(ISBLANK(M54),0,Q54*ROUND(N54,2))</f>
        <v>#DIV/0!</v>
      </c>
      <c r="S54" s="67" t="e">
        <f>ROUND(P54,2)*Q54</f>
        <v>#DIV/0!</v>
      </c>
      <c r="T54" s="64" t="e">
        <f>Q54*dagenperjaar1</f>
        <v>#DIV/0!</v>
      </c>
      <c r="U54" s="68" t="e">
        <f>T54*ROUND(P54,2)</f>
        <v>#DIV/0!</v>
      </c>
    </row>
    <row r="55" spans="1:21" x14ac:dyDescent="0.2">
      <c r="A55" s="61" t="s">
        <v>164</v>
      </c>
      <c r="B55" s="62" t="s">
        <v>165</v>
      </c>
      <c r="C55" s="62" t="s">
        <v>166</v>
      </c>
      <c r="D55" s="62" t="s">
        <v>233</v>
      </c>
      <c r="E55" s="63" t="s">
        <v>186</v>
      </c>
      <c r="F55" s="62" t="s">
        <v>174</v>
      </c>
      <c r="G55" s="62" t="s">
        <v>111</v>
      </c>
      <c r="H55" s="62" t="s">
        <v>16</v>
      </c>
      <c r="I55" s="62" t="s">
        <v>112</v>
      </c>
      <c r="J55" s="62"/>
      <c r="K55" s="64">
        <v>20</v>
      </c>
      <c r="L55" s="64">
        <f>K55*VLOOKUP(H55,dagsoorttabel1,2,FALSE)</f>
        <v>3.0769230769230771</v>
      </c>
      <c r="M55" s="65">
        <f>prodnorm5</f>
        <v>0</v>
      </c>
      <c r="N55" s="66">
        <f>dagwerk5</f>
        <v>0</v>
      </c>
      <c r="O55" s="62" t="s">
        <v>36</v>
      </c>
      <c r="P55" s="67">
        <f>uurtarief5</f>
        <v>0</v>
      </c>
      <c r="Q55" s="64" t="e">
        <f>IF(ISBLANK(M55),0,L55/ROUND(M55,4))</f>
        <v>#DIV/0!</v>
      </c>
      <c r="R55" s="64" t="e">
        <f>IF(ISBLANK(M55),0,Q55*ROUND(N55,2))</f>
        <v>#DIV/0!</v>
      </c>
      <c r="S55" s="67" t="e">
        <f>ROUND(P55,2)*Q55</f>
        <v>#DIV/0!</v>
      </c>
      <c r="T55" s="64" t="e">
        <f>Q55*dagenperjaar1</f>
        <v>#DIV/0!</v>
      </c>
      <c r="U55" s="68" t="e">
        <f>T55*ROUND(P55,2)</f>
        <v>#DIV/0!</v>
      </c>
    </row>
    <row r="56" spans="1:21" x14ac:dyDescent="0.2">
      <c r="A56" s="61" t="s">
        <v>164</v>
      </c>
      <c r="B56" s="62" t="s">
        <v>165</v>
      </c>
      <c r="C56" s="62" t="s">
        <v>166</v>
      </c>
      <c r="D56" s="62" t="s">
        <v>234</v>
      </c>
      <c r="E56" s="63" t="s">
        <v>235</v>
      </c>
      <c r="F56" s="62" t="s">
        <v>236</v>
      </c>
      <c r="G56" s="62" t="s">
        <v>118</v>
      </c>
      <c r="H56" s="62" t="s">
        <v>11</v>
      </c>
      <c r="I56" s="62" t="s">
        <v>112</v>
      </c>
      <c r="J56" s="62"/>
      <c r="K56" s="64">
        <v>254</v>
      </c>
      <c r="L56" s="64">
        <f>K56*VLOOKUP(H56,dagsoorttabel1,2,FALSE)</f>
        <v>195.38461538461539</v>
      </c>
      <c r="M56" s="65">
        <f>prodnorm8</f>
        <v>0</v>
      </c>
      <c r="N56" s="66">
        <f>dagwerk8</f>
        <v>0</v>
      </c>
      <c r="O56" s="62" t="s">
        <v>36</v>
      </c>
      <c r="P56" s="67">
        <f>uurtarief8</f>
        <v>0</v>
      </c>
      <c r="Q56" s="64" t="e">
        <f>IF(ISBLANK(M56),0,L56/ROUND(M56,4))</f>
        <v>#DIV/0!</v>
      </c>
      <c r="R56" s="64" t="e">
        <f>IF(ISBLANK(M56),0,Q56*ROUND(N56,2))</f>
        <v>#DIV/0!</v>
      </c>
      <c r="S56" s="67" t="e">
        <f>ROUND(P56,2)*Q56</f>
        <v>#DIV/0!</v>
      </c>
      <c r="T56" s="64" t="e">
        <f>Q56*dagenperjaar1</f>
        <v>#DIV/0!</v>
      </c>
      <c r="U56" s="68" t="e">
        <f>T56*ROUND(P56,2)</f>
        <v>#DIV/0!</v>
      </c>
    </row>
    <row r="57" spans="1:21" x14ac:dyDescent="0.2">
      <c r="A57" s="61" t="s">
        <v>164</v>
      </c>
      <c r="B57" s="62" t="s">
        <v>165</v>
      </c>
      <c r="C57" s="62" t="s">
        <v>166</v>
      </c>
      <c r="D57" s="62" t="s">
        <v>237</v>
      </c>
      <c r="E57" s="63" t="s">
        <v>235</v>
      </c>
      <c r="F57" s="62" t="s">
        <v>236</v>
      </c>
      <c r="G57" s="62" t="s">
        <v>118</v>
      </c>
      <c r="H57" s="62" t="s">
        <v>11</v>
      </c>
      <c r="I57" s="62" t="s">
        <v>112</v>
      </c>
      <c r="J57" s="62"/>
      <c r="K57" s="64">
        <v>254</v>
      </c>
      <c r="L57" s="64">
        <f>K57*VLOOKUP(H57,dagsoorttabel1,2,FALSE)</f>
        <v>195.38461538461539</v>
      </c>
      <c r="M57" s="65">
        <f>prodnorm8</f>
        <v>0</v>
      </c>
      <c r="N57" s="66">
        <f>dagwerk8</f>
        <v>0</v>
      </c>
      <c r="O57" s="62" t="s">
        <v>36</v>
      </c>
      <c r="P57" s="67">
        <f>uurtarief8</f>
        <v>0</v>
      </c>
      <c r="Q57" s="64" t="e">
        <f>IF(ISBLANK(M57),0,L57/ROUND(M57,4))</f>
        <v>#DIV/0!</v>
      </c>
      <c r="R57" s="64" t="e">
        <f>IF(ISBLANK(M57),0,Q57*ROUND(N57,2))</f>
        <v>#DIV/0!</v>
      </c>
      <c r="S57" s="67" t="e">
        <f>ROUND(P57,2)*Q57</f>
        <v>#DIV/0!</v>
      </c>
      <c r="T57" s="64" t="e">
        <f>Q57*dagenperjaar1</f>
        <v>#DIV/0!</v>
      </c>
      <c r="U57" s="68" t="e">
        <f>T57*ROUND(P57,2)</f>
        <v>#DIV/0!</v>
      </c>
    </row>
    <row r="58" spans="1:21" x14ac:dyDescent="0.2">
      <c r="A58" s="61" t="s">
        <v>164</v>
      </c>
      <c r="B58" s="62" t="s">
        <v>165</v>
      </c>
      <c r="C58" s="62" t="s">
        <v>166</v>
      </c>
      <c r="D58" s="62" t="s">
        <v>238</v>
      </c>
      <c r="E58" s="63" t="s">
        <v>235</v>
      </c>
      <c r="F58" s="62" t="s">
        <v>236</v>
      </c>
      <c r="G58" s="62" t="s">
        <v>118</v>
      </c>
      <c r="H58" s="62" t="s">
        <v>11</v>
      </c>
      <c r="I58" s="62" t="s">
        <v>112</v>
      </c>
      <c r="J58" s="62"/>
      <c r="K58" s="64">
        <v>254</v>
      </c>
      <c r="L58" s="64">
        <f>K58*VLOOKUP(H58,dagsoorttabel1,2,FALSE)</f>
        <v>195.38461538461539</v>
      </c>
      <c r="M58" s="65">
        <f>prodnorm8</f>
        <v>0</v>
      </c>
      <c r="N58" s="66">
        <f>dagwerk8</f>
        <v>0</v>
      </c>
      <c r="O58" s="62" t="s">
        <v>36</v>
      </c>
      <c r="P58" s="67">
        <f>uurtarief8</f>
        <v>0</v>
      </c>
      <c r="Q58" s="64" t="e">
        <f>IF(ISBLANK(M58),0,L58/ROUND(M58,4))</f>
        <v>#DIV/0!</v>
      </c>
      <c r="R58" s="64" t="e">
        <f>IF(ISBLANK(M58),0,Q58*ROUND(N58,2))</f>
        <v>#DIV/0!</v>
      </c>
      <c r="S58" s="67" t="e">
        <f>ROUND(P58,2)*Q58</f>
        <v>#DIV/0!</v>
      </c>
      <c r="T58" s="64" t="e">
        <f>Q58*dagenperjaar1</f>
        <v>#DIV/0!</v>
      </c>
      <c r="U58" s="68" t="e">
        <f>T58*ROUND(P58,2)</f>
        <v>#DIV/0!</v>
      </c>
    </row>
    <row r="59" spans="1:21" x14ac:dyDescent="0.2">
      <c r="A59" s="61" t="s">
        <v>164</v>
      </c>
      <c r="B59" s="62" t="s">
        <v>165</v>
      </c>
      <c r="C59" s="62" t="s">
        <v>166</v>
      </c>
      <c r="D59" s="62" t="s">
        <v>239</v>
      </c>
      <c r="E59" s="63" t="s">
        <v>219</v>
      </c>
      <c r="F59" s="62" t="s">
        <v>195</v>
      </c>
      <c r="G59" s="62" t="s">
        <v>143</v>
      </c>
      <c r="H59" s="62" t="s">
        <v>11</v>
      </c>
      <c r="I59" s="62" t="s">
        <v>112</v>
      </c>
      <c r="J59" s="62"/>
      <c r="K59" s="64">
        <v>25.5</v>
      </c>
      <c r="L59" s="64">
        <f>K59*VLOOKUP(H59,dagsoorttabel1,2,FALSE)</f>
        <v>19.615384615384617</v>
      </c>
      <c r="M59" s="65">
        <f>prodnorm22</f>
        <v>0</v>
      </c>
      <c r="N59" s="66">
        <f>dagwerk22</f>
        <v>0</v>
      </c>
      <c r="O59" s="62" t="s">
        <v>36</v>
      </c>
      <c r="P59" s="67">
        <f>uurtarief22</f>
        <v>0</v>
      </c>
      <c r="Q59" s="64" t="e">
        <f>IF(ISBLANK(M59),0,L59/ROUND(M59,4))</f>
        <v>#DIV/0!</v>
      </c>
      <c r="R59" s="64" t="e">
        <f>IF(ISBLANK(M59),0,Q59*ROUND(N59,2))</f>
        <v>#DIV/0!</v>
      </c>
      <c r="S59" s="67" t="e">
        <f>ROUND(P59,2)*Q59</f>
        <v>#DIV/0!</v>
      </c>
      <c r="T59" s="64" t="e">
        <f>Q59*dagenperjaar1</f>
        <v>#DIV/0!</v>
      </c>
      <c r="U59" s="68" t="e">
        <f>T59*ROUND(P59,2)</f>
        <v>#DIV/0!</v>
      </c>
    </row>
    <row r="60" spans="1:21" x14ac:dyDescent="0.2">
      <c r="A60" s="61" t="s">
        <v>164</v>
      </c>
      <c r="B60" s="62" t="s">
        <v>165</v>
      </c>
      <c r="C60" s="62" t="s">
        <v>166</v>
      </c>
      <c r="D60" s="62" t="s">
        <v>240</v>
      </c>
      <c r="E60" s="63" t="s">
        <v>241</v>
      </c>
      <c r="F60" s="62" t="s">
        <v>195</v>
      </c>
      <c r="G60" s="62" t="s">
        <v>137</v>
      </c>
      <c r="H60" s="62" t="s">
        <v>11</v>
      </c>
      <c r="I60" s="62" t="s">
        <v>112</v>
      </c>
      <c r="J60" s="62"/>
      <c r="K60" s="64">
        <v>7.76</v>
      </c>
      <c r="L60" s="64">
        <f>K60*VLOOKUP(H60,dagsoorttabel1,2,FALSE)</f>
        <v>5.9692307692307693</v>
      </c>
      <c r="M60" s="65">
        <f>prodnorm19</f>
        <v>0</v>
      </c>
      <c r="N60" s="66">
        <f>dagwerk19</f>
        <v>0</v>
      </c>
      <c r="O60" s="62" t="s">
        <v>36</v>
      </c>
      <c r="P60" s="67">
        <f>uurtarief19</f>
        <v>0</v>
      </c>
      <c r="Q60" s="64" t="e">
        <f>IF(ISBLANK(M60),0,L60/ROUND(M60,4))</f>
        <v>#DIV/0!</v>
      </c>
      <c r="R60" s="64" t="e">
        <f>IF(ISBLANK(M60),0,Q60*ROUND(N60,2))</f>
        <v>#DIV/0!</v>
      </c>
      <c r="S60" s="67" t="e">
        <f>ROUND(P60,2)*Q60</f>
        <v>#DIV/0!</v>
      </c>
      <c r="T60" s="64" t="e">
        <f>Q60*dagenperjaar1</f>
        <v>#DIV/0!</v>
      </c>
      <c r="U60" s="68" t="e">
        <f>T60*ROUND(P60,2)</f>
        <v>#DIV/0!</v>
      </c>
    </row>
    <row r="61" spans="1:21" x14ac:dyDescent="0.2">
      <c r="A61" s="61" t="s">
        <v>164</v>
      </c>
      <c r="B61" s="62" t="s">
        <v>165</v>
      </c>
      <c r="C61" s="62" t="s">
        <v>166</v>
      </c>
      <c r="D61" s="62" t="s">
        <v>240</v>
      </c>
      <c r="E61" s="63" t="s">
        <v>241</v>
      </c>
      <c r="F61" s="62" t="s">
        <v>195</v>
      </c>
      <c r="G61" s="62" t="s">
        <v>139</v>
      </c>
      <c r="H61" s="62" t="s">
        <v>11</v>
      </c>
      <c r="I61" s="62" t="s">
        <v>112</v>
      </c>
      <c r="J61" s="62"/>
      <c r="K61" s="64">
        <v>7.76</v>
      </c>
      <c r="L61" s="64">
        <f>K61*VLOOKUP(H61,dagsoorttabel1,2,FALSE)</f>
        <v>5.9692307692307693</v>
      </c>
      <c r="M61" s="65">
        <f>prodnorm20</f>
        <v>0</v>
      </c>
      <c r="N61" s="66">
        <f>dagwerk20</f>
        <v>0</v>
      </c>
      <c r="O61" s="62" t="s">
        <v>36</v>
      </c>
      <c r="P61" s="67">
        <f>uurtarief20</f>
        <v>0</v>
      </c>
      <c r="Q61" s="64" t="e">
        <f>IF(ISBLANK(M61),0,L61/ROUND(M61,4))</f>
        <v>#DIV/0!</v>
      </c>
      <c r="R61" s="64" t="e">
        <f>IF(ISBLANK(M61),0,Q61*ROUND(N61,2))</f>
        <v>#DIV/0!</v>
      </c>
      <c r="S61" s="67" t="e">
        <f>ROUND(P61,2)*Q61</f>
        <v>#DIV/0!</v>
      </c>
      <c r="T61" s="64" t="e">
        <f>Q61*dagenperjaar1</f>
        <v>#DIV/0!</v>
      </c>
      <c r="U61" s="68" t="e">
        <f>T61*ROUND(P61,2)</f>
        <v>#DIV/0!</v>
      </c>
    </row>
    <row r="62" spans="1:21" x14ac:dyDescent="0.2">
      <c r="A62" s="61" t="s">
        <v>164</v>
      </c>
      <c r="B62" s="62" t="s">
        <v>165</v>
      </c>
      <c r="C62" s="62" t="s">
        <v>166</v>
      </c>
      <c r="D62" s="62" t="s">
        <v>242</v>
      </c>
      <c r="E62" s="63" t="s">
        <v>243</v>
      </c>
      <c r="F62" s="62" t="s">
        <v>195</v>
      </c>
      <c r="G62" s="62" t="s">
        <v>137</v>
      </c>
      <c r="H62" s="62" t="s">
        <v>11</v>
      </c>
      <c r="I62" s="62" t="s">
        <v>112</v>
      </c>
      <c r="J62" s="62"/>
      <c r="K62" s="64">
        <v>2.6</v>
      </c>
      <c r="L62" s="64">
        <f>K62*VLOOKUP(H62,dagsoorttabel1,2,FALSE)</f>
        <v>2</v>
      </c>
      <c r="M62" s="65">
        <f>prodnorm19</f>
        <v>0</v>
      </c>
      <c r="N62" s="66">
        <f>dagwerk19</f>
        <v>0</v>
      </c>
      <c r="O62" s="62" t="s">
        <v>36</v>
      </c>
      <c r="P62" s="67">
        <f>uurtarief19</f>
        <v>0</v>
      </c>
      <c r="Q62" s="64" t="e">
        <f>IF(ISBLANK(M62),0,L62/ROUND(M62,4))</f>
        <v>#DIV/0!</v>
      </c>
      <c r="R62" s="64" t="e">
        <f>IF(ISBLANK(M62),0,Q62*ROUND(N62,2))</f>
        <v>#DIV/0!</v>
      </c>
      <c r="S62" s="67" t="e">
        <f>ROUND(P62,2)*Q62</f>
        <v>#DIV/0!</v>
      </c>
      <c r="T62" s="64" t="e">
        <f>Q62*dagenperjaar1</f>
        <v>#DIV/0!</v>
      </c>
      <c r="U62" s="68" t="e">
        <f>T62*ROUND(P62,2)</f>
        <v>#DIV/0!</v>
      </c>
    </row>
    <row r="63" spans="1:21" x14ac:dyDescent="0.2">
      <c r="A63" s="61" t="s">
        <v>164</v>
      </c>
      <c r="B63" s="62" t="s">
        <v>165</v>
      </c>
      <c r="C63" s="62" t="s">
        <v>166</v>
      </c>
      <c r="D63" s="62" t="s">
        <v>244</v>
      </c>
      <c r="E63" s="63" t="s">
        <v>241</v>
      </c>
      <c r="F63" s="62" t="s">
        <v>195</v>
      </c>
      <c r="G63" s="62" t="s">
        <v>137</v>
      </c>
      <c r="H63" s="62" t="s">
        <v>11</v>
      </c>
      <c r="I63" s="62" t="s">
        <v>112</v>
      </c>
      <c r="J63" s="62"/>
      <c r="K63" s="64">
        <v>7.1</v>
      </c>
      <c r="L63" s="64">
        <f>K63*VLOOKUP(H63,dagsoorttabel1,2,FALSE)</f>
        <v>5.4615384615384617</v>
      </c>
      <c r="M63" s="65">
        <f>prodnorm19</f>
        <v>0</v>
      </c>
      <c r="N63" s="66">
        <f>dagwerk19</f>
        <v>0</v>
      </c>
      <c r="O63" s="62" t="s">
        <v>36</v>
      </c>
      <c r="P63" s="67">
        <f>uurtarief19</f>
        <v>0</v>
      </c>
      <c r="Q63" s="64" t="e">
        <f>IF(ISBLANK(M63),0,L63/ROUND(M63,4))</f>
        <v>#DIV/0!</v>
      </c>
      <c r="R63" s="64" t="e">
        <f>IF(ISBLANK(M63),0,Q63*ROUND(N63,2))</f>
        <v>#DIV/0!</v>
      </c>
      <c r="S63" s="67" t="e">
        <f>ROUND(P63,2)*Q63</f>
        <v>#DIV/0!</v>
      </c>
      <c r="T63" s="64" t="e">
        <f>Q63*dagenperjaar1</f>
        <v>#DIV/0!</v>
      </c>
      <c r="U63" s="68" t="e">
        <f>T63*ROUND(P63,2)</f>
        <v>#DIV/0!</v>
      </c>
    </row>
    <row r="64" spans="1:21" x14ac:dyDescent="0.2">
      <c r="A64" s="61" t="s">
        <v>164</v>
      </c>
      <c r="B64" s="62" t="s">
        <v>165</v>
      </c>
      <c r="C64" s="62" t="s">
        <v>166</v>
      </c>
      <c r="D64" s="62" t="s">
        <v>244</v>
      </c>
      <c r="E64" s="63" t="s">
        <v>241</v>
      </c>
      <c r="F64" s="62" t="s">
        <v>195</v>
      </c>
      <c r="G64" s="62" t="s">
        <v>139</v>
      </c>
      <c r="H64" s="62" t="s">
        <v>11</v>
      </c>
      <c r="I64" s="62" t="s">
        <v>112</v>
      </c>
      <c r="J64" s="62"/>
      <c r="K64" s="64">
        <v>7.1</v>
      </c>
      <c r="L64" s="64">
        <f>K64*VLOOKUP(H64,dagsoorttabel1,2,FALSE)</f>
        <v>5.4615384615384617</v>
      </c>
      <c r="M64" s="65">
        <f>prodnorm20</f>
        <v>0</v>
      </c>
      <c r="N64" s="66">
        <f>dagwerk20</f>
        <v>0</v>
      </c>
      <c r="O64" s="62" t="s">
        <v>36</v>
      </c>
      <c r="P64" s="67">
        <f>uurtarief20</f>
        <v>0</v>
      </c>
      <c r="Q64" s="64" t="e">
        <f>IF(ISBLANK(M64),0,L64/ROUND(M64,4))</f>
        <v>#DIV/0!</v>
      </c>
      <c r="R64" s="64" t="e">
        <f>IF(ISBLANK(M64),0,Q64*ROUND(N64,2))</f>
        <v>#DIV/0!</v>
      </c>
      <c r="S64" s="67" t="e">
        <f>ROUND(P64,2)*Q64</f>
        <v>#DIV/0!</v>
      </c>
      <c r="T64" s="64" t="e">
        <f>Q64*dagenperjaar1</f>
        <v>#DIV/0!</v>
      </c>
      <c r="U64" s="68" t="e">
        <f>T64*ROUND(P64,2)</f>
        <v>#DIV/0!</v>
      </c>
    </row>
    <row r="65" spans="1:21" x14ac:dyDescent="0.2">
      <c r="A65" s="61" t="s">
        <v>164</v>
      </c>
      <c r="B65" s="62" t="s">
        <v>165</v>
      </c>
      <c r="C65" s="62" t="s">
        <v>166</v>
      </c>
      <c r="D65" s="62" t="s">
        <v>245</v>
      </c>
      <c r="E65" s="63" t="s">
        <v>208</v>
      </c>
      <c r="F65" s="62" t="s">
        <v>210</v>
      </c>
      <c r="G65" s="62" t="s">
        <v>141</v>
      </c>
      <c r="H65" s="62" t="s">
        <v>11</v>
      </c>
      <c r="I65" s="62" t="s">
        <v>112</v>
      </c>
      <c r="J65" s="62"/>
      <c r="K65" s="64">
        <v>14.66</v>
      </c>
      <c r="L65" s="64">
        <f>K65*VLOOKUP(H65,dagsoorttabel1,2,FALSE)</f>
        <v>11.276923076923078</v>
      </c>
      <c r="M65" s="65">
        <f>prodnorm21</f>
        <v>0</v>
      </c>
      <c r="N65" s="66">
        <f>dagwerk21</f>
        <v>0</v>
      </c>
      <c r="O65" s="62" t="s">
        <v>36</v>
      </c>
      <c r="P65" s="67">
        <f>uurtarief21</f>
        <v>0</v>
      </c>
      <c r="Q65" s="64" t="e">
        <f>IF(ISBLANK(M65),0,L65/ROUND(M65,4))</f>
        <v>#DIV/0!</v>
      </c>
      <c r="R65" s="64" t="e">
        <f>IF(ISBLANK(M65),0,Q65*ROUND(N65,2))</f>
        <v>#DIV/0!</v>
      </c>
      <c r="S65" s="67" t="e">
        <f>ROUND(P65,2)*Q65</f>
        <v>#DIV/0!</v>
      </c>
      <c r="T65" s="64" t="e">
        <f>Q65*dagenperjaar1</f>
        <v>#DIV/0!</v>
      </c>
      <c r="U65" s="68" t="e">
        <f>T65*ROUND(P65,2)</f>
        <v>#DIV/0!</v>
      </c>
    </row>
    <row r="66" spans="1:21" x14ac:dyDescent="0.2">
      <c r="A66" s="61" t="s">
        <v>164</v>
      </c>
      <c r="B66" s="62" t="s">
        <v>165</v>
      </c>
      <c r="C66" s="62" t="s">
        <v>166</v>
      </c>
      <c r="D66" s="62" t="s">
        <v>246</v>
      </c>
      <c r="E66" s="63" t="s">
        <v>173</v>
      </c>
      <c r="F66" s="62" t="s">
        <v>195</v>
      </c>
      <c r="G66" s="62" t="s">
        <v>143</v>
      </c>
      <c r="H66" s="62" t="s">
        <v>11</v>
      </c>
      <c r="I66" s="62" t="s">
        <v>112</v>
      </c>
      <c r="J66" s="62"/>
      <c r="K66" s="64">
        <v>97.169999999999987</v>
      </c>
      <c r="L66" s="64">
        <f>K66*VLOOKUP(H66,dagsoorttabel1,2,FALSE)</f>
        <v>74.746153846153845</v>
      </c>
      <c r="M66" s="65">
        <f>prodnorm22</f>
        <v>0</v>
      </c>
      <c r="N66" s="66">
        <f>dagwerk22</f>
        <v>0</v>
      </c>
      <c r="O66" s="62" t="s">
        <v>36</v>
      </c>
      <c r="P66" s="67">
        <f>uurtarief22</f>
        <v>0</v>
      </c>
      <c r="Q66" s="64" t="e">
        <f>IF(ISBLANK(M66),0,L66/ROUND(M66,4))</f>
        <v>#DIV/0!</v>
      </c>
      <c r="R66" s="64" t="e">
        <f>IF(ISBLANK(M66),0,Q66*ROUND(N66,2))</f>
        <v>#DIV/0!</v>
      </c>
      <c r="S66" s="67" t="e">
        <f>ROUND(P66,2)*Q66</f>
        <v>#DIV/0!</v>
      </c>
      <c r="T66" s="64" t="e">
        <f>Q66*dagenperjaar1</f>
        <v>#DIV/0!</v>
      </c>
      <c r="U66" s="68" t="e">
        <f>T66*ROUND(P66,2)</f>
        <v>#DIV/0!</v>
      </c>
    </row>
    <row r="67" spans="1:21" ht="25.5" x14ac:dyDescent="0.2">
      <c r="A67" s="61" t="s">
        <v>164</v>
      </c>
      <c r="B67" s="62" t="s">
        <v>165</v>
      </c>
      <c r="C67" s="62" t="s">
        <v>166</v>
      </c>
      <c r="D67" s="62" t="s">
        <v>247</v>
      </c>
      <c r="E67" s="63" t="s">
        <v>248</v>
      </c>
      <c r="F67" s="62" t="s">
        <v>174</v>
      </c>
      <c r="G67" s="62" t="s">
        <v>111</v>
      </c>
      <c r="H67" s="62" t="s">
        <v>16</v>
      </c>
      <c r="I67" s="62" t="s">
        <v>112</v>
      </c>
      <c r="J67" s="62"/>
      <c r="K67" s="64">
        <v>20.100000000000001</v>
      </c>
      <c r="L67" s="64">
        <f>K67*VLOOKUP(H67,dagsoorttabel1,2,FALSE)</f>
        <v>3.0923076923076929</v>
      </c>
      <c r="M67" s="65">
        <f>prodnorm5</f>
        <v>0</v>
      </c>
      <c r="N67" s="66">
        <f>dagwerk5</f>
        <v>0</v>
      </c>
      <c r="O67" s="62" t="s">
        <v>36</v>
      </c>
      <c r="P67" s="67">
        <f>uurtarief5</f>
        <v>0</v>
      </c>
      <c r="Q67" s="64" t="e">
        <f>IF(ISBLANK(M67),0,L67/ROUND(M67,4))</f>
        <v>#DIV/0!</v>
      </c>
      <c r="R67" s="64" t="e">
        <f>IF(ISBLANK(M67),0,Q67*ROUND(N67,2))</f>
        <v>#DIV/0!</v>
      </c>
      <c r="S67" s="67" t="e">
        <f>ROUND(P67,2)*Q67</f>
        <v>#DIV/0!</v>
      </c>
      <c r="T67" s="64" t="e">
        <f>Q67*dagenperjaar1</f>
        <v>#DIV/0!</v>
      </c>
      <c r="U67" s="68" t="e">
        <f>T67*ROUND(P67,2)</f>
        <v>#DIV/0!</v>
      </c>
    </row>
    <row r="68" spans="1:21" ht="25.5" x14ac:dyDescent="0.2">
      <c r="A68" s="61" t="s">
        <v>164</v>
      </c>
      <c r="B68" s="62" t="s">
        <v>165</v>
      </c>
      <c r="C68" s="62" t="s">
        <v>166</v>
      </c>
      <c r="D68" s="62" t="s">
        <v>247</v>
      </c>
      <c r="E68" s="63" t="s">
        <v>248</v>
      </c>
      <c r="F68" s="62" t="s">
        <v>174</v>
      </c>
      <c r="G68" s="62" t="s">
        <v>149</v>
      </c>
      <c r="H68" s="62" t="s">
        <v>12</v>
      </c>
      <c r="I68" s="62" t="s">
        <v>112</v>
      </c>
      <c r="J68" s="62"/>
      <c r="K68" s="64">
        <v>20.100000000000001</v>
      </c>
      <c r="L68" s="64">
        <f>K68*VLOOKUP(H68,dagsoorttabel1,2,FALSE)</f>
        <v>12.369230769230771</v>
      </c>
      <c r="M68" s="65">
        <f>prodnorm25</f>
        <v>0</v>
      </c>
      <c r="N68" s="66">
        <f>dagwerk25</f>
        <v>0</v>
      </c>
      <c r="O68" s="62" t="s">
        <v>36</v>
      </c>
      <c r="P68" s="67">
        <f>uurtarief25</f>
        <v>0</v>
      </c>
      <c r="Q68" s="64" t="e">
        <f>IF(ISBLANK(M68),0,L68/ROUND(M68,4))</f>
        <v>#DIV/0!</v>
      </c>
      <c r="R68" s="64" t="e">
        <f>IF(ISBLANK(M68),0,Q68*ROUND(N68,2))</f>
        <v>#DIV/0!</v>
      </c>
      <c r="S68" s="67" t="e">
        <f>ROUND(P68,2)*Q68</f>
        <v>#DIV/0!</v>
      </c>
      <c r="T68" s="64" t="e">
        <f>Q68*dagenperjaar1</f>
        <v>#DIV/0!</v>
      </c>
      <c r="U68" s="68" t="e">
        <f>T68*ROUND(P68,2)</f>
        <v>#DIV/0!</v>
      </c>
    </row>
    <row r="69" spans="1:21" x14ac:dyDescent="0.2">
      <c r="A69" s="61" t="s">
        <v>164</v>
      </c>
      <c r="B69" s="62" t="s">
        <v>165</v>
      </c>
      <c r="C69" s="62" t="s">
        <v>166</v>
      </c>
      <c r="D69" s="62" t="s">
        <v>249</v>
      </c>
      <c r="E69" s="63" t="s">
        <v>173</v>
      </c>
      <c r="F69" s="62" t="s">
        <v>169</v>
      </c>
      <c r="G69" s="62" t="s">
        <v>145</v>
      </c>
      <c r="H69" s="62" t="s">
        <v>11</v>
      </c>
      <c r="I69" s="62" t="s">
        <v>112</v>
      </c>
      <c r="J69" s="62"/>
      <c r="K69" s="64">
        <v>29.3</v>
      </c>
      <c r="L69" s="64">
        <f>K69*VLOOKUP(H69,dagsoorttabel1,2,FALSE)</f>
        <v>22.53846153846154</v>
      </c>
      <c r="M69" s="65">
        <f>prodnorm23</f>
        <v>0</v>
      </c>
      <c r="N69" s="66">
        <f>dagwerk23</f>
        <v>0</v>
      </c>
      <c r="O69" s="62" t="s">
        <v>36</v>
      </c>
      <c r="P69" s="67">
        <f>uurtarief23</f>
        <v>0</v>
      </c>
      <c r="Q69" s="64" t="e">
        <f>IF(ISBLANK(M69),0,L69/ROUND(M69,4))</f>
        <v>#DIV/0!</v>
      </c>
      <c r="R69" s="64" t="e">
        <f>IF(ISBLANK(M69),0,Q69*ROUND(N69,2))</f>
        <v>#DIV/0!</v>
      </c>
      <c r="S69" s="67" t="e">
        <f>ROUND(P69,2)*Q69</f>
        <v>#DIV/0!</v>
      </c>
      <c r="T69" s="64" t="e">
        <f>Q69*dagenperjaar1</f>
        <v>#DIV/0!</v>
      </c>
      <c r="U69" s="68" t="e">
        <f>T69*ROUND(P69,2)</f>
        <v>#DIV/0!</v>
      </c>
    </row>
    <row r="70" spans="1:21" x14ac:dyDescent="0.2">
      <c r="A70" s="61" t="s">
        <v>164</v>
      </c>
      <c r="B70" s="62" t="s">
        <v>165</v>
      </c>
      <c r="C70" s="62" t="s">
        <v>166</v>
      </c>
      <c r="D70" s="62" t="s">
        <v>250</v>
      </c>
      <c r="E70" s="63" t="s">
        <v>168</v>
      </c>
      <c r="F70" s="62" t="s">
        <v>169</v>
      </c>
      <c r="G70" s="62" t="s">
        <v>116</v>
      </c>
      <c r="H70" s="62" t="s">
        <v>11</v>
      </c>
      <c r="I70" s="62" t="s">
        <v>112</v>
      </c>
      <c r="J70" s="62"/>
      <c r="K70" s="64">
        <v>14.9</v>
      </c>
      <c r="L70" s="64">
        <f>K70*VLOOKUP(H70,dagsoorttabel1,2,FALSE)</f>
        <v>11.461538461538462</v>
      </c>
      <c r="M70" s="65">
        <f>prodnorm7</f>
        <v>0</v>
      </c>
      <c r="N70" s="66">
        <f>dagwerk7</f>
        <v>0</v>
      </c>
      <c r="O70" s="62" t="s">
        <v>36</v>
      </c>
      <c r="P70" s="67">
        <f>uurtarief7</f>
        <v>0</v>
      </c>
      <c r="Q70" s="64" t="e">
        <f>IF(ISBLANK(M70),0,L70/ROUND(M70,4))</f>
        <v>#DIV/0!</v>
      </c>
      <c r="R70" s="64" t="e">
        <f>IF(ISBLANK(M70),0,Q70*ROUND(N70,2))</f>
        <v>#DIV/0!</v>
      </c>
      <c r="S70" s="67" t="e">
        <f>ROUND(P70,2)*Q70</f>
        <v>#DIV/0!</v>
      </c>
      <c r="T70" s="64" t="e">
        <f>Q70*dagenperjaar1</f>
        <v>#DIV/0!</v>
      </c>
      <c r="U70" s="68" t="e">
        <f>T70*ROUND(P70,2)</f>
        <v>#DIV/0!</v>
      </c>
    </row>
    <row r="71" spans="1:21" x14ac:dyDescent="0.2">
      <c r="A71" s="61" t="s">
        <v>164</v>
      </c>
      <c r="B71" s="62" t="s">
        <v>165</v>
      </c>
      <c r="C71" s="62" t="s">
        <v>166</v>
      </c>
      <c r="D71" s="62" t="s">
        <v>251</v>
      </c>
      <c r="E71" s="63" t="s">
        <v>173</v>
      </c>
      <c r="F71" s="62" t="s">
        <v>195</v>
      </c>
      <c r="G71" s="62" t="s">
        <v>143</v>
      </c>
      <c r="H71" s="62" t="s">
        <v>11</v>
      </c>
      <c r="I71" s="62" t="s">
        <v>112</v>
      </c>
      <c r="J71" s="62"/>
      <c r="K71" s="64">
        <v>96.61999999999999</v>
      </c>
      <c r="L71" s="64">
        <f>K71*VLOOKUP(H71,dagsoorttabel1,2,FALSE)</f>
        <v>74.323076923076925</v>
      </c>
      <c r="M71" s="65">
        <f>prodnorm22</f>
        <v>0</v>
      </c>
      <c r="N71" s="66">
        <f>dagwerk22</f>
        <v>0</v>
      </c>
      <c r="O71" s="62" t="s">
        <v>36</v>
      </c>
      <c r="P71" s="67">
        <f>uurtarief22</f>
        <v>0</v>
      </c>
      <c r="Q71" s="64" t="e">
        <f>IF(ISBLANK(M71),0,L71/ROUND(M71,4))</f>
        <v>#DIV/0!</v>
      </c>
      <c r="R71" s="64" t="e">
        <f>IF(ISBLANK(M71),0,Q71*ROUND(N71,2))</f>
        <v>#DIV/0!</v>
      </c>
      <c r="S71" s="67" t="e">
        <f>ROUND(P71,2)*Q71</f>
        <v>#DIV/0!</v>
      </c>
      <c r="T71" s="64" t="e">
        <f>Q71*dagenperjaar1</f>
        <v>#DIV/0!</v>
      </c>
      <c r="U71" s="68" t="e">
        <f>T71*ROUND(P71,2)</f>
        <v>#DIV/0!</v>
      </c>
    </row>
    <row r="72" spans="1:21" x14ac:dyDescent="0.2">
      <c r="A72" s="61" t="s">
        <v>164</v>
      </c>
      <c r="B72" s="62" t="s">
        <v>165</v>
      </c>
      <c r="C72" s="62" t="s">
        <v>166</v>
      </c>
      <c r="D72" s="62" t="s">
        <v>252</v>
      </c>
      <c r="E72" s="63" t="s">
        <v>253</v>
      </c>
      <c r="F72" s="62" t="s">
        <v>174</v>
      </c>
      <c r="G72" s="62" t="s">
        <v>134</v>
      </c>
      <c r="H72" s="62" t="s">
        <v>11</v>
      </c>
      <c r="I72" s="62" t="s">
        <v>112</v>
      </c>
      <c r="J72" s="62"/>
      <c r="K72" s="64">
        <v>107.84</v>
      </c>
      <c r="L72" s="64">
        <f>K72*VLOOKUP(H72,dagsoorttabel1,2,FALSE)</f>
        <v>82.953846153846158</v>
      </c>
      <c r="M72" s="65">
        <f>prodnorm17</f>
        <v>0</v>
      </c>
      <c r="N72" s="66">
        <f>dagwerk17</f>
        <v>0</v>
      </c>
      <c r="O72" s="62" t="s">
        <v>36</v>
      </c>
      <c r="P72" s="67">
        <f>uurtarief17</f>
        <v>0</v>
      </c>
      <c r="Q72" s="64" t="e">
        <f>IF(ISBLANK(M72),0,L72/ROUND(M72,4))</f>
        <v>#DIV/0!</v>
      </c>
      <c r="R72" s="64" t="e">
        <f>IF(ISBLANK(M72),0,Q72*ROUND(N72,2))</f>
        <v>#DIV/0!</v>
      </c>
      <c r="S72" s="67" t="e">
        <f>ROUND(P72,2)*Q72</f>
        <v>#DIV/0!</v>
      </c>
      <c r="T72" s="64" t="e">
        <f>Q72*dagenperjaar1</f>
        <v>#DIV/0!</v>
      </c>
      <c r="U72" s="68" t="e">
        <f>T72*ROUND(P72,2)</f>
        <v>#DIV/0!</v>
      </c>
    </row>
    <row r="73" spans="1:21" x14ac:dyDescent="0.2">
      <c r="A73" s="61" t="s">
        <v>164</v>
      </c>
      <c r="B73" s="62" t="s">
        <v>165</v>
      </c>
      <c r="C73" s="62" t="s">
        <v>166</v>
      </c>
      <c r="D73" s="62" t="s">
        <v>254</v>
      </c>
      <c r="E73" s="63" t="s">
        <v>173</v>
      </c>
      <c r="F73" s="62" t="s">
        <v>195</v>
      </c>
      <c r="G73" s="62" t="s">
        <v>143</v>
      </c>
      <c r="H73" s="62" t="s">
        <v>11</v>
      </c>
      <c r="I73" s="62" t="s">
        <v>112</v>
      </c>
      <c r="J73" s="62"/>
      <c r="K73" s="64">
        <v>14.5</v>
      </c>
      <c r="L73" s="64">
        <f>K73*VLOOKUP(H73,dagsoorttabel1,2,FALSE)</f>
        <v>11.153846153846155</v>
      </c>
      <c r="M73" s="65">
        <f>prodnorm22</f>
        <v>0</v>
      </c>
      <c r="N73" s="66">
        <f>dagwerk22</f>
        <v>0</v>
      </c>
      <c r="O73" s="62" t="s">
        <v>36</v>
      </c>
      <c r="P73" s="67">
        <f>uurtarief22</f>
        <v>0</v>
      </c>
      <c r="Q73" s="64" t="e">
        <f>IF(ISBLANK(M73),0,L73/ROUND(M73,4))</f>
        <v>#DIV/0!</v>
      </c>
      <c r="R73" s="64" t="e">
        <f>IF(ISBLANK(M73),0,Q73*ROUND(N73,2))</f>
        <v>#DIV/0!</v>
      </c>
      <c r="S73" s="67" t="e">
        <f>ROUND(P73,2)*Q73</f>
        <v>#DIV/0!</v>
      </c>
      <c r="T73" s="64" t="e">
        <f>Q73*dagenperjaar1</f>
        <v>#DIV/0!</v>
      </c>
      <c r="U73" s="68" t="e">
        <f>T73*ROUND(P73,2)</f>
        <v>#DIV/0!</v>
      </c>
    </row>
    <row r="74" spans="1:21" x14ac:dyDescent="0.2">
      <c r="A74" s="61" t="s">
        <v>164</v>
      </c>
      <c r="B74" s="62" t="s">
        <v>165</v>
      </c>
      <c r="C74" s="62" t="s">
        <v>166</v>
      </c>
      <c r="D74" s="62" t="s">
        <v>255</v>
      </c>
      <c r="E74" s="63" t="s">
        <v>208</v>
      </c>
      <c r="F74" s="62" t="s">
        <v>210</v>
      </c>
      <c r="G74" s="62" t="s">
        <v>141</v>
      </c>
      <c r="H74" s="62" t="s">
        <v>11</v>
      </c>
      <c r="I74" s="62" t="s">
        <v>112</v>
      </c>
      <c r="J74" s="62"/>
      <c r="K74" s="64">
        <v>14.66</v>
      </c>
      <c r="L74" s="64">
        <f>K74*VLOOKUP(H74,dagsoorttabel1,2,FALSE)</f>
        <v>11.276923076923078</v>
      </c>
      <c r="M74" s="65">
        <f>prodnorm21</f>
        <v>0</v>
      </c>
      <c r="N74" s="66">
        <f>dagwerk21</f>
        <v>0</v>
      </c>
      <c r="O74" s="62" t="s">
        <v>36</v>
      </c>
      <c r="P74" s="67">
        <f>uurtarief21</f>
        <v>0</v>
      </c>
      <c r="Q74" s="64" t="e">
        <f>IF(ISBLANK(M74),0,L74/ROUND(M74,4))</f>
        <v>#DIV/0!</v>
      </c>
      <c r="R74" s="64" t="e">
        <f>IF(ISBLANK(M74),0,Q74*ROUND(N74,2))</f>
        <v>#DIV/0!</v>
      </c>
      <c r="S74" s="67" t="e">
        <f>ROUND(P74,2)*Q74</f>
        <v>#DIV/0!</v>
      </c>
      <c r="T74" s="64" t="e">
        <f>Q74*dagenperjaar1</f>
        <v>#DIV/0!</v>
      </c>
      <c r="U74" s="68" t="e">
        <f>T74*ROUND(P74,2)</f>
        <v>#DIV/0!</v>
      </c>
    </row>
    <row r="75" spans="1:21" x14ac:dyDescent="0.2">
      <c r="A75" s="61" t="s">
        <v>164</v>
      </c>
      <c r="B75" s="62" t="s">
        <v>165</v>
      </c>
      <c r="C75" s="62" t="s">
        <v>166</v>
      </c>
      <c r="D75" s="62" t="s">
        <v>256</v>
      </c>
      <c r="E75" s="63" t="s">
        <v>197</v>
      </c>
      <c r="F75" s="62" t="s">
        <v>195</v>
      </c>
      <c r="G75" s="62" t="s">
        <v>137</v>
      </c>
      <c r="H75" s="62" t="s">
        <v>11</v>
      </c>
      <c r="I75" s="62" t="s">
        <v>112</v>
      </c>
      <c r="J75" s="62"/>
      <c r="K75" s="64">
        <v>6.3599999999999994</v>
      </c>
      <c r="L75" s="64">
        <f>K75*VLOOKUP(H75,dagsoorttabel1,2,FALSE)</f>
        <v>4.8923076923076918</v>
      </c>
      <c r="M75" s="65">
        <f>prodnorm19</f>
        <v>0</v>
      </c>
      <c r="N75" s="66">
        <f>dagwerk19</f>
        <v>0</v>
      </c>
      <c r="O75" s="62" t="s">
        <v>36</v>
      </c>
      <c r="P75" s="67">
        <f>uurtarief19</f>
        <v>0</v>
      </c>
      <c r="Q75" s="64" t="e">
        <f>IF(ISBLANK(M75),0,L75/ROUND(M75,4))</f>
        <v>#DIV/0!</v>
      </c>
      <c r="R75" s="64" t="e">
        <f>IF(ISBLANK(M75),0,Q75*ROUND(N75,2))</f>
        <v>#DIV/0!</v>
      </c>
      <c r="S75" s="67" t="e">
        <f>ROUND(P75,2)*Q75</f>
        <v>#DIV/0!</v>
      </c>
      <c r="T75" s="64" t="e">
        <f>Q75*dagenperjaar1</f>
        <v>#DIV/0!</v>
      </c>
      <c r="U75" s="68" t="e">
        <f>T75*ROUND(P75,2)</f>
        <v>#DIV/0!</v>
      </c>
    </row>
    <row r="76" spans="1:21" x14ac:dyDescent="0.2">
      <c r="A76" s="61" t="s">
        <v>164</v>
      </c>
      <c r="B76" s="62" t="s">
        <v>165</v>
      </c>
      <c r="C76" s="62" t="s">
        <v>166</v>
      </c>
      <c r="D76" s="62" t="s">
        <v>256</v>
      </c>
      <c r="E76" s="63" t="s">
        <v>197</v>
      </c>
      <c r="F76" s="62" t="s">
        <v>195</v>
      </c>
      <c r="G76" s="62" t="s">
        <v>139</v>
      </c>
      <c r="H76" s="62" t="s">
        <v>11</v>
      </c>
      <c r="I76" s="62" t="s">
        <v>112</v>
      </c>
      <c r="J76" s="62"/>
      <c r="K76" s="64">
        <v>6.3599999999999994</v>
      </c>
      <c r="L76" s="64">
        <f>K76*VLOOKUP(H76,dagsoorttabel1,2,FALSE)</f>
        <v>4.8923076923076918</v>
      </c>
      <c r="M76" s="65">
        <f>prodnorm20</f>
        <v>0</v>
      </c>
      <c r="N76" s="66">
        <f>dagwerk20</f>
        <v>0</v>
      </c>
      <c r="O76" s="62" t="s">
        <v>36</v>
      </c>
      <c r="P76" s="67">
        <f>uurtarief20</f>
        <v>0</v>
      </c>
      <c r="Q76" s="64" t="e">
        <f>IF(ISBLANK(M76),0,L76/ROUND(M76,4))</f>
        <v>#DIV/0!</v>
      </c>
      <c r="R76" s="64" t="e">
        <f>IF(ISBLANK(M76),0,Q76*ROUND(N76,2))</f>
        <v>#DIV/0!</v>
      </c>
      <c r="S76" s="67" t="e">
        <f>ROUND(P76,2)*Q76</f>
        <v>#DIV/0!</v>
      </c>
      <c r="T76" s="64" t="e">
        <f>Q76*dagenperjaar1</f>
        <v>#DIV/0!</v>
      </c>
      <c r="U76" s="68" t="e">
        <f>T76*ROUND(P76,2)</f>
        <v>#DIV/0!</v>
      </c>
    </row>
    <row r="77" spans="1:21" x14ac:dyDescent="0.2">
      <c r="A77" s="61" t="s">
        <v>164</v>
      </c>
      <c r="B77" s="62" t="s">
        <v>165</v>
      </c>
      <c r="C77" s="62" t="s">
        <v>166</v>
      </c>
      <c r="D77" s="62" t="s">
        <v>257</v>
      </c>
      <c r="E77" s="63" t="s">
        <v>194</v>
      </c>
      <c r="F77" s="62" t="s">
        <v>195</v>
      </c>
      <c r="G77" s="62" t="s">
        <v>137</v>
      </c>
      <c r="H77" s="62" t="s">
        <v>11</v>
      </c>
      <c r="I77" s="62" t="s">
        <v>112</v>
      </c>
      <c r="J77" s="62"/>
      <c r="K77" s="64">
        <v>6.3599999999999994</v>
      </c>
      <c r="L77" s="64">
        <f>K77*VLOOKUP(H77,dagsoorttabel1,2,FALSE)</f>
        <v>4.8923076923076918</v>
      </c>
      <c r="M77" s="65">
        <f>prodnorm19</f>
        <v>0</v>
      </c>
      <c r="N77" s="66">
        <f>dagwerk19</f>
        <v>0</v>
      </c>
      <c r="O77" s="62" t="s">
        <v>36</v>
      </c>
      <c r="P77" s="67">
        <f>uurtarief19</f>
        <v>0</v>
      </c>
      <c r="Q77" s="64" t="e">
        <f>IF(ISBLANK(M77),0,L77/ROUND(M77,4))</f>
        <v>#DIV/0!</v>
      </c>
      <c r="R77" s="64" t="e">
        <f>IF(ISBLANK(M77),0,Q77*ROUND(N77,2))</f>
        <v>#DIV/0!</v>
      </c>
      <c r="S77" s="67" t="e">
        <f>ROUND(P77,2)*Q77</f>
        <v>#DIV/0!</v>
      </c>
      <c r="T77" s="64" t="e">
        <f>Q77*dagenperjaar1</f>
        <v>#DIV/0!</v>
      </c>
      <c r="U77" s="68" t="e">
        <f>T77*ROUND(P77,2)</f>
        <v>#DIV/0!</v>
      </c>
    </row>
    <row r="78" spans="1:21" x14ac:dyDescent="0.2">
      <c r="A78" s="61" t="s">
        <v>164</v>
      </c>
      <c r="B78" s="62" t="s">
        <v>165</v>
      </c>
      <c r="C78" s="62" t="s">
        <v>166</v>
      </c>
      <c r="D78" s="62" t="s">
        <v>257</v>
      </c>
      <c r="E78" s="63" t="s">
        <v>194</v>
      </c>
      <c r="F78" s="62" t="s">
        <v>195</v>
      </c>
      <c r="G78" s="62" t="s">
        <v>139</v>
      </c>
      <c r="H78" s="62" t="s">
        <v>11</v>
      </c>
      <c r="I78" s="62" t="s">
        <v>112</v>
      </c>
      <c r="J78" s="62"/>
      <c r="K78" s="64">
        <v>6.3599999999999994</v>
      </c>
      <c r="L78" s="64">
        <f>K78*VLOOKUP(H78,dagsoorttabel1,2,FALSE)</f>
        <v>4.8923076923076918</v>
      </c>
      <c r="M78" s="65">
        <f>prodnorm20</f>
        <v>0</v>
      </c>
      <c r="N78" s="66">
        <f>dagwerk20</f>
        <v>0</v>
      </c>
      <c r="O78" s="62" t="s">
        <v>36</v>
      </c>
      <c r="P78" s="67">
        <f>uurtarief20</f>
        <v>0</v>
      </c>
      <c r="Q78" s="64" t="e">
        <f>IF(ISBLANK(M78),0,L78/ROUND(M78,4))</f>
        <v>#DIV/0!</v>
      </c>
      <c r="R78" s="64" t="e">
        <f>IF(ISBLANK(M78),0,Q78*ROUND(N78,2))</f>
        <v>#DIV/0!</v>
      </c>
      <c r="S78" s="67" t="e">
        <f>ROUND(P78,2)*Q78</f>
        <v>#DIV/0!</v>
      </c>
      <c r="T78" s="64" t="e">
        <f>Q78*dagenperjaar1</f>
        <v>#DIV/0!</v>
      </c>
      <c r="U78" s="68" t="e">
        <f>T78*ROUND(P78,2)</f>
        <v>#DIV/0!</v>
      </c>
    </row>
    <row r="79" spans="1:21" x14ac:dyDescent="0.2">
      <c r="A79" s="61" t="s">
        <v>164</v>
      </c>
      <c r="B79" s="62" t="s">
        <v>165</v>
      </c>
      <c r="C79" s="62" t="s">
        <v>166</v>
      </c>
      <c r="D79" s="62" t="s">
        <v>258</v>
      </c>
      <c r="E79" s="63" t="s">
        <v>186</v>
      </c>
      <c r="F79" s="62" t="s">
        <v>171</v>
      </c>
      <c r="G79" s="62" t="s">
        <v>111</v>
      </c>
      <c r="H79" s="62" t="s">
        <v>16</v>
      </c>
      <c r="I79" s="62" t="s">
        <v>112</v>
      </c>
      <c r="J79" s="62"/>
      <c r="K79" s="64">
        <v>18.600000000000001</v>
      </c>
      <c r="L79" s="64">
        <f>K79*VLOOKUP(H79,dagsoorttabel1,2,FALSE)</f>
        <v>2.861538461538462</v>
      </c>
      <c r="M79" s="65">
        <f>prodnorm5</f>
        <v>0</v>
      </c>
      <c r="N79" s="66">
        <f>dagwerk5</f>
        <v>0</v>
      </c>
      <c r="O79" s="62" t="s">
        <v>36</v>
      </c>
      <c r="P79" s="67">
        <f>uurtarief5</f>
        <v>0</v>
      </c>
      <c r="Q79" s="64" t="e">
        <f>IF(ISBLANK(M79),0,L79/ROUND(M79,4))</f>
        <v>#DIV/0!</v>
      </c>
      <c r="R79" s="64" t="e">
        <f>IF(ISBLANK(M79),0,Q79*ROUND(N79,2))</f>
        <v>#DIV/0!</v>
      </c>
      <c r="S79" s="67" t="e">
        <f>ROUND(P79,2)*Q79</f>
        <v>#DIV/0!</v>
      </c>
      <c r="T79" s="64" t="e">
        <f>Q79*dagenperjaar1</f>
        <v>#DIV/0!</v>
      </c>
      <c r="U79" s="68" t="e">
        <f>T79*ROUND(P79,2)</f>
        <v>#DIV/0!</v>
      </c>
    </row>
    <row r="80" spans="1:21" x14ac:dyDescent="0.2">
      <c r="A80" s="61" t="s">
        <v>164</v>
      </c>
      <c r="B80" s="62" t="s">
        <v>165</v>
      </c>
      <c r="C80" s="62" t="s">
        <v>166</v>
      </c>
      <c r="D80" s="62" t="s">
        <v>258</v>
      </c>
      <c r="E80" s="63" t="s">
        <v>186</v>
      </c>
      <c r="F80" s="62" t="s">
        <v>171</v>
      </c>
      <c r="G80" s="62" t="s">
        <v>149</v>
      </c>
      <c r="H80" s="62" t="s">
        <v>12</v>
      </c>
      <c r="I80" s="62" t="s">
        <v>112</v>
      </c>
      <c r="J80" s="62"/>
      <c r="K80" s="64">
        <v>18.600000000000001</v>
      </c>
      <c r="L80" s="64">
        <f>K80*VLOOKUP(H80,dagsoorttabel1,2,FALSE)</f>
        <v>11.446153846153848</v>
      </c>
      <c r="M80" s="65">
        <f>prodnorm25</f>
        <v>0</v>
      </c>
      <c r="N80" s="66">
        <f>dagwerk25</f>
        <v>0</v>
      </c>
      <c r="O80" s="62" t="s">
        <v>36</v>
      </c>
      <c r="P80" s="67">
        <f>uurtarief25</f>
        <v>0</v>
      </c>
      <c r="Q80" s="64" t="e">
        <f>IF(ISBLANK(M80),0,L80/ROUND(M80,4))</f>
        <v>#DIV/0!</v>
      </c>
      <c r="R80" s="64" t="e">
        <f>IF(ISBLANK(M80),0,Q80*ROUND(N80,2))</f>
        <v>#DIV/0!</v>
      </c>
      <c r="S80" s="67" t="e">
        <f>ROUND(P80,2)*Q80</f>
        <v>#DIV/0!</v>
      </c>
      <c r="T80" s="64" t="e">
        <f>Q80*dagenperjaar1</f>
        <v>#DIV/0!</v>
      </c>
      <c r="U80" s="68" t="e">
        <f>T80*ROUND(P80,2)</f>
        <v>#DIV/0!</v>
      </c>
    </row>
    <row r="81" spans="1:21" x14ac:dyDescent="0.2">
      <c r="A81" s="61" t="s">
        <v>164</v>
      </c>
      <c r="B81" s="62" t="s">
        <v>165</v>
      </c>
      <c r="C81" s="62" t="s">
        <v>166</v>
      </c>
      <c r="D81" s="62" t="s">
        <v>259</v>
      </c>
      <c r="E81" s="63" t="s">
        <v>260</v>
      </c>
      <c r="F81" s="62" t="s">
        <v>195</v>
      </c>
      <c r="G81" s="62" t="s">
        <v>137</v>
      </c>
      <c r="H81" s="62" t="s">
        <v>11</v>
      </c>
      <c r="I81" s="62" t="s">
        <v>112</v>
      </c>
      <c r="J81" s="62"/>
      <c r="K81" s="64">
        <v>3.5</v>
      </c>
      <c r="L81" s="64">
        <f>K81*VLOOKUP(H81,dagsoorttabel1,2,FALSE)</f>
        <v>2.6923076923076925</v>
      </c>
      <c r="M81" s="65">
        <f>prodnorm19</f>
        <v>0</v>
      </c>
      <c r="N81" s="66">
        <f>dagwerk19</f>
        <v>0</v>
      </c>
      <c r="O81" s="62" t="s">
        <v>36</v>
      </c>
      <c r="P81" s="67">
        <f>uurtarief19</f>
        <v>0</v>
      </c>
      <c r="Q81" s="64" t="e">
        <f>IF(ISBLANK(M81),0,L81/ROUND(M81,4))</f>
        <v>#DIV/0!</v>
      </c>
      <c r="R81" s="64" t="e">
        <f>IF(ISBLANK(M81),0,Q81*ROUND(N81,2))</f>
        <v>#DIV/0!</v>
      </c>
      <c r="S81" s="67" t="e">
        <f>ROUND(P81,2)*Q81</f>
        <v>#DIV/0!</v>
      </c>
      <c r="T81" s="64" t="e">
        <f>Q81*dagenperjaar1</f>
        <v>#DIV/0!</v>
      </c>
      <c r="U81" s="68" t="e">
        <f>T81*ROUND(P81,2)</f>
        <v>#DIV/0!</v>
      </c>
    </row>
    <row r="82" spans="1:21" x14ac:dyDescent="0.2">
      <c r="A82" s="61" t="s">
        <v>164</v>
      </c>
      <c r="B82" s="62" t="s">
        <v>165</v>
      </c>
      <c r="C82" s="62" t="s">
        <v>166</v>
      </c>
      <c r="D82" s="62" t="s">
        <v>261</v>
      </c>
      <c r="E82" s="63" t="s">
        <v>262</v>
      </c>
      <c r="F82" s="62" t="s">
        <v>174</v>
      </c>
      <c r="G82" s="62" t="s">
        <v>120</v>
      </c>
      <c r="H82" s="62" t="s">
        <v>11</v>
      </c>
      <c r="I82" s="62" t="s">
        <v>112</v>
      </c>
      <c r="J82" s="62"/>
      <c r="K82" s="64">
        <v>1.5</v>
      </c>
      <c r="L82" s="64">
        <f>K82*VLOOKUP(H82,dagsoorttabel1,2,FALSE)</f>
        <v>1.153846153846154</v>
      </c>
      <c r="M82" s="65">
        <f>prodnorm9</f>
        <v>0</v>
      </c>
      <c r="N82" s="66">
        <f>dagwerk9</f>
        <v>0</v>
      </c>
      <c r="O82" s="62" t="s">
        <v>36</v>
      </c>
      <c r="P82" s="67">
        <f>uurtarief9</f>
        <v>0</v>
      </c>
      <c r="Q82" s="64" t="e">
        <f>IF(ISBLANK(M82),0,L82/ROUND(M82,4))</f>
        <v>#DIV/0!</v>
      </c>
      <c r="R82" s="64" t="e">
        <f>IF(ISBLANK(M82),0,Q82*ROUND(N82,2))</f>
        <v>#DIV/0!</v>
      </c>
      <c r="S82" s="67" t="e">
        <f>ROUND(P82,2)*Q82</f>
        <v>#DIV/0!</v>
      </c>
      <c r="T82" s="64" t="e">
        <f>Q82*dagenperjaar1</f>
        <v>#DIV/0!</v>
      </c>
      <c r="U82" s="68" t="e">
        <f>T82*ROUND(P82,2)</f>
        <v>#DIV/0!</v>
      </c>
    </row>
    <row r="83" spans="1:21" x14ac:dyDescent="0.2">
      <c r="A83" s="61" t="s">
        <v>164</v>
      </c>
      <c r="B83" s="62" t="s">
        <v>165</v>
      </c>
      <c r="C83" s="62" t="s">
        <v>166</v>
      </c>
      <c r="D83" s="62" t="s">
        <v>263</v>
      </c>
      <c r="E83" s="63" t="s">
        <v>186</v>
      </c>
      <c r="F83" s="62" t="s">
        <v>174</v>
      </c>
      <c r="G83" s="62" t="s">
        <v>111</v>
      </c>
      <c r="H83" s="62" t="s">
        <v>16</v>
      </c>
      <c r="I83" s="62" t="s">
        <v>112</v>
      </c>
      <c r="J83" s="62"/>
      <c r="K83" s="64">
        <v>16.36</v>
      </c>
      <c r="L83" s="64">
        <f>K83*VLOOKUP(H83,dagsoorttabel1,2,FALSE)</f>
        <v>2.516923076923077</v>
      </c>
      <c r="M83" s="65">
        <f>prodnorm5</f>
        <v>0</v>
      </c>
      <c r="N83" s="66">
        <f>dagwerk5</f>
        <v>0</v>
      </c>
      <c r="O83" s="62" t="s">
        <v>36</v>
      </c>
      <c r="P83" s="67">
        <f>uurtarief5</f>
        <v>0</v>
      </c>
      <c r="Q83" s="64" t="e">
        <f>IF(ISBLANK(M83),0,L83/ROUND(M83,4))</f>
        <v>#DIV/0!</v>
      </c>
      <c r="R83" s="64" t="e">
        <f>IF(ISBLANK(M83),0,Q83*ROUND(N83,2))</f>
        <v>#DIV/0!</v>
      </c>
      <c r="S83" s="67" t="e">
        <f>ROUND(P83,2)*Q83</f>
        <v>#DIV/0!</v>
      </c>
      <c r="T83" s="64" t="e">
        <f>Q83*dagenperjaar1</f>
        <v>#DIV/0!</v>
      </c>
      <c r="U83" s="68" t="e">
        <f>T83*ROUND(P83,2)</f>
        <v>#DIV/0!</v>
      </c>
    </row>
    <row r="84" spans="1:21" x14ac:dyDescent="0.2">
      <c r="A84" s="61" t="s">
        <v>164</v>
      </c>
      <c r="B84" s="62" t="s">
        <v>165</v>
      </c>
      <c r="C84" s="62" t="s">
        <v>166</v>
      </c>
      <c r="D84" s="62" t="s">
        <v>263</v>
      </c>
      <c r="E84" s="63" t="s">
        <v>186</v>
      </c>
      <c r="F84" s="62" t="s">
        <v>174</v>
      </c>
      <c r="G84" s="62" t="s">
        <v>149</v>
      </c>
      <c r="H84" s="62" t="s">
        <v>12</v>
      </c>
      <c r="I84" s="62" t="s">
        <v>112</v>
      </c>
      <c r="J84" s="62"/>
      <c r="K84" s="64">
        <v>16.36</v>
      </c>
      <c r="L84" s="64">
        <f>K84*VLOOKUP(H84,dagsoorttabel1,2,FALSE)</f>
        <v>10.067692307692308</v>
      </c>
      <c r="M84" s="65">
        <f>prodnorm25</f>
        <v>0</v>
      </c>
      <c r="N84" s="66">
        <f>dagwerk25</f>
        <v>0</v>
      </c>
      <c r="O84" s="62" t="s">
        <v>36</v>
      </c>
      <c r="P84" s="67">
        <f>uurtarief25</f>
        <v>0</v>
      </c>
      <c r="Q84" s="64" t="e">
        <f>IF(ISBLANK(M84),0,L84/ROUND(M84,4))</f>
        <v>#DIV/0!</v>
      </c>
      <c r="R84" s="64" t="e">
        <f>IF(ISBLANK(M84),0,Q84*ROUND(N84,2))</f>
        <v>#DIV/0!</v>
      </c>
      <c r="S84" s="67" t="e">
        <f>ROUND(P84,2)*Q84</f>
        <v>#DIV/0!</v>
      </c>
      <c r="T84" s="64" t="e">
        <f>Q84*dagenperjaar1</f>
        <v>#DIV/0!</v>
      </c>
      <c r="U84" s="68" t="e">
        <f>T84*ROUND(P84,2)</f>
        <v>#DIV/0!</v>
      </c>
    </row>
    <row r="85" spans="1:21" x14ac:dyDescent="0.2">
      <c r="A85" s="61" t="s">
        <v>164</v>
      </c>
      <c r="B85" s="62" t="s">
        <v>165</v>
      </c>
      <c r="C85" s="62" t="s">
        <v>166</v>
      </c>
      <c r="D85" s="62" t="s">
        <v>264</v>
      </c>
      <c r="E85" s="63" t="s">
        <v>265</v>
      </c>
      <c r="F85" s="62" t="s">
        <v>174</v>
      </c>
      <c r="G85" s="62" t="s">
        <v>124</v>
      </c>
      <c r="H85" s="62" t="s">
        <v>12</v>
      </c>
      <c r="I85" s="62" t="s">
        <v>112</v>
      </c>
      <c r="J85" s="62"/>
      <c r="K85" s="64">
        <v>58.849999999999994</v>
      </c>
      <c r="L85" s="64">
        <f>K85*VLOOKUP(H85,dagsoorttabel1,2,FALSE)</f>
        <v>36.215384615384615</v>
      </c>
      <c r="M85" s="65">
        <f>prodnorm11</f>
        <v>0</v>
      </c>
      <c r="N85" s="66">
        <f>dagwerk11</f>
        <v>0</v>
      </c>
      <c r="O85" s="62" t="s">
        <v>36</v>
      </c>
      <c r="P85" s="67">
        <f>uurtarief11</f>
        <v>0</v>
      </c>
      <c r="Q85" s="64" t="e">
        <f>IF(ISBLANK(M85),0,L85/ROUND(M85,4))</f>
        <v>#DIV/0!</v>
      </c>
      <c r="R85" s="64" t="e">
        <f>IF(ISBLANK(M85),0,Q85*ROUND(N85,2))</f>
        <v>#DIV/0!</v>
      </c>
      <c r="S85" s="67" t="e">
        <f>ROUND(P85,2)*Q85</f>
        <v>#DIV/0!</v>
      </c>
      <c r="T85" s="64" t="e">
        <f>Q85*dagenperjaar1</f>
        <v>#DIV/0!</v>
      </c>
      <c r="U85" s="68" t="e">
        <f>T85*ROUND(P85,2)</f>
        <v>#DIV/0!</v>
      </c>
    </row>
    <row r="86" spans="1:21" x14ac:dyDescent="0.2">
      <c r="A86" s="61" t="s">
        <v>164</v>
      </c>
      <c r="B86" s="62" t="s">
        <v>165</v>
      </c>
      <c r="C86" s="62" t="s">
        <v>166</v>
      </c>
      <c r="D86" s="62" t="s">
        <v>266</v>
      </c>
      <c r="E86" s="63" t="s">
        <v>267</v>
      </c>
      <c r="F86" s="62" t="s">
        <v>174</v>
      </c>
      <c r="G86" s="62" t="s">
        <v>130</v>
      </c>
      <c r="H86" s="62" t="s">
        <v>11</v>
      </c>
      <c r="I86" s="62" t="s">
        <v>112</v>
      </c>
      <c r="J86" s="62"/>
      <c r="K86" s="64">
        <v>86</v>
      </c>
      <c r="L86" s="64">
        <f>K86*VLOOKUP(H86,dagsoorttabel1,2,FALSE)</f>
        <v>66.15384615384616</v>
      </c>
      <c r="M86" s="65">
        <f>prodnorm15</f>
        <v>0</v>
      </c>
      <c r="N86" s="66">
        <f>dagwerk15</f>
        <v>0</v>
      </c>
      <c r="O86" s="62" t="s">
        <v>36</v>
      </c>
      <c r="P86" s="67">
        <f>uurtarief15</f>
        <v>0</v>
      </c>
      <c r="Q86" s="64" t="e">
        <f>IF(ISBLANK(M86),0,L86/ROUND(M86,4))</f>
        <v>#DIV/0!</v>
      </c>
      <c r="R86" s="64" t="e">
        <f>IF(ISBLANK(M86),0,Q86*ROUND(N86,2))</f>
        <v>#DIV/0!</v>
      </c>
      <c r="S86" s="67" t="e">
        <f>ROUND(P86,2)*Q86</f>
        <v>#DIV/0!</v>
      </c>
      <c r="T86" s="64" t="e">
        <f>Q86*dagenperjaar1</f>
        <v>#DIV/0!</v>
      </c>
      <c r="U86" s="68" t="e">
        <f>T86*ROUND(P86,2)</f>
        <v>#DIV/0!</v>
      </c>
    </row>
    <row r="87" spans="1:21" x14ac:dyDescent="0.2">
      <c r="A87" s="61" t="s">
        <v>164</v>
      </c>
      <c r="B87" s="62" t="s">
        <v>165</v>
      </c>
      <c r="C87" s="62" t="s">
        <v>166</v>
      </c>
      <c r="D87" s="62" t="s">
        <v>268</v>
      </c>
      <c r="E87" s="63" t="s">
        <v>265</v>
      </c>
      <c r="F87" s="62" t="s">
        <v>174</v>
      </c>
      <c r="G87" s="62" t="s">
        <v>124</v>
      </c>
      <c r="H87" s="62" t="s">
        <v>12</v>
      </c>
      <c r="I87" s="62" t="s">
        <v>112</v>
      </c>
      <c r="J87" s="62"/>
      <c r="K87" s="64">
        <v>56.14</v>
      </c>
      <c r="L87" s="64">
        <f>K87*VLOOKUP(H87,dagsoorttabel1,2,FALSE)</f>
        <v>34.547692307692309</v>
      </c>
      <c r="M87" s="65">
        <f>prodnorm11</f>
        <v>0</v>
      </c>
      <c r="N87" s="66">
        <f>dagwerk11</f>
        <v>0</v>
      </c>
      <c r="O87" s="62" t="s">
        <v>36</v>
      </c>
      <c r="P87" s="67">
        <f>uurtarief11</f>
        <v>0</v>
      </c>
      <c r="Q87" s="64" t="e">
        <f>IF(ISBLANK(M87),0,L87/ROUND(M87,4))</f>
        <v>#DIV/0!</v>
      </c>
      <c r="R87" s="64" t="e">
        <f>IF(ISBLANK(M87),0,Q87*ROUND(N87,2))</f>
        <v>#DIV/0!</v>
      </c>
      <c r="S87" s="67" t="e">
        <f>ROUND(P87,2)*Q87</f>
        <v>#DIV/0!</v>
      </c>
      <c r="T87" s="64" t="e">
        <f>Q87*dagenperjaar1</f>
        <v>#DIV/0!</v>
      </c>
      <c r="U87" s="68" t="e">
        <f>T87*ROUND(P87,2)</f>
        <v>#DIV/0!</v>
      </c>
    </row>
    <row r="88" spans="1:21" x14ac:dyDescent="0.2">
      <c r="A88" s="61" t="s">
        <v>164</v>
      </c>
      <c r="B88" s="62" t="s">
        <v>165</v>
      </c>
      <c r="C88" s="62" t="s">
        <v>166</v>
      </c>
      <c r="D88" s="62" t="s">
        <v>269</v>
      </c>
      <c r="E88" s="63" t="s">
        <v>265</v>
      </c>
      <c r="F88" s="62" t="s">
        <v>174</v>
      </c>
      <c r="G88" s="62" t="s">
        <v>124</v>
      </c>
      <c r="H88" s="62" t="s">
        <v>12</v>
      </c>
      <c r="I88" s="62" t="s">
        <v>112</v>
      </c>
      <c r="J88" s="62"/>
      <c r="K88" s="64">
        <v>58.4</v>
      </c>
      <c r="L88" s="64">
        <f>K88*VLOOKUP(H88,dagsoorttabel1,2,FALSE)</f>
        <v>35.938461538461539</v>
      </c>
      <c r="M88" s="65">
        <f>prodnorm11</f>
        <v>0</v>
      </c>
      <c r="N88" s="66">
        <f>dagwerk11</f>
        <v>0</v>
      </c>
      <c r="O88" s="62" t="s">
        <v>36</v>
      </c>
      <c r="P88" s="67">
        <f>uurtarief11</f>
        <v>0</v>
      </c>
      <c r="Q88" s="64" t="e">
        <f>IF(ISBLANK(M88),0,L88/ROUND(M88,4))</f>
        <v>#DIV/0!</v>
      </c>
      <c r="R88" s="64" t="e">
        <f>IF(ISBLANK(M88),0,Q88*ROUND(N88,2))</f>
        <v>#DIV/0!</v>
      </c>
      <c r="S88" s="67" t="e">
        <f>ROUND(P88,2)*Q88</f>
        <v>#DIV/0!</v>
      </c>
      <c r="T88" s="64" t="e">
        <f>Q88*dagenperjaar1</f>
        <v>#DIV/0!</v>
      </c>
      <c r="U88" s="68" t="e">
        <f>T88*ROUND(P88,2)</f>
        <v>#DIV/0!</v>
      </c>
    </row>
    <row r="89" spans="1:21" x14ac:dyDescent="0.2">
      <c r="A89" s="61" t="s">
        <v>164</v>
      </c>
      <c r="B89" s="62" t="s">
        <v>165</v>
      </c>
      <c r="C89" s="62" t="s">
        <v>166</v>
      </c>
      <c r="D89" s="62" t="s">
        <v>270</v>
      </c>
      <c r="E89" s="63" t="s">
        <v>186</v>
      </c>
      <c r="F89" s="62" t="s">
        <v>171</v>
      </c>
      <c r="G89" s="62" t="s">
        <v>114</v>
      </c>
      <c r="H89" s="62" t="s">
        <v>16</v>
      </c>
      <c r="I89" s="62" t="s">
        <v>112</v>
      </c>
      <c r="J89" s="62"/>
      <c r="K89" s="64">
        <v>23.53</v>
      </c>
      <c r="L89" s="64">
        <f>K89*VLOOKUP(H89,dagsoorttabel1,2,FALSE)</f>
        <v>3.6200000000000006</v>
      </c>
      <c r="M89" s="65">
        <f>prodnorm6</f>
        <v>0</v>
      </c>
      <c r="N89" s="66">
        <f>dagwerk6</f>
        <v>0</v>
      </c>
      <c r="O89" s="62" t="s">
        <v>36</v>
      </c>
      <c r="P89" s="67">
        <f>uurtarief6</f>
        <v>0</v>
      </c>
      <c r="Q89" s="64" t="e">
        <f>IF(ISBLANK(M89),0,L89/ROUND(M89,4))</f>
        <v>#DIV/0!</v>
      </c>
      <c r="R89" s="64" t="e">
        <f>IF(ISBLANK(M89),0,Q89*ROUND(N89,2))</f>
        <v>#DIV/0!</v>
      </c>
      <c r="S89" s="67" t="e">
        <f>ROUND(P89,2)*Q89</f>
        <v>#DIV/0!</v>
      </c>
      <c r="T89" s="64" t="e">
        <f>Q89*dagenperjaar1</f>
        <v>#DIV/0!</v>
      </c>
      <c r="U89" s="68" t="e">
        <f>T89*ROUND(P89,2)</f>
        <v>#DIV/0!</v>
      </c>
    </row>
    <row r="90" spans="1:21" x14ac:dyDescent="0.2">
      <c r="A90" s="61" t="s">
        <v>164</v>
      </c>
      <c r="B90" s="62" t="s">
        <v>165</v>
      </c>
      <c r="C90" s="62" t="s">
        <v>166</v>
      </c>
      <c r="D90" s="62" t="s">
        <v>270</v>
      </c>
      <c r="E90" s="63" t="s">
        <v>186</v>
      </c>
      <c r="F90" s="62" t="s">
        <v>171</v>
      </c>
      <c r="G90" s="62" t="s">
        <v>149</v>
      </c>
      <c r="H90" s="62" t="s">
        <v>12</v>
      </c>
      <c r="I90" s="62" t="s">
        <v>112</v>
      </c>
      <c r="J90" s="62"/>
      <c r="K90" s="64">
        <v>23.53</v>
      </c>
      <c r="L90" s="64">
        <f>K90*VLOOKUP(H90,dagsoorttabel1,2,FALSE)</f>
        <v>14.480000000000002</v>
      </c>
      <c r="M90" s="65">
        <f>prodnorm25</f>
        <v>0</v>
      </c>
      <c r="N90" s="66">
        <f>dagwerk25</f>
        <v>0</v>
      </c>
      <c r="O90" s="62" t="s">
        <v>36</v>
      </c>
      <c r="P90" s="67">
        <f>uurtarief25</f>
        <v>0</v>
      </c>
      <c r="Q90" s="64" t="e">
        <f>IF(ISBLANK(M90),0,L90/ROUND(M90,4))</f>
        <v>#DIV/0!</v>
      </c>
      <c r="R90" s="64" t="e">
        <f>IF(ISBLANK(M90),0,Q90*ROUND(N90,2))</f>
        <v>#DIV/0!</v>
      </c>
      <c r="S90" s="67" t="e">
        <f>ROUND(P90,2)*Q90</f>
        <v>#DIV/0!</v>
      </c>
      <c r="T90" s="64" t="e">
        <f>Q90*dagenperjaar1</f>
        <v>#DIV/0!</v>
      </c>
      <c r="U90" s="68" t="e">
        <f>T90*ROUND(P90,2)</f>
        <v>#DIV/0!</v>
      </c>
    </row>
    <row r="91" spans="1:21" x14ac:dyDescent="0.2">
      <c r="A91" s="61" t="s">
        <v>164</v>
      </c>
      <c r="B91" s="62" t="s">
        <v>165</v>
      </c>
      <c r="C91" s="62" t="s">
        <v>166</v>
      </c>
      <c r="D91" s="62" t="s">
        <v>271</v>
      </c>
      <c r="E91" s="63" t="s">
        <v>265</v>
      </c>
      <c r="F91" s="62" t="s">
        <v>174</v>
      </c>
      <c r="G91" s="62" t="s">
        <v>124</v>
      </c>
      <c r="H91" s="62" t="s">
        <v>12</v>
      </c>
      <c r="I91" s="62" t="s">
        <v>112</v>
      </c>
      <c r="J91" s="62"/>
      <c r="K91" s="64">
        <v>58.4</v>
      </c>
      <c r="L91" s="64">
        <f>K91*VLOOKUP(H91,dagsoorttabel1,2,FALSE)</f>
        <v>35.938461538461539</v>
      </c>
      <c r="M91" s="65">
        <f>prodnorm11</f>
        <v>0</v>
      </c>
      <c r="N91" s="66">
        <f>dagwerk11</f>
        <v>0</v>
      </c>
      <c r="O91" s="62" t="s">
        <v>36</v>
      </c>
      <c r="P91" s="67">
        <f>uurtarief11</f>
        <v>0</v>
      </c>
      <c r="Q91" s="64" t="e">
        <f>IF(ISBLANK(M91),0,L91/ROUND(M91,4))</f>
        <v>#DIV/0!</v>
      </c>
      <c r="R91" s="64" t="e">
        <f>IF(ISBLANK(M91),0,Q91*ROUND(N91,2))</f>
        <v>#DIV/0!</v>
      </c>
      <c r="S91" s="67" t="e">
        <f>ROUND(P91,2)*Q91</f>
        <v>#DIV/0!</v>
      </c>
      <c r="T91" s="64" t="e">
        <f>Q91*dagenperjaar1</f>
        <v>#DIV/0!</v>
      </c>
      <c r="U91" s="68" t="e">
        <f>T91*ROUND(P91,2)</f>
        <v>#DIV/0!</v>
      </c>
    </row>
    <row r="92" spans="1:21" x14ac:dyDescent="0.2">
      <c r="A92" s="61" t="s">
        <v>164</v>
      </c>
      <c r="B92" s="62" t="s">
        <v>165</v>
      </c>
      <c r="C92" s="62" t="s">
        <v>166</v>
      </c>
      <c r="D92" s="62" t="s">
        <v>272</v>
      </c>
      <c r="E92" s="63" t="s">
        <v>173</v>
      </c>
      <c r="F92" s="62" t="s">
        <v>174</v>
      </c>
      <c r="G92" s="62" t="s">
        <v>143</v>
      </c>
      <c r="H92" s="62" t="s">
        <v>11</v>
      </c>
      <c r="I92" s="62" t="s">
        <v>112</v>
      </c>
      <c r="J92" s="62"/>
      <c r="K92" s="64">
        <v>92.940000000000012</v>
      </c>
      <c r="L92" s="64">
        <f>K92*VLOOKUP(H92,dagsoorttabel1,2,FALSE)</f>
        <v>71.492307692307705</v>
      </c>
      <c r="M92" s="65">
        <f>prodnorm22</f>
        <v>0</v>
      </c>
      <c r="N92" s="66">
        <f>dagwerk22</f>
        <v>0</v>
      </c>
      <c r="O92" s="62" t="s">
        <v>36</v>
      </c>
      <c r="P92" s="67">
        <f>uurtarief22</f>
        <v>0</v>
      </c>
      <c r="Q92" s="64" t="e">
        <f>IF(ISBLANK(M92),0,L92/ROUND(M92,4))</f>
        <v>#DIV/0!</v>
      </c>
      <c r="R92" s="64" t="e">
        <f>IF(ISBLANK(M92),0,Q92*ROUND(N92,2))</f>
        <v>#DIV/0!</v>
      </c>
      <c r="S92" s="67" t="e">
        <f>ROUND(P92,2)*Q92</f>
        <v>#DIV/0!</v>
      </c>
      <c r="T92" s="64" t="e">
        <f>Q92*dagenperjaar1</f>
        <v>#DIV/0!</v>
      </c>
      <c r="U92" s="68" t="e">
        <f>T92*ROUND(P92,2)</f>
        <v>#DIV/0!</v>
      </c>
    </row>
    <row r="93" spans="1:21" x14ac:dyDescent="0.2">
      <c r="A93" s="61" t="s">
        <v>164</v>
      </c>
      <c r="B93" s="62" t="s">
        <v>165</v>
      </c>
      <c r="C93" s="62" t="s">
        <v>166</v>
      </c>
      <c r="D93" s="62" t="s">
        <v>273</v>
      </c>
      <c r="E93" s="63" t="s">
        <v>274</v>
      </c>
      <c r="F93" s="62" t="s">
        <v>210</v>
      </c>
      <c r="G93" s="62" t="s">
        <v>141</v>
      </c>
      <c r="H93" s="62" t="s">
        <v>11</v>
      </c>
      <c r="I93" s="62" t="s">
        <v>112</v>
      </c>
      <c r="J93" s="62"/>
      <c r="K93" s="64">
        <v>6.7700000000000005</v>
      </c>
      <c r="L93" s="64">
        <f>K93*VLOOKUP(H93,dagsoorttabel1,2,FALSE)</f>
        <v>5.2076923076923087</v>
      </c>
      <c r="M93" s="65">
        <f>prodnorm21</f>
        <v>0</v>
      </c>
      <c r="N93" s="66">
        <f>dagwerk21</f>
        <v>0</v>
      </c>
      <c r="O93" s="62" t="s">
        <v>36</v>
      </c>
      <c r="P93" s="67">
        <f>uurtarief21</f>
        <v>0</v>
      </c>
      <c r="Q93" s="64" t="e">
        <f>IF(ISBLANK(M93),0,L93/ROUND(M93,4))</f>
        <v>#DIV/0!</v>
      </c>
      <c r="R93" s="64" t="e">
        <f>IF(ISBLANK(M93),0,Q93*ROUND(N93,2))</f>
        <v>#DIV/0!</v>
      </c>
      <c r="S93" s="67" t="e">
        <f>ROUND(P93,2)*Q93</f>
        <v>#DIV/0!</v>
      </c>
      <c r="T93" s="64" t="e">
        <f>Q93*dagenperjaar1</f>
        <v>#DIV/0!</v>
      </c>
      <c r="U93" s="68" t="e">
        <f>T93*ROUND(P93,2)</f>
        <v>#DIV/0!</v>
      </c>
    </row>
    <row r="94" spans="1:21" x14ac:dyDescent="0.2">
      <c r="A94" s="61" t="s">
        <v>164</v>
      </c>
      <c r="B94" s="62" t="s">
        <v>165</v>
      </c>
      <c r="C94" s="62" t="s">
        <v>166</v>
      </c>
      <c r="D94" s="62" t="s">
        <v>275</v>
      </c>
      <c r="E94" s="63" t="s">
        <v>265</v>
      </c>
      <c r="F94" s="62" t="s">
        <v>174</v>
      </c>
      <c r="G94" s="62" t="s">
        <v>124</v>
      </c>
      <c r="H94" s="62" t="s">
        <v>12</v>
      </c>
      <c r="I94" s="62" t="s">
        <v>112</v>
      </c>
      <c r="J94" s="62"/>
      <c r="K94" s="64">
        <v>58.4</v>
      </c>
      <c r="L94" s="64">
        <f>K94*VLOOKUP(H94,dagsoorttabel1,2,FALSE)</f>
        <v>35.938461538461539</v>
      </c>
      <c r="M94" s="65">
        <f>prodnorm11</f>
        <v>0</v>
      </c>
      <c r="N94" s="66">
        <f>dagwerk11</f>
        <v>0</v>
      </c>
      <c r="O94" s="62" t="s">
        <v>36</v>
      </c>
      <c r="P94" s="67">
        <f>uurtarief11</f>
        <v>0</v>
      </c>
      <c r="Q94" s="64" t="e">
        <f>IF(ISBLANK(M94),0,L94/ROUND(M94,4))</f>
        <v>#DIV/0!</v>
      </c>
      <c r="R94" s="64" t="e">
        <f>IF(ISBLANK(M94),0,Q94*ROUND(N94,2))</f>
        <v>#DIV/0!</v>
      </c>
      <c r="S94" s="67" t="e">
        <f>ROUND(P94,2)*Q94</f>
        <v>#DIV/0!</v>
      </c>
      <c r="T94" s="64" t="e">
        <f>Q94*dagenperjaar1</f>
        <v>#DIV/0!</v>
      </c>
      <c r="U94" s="68" t="e">
        <f>T94*ROUND(P94,2)</f>
        <v>#DIV/0!</v>
      </c>
    </row>
    <row r="95" spans="1:21" x14ac:dyDescent="0.2">
      <c r="A95" s="61" t="s">
        <v>164</v>
      </c>
      <c r="B95" s="62" t="s">
        <v>165</v>
      </c>
      <c r="C95" s="62" t="s">
        <v>166</v>
      </c>
      <c r="D95" s="62" t="s">
        <v>276</v>
      </c>
      <c r="E95" s="63" t="s">
        <v>173</v>
      </c>
      <c r="F95" s="62" t="s">
        <v>174</v>
      </c>
      <c r="G95" s="62" t="s">
        <v>143</v>
      </c>
      <c r="H95" s="62" t="s">
        <v>11</v>
      </c>
      <c r="I95" s="62" t="s">
        <v>112</v>
      </c>
      <c r="J95" s="62"/>
      <c r="K95" s="64">
        <v>35.82</v>
      </c>
      <c r="L95" s="64">
        <f>K95*VLOOKUP(H95,dagsoorttabel1,2,FALSE)</f>
        <v>27.553846153846155</v>
      </c>
      <c r="M95" s="65">
        <f>prodnorm22</f>
        <v>0</v>
      </c>
      <c r="N95" s="66">
        <f>dagwerk22</f>
        <v>0</v>
      </c>
      <c r="O95" s="62" t="s">
        <v>36</v>
      </c>
      <c r="P95" s="67">
        <f>uurtarief22</f>
        <v>0</v>
      </c>
      <c r="Q95" s="64" t="e">
        <f>IF(ISBLANK(M95),0,L95/ROUND(M95,4))</f>
        <v>#DIV/0!</v>
      </c>
      <c r="R95" s="64" t="e">
        <f>IF(ISBLANK(M95),0,Q95*ROUND(N95,2))</f>
        <v>#DIV/0!</v>
      </c>
      <c r="S95" s="67" t="e">
        <f>ROUND(P95,2)*Q95</f>
        <v>#DIV/0!</v>
      </c>
      <c r="T95" s="64" t="e">
        <f>Q95*dagenperjaar1</f>
        <v>#DIV/0!</v>
      </c>
      <c r="U95" s="68" t="e">
        <f>T95*ROUND(P95,2)</f>
        <v>#DIV/0!</v>
      </c>
    </row>
    <row r="96" spans="1:21" x14ac:dyDescent="0.2">
      <c r="A96" s="61" t="s">
        <v>164</v>
      </c>
      <c r="B96" s="62" t="s">
        <v>165</v>
      </c>
      <c r="C96" s="62" t="s">
        <v>166</v>
      </c>
      <c r="D96" s="62" t="s">
        <v>277</v>
      </c>
      <c r="E96" s="63" t="s">
        <v>265</v>
      </c>
      <c r="F96" s="62" t="s">
        <v>174</v>
      </c>
      <c r="G96" s="62" t="s">
        <v>124</v>
      </c>
      <c r="H96" s="62" t="s">
        <v>12</v>
      </c>
      <c r="I96" s="62" t="s">
        <v>112</v>
      </c>
      <c r="J96" s="62"/>
      <c r="K96" s="64">
        <v>56.14</v>
      </c>
      <c r="L96" s="64">
        <f>K96*VLOOKUP(H96,dagsoorttabel1,2,FALSE)</f>
        <v>34.547692307692309</v>
      </c>
      <c r="M96" s="65">
        <f>prodnorm11</f>
        <v>0</v>
      </c>
      <c r="N96" s="66">
        <f>dagwerk11</f>
        <v>0</v>
      </c>
      <c r="O96" s="62" t="s">
        <v>36</v>
      </c>
      <c r="P96" s="67">
        <f>uurtarief11</f>
        <v>0</v>
      </c>
      <c r="Q96" s="64" t="e">
        <f>IF(ISBLANK(M96),0,L96/ROUND(M96,4))</f>
        <v>#DIV/0!</v>
      </c>
      <c r="R96" s="64" t="e">
        <f>IF(ISBLANK(M96),0,Q96*ROUND(N96,2))</f>
        <v>#DIV/0!</v>
      </c>
      <c r="S96" s="67" t="e">
        <f>ROUND(P96,2)*Q96</f>
        <v>#DIV/0!</v>
      </c>
      <c r="T96" s="64" t="e">
        <f>Q96*dagenperjaar1</f>
        <v>#DIV/0!</v>
      </c>
      <c r="U96" s="68" t="e">
        <f>T96*ROUND(P96,2)</f>
        <v>#DIV/0!</v>
      </c>
    </row>
    <row r="97" spans="1:21" x14ac:dyDescent="0.2">
      <c r="A97" s="61" t="s">
        <v>164</v>
      </c>
      <c r="B97" s="62" t="s">
        <v>165</v>
      </c>
      <c r="C97" s="62" t="s">
        <v>166</v>
      </c>
      <c r="D97" s="62" t="s">
        <v>278</v>
      </c>
      <c r="E97" s="63" t="s">
        <v>208</v>
      </c>
      <c r="F97" s="62" t="s">
        <v>174</v>
      </c>
      <c r="G97" s="62" t="s">
        <v>141</v>
      </c>
      <c r="H97" s="62" t="s">
        <v>11</v>
      </c>
      <c r="I97" s="62" t="s">
        <v>112</v>
      </c>
      <c r="J97" s="62"/>
      <c r="K97" s="64">
        <v>18.3</v>
      </c>
      <c r="L97" s="64">
        <f>K97*VLOOKUP(H97,dagsoorttabel1,2,FALSE)</f>
        <v>14.076923076923078</v>
      </c>
      <c r="M97" s="65">
        <f>prodnorm21</f>
        <v>0</v>
      </c>
      <c r="N97" s="66">
        <f>dagwerk21</f>
        <v>0</v>
      </c>
      <c r="O97" s="62" t="s">
        <v>36</v>
      </c>
      <c r="P97" s="67">
        <f>uurtarief21</f>
        <v>0</v>
      </c>
      <c r="Q97" s="64" t="e">
        <f>IF(ISBLANK(M97),0,L97/ROUND(M97,4))</f>
        <v>#DIV/0!</v>
      </c>
      <c r="R97" s="64" t="e">
        <f>IF(ISBLANK(M97),0,Q97*ROUND(N97,2))</f>
        <v>#DIV/0!</v>
      </c>
      <c r="S97" s="67" t="e">
        <f>ROUND(P97,2)*Q97</f>
        <v>#DIV/0!</v>
      </c>
      <c r="T97" s="64" t="e">
        <f>Q97*dagenperjaar1</f>
        <v>#DIV/0!</v>
      </c>
      <c r="U97" s="68" t="e">
        <f>T97*ROUND(P97,2)</f>
        <v>#DIV/0!</v>
      </c>
    </row>
    <row r="98" spans="1:21" x14ac:dyDescent="0.2">
      <c r="A98" s="61" t="s">
        <v>164</v>
      </c>
      <c r="B98" s="62" t="s">
        <v>165</v>
      </c>
      <c r="C98" s="62" t="s">
        <v>166</v>
      </c>
      <c r="D98" s="62" t="s">
        <v>279</v>
      </c>
      <c r="E98" s="63" t="s">
        <v>208</v>
      </c>
      <c r="F98" s="62" t="s">
        <v>210</v>
      </c>
      <c r="G98" s="62" t="s">
        <v>141</v>
      </c>
      <c r="H98" s="62" t="s">
        <v>11</v>
      </c>
      <c r="I98" s="62" t="s">
        <v>112</v>
      </c>
      <c r="J98" s="62"/>
      <c r="K98" s="64">
        <v>14.69</v>
      </c>
      <c r="L98" s="64">
        <f>K98*VLOOKUP(H98,dagsoorttabel1,2,FALSE)</f>
        <v>11.3</v>
      </c>
      <c r="M98" s="65">
        <f>prodnorm21</f>
        <v>0</v>
      </c>
      <c r="N98" s="66">
        <f>dagwerk21</f>
        <v>0</v>
      </c>
      <c r="O98" s="62" t="s">
        <v>36</v>
      </c>
      <c r="P98" s="67">
        <f>uurtarief21</f>
        <v>0</v>
      </c>
      <c r="Q98" s="64" t="e">
        <f>IF(ISBLANK(M98),0,L98/ROUND(M98,4))</f>
        <v>#DIV/0!</v>
      </c>
      <c r="R98" s="64" t="e">
        <f>IF(ISBLANK(M98),0,Q98*ROUND(N98,2))</f>
        <v>#DIV/0!</v>
      </c>
      <c r="S98" s="67" t="e">
        <f>ROUND(P98,2)*Q98</f>
        <v>#DIV/0!</v>
      </c>
      <c r="T98" s="64" t="e">
        <f>Q98*dagenperjaar1</f>
        <v>#DIV/0!</v>
      </c>
      <c r="U98" s="68" t="e">
        <f>T98*ROUND(P98,2)</f>
        <v>#DIV/0!</v>
      </c>
    </row>
    <row r="99" spans="1:21" x14ac:dyDescent="0.2">
      <c r="A99" s="61" t="s">
        <v>164</v>
      </c>
      <c r="B99" s="62" t="s">
        <v>165</v>
      </c>
      <c r="C99" s="62" t="s">
        <v>166</v>
      </c>
      <c r="D99" s="62" t="s">
        <v>280</v>
      </c>
      <c r="E99" s="63" t="s">
        <v>173</v>
      </c>
      <c r="F99" s="62" t="s">
        <v>174</v>
      </c>
      <c r="G99" s="62" t="s">
        <v>143</v>
      </c>
      <c r="H99" s="62" t="s">
        <v>11</v>
      </c>
      <c r="I99" s="62" t="s">
        <v>112</v>
      </c>
      <c r="J99" s="62"/>
      <c r="K99" s="64">
        <v>103.1</v>
      </c>
      <c r="L99" s="64">
        <f>K99*VLOOKUP(H99,dagsoorttabel1,2,FALSE)</f>
        <v>79.307692307692307</v>
      </c>
      <c r="M99" s="65">
        <f>prodnorm22</f>
        <v>0</v>
      </c>
      <c r="N99" s="66">
        <f>dagwerk22</f>
        <v>0</v>
      </c>
      <c r="O99" s="62" t="s">
        <v>36</v>
      </c>
      <c r="P99" s="67">
        <f>uurtarief22</f>
        <v>0</v>
      </c>
      <c r="Q99" s="64" t="e">
        <f>IF(ISBLANK(M99),0,L99/ROUND(M99,4))</f>
        <v>#DIV/0!</v>
      </c>
      <c r="R99" s="64" t="e">
        <f>IF(ISBLANK(M99),0,Q99*ROUND(N99,2))</f>
        <v>#DIV/0!</v>
      </c>
      <c r="S99" s="67" t="e">
        <f>ROUND(P99,2)*Q99</f>
        <v>#DIV/0!</v>
      </c>
      <c r="T99" s="64" t="e">
        <f>Q99*dagenperjaar1</f>
        <v>#DIV/0!</v>
      </c>
      <c r="U99" s="68" t="e">
        <f>T99*ROUND(P99,2)</f>
        <v>#DIV/0!</v>
      </c>
    </row>
    <row r="100" spans="1:21" x14ac:dyDescent="0.2">
      <c r="A100" s="61" t="s">
        <v>164</v>
      </c>
      <c r="B100" s="62" t="s">
        <v>165</v>
      </c>
      <c r="C100" s="62" t="s">
        <v>166</v>
      </c>
      <c r="D100" s="62" t="s">
        <v>281</v>
      </c>
      <c r="E100" s="63" t="s">
        <v>265</v>
      </c>
      <c r="F100" s="62" t="s">
        <v>174</v>
      </c>
      <c r="G100" s="62" t="s">
        <v>124</v>
      </c>
      <c r="H100" s="62" t="s">
        <v>12</v>
      </c>
      <c r="I100" s="62" t="s">
        <v>112</v>
      </c>
      <c r="J100" s="62"/>
      <c r="K100" s="64">
        <v>56.14</v>
      </c>
      <c r="L100" s="64">
        <f>K100*VLOOKUP(H100,dagsoorttabel1,2,FALSE)</f>
        <v>34.547692307692309</v>
      </c>
      <c r="M100" s="65">
        <f>prodnorm11</f>
        <v>0</v>
      </c>
      <c r="N100" s="66">
        <f>dagwerk11</f>
        <v>0</v>
      </c>
      <c r="O100" s="62" t="s">
        <v>36</v>
      </c>
      <c r="P100" s="67">
        <f>uurtarief11</f>
        <v>0</v>
      </c>
      <c r="Q100" s="64" t="e">
        <f>IF(ISBLANK(M100),0,L100/ROUND(M100,4))</f>
        <v>#DIV/0!</v>
      </c>
      <c r="R100" s="64" t="e">
        <f>IF(ISBLANK(M100),0,Q100*ROUND(N100,2))</f>
        <v>#DIV/0!</v>
      </c>
      <c r="S100" s="67" t="e">
        <f>ROUND(P100,2)*Q100</f>
        <v>#DIV/0!</v>
      </c>
      <c r="T100" s="64" t="e">
        <f>Q100*dagenperjaar1</f>
        <v>#DIV/0!</v>
      </c>
      <c r="U100" s="68" t="e">
        <f>T100*ROUND(P100,2)</f>
        <v>#DIV/0!</v>
      </c>
    </row>
    <row r="101" spans="1:21" x14ac:dyDescent="0.2">
      <c r="A101" s="61" t="s">
        <v>164</v>
      </c>
      <c r="B101" s="62" t="s">
        <v>165</v>
      </c>
      <c r="C101" s="62" t="s">
        <v>166</v>
      </c>
      <c r="D101" s="62" t="s">
        <v>282</v>
      </c>
      <c r="E101" s="63" t="s">
        <v>241</v>
      </c>
      <c r="F101" s="62" t="s">
        <v>195</v>
      </c>
      <c r="G101" s="62" t="s">
        <v>137</v>
      </c>
      <c r="H101" s="62" t="s">
        <v>11</v>
      </c>
      <c r="I101" s="62" t="s">
        <v>112</v>
      </c>
      <c r="J101" s="62"/>
      <c r="K101" s="64">
        <v>7.6</v>
      </c>
      <c r="L101" s="64">
        <f>K101*VLOOKUP(H101,dagsoorttabel1,2,FALSE)</f>
        <v>5.8461538461538458</v>
      </c>
      <c r="M101" s="65">
        <f>prodnorm19</f>
        <v>0</v>
      </c>
      <c r="N101" s="66">
        <f>dagwerk19</f>
        <v>0</v>
      </c>
      <c r="O101" s="62" t="s">
        <v>36</v>
      </c>
      <c r="P101" s="67">
        <f>uurtarief19</f>
        <v>0</v>
      </c>
      <c r="Q101" s="64" t="e">
        <f>IF(ISBLANK(M101),0,L101/ROUND(M101,4))</f>
        <v>#DIV/0!</v>
      </c>
      <c r="R101" s="64" t="e">
        <f>IF(ISBLANK(M101),0,Q101*ROUND(N101,2))</f>
        <v>#DIV/0!</v>
      </c>
      <c r="S101" s="67" t="e">
        <f>ROUND(P101,2)*Q101</f>
        <v>#DIV/0!</v>
      </c>
      <c r="T101" s="64" t="e">
        <f>Q101*dagenperjaar1</f>
        <v>#DIV/0!</v>
      </c>
      <c r="U101" s="68" t="e">
        <f>T101*ROUND(P101,2)</f>
        <v>#DIV/0!</v>
      </c>
    </row>
    <row r="102" spans="1:21" x14ac:dyDescent="0.2">
      <c r="A102" s="61" t="s">
        <v>164</v>
      </c>
      <c r="B102" s="62" t="s">
        <v>165</v>
      </c>
      <c r="C102" s="62" t="s">
        <v>166</v>
      </c>
      <c r="D102" s="62" t="s">
        <v>282</v>
      </c>
      <c r="E102" s="63" t="s">
        <v>241</v>
      </c>
      <c r="F102" s="62" t="s">
        <v>195</v>
      </c>
      <c r="G102" s="62" t="s">
        <v>139</v>
      </c>
      <c r="H102" s="62" t="s">
        <v>11</v>
      </c>
      <c r="I102" s="62" t="s">
        <v>112</v>
      </c>
      <c r="J102" s="62"/>
      <c r="K102" s="64">
        <v>7.6</v>
      </c>
      <c r="L102" s="64">
        <f>K102*VLOOKUP(H102,dagsoorttabel1,2,FALSE)</f>
        <v>5.8461538461538458</v>
      </c>
      <c r="M102" s="65">
        <f>prodnorm20</f>
        <v>0</v>
      </c>
      <c r="N102" s="66">
        <f>dagwerk20</f>
        <v>0</v>
      </c>
      <c r="O102" s="62" t="s">
        <v>36</v>
      </c>
      <c r="P102" s="67">
        <f>uurtarief20</f>
        <v>0</v>
      </c>
      <c r="Q102" s="64" t="e">
        <f>IF(ISBLANK(M102),0,L102/ROUND(M102,4))</f>
        <v>#DIV/0!</v>
      </c>
      <c r="R102" s="64" t="e">
        <f>IF(ISBLANK(M102),0,Q102*ROUND(N102,2))</f>
        <v>#DIV/0!</v>
      </c>
      <c r="S102" s="67" t="e">
        <f>ROUND(P102,2)*Q102</f>
        <v>#DIV/0!</v>
      </c>
      <c r="T102" s="64" t="e">
        <f>Q102*dagenperjaar1</f>
        <v>#DIV/0!</v>
      </c>
      <c r="U102" s="68" t="e">
        <f>T102*ROUND(P102,2)</f>
        <v>#DIV/0!</v>
      </c>
    </row>
    <row r="103" spans="1:21" x14ac:dyDescent="0.2">
      <c r="A103" s="61" t="s">
        <v>164</v>
      </c>
      <c r="B103" s="62" t="s">
        <v>165</v>
      </c>
      <c r="C103" s="62" t="s">
        <v>166</v>
      </c>
      <c r="D103" s="62" t="s">
        <v>283</v>
      </c>
      <c r="E103" s="63" t="s">
        <v>241</v>
      </c>
      <c r="F103" s="62" t="s">
        <v>195</v>
      </c>
      <c r="G103" s="62" t="s">
        <v>137</v>
      </c>
      <c r="H103" s="62" t="s">
        <v>11</v>
      </c>
      <c r="I103" s="62" t="s">
        <v>112</v>
      </c>
      <c r="J103" s="62"/>
      <c r="K103" s="64">
        <v>7.6</v>
      </c>
      <c r="L103" s="64">
        <f>K103*VLOOKUP(H103,dagsoorttabel1,2,FALSE)</f>
        <v>5.8461538461538458</v>
      </c>
      <c r="M103" s="65">
        <f>prodnorm19</f>
        <v>0</v>
      </c>
      <c r="N103" s="66">
        <f>dagwerk19</f>
        <v>0</v>
      </c>
      <c r="O103" s="62" t="s">
        <v>36</v>
      </c>
      <c r="P103" s="67">
        <f>uurtarief19</f>
        <v>0</v>
      </c>
      <c r="Q103" s="64" t="e">
        <f>IF(ISBLANK(M103),0,L103/ROUND(M103,4))</f>
        <v>#DIV/0!</v>
      </c>
      <c r="R103" s="64" t="e">
        <f>IF(ISBLANK(M103),0,Q103*ROUND(N103,2))</f>
        <v>#DIV/0!</v>
      </c>
      <c r="S103" s="67" t="e">
        <f>ROUND(P103,2)*Q103</f>
        <v>#DIV/0!</v>
      </c>
      <c r="T103" s="64" t="e">
        <f>Q103*dagenperjaar1</f>
        <v>#DIV/0!</v>
      </c>
      <c r="U103" s="68" t="e">
        <f>T103*ROUND(P103,2)</f>
        <v>#DIV/0!</v>
      </c>
    </row>
    <row r="104" spans="1:21" x14ac:dyDescent="0.2">
      <c r="A104" s="61" t="s">
        <v>164</v>
      </c>
      <c r="B104" s="62" t="s">
        <v>165</v>
      </c>
      <c r="C104" s="62" t="s">
        <v>166</v>
      </c>
      <c r="D104" s="62" t="s">
        <v>283</v>
      </c>
      <c r="E104" s="63" t="s">
        <v>241</v>
      </c>
      <c r="F104" s="62" t="s">
        <v>195</v>
      </c>
      <c r="G104" s="62" t="s">
        <v>139</v>
      </c>
      <c r="H104" s="62" t="s">
        <v>11</v>
      </c>
      <c r="I104" s="62" t="s">
        <v>112</v>
      </c>
      <c r="J104" s="62"/>
      <c r="K104" s="64">
        <v>7.6</v>
      </c>
      <c r="L104" s="64">
        <f>K104*VLOOKUP(H104,dagsoorttabel1,2,FALSE)</f>
        <v>5.8461538461538458</v>
      </c>
      <c r="M104" s="65">
        <f>prodnorm20</f>
        <v>0</v>
      </c>
      <c r="N104" s="66">
        <f>dagwerk20</f>
        <v>0</v>
      </c>
      <c r="O104" s="62" t="s">
        <v>36</v>
      </c>
      <c r="P104" s="67">
        <f>uurtarief20</f>
        <v>0</v>
      </c>
      <c r="Q104" s="64" t="e">
        <f>IF(ISBLANK(M104),0,L104/ROUND(M104,4))</f>
        <v>#DIV/0!</v>
      </c>
      <c r="R104" s="64" t="e">
        <f>IF(ISBLANK(M104),0,Q104*ROUND(N104,2))</f>
        <v>#DIV/0!</v>
      </c>
      <c r="S104" s="67" t="e">
        <f>ROUND(P104,2)*Q104</f>
        <v>#DIV/0!</v>
      </c>
      <c r="T104" s="64" t="e">
        <f>Q104*dagenperjaar1</f>
        <v>#DIV/0!</v>
      </c>
      <c r="U104" s="68" t="e">
        <f>T104*ROUND(P104,2)</f>
        <v>#DIV/0!</v>
      </c>
    </row>
    <row r="105" spans="1:21" x14ac:dyDescent="0.2">
      <c r="A105" s="61" t="s">
        <v>164</v>
      </c>
      <c r="B105" s="62" t="s">
        <v>165</v>
      </c>
      <c r="C105" s="62" t="s">
        <v>166</v>
      </c>
      <c r="D105" s="62" t="s">
        <v>284</v>
      </c>
      <c r="E105" s="63" t="s">
        <v>285</v>
      </c>
      <c r="F105" s="62" t="s">
        <v>174</v>
      </c>
      <c r="G105" s="62" t="s">
        <v>124</v>
      </c>
      <c r="H105" s="62" t="s">
        <v>12</v>
      </c>
      <c r="I105" s="62" t="s">
        <v>112</v>
      </c>
      <c r="J105" s="62"/>
      <c r="K105" s="64">
        <v>95</v>
      </c>
      <c r="L105" s="64">
        <f>K105*VLOOKUP(H105,dagsoorttabel1,2,FALSE)</f>
        <v>58.461538461538467</v>
      </c>
      <c r="M105" s="65">
        <f>prodnorm11</f>
        <v>0</v>
      </c>
      <c r="N105" s="66">
        <f>dagwerk11</f>
        <v>0</v>
      </c>
      <c r="O105" s="62" t="s">
        <v>36</v>
      </c>
      <c r="P105" s="67">
        <f>uurtarief11</f>
        <v>0</v>
      </c>
      <c r="Q105" s="64" t="e">
        <f>IF(ISBLANK(M105),0,L105/ROUND(M105,4))</f>
        <v>#DIV/0!</v>
      </c>
      <c r="R105" s="64" t="e">
        <f>IF(ISBLANK(M105),0,Q105*ROUND(N105,2))</f>
        <v>#DIV/0!</v>
      </c>
      <c r="S105" s="67" t="e">
        <f>ROUND(P105,2)*Q105</f>
        <v>#DIV/0!</v>
      </c>
      <c r="T105" s="64" t="e">
        <f>Q105*dagenperjaar1</f>
        <v>#DIV/0!</v>
      </c>
      <c r="U105" s="68" t="e">
        <f>T105*ROUND(P105,2)</f>
        <v>#DIV/0!</v>
      </c>
    </row>
    <row r="106" spans="1:21" x14ac:dyDescent="0.2">
      <c r="A106" s="61" t="s">
        <v>164</v>
      </c>
      <c r="B106" s="62" t="s">
        <v>165</v>
      </c>
      <c r="C106" s="62" t="s">
        <v>166</v>
      </c>
      <c r="D106" s="62" t="s">
        <v>286</v>
      </c>
      <c r="E106" s="63" t="s">
        <v>287</v>
      </c>
      <c r="F106" s="62" t="s">
        <v>174</v>
      </c>
      <c r="G106" s="62" t="s">
        <v>130</v>
      </c>
      <c r="H106" s="62" t="s">
        <v>11</v>
      </c>
      <c r="I106" s="62" t="s">
        <v>112</v>
      </c>
      <c r="J106" s="62"/>
      <c r="K106" s="64">
        <v>78.2</v>
      </c>
      <c r="L106" s="64">
        <f>K106*VLOOKUP(H106,dagsoorttabel1,2,FALSE)</f>
        <v>60.15384615384616</v>
      </c>
      <c r="M106" s="65">
        <f>prodnorm15</f>
        <v>0</v>
      </c>
      <c r="N106" s="66">
        <f>dagwerk15</f>
        <v>0</v>
      </c>
      <c r="O106" s="62" t="s">
        <v>36</v>
      </c>
      <c r="P106" s="67">
        <f>uurtarief15</f>
        <v>0</v>
      </c>
      <c r="Q106" s="64" t="e">
        <f>IF(ISBLANK(M106),0,L106/ROUND(M106,4))</f>
        <v>#DIV/0!</v>
      </c>
      <c r="R106" s="64" t="e">
        <f>IF(ISBLANK(M106),0,Q106*ROUND(N106,2))</f>
        <v>#DIV/0!</v>
      </c>
      <c r="S106" s="67" t="e">
        <f>ROUND(P106,2)*Q106</f>
        <v>#DIV/0!</v>
      </c>
      <c r="T106" s="64" t="e">
        <f>Q106*dagenperjaar1</f>
        <v>#DIV/0!</v>
      </c>
      <c r="U106" s="68" t="e">
        <f>T106*ROUND(P106,2)</f>
        <v>#DIV/0!</v>
      </c>
    </row>
    <row r="107" spans="1:21" x14ac:dyDescent="0.2">
      <c r="A107" s="61" t="s">
        <v>164</v>
      </c>
      <c r="B107" s="62" t="s">
        <v>165</v>
      </c>
      <c r="C107" s="62" t="s">
        <v>166</v>
      </c>
      <c r="D107" s="62" t="s">
        <v>288</v>
      </c>
      <c r="E107" s="63" t="s">
        <v>287</v>
      </c>
      <c r="F107" s="62" t="s">
        <v>174</v>
      </c>
      <c r="G107" s="62" t="s">
        <v>130</v>
      </c>
      <c r="H107" s="62" t="s">
        <v>11</v>
      </c>
      <c r="I107" s="62" t="s">
        <v>112</v>
      </c>
      <c r="J107" s="62"/>
      <c r="K107" s="64">
        <v>78.11999999999999</v>
      </c>
      <c r="L107" s="64">
        <f>K107*VLOOKUP(H107,dagsoorttabel1,2,FALSE)</f>
        <v>60.092307692307685</v>
      </c>
      <c r="M107" s="65">
        <f>prodnorm15</f>
        <v>0</v>
      </c>
      <c r="N107" s="66">
        <f>dagwerk15</f>
        <v>0</v>
      </c>
      <c r="O107" s="62" t="s">
        <v>36</v>
      </c>
      <c r="P107" s="67">
        <f>uurtarief15</f>
        <v>0</v>
      </c>
      <c r="Q107" s="64" t="e">
        <f>IF(ISBLANK(M107),0,L107/ROUND(M107,4))</f>
        <v>#DIV/0!</v>
      </c>
      <c r="R107" s="64" t="e">
        <f>IF(ISBLANK(M107),0,Q107*ROUND(N107,2))</f>
        <v>#DIV/0!</v>
      </c>
      <c r="S107" s="67" t="e">
        <f>ROUND(P107,2)*Q107</f>
        <v>#DIV/0!</v>
      </c>
      <c r="T107" s="64" t="e">
        <f>Q107*dagenperjaar1</f>
        <v>#DIV/0!</v>
      </c>
      <c r="U107" s="68" t="e">
        <f>T107*ROUND(P107,2)</f>
        <v>#DIV/0!</v>
      </c>
    </row>
    <row r="108" spans="1:21" x14ac:dyDescent="0.2">
      <c r="A108" s="61" t="s">
        <v>164</v>
      </c>
      <c r="B108" s="62" t="s">
        <v>165</v>
      </c>
      <c r="C108" s="62" t="s">
        <v>166</v>
      </c>
      <c r="D108" s="62" t="s">
        <v>289</v>
      </c>
      <c r="E108" s="63" t="s">
        <v>173</v>
      </c>
      <c r="F108" s="62" t="s">
        <v>174</v>
      </c>
      <c r="G108" s="62" t="s">
        <v>143</v>
      </c>
      <c r="H108" s="62" t="s">
        <v>11</v>
      </c>
      <c r="I108" s="62" t="s">
        <v>112</v>
      </c>
      <c r="J108" s="62"/>
      <c r="K108" s="64">
        <v>66.73</v>
      </c>
      <c r="L108" s="64">
        <f>K108*VLOOKUP(H108,dagsoorttabel1,2,FALSE)</f>
        <v>51.330769230769235</v>
      </c>
      <c r="M108" s="65">
        <f>prodnorm22</f>
        <v>0</v>
      </c>
      <c r="N108" s="66">
        <f>dagwerk22</f>
        <v>0</v>
      </c>
      <c r="O108" s="62" t="s">
        <v>36</v>
      </c>
      <c r="P108" s="67">
        <f>uurtarief22</f>
        <v>0</v>
      </c>
      <c r="Q108" s="64" t="e">
        <f>IF(ISBLANK(M108),0,L108/ROUND(M108,4))</f>
        <v>#DIV/0!</v>
      </c>
      <c r="R108" s="64" t="e">
        <f>IF(ISBLANK(M108),0,Q108*ROUND(N108,2))</f>
        <v>#DIV/0!</v>
      </c>
      <c r="S108" s="67" t="e">
        <f>ROUND(P108,2)*Q108</f>
        <v>#DIV/0!</v>
      </c>
      <c r="T108" s="64" t="e">
        <f>Q108*dagenperjaar1</f>
        <v>#DIV/0!</v>
      </c>
      <c r="U108" s="68" t="e">
        <f>T108*ROUND(P108,2)</f>
        <v>#DIV/0!</v>
      </c>
    </row>
    <row r="109" spans="1:21" x14ac:dyDescent="0.2">
      <c r="A109" s="61" t="s">
        <v>164</v>
      </c>
      <c r="B109" s="62" t="s">
        <v>165</v>
      </c>
      <c r="C109" s="62" t="s">
        <v>166</v>
      </c>
      <c r="D109" s="62" t="s">
        <v>290</v>
      </c>
      <c r="E109" s="63" t="s">
        <v>291</v>
      </c>
      <c r="F109" s="62" t="s">
        <v>174</v>
      </c>
      <c r="G109" s="62" t="s">
        <v>143</v>
      </c>
      <c r="H109" s="62" t="s">
        <v>11</v>
      </c>
      <c r="I109" s="62" t="s">
        <v>112</v>
      </c>
      <c r="J109" s="62"/>
      <c r="K109" s="64">
        <v>20</v>
      </c>
      <c r="L109" s="64">
        <f>K109*VLOOKUP(H109,dagsoorttabel1,2,FALSE)</f>
        <v>15.384615384615385</v>
      </c>
      <c r="M109" s="65">
        <f>prodnorm22</f>
        <v>0</v>
      </c>
      <c r="N109" s="66">
        <f>dagwerk22</f>
        <v>0</v>
      </c>
      <c r="O109" s="62" t="s">
        <v>36</v>
      </c>
      <c r="P109" s="67">
        <f>uurtarief22</f>
        <v>0</v>
      </c>
      <c r="Q109" s="64" t="e">
        <f>IF(ISBLANK(M109),0,L109/ROUND(M109,4))</f>
        <v>#DIV/0!</v>
      </c>
      <c r="R109" s="64" t="e">
        <f>IF(ISBLANK(M109),0,Q109*ROUND(N109,2))</f>
        <v>#DIV/0!</v>
      </c>
      <c r="S109" s="67" t="e">
        <f>ROUND(P109,2)*Q109</f>
        <v>#DIV/0!</v>
      </c>
      <c r="T109" s="64" t="e">
        <f>Q109*dagenperjaar1</f>
        <v>#DIV/0!</v>
      </c>
      <c r="U109" s="68" t="e">
        <f>T109*ROUND(P109,2)</f>
        <v>#DIV/0!</v>
      </c>
    </row>
    <row r="110" spans="1:21" x14ac:dyDescent="0.2">
      <c r="A110" s="61" t="s">
        <v>164</v>
      </c>
      <c r="B110" s="62" t="s">
        <v>165</v>
      </c>
      <c r="C110" s="62" t="s">
        <v>166</v>
      </c>
      <c r="D110" s="62" t="s">
        <v>292</v>
      </c>
      <c r="E110" s="63" t="s">
        <v>265</v>
      </c>
      <c r="F110" s="62" t="s">
        <v>174</v>
      </c>
      <c r="G110" s="62" t="s">
        <v>124</v>
      </c>
      <c r="H110" s="62" t="s">
        <v>12</v>
      </c>
      <c r="I110" s="62" t="s">
        <v>112</v>
      </c>
      <c r="J110" s="62"/>
      <c r="K110" s="64">
        <v>61.86</v>
      </c>
      <c r="L110" s="64">
        <f>K110*VLOOKUP(H110,dagsoorttabel1,2,FALSE)</f>
        <v>38.067692307692312</v>
      </c>
      <c r="M110" s="65">
        <f>prodnorm11</f>
        <v>0</v>
      </c>
      <c r="N110" s="66">
        <f>dagwerk11</f>
        <v>0</v>
      </c>
      <c r="O110" s="62" t="s">
        <v>36</v>
      </c>
      <c r="P110" s="67">
        <f>uurtarief11</f>
        <v>0</v>
      </c>
      <c r="Q110" s="64" t="e">
        <f>IF(ISBLANK(M110),0,L110/ROUND(M110,4))</f>
        <v>#DIV/0!</v>
      </c>
      <c r="R110" s="64" t="e">
        <f>IF(ISBLANK(M110),0,Q110*ROUND(N110,2))</f>
        <v>#DIV/0!</v>
      </c>
      <c r="S110" s="67" t="e">
        <f>ROUND(P110,2)*Q110</f>
        <v>#DIV/0!</v>
      </c>
      <c r="T110" s="64" t="e">
        <f>Q110*dagenperjaar1</f>
        <v>#DIV/0!</v>
      </c>
      <c r="U110" s="68" t="e">
        <f>T110*ROUND(P110,2)</f>
        <v>#DIV/0!</v>
      </c>
    </row>
    <row r="111" spans="1:21" x14ac:dyDescent="0.2">
      <c r="A111" s="61" t="s">
        <v>164</v>
      </c>
      <c r="B111" s="62" t="s">
        <v>165</v>
      </c>
      <c r="C111" s="62" t="s">
        <v>166</v>
      </c>
      <c r="D111" s="62" t="s">
        <v>293</v>
      </c>
      <c r="E111" s="63" t="s">
        <v>294</v>
      </c>
      <c r="F111" s="62" t="s">
        <v>174</v>
      </c>
      <c r="G111" s="62" t="s">
        <v>134</v>
      </c>
      <c r="H111" s="62" t="s">
        <v>11</v>
      </c>
      <c r="I111" s="62" t="s">
        <v>112</v>
      </c>
      <c r="J111" s="62"/>
      <c r="K111" s="64">
        <v>279.11</v>
      </c>
      <c r="L111" s="64">
        <f>K111*VLOOKUP(H111,dagsoorttabel1,2,FALSE)</f>
        <v>214.70000000000002</v>
      </c>
      <c r="M111" s="65">
        <f>prodnorm17</f>
        <v>0</v>
      </c>
      <c r="N111" s="66">
        <f>dagwerk17</f>
        <v>0</v>
      </c>
      <c r="O111" s="62" t="s">
        <v>36</v>
      </c>
      <c r="P111" s="67">
        <f>uurtarief17</f>
        <v>0</v>
      </c>
      <c r="Q111" s="64" t="e">
        <f>IF(ISBLANK(M111),0,L111/ROUND(M111,4))</f>
        <v>#DIV/0!</v>
      </c>
      <c r="R111" s="64" t="e">
        <f>IF(ISBLANK(M111),0,Q111*ROUND(N111,2))</f>
        <v>#DIV/0!</v>
      </c>
      <c r="S111" s="67" t="e">
        <f>ROUND(P111,2)*Q111</f>
        <v>#DIV/0!</v>
      </c>
      <c r="T111" s="64" t="e">
        <f>Q111*dagenperjaar1</f>
        <v>#DIV/0!</v>
      </c>
      <c r="U111" s="68" t="e">
        <f>T111*ROUND(P111,2)</f>
        <v>#DIV/0!</v>
      </c>
    </row>
    <row r="112" spans="1:21" x14ac:dyDescent="0.2">
      <c r="A112" s="61" t="s">
        <v>164</v>
      </c>
      <c r="B112" s="62" t="s">
        <v>165</v>
      </c>
      <c r="C112" s="62" t="s">
        <v>166</v>
      </c>
      <c r="D112" s="62" t="s">
        <v>295</v>
      </c>
      <c r="E112" s="63" t="s">
        <v>296</v>
      </c>
      <c r="F112" s="62" t="s">
        <v>174</v>
      </c>
      <c r="G112" s="62" t="s">
        <v>134</v>
      </c>
      <c r="H112" s="62" t="s">
        <v>11</v>
      </c>
      <c r="I112" s="62" t="s">
        <v>112</v>
      </c>
      <c r="J112" s="62"/>
      <c r="K112" s="64">
        <v>432</v>
      </c>
      <c r="L112" s="64">
        <f>K112*VLOOKUP(H112,dagsoorttabel1,2,FALSE)</f>
        <v>332.30769230769232</v>
      </c>
      <c r="M112" s="65">
        <f>prodnorm17</f>
        <v>0</v>
      </c>
      <c r="N112" s="66">
        <f>dagwerk17</f>
        <v>0</v>
      </c>
      <c r="O112" s="62" t="s">
        <v>36</v>
      </c>
      <c r="P112" s="67">
        <f>uurtarief17</f>
        <v>0</v>
      </c>
      <c r="Q112" s="64" t="e">
        <f>IF(ISBLANK(M112),0,L112/ROUND(M112,4))</f>
        <v>#DIV/0!</v>
      </c>
      <c r="R112" s="64" t="e">
        <f>IF(ISBLANK(M112),0,Q112*ROUND(N112,2))</f>
        <v>#DIV/0!</v>
      </c>
      <c r="S112" s="67" t="e">
        <f>ROUND(P112,2)*Q112</f>
        <v>#DIV/0!</v>
      </c>
      <c r="T112" s="64" t="e">
        <f>Q112*dagenperjaar1</f>
        <v>#DIV/0!</v>
      </c>
      <c r="U112" s="68" t="e">
        <f>T112*ROUND(P112,2)</f>
        <v>#DIV/0!</v>
      </c>
    </row>
    <row r="113" spans="1:21" x14ac:dyDescent="0.2">
      <c r="A113" s="61" t="s">
        <v>164</v>
      </c>
      <c r="B113" s="62" t="s">
        <v>165</v>
      </c>
      <c r="C113" s="62" t="s">
        <v>166</v>
      </c>
      <c r="D113" s="62" t="s">
        <v>297</v>
      </c>
      <c r="E113" s="63" t="s">
        <v>298</v>
      </c>
      <c r="F113" s="62" t="s">
        <v>210</v>
      </c>
      <c r="G113" s="62" t="s">
        <v>143</v>
      </c>
      <c r="H113" s="62" t="s">
        <v>11</v>
      </c>
      <c r="I113" s="62" t="s">
        <v>112</v>
      </c>
      <c r="J113" s="62"/>
      <c r="K113" s="64">
        <v>4.1899999999999995</v>
      </c>
      <c r="L113" s="64">
        <f>K113*VLOOKUP(H113,dagsoorttabel1,2,FALSE)</f>
        <v>3.2230769230769227</v>
      </c>
      <c r="M113" s="65">
        <f>prodnorm22</f>
        <v>0</v>
      </c>
      <c r="N113" s="66">
        <f>dagwerk22</f>
        <v>0</v>
      </c>
      <c r="O113" s="62" t="s">
        <v>36</v>
      </c>
      <c r="P113" s="67">
        <f>uurtarief22</f>
        <v>0</v>
      </c>
      <c r="Q113" s="64" t="e">
        <f>IF(ISBLANK(M113),0,L113/ROUND(M113,4))</f>
        <v>#DIV/0!</v>
      </c>
      <c r="R113" s="64" t="e">
        <f>IF(ISBLANK(M113),0,Q113*ROUND(N113,2))</f>
        <v>#DIV/0!</v>
      </c>
      <c r="S113" s="67" t="e">
        <f>ROUND(P113,2)*Q113</f>
        <v>#DIV/0!</v>
      </c>
      <c r="T113" s="64" t="e">
        <f>Q113*dagenperjaar1</f>
        <v>#DIV/0!</v>
      </c>
      <c r="U113" s="68" t="e">
        <f>T113*ROUND(P113,2)</f>
        <v>#DIV/0!</v>
      </c>
    </row>
    <row r="114" spans="1:21" x14ac:dyDescent="0.2">
      <c r="A114" s="61" t="s">
        <v>164</v>
      </c>
      <c r="B114" s="62" t="s">
        <v>165</v>
      </c>
      <c r="C114" s="62" t="s">
        <v>166</v>
      </c>
      <c r="D114" s="62" t="s">
        <v>299</v>
      </c>
      <c r="E114" s="63" t="s">
        <v>298</v>
      </c>
      <c r="F114" s="62" t="s">
        <v>210</v>
      </c>
      <c r="G114" s="62" t="s">
        <v>143</v>
      </c>
      <c r="H114" s="62" t="s">
        <v>11</v>
      </c>
      <c r="I114" s="62" t="s">
        <v>112</v>
      </c>
      <c r="J114" s="62"/>
      <c r="K114" s="64">
        <v>4.1899999999999995</v>
      </c>
      <c r="L114" s="64">
        <f>K114*VLOOKUP(H114,dagsoorttabel1,2,FALSE)</f>
        <v>3.2230769230769227</v>
      </c>
      <c r="M114" s="65">
        <f>prodnorm22</f>
        <v>0</v>
      </c>
      <c r="N114" s="66">
        <f>dagwerk22</f>
        <v>0</v>
      </c>
      <c r="O114" s="62" t="s">
        <v>36</v>
      </c>
      <c r="P114" s="67">
        <f>uurtarief22</f>
        <v>0</v>
      </c>
      <c r="Q114" s="64" t="e">
        <f>IF(ISBLANK(M114),0,L114/ROUND(M114,4))</f>
        <v>#DIV/0!</v>
      </c>
      <c r="R114" s="64" t="e">
        <f>IF(ISBLANK(M114),0,Q114*ROUND(N114,2))</f>
        <v>#DIV/0!</v>
      </c>
      <c r="S114" s="67" t="e">
        <f>ROUND(P114,2)*Q114</f>
        <v>#DIV/0!</v>
      </c>
      <c r="T114" s="64" t="e">
        <f>Q114*dagenperjaar1</f>
        <v>#DIV/0!</v>
      </c>
      <c r="U114" s="68" t="e">
        <f>T114*ROUND(P114,2)</f>
        <v>#DIV/0!</v>
      </c>
    </row>
    <row r="115" spans="1:21" x14ac:dyDescent="0.2">
      <c r="A115" s="61" t="s">
        <v>164</v>
      </c>
      <c r="B115" s="62" t="s">
        <v>165</v>
      </c>
      <c r="C115" s="62" t="s">
        <v>166</v>
      </c>
      <c r="D115" s="62" t="s">
        <v>300</v>
      </c>
      <c r="E115" s="63" t="s">
        <v>274</v>
      </c>
      <c r="F115" s="62" t="s">
        <v>210</v>
      </c>
      <c r="G115" s="62" t="s">
        <v>141</v>
      </c>
      <c r="H115" s="62" t="s">
        <v>11</v>
      </c>
      <c r="I115" s="62" t="s">
        <v>112</v>
      </c>
      <c r="J115" s="62"/>
      <c r="K115" s="64">
        <v>4.8</v>
      </c>
      <c r="L115" s="64">
        <f>K115*VLOOKUP(H115,dagsoorttabel1,2,FALSE)</f>
        <v>3.6923076923076925</v>
      </c>
      <c r="M115" s="65">
        <f>prodnorm21</f>
        <v>0</v>
      </c>
      <c r="N115" s="66">
        <f>dagwerk21</f>
        <v>0</v>
      </c>
      <c r="O115" s="62" t="s">
        <v>36</v>
      </c>
      <c r="P115" s="67">
        <f>uurtarief21</f>
        <v>0</v>
      </c>
      <c r="Q115" s="64" t="e">
        <f>IF(ISBLANK(M115),0,L115/ROUND(M115,4))</f>
        <v>#DIV/0!</v>
      </c>
      <c r="R115" s="64" t="e">
        <f>IF(ISBLANK(M115),0,Q115*ROUND(N115,2))</f>
        <v>#DIV/0!</v>
      </c>
      <c r="S115" s="67" t="e">
        <f>ROUND(P115,2)*Q115</f>
        <v>#DIV/0!</v>
      </c>
      <c r="T115" s="64" t="e">
        <f>Q115*dagenperjaar1</f>
        <v>#DIV/0!</v>
      </c>
      <c r="U115" s="68" t="e">
        <f>T115*ROUND(P115,2)</f>
        <v>#DIV/0!</v>
      </c>
    </row>
    <row r="116" spans="1:21" x14ac:dyDescent="0.2">
      <c r="A116" s="61" t="s">
        <v>164</v>
      </c>
      <c r="B116" s="62" t="s">
        <v>165</v>
      </c>
      <c r="C116" s="62" t="s">
        <v>166</v>
      </c>
      <c r="D116" s="62" t="s">
        <v>301</v>
      </c>
      <c r="E116" s="63" t="s">
        <v>274</v>
      </c>
      <c r="F116" s="62" t="s">
        <v>210</v>
      </c>
      <c r="G116" s="62" t="s">
        <v>141</v>
      </c>
      <c r="H116" s="62" t="s">
        <v>11</v>
      </c>
      <c r="I116" s="62" t="s">
        <v>112</v>
      </c>
      <c r="J116" s="62"/>
      <c r="K116" s="64">
        <v>4.8</v>
      </c>
      <c r="L116" s="64">
        <f>K116*VLOOKUP(H116,dagsoorttabel1,2,FALSE)</f>
        <v>3.6923076923076925</v>
      </c>
      <c r="M116" s="65">
        <f>prodnorm21</f>
        <v>0</v>
      </c>
      <c r="N116" s="66">
        <f>dagwerk21</f>
        <v>0</v>
      </c>
      <c r="O116" s="62" t="s">
        <v>36</v>
      </c>
      <c r="P116" s="67">
        <f>uurtarief21</f>
        <v>0</v>
      </c>
      <c r="Q116" s="64" t="e">
        <f>IF(ISBLANK(M116),0,L116/ROUND(M116,4))</f>
        <v>#DIV/0!</v>
      </c>
      <c r="R116" s="64" t="e">
        <f>IF(ISBLANK(M116),0,Q116*ROUND(N116,2))</f>
        <v>#DIV/0!</v>
      </c>
      <c r="S116" s="67" t="e">
        <f>ROUND(P116,2)*Q116</f>
        <v>#DIV/0!</v>
      </c>
      <c r="T116" s="64" t="e">
        <f>Q116*dagenperjaar1</f>
        <v>#DIV/0!</v>
      </c>
      <c r="U116" s="68" t="e">
        <f>T116*ROUND(P116,2)</f>
        <v>#DIV/0!</v>
      </c>
    </row>
    <row r="117" spans="1:21" x14ac:dyDescent="0.2">
      <c r="A117" s="61" t="s">
        <v>164</v>
      </c>
      <c r="B117" s="62" t="s">
        <v>165</v>
      </c>
      <c r="C117" s="62" t="s">
        <v>164</v>
      </c>
      <c r="D117" s="62" t="s">
        <v>302</v>
      </c>
      <c r="E117" s="63" t="s">
        <v>208</v>
      </c>
      <c r="F117" s="62" t="s">
        <v>174</v>
      </c>
      <c r="G117" s="62" t="s">
        <v>141</v>
      </c>
      <c r="H117" s="62" t="s">
        <v>11</v>
      </c>
      <c r="I117" s="62" t="s">
        <v>112</v>
      </c>
      <c r="J117" s="62"/>
      <c r="K117" s="64">
        <v>10.5</v>
      </c>
      <c r="L117" s="64">
        <f>K117*VLOOKUP(H117,dagsoorttabel1,2,FALSE)</f>
        <v>8.0769230769230766</v>
      </c>
      <c r="M117" s="65">
        <f>prodnorm21</f>
        <v>0</v>
      </c>
      <c r="N117" s="66">
        <f>dagwerk21</f>
        <v>0</v>
      </c>
      <c r="O117" s="62" t="s">
        <v>36</v>
      </c>
      <c r="P117" s="67">
        <f>uurtarief21</f>
        <v>0</v>
      </c>
      <c r="Q117" s="64" t="e">
        <f>IF(ISBLANK(M117),0,L117/ROUND(M117,4))</f>
        <v>#DIV/0!</v>
      </c>
      <c r="R117" s="64" t="e">
        <f>IF(ISBLANK(M117),0,Q117*ROUND(N117,2))</f>
        <v>#DIV/0!</v>
      </c>
      <c r="S117" s="67" t="e">
        <f>ROUND(P117,2)*Q117</f>
        <v>#DIV/0!</v>
      </c>
      <c r="T117" s="64" t="e">
        <f>Q117*dagenperjaar1</f>
        <v>#DIV/0!</v>
      </c>
      <c r="U117" s="68" t="e">
        <f>T117*ROUND(P117,2)</f>
        <v>#DIV/0!</v>
      </c>
    </row>
    <row r="118" spans="1:21" x14ac:dyDescent="0.2">
      <c r="A118" s="61" t="s">
        <v>164</v>
      </c>
      <c r="B118" s="62" t="s">
        <v>165</v>
      </c>
      <c r="C118" s="62" t="s">
        <v>164</v>
      </c>
      <c r="D118" s="62" t="s">
        <v>303</v>
      </c>
      <c r="E118" s="63" t="s">
        <v>173</v>
      </c>
      <c r="F118" s="62" t="s">
        <v>174</v>
      </c>
      <c r="G118" s="62" t="s">
        <v>143</v>
      </c>
      <c r="H118" s="62" t="s">
        <v>11</v>
      </c>
      <c r="I118" s="62" t="s">
        <v>112</v>
      </c>
      <c r="J118" s="62"/>
      <c r="K118" s="64">
        <v>111</v>
      </c>
      <c r="L118" s="64">
        <f>K118*VLOOKUP(H118,dagsoorttabel1,2,FALSE)</f>
        <v>85.384615384615387</v>
      </c>
      <c r="M118" s="65">
        <f>prodnorm22</f>
        <v>0</v>
      </c>
      <c r="N118" s="66">
        <f>dagwerk22</f>
        <v>0</v>
      </c>
      <c r="O118" s="62" t="s">
        <v>36</v>
      </c>
      <c r="P118" s="67">
        <f>uurtarief22</f>
        <v>0</v>
      </c>
      <c r="Q118" s="64" t="e">
        <f>IF(ISBLANK(M118),0,L118/ROUND(M118,4))</f>
        <v>#DIV/0!</v>
      </c>
      <c r="R118" s="64" t="e">
        <f>IF(ISBLANK(M118),0,Q118*ROUND(N118,2))</f>
        <v>#DIV/0!</v>
      </c>
      <c r="S118" s="67" t="e">
        <f>ROUND(P118,2)*Q118</f>
        <v>#DIV/0!</v>
      </c>
      <c r="T118" s="64" t="e">
        <f>Q118*dagenperjaar1</f>
        <v>#DIV/0!</v>
      </c>
      <c r="U118" s="68" t="e">
        <f>T118*ROUND(P118,2)</f>
        <v>#DIV/0!</v>
      </c>
    </row>
    <row r="119" spans="1:21" x14ac:dyDescent="0.2">
      <c r="A119" s="61" t="s">
        <v>164</v>
      </c>
      <c r="B119" s="62" t="s">
        <v>165</v>
      </c>
      <c r="C119" s="62" t="s">
        <v>164</v>
      </c>
      <c r="D119" s="62" t="s">
        <v>304</v>
      </c>
      <c r="E119" s="63" t="s">
        <v>265</v>
      </c>
      <c r="F119" s="62" t="s">
        <v>174</v>
      </c>
      <c r="G119" s="62" t="s">
        <v>124</v>
      </c>
      <c r="H119" s="62" t="s">
        <v>12</v>
      </c>
      <c r="I119" s="62" t="s">
        <v>112</v>
      </c>
      <c r="J119" s="62"/>
      <c r="K119" s="64">
        <v>56</v>
      </c>
      <c r="L119" s="64">
        <f>K119*VLOOKUP(H119,dagsoorttabel1,2,FALSE)</f>
        <v>34.461538461538467</v>
      </c>
      <c r="M119" s="65">
        <f>prodnorm11</f>
        <v>0</v>
      </c>
      <c r="N119" s="66">
        <f>dagwerk11</f>
        <v>0</v>
      </c>
      <c r="O119" s="62" t="s">
        <v>36</v>
      </c>
      <c r="P119" s="67">
        <f>uurtarief11</f>
        <v>0</v>
      </c>
      <c r="Q119" s="64" t="e">
        <f>IF(ISBLANK(M119),0,L119/ROUND(M119,4))</f>
        <v>#DIV/0!</v>
      </c>
      <c r="R119" s="64" t="e">
        <f>IF(ISBLANK(M119),0,Q119*ROUND(N119,2))</f>
        <v>#DIV/0!</v>
      </c>
      <c r="S119" s="67" t="e">
        <f>ROUND(P119,2)*Q119</f>
        <v>#DIV/0!</v>
      </c>
      <c r="T119" s="64" t="e">
        <f>Q119*dagenperjaar1</f>
        <v>#DIV/0!</v>
      </c>
      <c r="U119" s="68" t="e">
        <f>T119*ROUND(P119,2)</f>
        <v>#DIV/0!</v>
      </c>
    </row>
    <row r="120" spans="1:21" x14ac:dyDescent="0.2">
      <c r="A120" s="61" t="s">
        <v>164</v>
      </c>
      <c r="B120" s="62" t="s">
        <v>165</v>
      </c>
      <c r="C120" s="62" t="s">
        <v>164</v>
      </c>
      <c r="D120" s="62" t="s">
        <v>305</v>
      </c>
      <c r="E120" s="63" t="s">
        <v>186</v>
      </c>
      <c r="F120" s="62" t="s">
        <v>171</v>
      </c>
      <c r="G120" s="62" t="s">
        <v>114</v>
      </c>
      <c r="H120" s="62" t="s">
        <v>16</v>
      </c>
      <c r="I120" s="62" t="s">
        <v>112</v>
      </c>
      <c r="J120" s="62"/>
      <c r="K120" s="64">
        <v>14.860000000000001</v>
      </c>
      <c r="L120" s="64">
        <f>K120*VLOOKUP(H120,dagsoorttabel1,2,FALSE)</f>
        <v>2.2861538461538466</v>
      </c>
      <c r="M120" s="65">
        <f>prodnorm6</f>
        <v>0</v>
      </c>
      <c r="N120" s="66">
        <f>dagwerk6</f>
        <v>0</v>
      </c>
      <c r="O120" s="62" t="s">
        <v>36</v>
      </c>
      <c r="P120" s="67">
        <f>uurtarief6</f>
        <v>0</v>
      </c>
      <c r="Q120" s="64" t="e">
        <f>IF(ISBLANK(M120),0,L120/ROUND(M120,4))</f>
        <v>#DIV/0!</v>
      </c>
      <c r="R120" s="64" t="e">
        <f>IF(ISBLANK(M120),0,Q120*ROUND(N120,2))</f>
        <v>#DIV/0!</v>
      </c>
      <c r="S120" s="67" t="e">
        <f>ROUND(P120,2)*Q120</f>
        <v>#DIV/0!</v>
      </c>
      <c r="T120" s="64" t="e">
        <f>Q120*dagenperjaar1</f>
        <v>#DIV/0!</v>
      </c>
      <c r="U120" s="68" t="e">
        <f>T120*ROUND(P120,2)</f>
        <v>#DIV/0!</v>
      </c>
    </row>
    <row r="121" spans="1:21" x14ac:dyDescent="0.2">
      <c r="A121" s="61" t="s">
        <v>164</v>
      </c>
      <c r="B121" s="62" t="s">
        <v>165</v>
      </c>
      <c r="C121" s="62" t="s">
        <v>164</v>
      </c>
      <c r="D121" s="62" t="s">
        <v>305</v>
      </c>
      <c r="E121" s="63" t="s">
        <v>186</v>
      </c>
      <c r="F121" s="62" t="s">
        <v>171</v>
      </c>
      <c r="G121" s="62" t="s">
        <v>149</v>
      </c>
      <c r="H121" s="62" t="s">
        <v>12</v>
      </c>
      <c r="I121" s="62" t="s">
        <v>112</v>
      </c>
      <c r="J121" s="62"/>
      <c r="K121" s="64">
        <v>14.860000000000001</v>
      </c>
      <c r="L121" s="64">
        <f>K121*VLOOKUP(H121,dagsoorttabel1,2,FALSE)</f>
        <v>9.1446153846153866</v>
      </c>
      <c r="M121" s="65">
        <f>prodnorm25</f>
        <v>0</v>
      </c>
      <c r="N121" s="66">
        <f>dagwerk25</f>
        <v>0</v>
      </c>
      <c r="O121" s="62" t="s">
        <v>36</v>
      </c>
      <c r="P121" s="67">
        <f>uurtarief25</f>
        <v>0</v>
      </c>
      <c r="Q121" s="64" t="e">
        <f>IF(ISBLANK(M121),0,L121/ROUND(M121,4))</f>
        <v>#DIV/0!</v>
      </c>
      <c r="R121" s="64" t="e">
        <f>IF(ISBLANK(M121),0,Q121*ROUND(N121,2))</f>
        <v>#DIV/0!</v>
      </c>
      <c r="S121" s="67" t="e">
        <f>ROUND(P121,2)*Q121</f>
        <v>#DIV/0!</v>
      </c>
      <c r="T121" s="64" t="e">
        <f>Q121*dagenperjaar1</f>
        <v>#DIV/0!</v>
      </c>
      <c r="U121" s="68" t="e">
        <f>T121*ROUND(P121,2)</f>
        <v>#DIV/0!</v>
      </c>
    </row>
    <row r="122" spans="1:21" x14ac:dyDescent="0.2">
      <c r="A122" s="61" t="s">
        <v>164</v>
      </c>
      <c r="B122" s="62" t="s">
        <v>165</v>
      </c>
      <c r="C122" s="62" t="s">
        <v>164</v>
      </c>
      <c r="D122" s="62" t="s">
        <v>306</v>
      </c>
      <c r="E122" s="63" t="s">
        <v>186</v>
      </c>
      <c r="F122" s="62" t="s">
        <v>171</v>
      </c>
      <c r="G122" s="62" t="s">
        <v>114</v>
      </c>
      <c r="H122" s="62" t="s">
        <v>16</v>
      </c>
      <c r="I122" s="62" t="s">
        <v>112</v>
      </c>
      <c r="J122" s="62"/>
      <c r="K122" s="64">
        <v>15</v>
      </c>
      <c r="L122" s="64">
        <f>K122*VLOOKUP(H122,dagsoorttabel1,2,FALSE)</f>
        <v>2.3076923076923079</v>
      </c>
      <c r="M122" s="65">
        <f>prodnorm6</f>
        <v>0</v>
      </c>
      <c r="N122" s="66">
        <f>dagwerk6</f>
        <v>0</v>
      </c>
      <c r="O122" s="62" t="s">
        <v>36</v>
      </c>
      <c r="P122" s="67">
        <f>uurtarief6</f>
        <v>0</v>
      </c>
      <c r="Q122" s="64" t="e">
        <f>IF(ISBLANK(M122),0,L122/ROUND(M122,4))</f>
        <v>#DIV/0!</v>
      </c>
      <c r="R122" s="64" t="e">
        <f>IF(ISBLANK(M122),0,Q122*ROUND(N122,2))</f>
        <v>#DIV/0!</v>
      </c>
      <c r="S122" s="67" t="e">
        <f>ROUND(P122,2)*Q122</f>
        <v>#DIV/0!</v>
      </c>
      <c r="T122" s="64" t="e">
        <f>Q122*dagenperjaar1</f>
        <v>#DIV/0!</v>
      </c>
      <c r="U122" s="68" t="e">
        <f>T122*ROUND(P122,2)</f>
        <v>#DIV/0!</v>
      </c>
    </row>
    <row r="123" spans="1:21" x14ac:dyDescent="0.2">
      <c r="A123" s="61" t="s">
        <v>164</v>
      </c>
      <c r="B123" s="62" t="s">
        <v>165</v>
      </c>
      <c r="C123" s="62" t="s">
        <v>164</v>
      </c>
      <c r="D123" s="62" t="s">
        <v>306</v>
      </c>
      <c r="E123" s="63" t="s">
        <v>186</v>
      </c>
      <c r="F123" s="62" t="s">
        <v>171</v>
      </c>
      <c r="G123" s="62" t="s">
        <v>149</v>
      </c>
      <c r="H123" s="62" t="s">
        <v>12</v>
      </c>
      <c r="I123" s="62" t="s">
        <v>112</v>
      </c>
      <c r="J123" s="62"/>
      <c r="K123" s="64">
        <v>15</v>
      </c>
      <c r="L123" s="64">
        <f>K123*VLOOKUP(H123,dagsoorttabel1,2,FALSE)</f>
        <v>9.2307692307692317</v>
      </c>
      <c r="M123" s="65">
        <f>prodnorm25</f>
        <v>0</v>
      </c>
      <c r="N123" s="66">
        <f>dagwerk25</f>
        <v>0</v>
      </c>
      <c r="O123" s="62" t="s">
        <v>36</v>
      </c>
      <c r="P123" s="67">
        <f>uurtarief25</f>
        <v>0</v>
      </c>
      <c r="Q123" s="64" t="e">
        <f>IF(ISBLANK(M123),0,L123/ROUND(M123,4))</f>
        <v>#DIV/0!</v>
      </c>
      <c r="R123" s="64" t="e">
        <f>IF(ISBLANK(M123),0,Q123*ROUND(N123,2))</f>
        <v>#DIV/0!</v>
      </c>
      <c r="S123" s="67" t="e">
        <f>ROUND(P123,2)*Q123</f>
        <v>#DIV/0!</v>
      </c>
      <c r="T123" s="64" t="e">
        <f>Q123*dagenperjaar1</f>
        <v>#DIV/0!</v>
      </c>
      <c r="U123" s="68" t="e">
        <f>T123*ROUND(P123,2)</f>
        <v>#DIV/0!</v>
      </c>
    </row>
    <row r="124" spans="1:21" x14ac:dyDescent="0.2">
      <c r="A124" s="61" t="s">
        <v>164</v>
      </c>
      <c r="B124" s="62" t="s">
        <v>165</v>
      </c>
      <c r="C124" s="62" t="s">
        <v>164</v>
      </c>
      <c r="D124" s="62" t="s">
        <v>307</v>
      </c>
      <c r="E124" s="63" t="s">
        <v>265</v>
      </c>
      <c r="F124" s="62" t="s">
        <v>174</v>
      </c>
      <c r="G124" s="62" t="s">
        <v>124</v>
      </c>
      <c r="H124" s="62" t="s">
        <v>12</v>
      </c>
      <c r="I124" s="62" t="s">
        <v>112</v>
      </c>
      <c r="J124" s="62"/>
      <c r="K124" s="64">
        <v>56</v>
      </c>
      <c r="L124" s="64">
        <f>K124*VLOOKUP(H124,dagsoorttabel1,2,FALSE)</f>
        <v>34.461538461538467</v>
      </c>
      <c r="M124" s="65">
        <f>prodnorm11</f>
        <v>0</v>
      </c>
      <c r="N124" s="66">
        <f>dagwerk11</f>
        <v>0</v>
      </c>
      <c r="O124" s="62" t="s">
        <v>36</v>
      </c>
      <c r="P124" s="67">
        <f>uurtarief11</f>
        <v>0</v>
      </c>
      <c r="Q124" s="64" t="e">
        <f>IF(ISBLANK(M124),0,L124/ROUND(M124,4))</f>
        <v>#DIV/0!</v>
      </c>
      <c r="R124" s="64" t="e">
        <f>IF(ISBLANK(M124),0,Q124*ROUND(N124,2))</f>
        <v>#DIV/0!</v>
      </c>
      <c r="S124" s="67" t="e">
        <f>ROUND(P124,2)*Q124</f>
        <v>#DIV/0!</v>
      </c>
      <c r="T124" s="64" t="e">
        <f>Q124*dagenperjaar1</f>
        <v>#DIV/0!</v>
      </c>
      <c r="U124" s="68" t="e">
        <f>T124*ROUND(P124,2)</f>
        <v>#DIV/0!</v>
      </c>
    </row>
    <row r="125" spans="1:21" x14ac:dyDescent="0.2">
      <c r="A125" s="61" t="s">
        <v>164</v>
      </c>
      <c r="B125" s="62" t="s">
        <v>165</v>
      </c>
      <c r="C125" s="62" t="s">
        <v>164</v>
      </c>
      <c r="D125" s="62" t="s">
        <v>308</v>
      </c>
      <c r="E125" s="63" t="s">
        <v>186</v>
      </c>
      <c r="F125" s="62" t="s">
        <v>171</v>
      </c>
      <c r="G125" s="62" t="s">
        <v>114</v>
      </c>
      <c r="H125" s="62" t="s">
        <v>16</v>
      </c>
      <c r="I125" s="62" t="s">
        <v>112</v>
      </c>
      <c r="J125" s="62"/>
      <c r="K125" s="64">
        <v>22</v>
      </c>
      <c r="L125" s="64">
        <f>K125*VLOOKUP(H125,dagsoorttabel1,2,FALSE)</f>
        <v>3.384615384615385</v>
      </c>
      <c r="M125" s="65">
        <f>prodnorm6</f>
        <v>0</v>
      </c>
      <c r="N125" s="66">
        <f>dagwerk6</f>
        <v>0</v>
      </c>
      <c r="O125" s="62" t="s">
        <v>36</v>
      </c>
      <c r="P125" s="67">
        <f>uurtarief6</f>
        <v>0</v>
      </c>
      <c r="Q125" s="64" t="e">
        <f>IF(ISBLANK(M125),0,L125/ROUND(M125,4))</f>
        <v>#DIV/0!</v>
      </c>
      <c r="R125" s="64" t="e">
        <f>IF(ISBLANK(M125),0,Q125*ROUND(N125,2))</f>
        <v>#DIV/0!</v>
      </c>
      <c r="S125" s="67" t="e">
        <f>ROUND(P125,2)*Q125</f>
        <v>#DIV/0!</v>
      </c>
      <c r="T125" s="64" t="e">
        <f>Q125*dagenperjaar1</f>
        <v>#DIV/0!</v>
      </c>
      <c r="U125" s="68" t="e">
        <f>T125*ROUND(P125,2)</f>
        <v>#DIV/0!</v>
      </c>
    </row>
    <row r="126" spans="1:21" x14ac:dyDescent="0.2">
      <c r="A126" s="61" t="s">
        <v>164</v>
      </c>
      <c r="B126" s="62" t="s">
        <v>165</v>
      </c>
      <c r="C126" s="62" t="s">
        <v>164</v>
      </c>
      <c r="D126" s="62" t="s">
        <v>308</v>
      </c>
      <c r="E126" s="63" t="s">
        <v>186</v>
      </c>
      <c r="F126" s="62" t="s">
        <v>171</v>
      </c>
      <c r="G126" s="62" t="s">
        <v>149</v>
      </c>
      <c r="H126" s="62" t="s">
        <v>12</v>
      </c>
      <c r="I126" s="62" t="s">
        <v>112</v>
      </c>
      <c r="J126" s="62"/>
      <c r="K126" s="64">
        <v>22</v>
      </c>
      <c r="L126" s="64">
        <f>K126*VLOOKUP(H126,dagsoorttabel1,2,FALSE)</f>
        <v>13.53846153846154</v>
      </c>
      <c r="M126" s="65">
        <f>prodnorm25</f>
        <v>0</v>
      </c>
      <c r="N126" s="66">
        <f>dagwerk25</f>
        <v>0</v>
      </c>
      <c r="O126" s="62" t="s">
        <v>36</v>
      </c>
      <c r="P126" s="67">
        <f>uurtarief25</f>
        <v>0</v>
      </c>
      <c r="Q126" s="64" t="e">
        <f>IF(ISBLANK(M126),0,L126/ROUND(M126,4))</f>
        <v>#DIV/0!</v>
      </c>
      <c r="R126" s="64" t="e">
        <f>IF(ISBLANK(M126),0,Q126*ROUND(N126,2))</f>
        <v>#DIV/0!</v>
      </c>
      <c r="S126" s="67" t="e">
        <f>ROUND(P126,2)*Q126</f>
        <v>#DIV/0!</v>
      </c>
      <c r="T126" s="64" t="e">
        <f>Q126*dagenperjaar1</f>
        <v>#DIV/0!</v>
      </c>
      <c r="U126" s="68" t="e">
        <f>T126*ROUND(P126,2)</f>
        <v>#DIV/0!</v>
      </c>
    </row>
    <row r="127" spans="1:21" x14ac:dyDescent="0.2">
      <c r="A127" s="61" t="s">
        <v>164</v>
      </c>
      <c r="B127" s="62" t="s">
        <v>165</v>
      </c>
      <c r="C127" s="62" t="s">
        <v>164</v>
      </c>
      <c r="D127" s="62" t="s">
        <v>309</v>
      </c>
      <c r="E127" s="63" t="s">
        <v>194</v>
      </c>
      <c r="F127" s="62" t="s">
        <v>195</v>
      </c>
      <c r="G127" s="62" t="s">
        <v>137</v>
      </c>
      <c r="H127" s="62" t="s">
        <v>11</v>
      </c>
      <c r="I127" s="62" t="s">
        <v>112</v>
      </c>
      <c r="J127" s="62"/>
      <c r="K127" s="64">
        <v>15</v>
      </c>
      <c r="L127" s="64">
        <f>K127*VLOOKUP(H127,dagsoorttabel1,2,FALSE)</f>
        <v>11.538461538461538</v>
      </c>
      <c r="M127" s="65">
        <f>prodnorm19</f>
        <v>0</v>
      </c>
      <c r="N127" s="66">
        <f>dagwerk19</f>
        <v>0</v>
      </c>
      <c r="O127" s="62" t="s">
        <v>36</v>
      </c>
      <c r="P127" s="67">
        <f>uurtarief19</f>
        <v>0</v>
      </c>
      <c r="Q127" s="64" t="e">
        <f>IF(ISBLANK(M127),0,L127/ROUND(M127,4))</f>
        <v>#DIV/0!</v>
      </c>
      <c r="R127" s="64" t="e">
        <f>IF(ISBLANK(M127),0,Q127*ROUND(N127,2))</f>
        <v>#DIV/0!</v>
      </c>
      <c r="S127" s="67" t="e">
        <f>ROUND(P127,2)*Q127</f>
        <v>#DIV/0!</v>
      </c>
      <c r="T127" s="64" t="e">
        <f>Q127*dagenperjaar1</f>
        <v>#DIV/0!</v>
      </c>
      <c r="U127" s="68" t="e">
        <f>T127*ROUND(P127,2)</f>
        <v>#DIV/0!</v>
      </c>
    </row>
    <row r="128" spans="1:21" x14ac:dyDescent="0.2">
      <c r="A128" s="61" t="s">
        <v>164</v>
      </c>
      <c r="B128" s="62" t="s">
        <v>165</v>
      </c>
      <c r="C128" s="62" t="s">
        <v>164</v>
      </c>
      <c r="D128" s="62" t="s">
        <v>309</v>
      </c>
      <c r="E128" s="63" t="s">
        <v>194</v>
      </c>
      <c r="F128" s="62" t="s">
        <v>195</v>
      </c>
      <c r="G128" s="62" t="s">
        <v>139</v>
      </c>
      <c r="H128" s="62" t="s">
        <v>11</v>
      </c>
      <c r="I128" s="62" t="s">
        <v>112</v>
      </c>
      <c r="J128" s="62"/>
      <c r="K128" s="64">
        <v>15</v>
      </c>
      <c r="L128" s="64">
        <f>K128*VLOOKUP(H128,dagsoorttabel1,2,FALSE)</f>
        <v>11.538461538461538</v>
      </c>
      <c r="M128" s="65">
        <f>prodnorm20</f>
        <v>0</v>
      </c>
      <c r="N128" s="66">
        <f>dagwerk20</f>
        <v>0</v>
      </c>
      <c r="O128" s="62" t="s">
        <v>36</v>
      </c>
      <c r="P128" s="67">
        <f>uurtarief20</f>
        <v>0</v>
      </c>
      <c r="Q128" s="64" t="e">
        <f>IF(ISBLANK(M128),0,L128/ROUND(M128,4))</f>
        <v>#DIV/0!</v>
      </c>
      <c r="R128" s="64" t="e">
        <f>IF(ISBLANK(M128),0,Q128*ROUND(N128,2))</f>
        <v>#DIV/0!</v>
      </c>
      <c r="S128" s="67" t="e">
        <f>ROUND(P128,2)*Q128</f>
        <v>#DIV/0!</v>
      </c>
      <c r="T128" s="64" t="e">
        <f>Q128*dagenperjaar1</f>
        <v>#DIV/0!</v>
      </c>
      <c r="U128" s="68" t="e">
        <f>T128*ROUND(P128,2)</f>
        <v>#DIV/0!</v>
      </c>
    </row>
    <row r="129" spans="1:21" x14ac:dyDescent="0.2">
      <c r="A129" s="61" t="s">
        <v>164</v>
      </c>
      <c r="B129" s="62" t="s">
        <v>165</v>
      </c>
      <c r="C129" s="62" t="s">
        <v>164</v>
      </c>
      <c r="D129" s="62" t="s">
        <v>310</v>
      </c>
      <c r="E129" s="63" t="s">
        <v>197</v>
      </c>
      <c r="F129" s="62" t="s">
        <v>195</v>
      </c>
      <c r="G129" s="62" t="s">
        <v>137</v>
      </c>
      <c r="H129" s="62" t="s">
        <v>11</v>
      </c>
      <c r="I129" s="62" t="s">
        <v>112</v>
      </c>
      <c r="J129" s="62"/>
      <c r="K129" s="64">
        <v>15.4</v>
      </c>
      <c r="L129" s="64">
        <f>K129*VLOOKUP(H129,dagsoorttabel1,2,FALSE)</f>
        <v>11.846153846153847</v>
      </c>
      <c r="M129" s="65">
        <f>prodnorm19</f>
        <v>0</v>
      </c>
      <c r="N129" s="66">
        <f>dagwerk19</f>
        <v>0</v>
      </c>
      <c r="O129" s="62" t="s">
        <v>36</v>
      </c>
      <c r="P129" s="67">
        <f>uurtarief19</f>
        <v>0</v>
      </c>
      <c r="Q129" s="64" t="e">
        <f>IF(ISBLANK(M129),0,L129/ROUND(M129,4))</f>
        <v>#DIV/0!</v>
      </c>
      <c r="R129" s="64" t="e">
        <f>IF(ISBLANK(M129),0,Q129*ROUND(N129,2))</f>
        <v>#DIV/0!</v>
      </c>
      <c r="S129" s="67" t="e">
        <f>ROUND(P129,2)*Q129</f>
        <v>#DIV/0!</v>
      </c>
      <c r="T129" s="64" t="e">
        <f>Q129*dagenperjaar1</f>
        <v>#DIV/0!</v>
      </c>
      <c r="U129" s="68" t="e">
        <f>T129*ROUND(P129,2)</f>
        <v>#DIV/0!</v>
      </c>
    </row>
    <row r="130" spans="1:21" x14ac:dyDescent="0.2">
      <c r="A130" s="61" t="s">
        <v>164</v>
      </c>
      <c r="B130" s="62" t="s">
        <v>165</v>
      </c>
      <c r="C130" s="62" t="s">
        <v>164</v>
      </c>
      <c r="D130" s="62" t="s">
        <v>310</v>
      </c>
      <c r="E130" s="63" t="s">
        <v>197</v>
      </c>
      <c r="F130" s="62" t="s">
        <v>195</v>
      </c>
      <c r="G130" s="62" t="s">
        <v>139</v>
      </c>
      <c r="H130" s="62" t="s">
        <v>11</v>
      </c>
      <c r="I130" s="62" t="s">
        <v>112</v>
      </c>
      <c r="J130" s="62"/>
      <c r="K130" s="64">
        <v>15.4</v>
      </c>
      <c r="L130" s="64">
        <f>K130*VLOOKUP(H130,dagsoorttabel1,2,FALSE)</f>
        <v>11.846153846153847</v>
      </c>
      <c r="M130" s="65">
        <f>prodnorm20</f>
        <v>0</v>
      </c>
      <c r="N130" s="66">
        <f>dagwerk20</f>
        <v>0</v>
      </c>
      <c r="O130" s="62" t="s">
        <v>36</v>
      </c>
      <c r="P130" s="67">
        <f>uurtarief20</f>
        <v>0</v>
      </c>
      <c r="Q130" s="64" t="e">
        <f>IF(ISBLANK(M130),0,L130/ROUND(M130,4))</f>
        <v>#DIV/0!</v>
      </c>
      <c r="R130" s="64" t="e">
        <f>IF(ISBLANK(M130),0,Q130*ROUND(N130,2))</f>
        <v>#DIV/0!</v>
      </c>
      <c r="S130" s="67" t="e">
        <f>ROUND(P130,2)*Q130</f>
        <v>#DIV/0!</v>
      </c>
      <c r="T130" s="64" t="e">
        <f>Q130*dagenperjaar1</f>
        <v>#DIV/0!</v>
      </c>
      <c r="U130" s="68" t="e">
        <f>T130*ROUND(P130,2)</f>
        <v>#DIV/0!</v>
      </c>
    </row>
    <row r="131" spans="1:21" x14ac:dyDescent="0.2">
      <c r="A131" s="61" t="s">
        <v>164</v>
      </c>
      <c r="B131" s="62" t="s">
        <v>165</v>
      </c>
      <c r="C131" s="62" t="s">
        <v>164</v>
      </c>
      <c r="D131" s="62" t="s">
        <v>311</v>
      </c>
      <c r="E131" s="63" t="s">
        <v>186</v>
      </c>
      <c r="F131" s="62" t="s">
        <v>171</v>
      </c>
      <c r="G131" s="62" t="s">
        <v>114</v>
      </c>
      <c r="H131" s="62" t="s">
        <v>16</v>
      </c>
      <c r="I131" s="62" t="s">
        <v>112</v>
      </c>
      <c r="J131" s="62"/>
      <c r="K131" s="64">
        <v>25</v>
      </c>
      <c r="L131" s="64">
        <f>K131*VLOOKUP(H131,dagsoorttabel1,2,FALSE)</f>
        <v>3.8461538461538463</v>
      </c>
      <c r="M131" s="65">
        <f>prodnorm6</f>
        <v>0</v>
      </c>
      <c r="N131" s="66">
        <f>dagwerk6</f>
        <v>0</v>
      </c>
      <c r="O131" s="62" t="s">
        <v>36</v>
      </c>
      <c r="P131" s="67">
        <f>uurtarief6</f>
        <v>0</v>
      </c>
      <c r="Q131" s="64" t="e">
        <f>IF(ISBLANK(M131),0,L131/ROUND(M131,4))</f>
        <v>#DIV/0!</v>
      </c>
      <c r="R131" s="64" t="e">
        <f>IF(ISBLANK(M131),0,Q131*ROUND(N131,2))</f>
        <v>#DIV/0!</v>
      </c>
      <c r="S131" s="67" t="e">
        <f>ROUND(P131,2)*Q131</f>
        <v>#DIV/0!</v>
      </c>
      <c r="T131" s="64" t="e">
        <f>Q131*dagenperjaar1</f>
        <v>#DIV/0!</v>
      </c>
      <c r="U131" s="68" t="e">
        <f>T131*ROUND(P131,2)</f>
        <v>#DIV/0!</v>
      </c>
    </row>
    <row r="132" spans="1:21" x14ac:dyDescent="0.2">
      <c r="A132" s="61" t="s">
        <v>164</v>
      </c>
      <c r="B132" s="62" t="s">
        <v>165</v>
      </c>
      <c r="C132" s="62" t="s">
        <v>164</v>
      </c>
      <c r="D132" s="62" t="s">
        <v>311</v>
      </c>
      <c r="E132" s="63" t="s">
        <v>186</v>
      </c>
      <c r="F132" s="62" t="s">
        <v>171</v>
      </c>
      <c r="G132" s="62" t="s">
        <v>149</v>
      </c>
      <c r="H132" s="62" t="s">
        <v>12</v>
      </c>
      <c r="I132" s="62" t="s">
        <v>112</v>
      </c>
      <c r="J132" s="62"/>
      <c r="K132" s="64">
        <v>25</v>
      </c>
      <c r="L132" s="64">
        <f>K132*VLOOKUP(H132,dagsoorttabel1,2,FALSE)</f>
        <v>15.384615384615385</v>
      </c>
      <c r="M132" s="65">
        <f>prodnorm25</f>
        <v>0</v>
      </c>
      <c r="N132" s="66">
        <f>dagwerk25</f>
        <v>0</v>
      </c>
      <c r="O132" s="62" t="s">
        <v>36</v>
      </c>
      <c r="P132" s="67">
        <f>uurtarief25</f>
        <v>0</v>
      </c>
      <c r="Q132" s="64" t="e">
        <f>IF(ISBLANK(M132),0,L132/ROUND(M132,4))</f>
        <v>#DIV/0!</v>
      </c>
      <c r="R132" s="64" t="e">
        <f>IF(ISBLANK(M132),0,Q132*ROUND(N132,2))</f>
        <v>#DIV/0!</v>
      </c>
      <c r="S132" s="67" t="e">
        <f>ROUND(P132,2)*Q132</f>
        <v>#DIV/0!</v>
      </c>
      <c r="T132" s="64" t="e">
        <f>Q132*dagenperjaar1</f>
        <v>#DIV/0!</v>
      </c>
      <c r="U132" s="68" t="e">
        <f>T132*ROUND(P132,2)</f>
        <v>#DIV/0!</v>
      </c>
    </row>
    <row r="133" spans="1:21" x14ac:dyDescent="0.2">
      <c r="A133" s="61" t="s">
        <v>164</v>
      </c>
      <c r="B133" s="62" t="s">
        <v>165</v>
      </c>
      <c r="C133" s="62" t="s">
        <v>164</v>
      </c>
      <c r="D133" s="62" t="s">
        <v>312</v>
      </c>
      <c r="E133" s="63" t="s">
        <v>208</v>
      </c>
      <c r="F133" s="62" t="s">
        <v>174</v>
      </c>
      <c r="G133" s="62" t="s">
        <v>141</v>
      </c>
      <c r="H133" s="62" t="s">
        <v>11</v>
      </c>
      <c r="I133" s="62" t="s">
        <v>112</v>
      </c>
      <c r="J133" s="62"/>
      <c r="K133" s="64">
        <v>10.9</v>
      </c>
      <c r="L133" s="64">
        <f>K133*VLOOKUP(H133,dagsoorttabel1,2,FALSE)</f>
        <v>8.384615384615385</v>
      </c>
      <c r="M133" s="65">
        <f>prodnorm21</f>
        <v>0</v>
      </c>
      <c r="N133" s="66">
        <f>dagwerk21</f>
        <v>0</v>
      </c>
      <c r="O133" s="62" t="s">
        <v>36</v>
      </c>
      <c r="P133" s="67">
        <f>uurtarief21</f>
        <v>0</v>
      </c>
      <c r="Q133" s="64" t="e">
        <f>IF(ISBLANK(M133),0,L133/ROUND(M133,4))</f>
        <v>#DIV/0!</v>
      </c>
      <c r="R133" s="64" t="e">
        <f>IF(ISBLANK(M133),0,Q133*ROUND(N133,2))</f>
        <v>#DIV/0!</v>
      </c>
      <c r="S133" s="67" t="e">
        <f>ROUND(P133,2)*Q133</f>
        <v>#DIV/0!</v>
      </c>
      <c r="T133" s="64" t="e">
        <f>Q133*dagenperjaar1</f>
        <v>#DIV/0!</v>
      </c>
      <c r="U133" s="68" t="e">
        <f>T133*ROUND(P133,2)</f>
        <v>#DIV/0!</v>
      </c>
    </row>
    <row r="134" spans="1:21" x14ac:dyDescent="0.2">
      <c r="A134" s="61" t="s">
        <v>164</v>
      </c>
      <c r="B134" s="62" t="s">
        <v>165</v>
      </c>
      <c r="C134" s="62" t="s">
        <v>164</v>
      </c>
      <c r="D134" s="62" t="s">
        <v>313</v>
      </c>
      <c r="E134" s="63" t="s">
        <v>208</v>
      </c>
      <c r="F134" s="62" t="s">
        <v>210</v>
      </c>
      <c r="G134" s="62" t="s">
        <v>141</v>
      </c>
      <c r="H134" s="62" t="s">
        <v>11</v>
      </c>
      <c r="I134" s="62" t="s">
        <v>112</v>
      </c>
      <c r="J134" s="62"/>
      <c r="K134" s="64">
        <v>8.1199999999999992</v>
      </c>
      <c r="L134" s="64">
        <f>K134*VLOOKUP(H134,dagsoorttabel1,2,FALSE)</f>
        <v>6.2461538461538462</v>
      </c>
      <c r="M134" s="65">
        <f>prodnorm21</f>
        <v>0</v>
      </c>
      <c r="N134" s="66">
        <f>dagwerk21</f>
        <v>0</v>
      </c>
      <c r="O134" s="62" t="s">
        <v>36</v>
      </c>
      <c r="P134" s="67">
        <f>uurtarief21</f>
        <v>0</v>
      </c>
      <c r="Q134" s="64" t="e">
        <f>IF(ISBLANK(M134),0,L134/ROUND(M134,4))</f>
        <v>#DIV/0!</v>
      </c>
      <c r="R134" s="64" t="e">
        <f>IF(ISBLANK(M134),0,Q134*ROUND(N134,2))</f>
        <v>#DIV/0!</v>
      </c>
      <c r="S134" s="67" t="e">
        <f>ROUND(P134,2)*Q134</f>
        <v>#DIV/0!</v>
      </c>
      <c r="T134" s="64" t="e">
        <f>Q134*dagenperjaar1</f>
        <v>#DIV/0!</v>
      </c>
      <c r="U134" s="68" t="e">
        <f>T134*ROUND(P134,2)</f>
        <v>#DIV/0!</v>
      </c>
    </row>
    <row r="135" spans="1:21" x14ac:dyDescent="0.2">
      <c r="A135" s="61" t="s">
        <v>164</v>
      </c>
      <c r="B135" s="62" t="s">
        <v>165</v>
      </c>
      <c r="C135" s="62" t="s">
        <v>164</v>
      </c>
      <c r="D135" s="62" t="s">
        <v>314</v>
      </c>
      <c r="E135" s="63" t="s">
        <v>265</v>
      </c>
      <c r="F135" s="62" t="s">
        <v>171</v>
      </c>
      <c r="G135" s="62" t="s">
        <v>126</v>
      </c>
      <c r="H135" s="62" t="s">
        <v>12</v>
      </c>
      <c r="I135" s="62" t="s">
        <v>112</v>
      </c>
      <c r="J135" s="62"/>
      <c r="K135" s="64">
        <v>40</v>
      </c>
      <c r="L135" s="64">
        <f>K135*VLOOKUP(H135,dagsoorttabel1,2,FALSE)</f>
        <v>24.615384615384617</v>
      </c>
      <c r="M135" s="65">
        <f>prodnorm13</f>
        <v>0</v>
      </c>
      <c r="N135" s="66">
        <f>dagwerk13</f>
        <v>0</v>
      </c>
      <c r="O135" s="62" t="s">
        <v>36</v>
      </c>
      <c r="P135" s="67">
        <f>uurtarief13</f>
        <v>0</v>
      </c>
      <c r="Q135" s="64" t="e">
        <f>IF(ISBLANK(M135),0,L135/ROUND(M135,4))</f>
        <v>#DIV/0!</v>
      </c>
      <c r="R135" s="64" t="e">
        <f>IF(ISBLANK(M135),0,Q135*ROUND(N135,2))</f>
        <v>#DIV/0!</v>
      </c>
      <c r="S135" s="67" t="e">
        <f>ROUND(P135,2)*Q135</f>
        <v>#DIV/0!</v>
      </c>
      <c r="T135" s="64" t="e">
        <f>Q135*dagenperjaar1</f>
        <v>#DIV/0!</v>
      </c>
      <c r="U135" s="68" t="e">
        <f>T135*ROUND(P135,2)</f>
        <v>#DIV/0!</v>
      </c>
    </row>
    <row r="136" spans="1:21" x14ac:dyDescent="0.2">
      <c r="A136" s="61" t="s">
        <v>164</v>
      </c>
      <c r="B136" s="62" t="s">
        <v>165</v>
      </c>
      <c r="C136" s="62" t="s">
        <v>164</v>
      </c>
      <c r="D136" s="62" t="s">
        <v>315</v>
      </c>
      <c r="E136" s="63" t="s">
        <v>265</v>
      </c>
      <c r="F136" s="62" t="s">
        <v>174</v>
      </c>
      <c r="G136" s="62" t="s">
        <v>124</v>
      </c>
      <c r="H136" s="62" t="s">
        <v>12</v>
      </c>
      <c r="I136" s="62" t="s">
        <v>112</v>
      </c>
      <c r="J136" s="62"/>
      <c r="K136" s="64">
        <v>14</v>
      </c>
      <c r="L136" s="64">
        <f>K136*VLOOKUP(H136,dagsoorttabel1,2,FALSE)</f>
        <v>8.6153846153846168</v>
      </c>
      <c r="M136" s="65">
        <f>prodnorm11</f>
        <v>0</v>
      </c>
      <c r="N136" s="66">
        <f>dagwerk11</f>
        <v>0</v>
      </c>
      <c r="O136" s="62" t="s">
        <v>36</v>
      </c>
      <c r="P136" s="67">
        <f>uurtarief11</f>
        <v>0</v>
      </c>
      <c r="Q136" s="64" t="e">
        <f>IF(ISBLANK(M136),0,L136/ROUND(M136,4))</f>
        <v>#DIV/0!</v>
      </c>
      <c r="R136" s="64" t="e">
        <f>IF(ISBLANK(M136),0,Q136*ROUND(N136,2))</f>
        <v>#DIV/0!</v>
      </c>
      <c r="S136" s="67" t="e">
        <f>ROUND(P136,2)*Q136</f>
        <v>#DIV/0!</v>
      </c>
      <c r="T136" s="64" t="e">
        <f>Q136*dagenperjaar1</f>
        <v>#DIV/0!</v>
      </c>
      <c r="U136" s="68" t="e">
        <f>T136*ROUND(P136,2)</f>
        <v>#DIV/0!</v>
      </c>
    </row>
    <row r="137" spans="1:21" x14ac:dyDescent="0.2">
      <c r="A137" s="61" t="s">
        <v>164</v>
      </c>
      <c r="B137" s="62" t="s">
        <v>165</v>
      </c>
      <c r="C137" s="62" t="s">
        <v>164</v>
      </c>
      <c r="D137" s="62" t="s">
        <v>316</v>
      </c>
      <c r="E137" s="63" t="s">
        <v>265</v>
      </c>
      <c r="F137" s="62" t="s">
        <v>171</v>
      </c>
      <c r="G137" s="62" t="s">
        <v>126</v>
      </c>
      <c r="H137" s="62" t="s">
        <v>12</v>
      </c>
      <c r="I137" s="62" t="s">
        <v>112</v>
      </c>
      <c r="J137" s="62"/>
      <c r="K137" s="64">
        <v>40</v>
      </c>
      <c r="L137" s="64">
        <f>K137*VLOOKUP(H137,dagsoorttabel1,2,FALSE)</f>
        <v>24.615384615384617</v>
      </c>
      <c r="M137" s="65">
        <f>prodnorm13</f>
        <v>0</v>
      </c>
      <c r="N137" s="66">
        <f>dagwerk13</f>
        <v>0</v>
      </c>
      <c r="O137" s="62" t="s">
        <v>36</v>
      </c>
      <c r="P137" s="67">
        <f>uurtarief13</f>
        <v>0</v>
      </c>
      <c r="Q137" s="64" t="e">
        <f>IF(ISBLANK(M137),0,L137/ROUND(M137,4))</f>
        <v>#DIV/0!</v>
      </c>
      <c r="R137" s="64" t="e">
        <f>IF(ISBLANK(M137),0,Q137*ROUND(N137,2))</f>
        <v>#DIV/0!</v>
      </c>
      <c r="S137" s="67" t="e">
        <f>ROUND(P137,2)*Q137</f>
        <v>#DIV/0!</v>
      </c>
      <c r="T137" s="64" t="e">
        <f>Q137*dagenperjaar1</f>
        <v>#DIV/0!</v>
      </c>
      <c r="U137" s="68" t="e">
        <f>T137*ROUND(P137,2)</f>
        <v>#DIV/0!</v>
      </c>
    </row>
    <row r="138" spans="1:21" x14ac:dyDescent="0.2">
      <c r="A138" s="61" t="s">
        <v>164</v>
      </c>
      <c r="B138" s="62" t="s">
        <v>165</v>
      </c>
      <c r="C138" s="62" t="s">
        <v>164</v>
      </c>
      <c r="D138" s="62" t="s">
        <v>317</v>
      </c>
      <c r="E138" s="63" t="s">
        <v>265</v>
      </c>
      <c r="F138" s="62" t="s">
        <v>174</v>
      </c>
      <c r="G138" s="62" t="s">
        <v>124</v>
      </c>
      <c r="H138" s="62" t="s">
        <v>12</v>
      </c>
      <c r="I138" s="62" t="s">
        <v>112</v>
      </c>
      <c r="J138" s="62"/>
      <c r="K138" s="64">
        <v>14</v>
      </c>
      <c r="L138" s="64">
        <f>K138*VLOOKUP(H138,dagsoorttabel1,2,FALSE)</f>
        <v>8.6153846153846168</v>
      </c>
      <c r="M138" s="65">
        <f>prodnorm11</f>
        <v>0</v>
      </c>
      <c r="N138" s="66">
        <f>dagwerk11</f>
        <v>0</v>
      </c>
      <c r="O138" s="62" t="s">
        <v>36</v>
      </c>
      <c r="P138" s="67">
        <f>uurtarief11</f>
        <v>0</v>
      </c>
      <c r="Q138" s="64" t="e">
        <f>IF(ISBLANK(M138),0,L138/ROUND(M138,4))</f>
        <v>#DIV/0!</v>
      </c>
      <c r="R138" s="64" t="e">
        <f>IF(ISBLANK(M138),0,Q138*ROUND(N138,2))</f>
        <v>#DIV/0!</v>
      </c>
      <c r="S138" s="67" t="e">
        <f>ROUND(P138,2)*Q138</f>
        <v>#DIV/0!</v>
      </c>
      <c r="T138" s="64" t="e">
        <f>Q138*dagenperjaar1</f>
        <v>#DIV/0!</v>
      </c>
      <c r="U138" s="68" t="e">
        <f>T138*ROUND(P138,2)</f>
        <v>#DIV/0!</v>
      </c>
    </row>
    <row r="139" spans="1:21" x14ac:dyDescent="0.2">
      <c r="A139" s="61" t="s">
        <v>164</v>
      </c>
      <c r="B139" s="62" t="s">
        <v>165</v>
      </c>
      <c r="C139" s="62" t="s">
        <v>164</v>
      </c>
      <c r="D139" s="62" t="s">
        <v>318</v>
      </c>
      <c r="E139" s="63" t="s">
        <v>265</v>
      </c>
      <c r="F139" s="62" t="s">
        <v>171</v>
      </c>
      <c r="G139" s="62" t="s">
        <v>126</v>
      </c>
      <c r="H139" s="62" t="s">
        <v>12</v>
      </c>
      <c r="I139" s="62" t="s">
        <v>112</v>
      </c>
      <c r="J139" s="62"/>
      <c r="K139" s="64">
        <v>40</v>
      </c>
      <c r="L139" s="64">
        <f>K139*VLOOKUP(H139,dagsoorttabel1,2,FALSE)</f>
        <v>24.615384615384617</v>
      </c>
      <c r="M139" s="65">
        <f>prodnorm13</f>
        <v>0</v>
      </c>
      <c r="N139" s="66">
        <f>dagwerk13</f>
        <v>0</v>
      </c>
      <c r="O139" s="62" t="s">
        <v>36</v>
      </c>
      <c r="P139" s="67">
        <f>uurtarief13</f>
        <v>0</v>
      </c>
      <c r="Q139" s="64" t="e">
        <f>IF(ISBLANK(M139),0,L139/ROUND(M139,4))</f>
        <v>#DIV/0!</v>
      </c>
      <c r="R139" s="64" t="e">
        <f>IF(ISBLANK(M139),0,Q139*ROUND(N139,2))</f>
        <v>#DIV/0!</v>
      </c>
      <c r="S139" s="67" t="e">
        <f>ROUND(P139,2)*Q139</f>
        <v>#DIV/0!</v>
      </c>
      <c r="T139" s="64" t="e">
        <f>Q139*dagenperjaar1</f>
        <v>#DIV/0!</v>
      </c>
      <c r="U139" s="68" t="e">
        <f>T139*ROUND(P139,2)</f>
        <v>#DIV/0!</v>
      </c>
    </row>
    <row r="140" spans="1:21" x14ac:dyDescent="0.2">
      <c r="A140" s="61" t="s">
        <v>164</v>
      </c>
      <c r="B140" s="62" t="s">
        <v>165</v>
      </c>
      <c r="C140" s="62" t="s">
        <v>164</v>
      </c>
      <c r="D140" s="62" t="s">
        <v>319</v>
      </c>
      <c r="E140" s="63" t="s">
        <v>265</v>
      </c>
      <c r="F140" s="62" t="s">
        <v>174</v>
      </c>
      <c r="G140" s="62" t="s">
        <v>124</v>
      </c>
      <c r="H140" s="62" t="s">
        <v>12</v>
      </c>
      <c r="I140" s="62" t="s">
        <v>112</v>
      </c>
      <c r="J140" s="62"/>
      <c r="K140" s="64">
        <v>12</v>
      </c>
      <c r="L140" s="64">
        <f>K140*VLOOKUP(H140,dagsoorttabel1,2,FALSE)</f>
        <v>7.384615384615385</v>
      </c>
      <c r="M140" s="65">
        <f>prodnorm11</f>
        <v>0</v>
      </c>
      <c r="N140" s="66">
        <f>dagwerk11</f>
        <v>0</v>
      </c>
      <c r="O140" s="62" t="s">
        <v>36</v>
      </c>
      <c r="P140" s="67">
        <f>uurtarief11</f>
        <v>0</v>
      </c>
      <c r="Q140" s="64" t="e">
        <f>IF(ISBLANK(M140),0,L140/ROUND(M140,4))</f>
        <v>#DIV/0!</v>
      </c>
      <c r="R140" s="64" t="e">
        <f>IF(ISBLANK(M140),0,Q140*ROUND(N140,2))</f>
        <v>#DIV/0!</v>
      </c>
      <c r="S140" s="67" t="e">
        <f>ROUND(P140,2)*Q140</f>
        <v>#DIV/0!</v>
      </c>
      <c r="T140" s="64" t="e">
        <f>Q140*dagenperjaar1</f>
        <v>#DIV/0!</v>
      </c>
      <c r="U140" s="68" t="e">
        <f>T140*ROUND(P140,2)</f>
        <v>#DIV/0!</v>
      </c>
    </row>
    <row r="141" spans="1:21" x14ac:dyDescent="0.2">
      <c r="A141" s="61" t="s">
        <v>164</v>
      </c>
      <c r="B141" s="62" t="s">
        <v>165</v>
      </c>
      <c r="C141" s="62" t="s">
        <v>164</v>
      </c>
      <c r="D141" s="62" t="s">
        <v>320</v>
      </c>
      <c r="E141" s="63" t="s">
        <v>208</v>
      </c>
      <c r="F141" s="62" t="s">
        <v>174</v>
      </c>
      <c r="G141" s="62" t="s">
        <v>141</v>
      </c>
      <c r="H141" s="62" t="s">
        <v>11</v>
      </c>
      <c r="I141" s="62" t="s">
        <v>112</v>
      </c>
      <c r="J141" s="62"/>
      <c r="K141" s="64">
        <v>10.9</v>
      </c>
      <c r="L141" s="64">
        <f>K141*VLOOKUP(H141,dagsoorttabel1,2,FALSE)</f>
        <v>8.384615384615385</v>
      </c>
      <c r="M141" s="65">
        <f>prodnorm21</f>
        <v>0</v>
      </c>
      <c r="N141" s="66">
        <f>dagwerk21</f>
        <v>0</v>
      </c>
      <c r="O141" s="62" t="s">
        <v>36</v>
      </c>
      <c r="P141" s="67">
        <f>uurtarief21</f>
        <v>0</v>
      </c>
      <c r="Q141" s="64" t="e">
        <f>IF(ISBLANK(M141),0,L141/ROUND(M141,4))</f>
        <v>#DIV/0!</v>
      </c>
      <c r="R141" s="64" t="e">
        <f>IF(ISBLANK(M141),0,Q141*ROUND(N141,2))</f>
        <v>#DIV/0!</v>
      </c>
      <c r="S141" s="67" t="e">
        <f>ROUND(P141,2)*Q141</f>
        <v>#DIV/0!</v>
      </c>
      <c r="T141" s="64" t="e">
        <f>Q141*dagenperjaar1</f>
        <v>#DIV/0!</v>
      </c>
      <c r="U141" s="68" t="e">
        <f>T141*ROUND(P141,2)</f>
        <v>#DIV/0!</v>
      </c>
    </row>
    <row r="142" spans="1:21" x14ac:dyDescent="0.2">
      <c r="A142" s="61" t="s">
        <v>164</v>
      </c>
      <c r="B142" s="62" t="s">
        <v>165</v>
      </c>
      <c r="C142" s="62" t="s">
        <v>164</v>
      </c>
      <c r="D142" s="62" t="s">
        <v>321</v>
      </c>
      <c r="E142" s="63" t="s">
        <v>208</v>
      </c>
      <c r="F142" s="62" t="s">
        <v>210</v>
      </c>
      <c r="G142" s="62" t="s">
        <v>141</v>
      </c>
      <c r="H142" s="62" t="s">
        <v>11</v>
      </c>
      <c r="I142" s="62" t="s">
        <v>112</v>
      </c>
      <c r="J142" s="62"/>
      <c r="K142" s="64">
        <v>8.1199999999999992</v>
      </c>
      <c r="L142" s="64">
        <f>K142*VLOOKUP(H142,dagsoorttabel1,2,FALSE)</f>
        <v>6.2461538461538462</v>
      </c>
      <c r="M142" s="65">
        <f>prodnorm21</f>
        <v>0</v>
      </c>
      <c r="N142" s="66">
        <f>dagwerk21</f>
        <v>0</v>
      </c>
      <c r="O142" s="62" t="s">
        <v>36</v>
      </c>
      <c r="P142" s="67">
        <f>uurtarief21</f>
        <v>0</v>
      </c>
      <c r="Q142" s="64" t="e">
        <f>IF(ISBLANK(M142),0,L142/ROUND(M142,4))</f>
        <v>#DIV/0!</v>
      </c>
      <c r="R142" s="64" t="e">
        <f>IF(ISBLANK(M142),0,Q142*ROUND(N142,2))</f>
        <v>#DIV/0!</v>
      </c>
      <c r="S142" s="67" t="e">
        <f>ROUND(P142,2)*Q142</f>
        <v>#DIV/0!</v>
      </c>
      <c r="T142" s="64" t="e">
        <f>Q142*dagenperjaar1</f>
        <v>#DIV/0!</v>
      </c>
      <c r="U142" s="68" t="e">
        <f>T142*ROUND(P142,2)</f>
        <v>#DIV/0!</v>
      </c>
    </row>
    <row r="143" spans="1:21" x14ac:dyDescent="0.2">
      <c r="A143" s="61" t="s">
        <v>164</v>
      </c>
      <c r="B143" s="62" t="s">
        <v>165</v>
      </c>
      <c r="C143" s="62" t="s">
        <v>164</v>
      </c>
      <c r="D143" s="62" t="s">
        <v>322</v>
      </c>
      <c r="E143" s="63" t="s">
        <v>186</v>
      </c>
      <c r="F143" s="62" t="s">
        <v>171</v>
      </c>
      <c r="G143" s="62" t="s">
        <v>114</v>
      </c>
      <c r="H143" s="62" t="s">
        <v>16</v>
      </c>
      <c r="I143" s="62" t="s">
        <v>112</v>
      </c>
      <c r="J143" s="62"/>
      <c r="K143" s="64">
        <v>23</v>
      </c>
      <c r="L143" s="64">
        <f>K143*VLOOKUP(H143,dagsoorttabel1,2,FALSE)</f>
        <v>3.5384615384615388</v>
      </c>
      <c r="M143" s="65">
        <f>prodnorm6</f>
        <v>0</v>
      </c>
      <c r="N143" s="66">
        <f>dagwerk6</f>
        <v>0</v>
      </c>
      <c r="O143" s="62" t="s">
        <v>36</v>
      </c>
      <c r="P143" s="67">
        <f>uurtarief6</f>
        <v>0</v>
      </c>
      <c r="Q143" s="64" t="e">
        <f>IF(ISBLANK(M143),0,L143/ROUND(M143,4))</f>
        <v>#DIV/0!</v>
      </c>
      <c r="R143" s="64" t="e">
        <f>IF(ISBLANK(M143),0,Q143*ROUND(N143,2))</f>
        <v>#DIV/0!</v>
      </c>
      <c r="S143" s="67" t="e">
        <f>ROUND(P143,2)*Q143</f>
        <v>#DIV/0!</v>
      </c>
      <c r="T143" s="64" t="e">
        <f>Q143*dagenperjaar1</f>
        <v>#DIV/0!</v>
      </c>
      <c r="U143" s="68" t="e">
        <f>T143*ROUND(P143,2)</f>
        <v>#DIV/0!</v>
      </c>
    </row>
    <row r="144" spans="1:21" x14ac:dyDescent="0.2">
      <c r="A144" s="61" t="s">
        <v>164</v>
      </c>
      <c r="B144" s="62" t="s">
        <v>165</v>
      </c>
      <c r="C144" s="62" t="s">
        <v>164</v>
      </c>
      <c r="D144" s="62" t="s">
        <v>322</v>
      </c>
      <c r="E144" s="63" t="s">
        <v>186</v>
      </c>
      <c r="F144" s="62" t="s">
        <v>171</v>
      </c>
      <c r="G144" s="62" t="s">
        <v>149</v>
      </c>
      <c r="H144" s="62" t="s">
        <v>12</v>
      </c>
      <c r="I144" s="62" t="s">
        <v>112</v>
      </c>
      <c r="J144" s="62"/>
      <c r="K144" s="64">
        <v>23</v>
      </c>
      <c r="L144" s="64">
        <f>K144*VLOOKUP(H144,dagsoorttabel1,2,FALSE)</f>
        <v>14.153846153846155</v>
      </c>
      <c r="M144" s="65">
        <f>prodnorm25</f>
        <v>0</v>
      </c>
      <c r="N144" s="66">
        <f>dagwerk25</f>
        <v>0</v>
      </c>
      <c r="O144" s="62" t="s">
        <v>36</v>
      </c>
      <c r="P144" s="67">
        <f>uurtarief25</f>
        <v>0</v>
      </c>
      <c r="Q144" s="64" t="e">
        <f>IF(ISBLANK(M144),0,L144/ROUND(M144,4))</f>
        <v>#DIV/0!</v>
      </c>
      <c r="R144" s="64" t="e">
        <f>IF(ISBLANK(M144),0,Q144*ROUND(N144,2))</f>
        <v>#DIV/0!</v>
      </c>
      <c r="S144" s="67" t="e">
        <f>ROUND(P144,2)*Q144</f>
        <v>#DIV/0!</v>
      </c>
      <c r="T144" s="64" t="e">
        <f>Q144*dagenperjaar1</f>
        <v>#DIV/0!</v>
      </c>
      <c r="U144" s="68" t="e">
        <f>T144*ROUND(P144,2)</f>
        <v>#DIV/0!</v>
      </c>
    </row>
    <row r="145" spans="1:21" x14ac:dyDescent="0.2">
      <c r="A145" s="61" t="s">
        <v>164</v>
      </c>
      <c r="B145" s="62" t="s">
        <v>165</v>
      </c>
      <c r="C145" s="62" t="s">
        <v>164</v>
      </c>
      <c r="D145" s="62" t="s">
        <v>323</v>
      </c>
      <c r="E145" s="63" t="s">
        <v>173</v>
      </c>
      <c r="F145" s="62" t="s">
        <v>174</v>
      </c>
      <c r="G145" s="62" t="s">
        <v>143</v>
      </c>
      <c r="H145" s="62" t="s">
        <v>11</v>
      </c>
      <c r="I145" s="62" t="s">
        <v>112</v>
      </c>
      <c r="J145" s="62"/>
      <c r="K145" s="64">
        <v>187.3</v>
      </c>
      <c r="L145" s="64">
        <f>K145*VLOOKUP(H145,dagsoorttabel1,2,FALSE)</f>
        <v>144.07692307692309</v>
      </c>
      <c r="M145" s="65">
        <f>prodnorm22</f>
        <v>0</v>
      </c>
      <c r="N145" s="66">
        <f>dagwerk22</f>
        <v>0</v>
      </c>
      <c r="O145" s="62" t="s">
        <v>36</v>
      </c>
      <c r="P145" s="67">
        <f>uurtarief22</f>
        <v>0</v>
      </c>
      <c r="Q145" s="64" t="e">
        <f>IF(ISBLANK(M145),0,L145/ROUND(M145,4))</f>
        <v>#DIV/0!</v>
      </c>
      <c r="R145" s="64" t="e">
        <f>IF(ISBLANK(M145),0,Q145*ROUND(N145,2))</f>
        <v>#DIV/0!</v>
      </c>
      <c r="S145" s="67" t="e">
        <f>ROUND(P145,2)*Q145</f>
        <v>#DIV/0!</v>
      </c>
      <c r="T145" s="64" t="e">
        <f>Q145*dagenperjaar1</f>
        <v>#DIV/0!</v>
      </c>
      <c r="U145" s="68" t="e">
        <f>T145*ROUND(P145,2)</f>
        <v>#DIV/0!</v>
      </c>
    </row>
    <row r="146" spans="1:21" x14ac:dyDescent="0.2">
      <c r="A146" s="61" t="s">
        <v>164</v>
      </c>
      <c r="B146" s="62" t="s">
        <v>165</v>
      </c>
      <c r="C146" s="62" t="s">
        <v>164</v>
      </c>
      <c r="D146" s="62" t="s">
        <v>324</v>
      </c>
      <c r="E146" s="63" t="s">
        <v>194</v>
      </c>
      <c r="F146" s="62" t="s">
        <v>195</v>
      </c>
      <c r="G146" s="62" t="s">
        <v>137</v>
      </c>
      <c r="H146" s="62" t="s">
        <v>11</v>
      </c>
      <c r="I146" s="62" t="s">
        <v>112</v>
      </c>
      <c r="J146" s="62"/>
      <c r="K146" s="64">
        <v>12.9</v>
      </c>
      <c r="L146" s="64">
        <f>K146*VLOOKUP(H146,dagsoorttabel1,2,FALSE)</f>
        <v>9.9230769230769234</v>
      </c>
      <c r="M146" s="65">
        <f>prodnorm19</f>
        <v>0</v>
      </c>
      <c r="N146" s="66">
        <f>dagwerk19</f>
        <v>0</v>
      </c>
      <c r="O146" s="62" t="s">
        <v>36</v>
      </c>
      <c r="P146" s="67">
        <f>uurtarief19</f>
        <v>0</v>
      </c>
      <c r="Q146" s="64" t="e">
        <f>IF(ISBLANK(M146),0,L146/ROUND(M146,4))</f>
        <v>#DIV/0!</v>
      </c>
      <c r="R146" s="64" t="e">
        <f>IF(ISBLANK(M146),0,Q146*ROUND(N146,2))</f>
        <v>#DIV/0!</v>
      </c>
      <c r="S146" s="67" t="e">
        <f>ROUND(P146,2)*Q146</f>
        <v>#DIV/0!</v>
      </c>
      <c r="T146" s="64" t="e">
        <f>Q146*dagenperjaar1</f>
        <v>#DIV/0!</v>
      </c>
      <c r="U146" s="68" t="e">
        <f>T146*ROUND(P146,2)</f>
        <v>#DIV/0!</v>
      </c>
    </row>
    <row r="147" spans="1:21" x14ac:dyDescent="0.2">
      <c r="A147" s="61" t="s">
        <v>164</v>
      </c>
      <c r="B147" s="62" t="s">
        <v>165</v>
      </c>
      <c r="C147" s="62" t="s">
        <v>164</v>
      </c>
      <c r="D147" s="62" t="s">
        <v>324</v>
      </c>
      <c r="E147" s="63" t="s">
        <v>194</v>
      </c>
      <c r="F147" s="62" t="s">
        <v>195</v>
      </c>
      <c r="G147" s="62" t="s">
        <v>139</v>
      </c>
      <c r="H147" s="62" t="s">
        <v>11</v>
      </c>
      <c r="I147" s="62" t="s">
        <v>112</v>
      </c>
      <c r="J147" s="62"/>
      <c r="K147" s="64">
        <v>12.9</v>
      </c>
      <c r="L147" s="64">
        <f>K147*VLOOKUP(H147,dagsoorttabel1,2,FALSE)</f>
        <v>9.9230769230769234</v>
      </c>
      <c r="M147" s="65">
        <f>prodnorm20</f>
        <v>0</v>
      </c>
      <c r="N147" s="66">
        <f>dagwerk20</f>
        <v>0</v>
      </c>
      <c r="O147" s="62" t="s">
        <v>36</v>
      </c>
      <c r="P147" s="67">
        <f>uurtarief20</f>
        <v>0</v>
      </c>
      <c r="Q147" s="64" t="e">
        <f>IF(ISBLANK(M147),0,L147/ROUND(M147,4))</f>
        <v>#DIV/0!</v>
      </c>
      <c r="R147" s="64" t="e">
        <f>IF(ISBLANK(M147),0,Q147*ROUND(N147,2))</f>
        <v>#DIV/0!</v>
      </c>
      <c r="S147" s="67" t="e">
        <f>ROUND(P147,2)*Q147</f>
        <v>#DIV/0!</v>
      </c>
      <c r="T147" s="64" t="e">
        <f>Q147*dagenperjaar1</f>
        <v>#DIV/0!</v>
      </c>
      <c r="U147" s="68" t="e">
        <f>T147*ROUND(P147,2)</f>
        <v>#DIV/0!</v>
      </c>
    </row>
    <row r="148" spans="1:21" x14ac:dyDescent="0.2">
      <c r="A148" s="61" t="s">
        <v>164</v>
      </c>
      <c r="B148" s="62" t="s">
        <v>165</v>
      </c>
      <c r="C148" s="62" t="s">
        <v>164</v>
      </c>
      <c r="D148" s="62" t="s">
        <v>325</v>
      </c>
      <c r="E148" s="63" t="s">
        <v>197</v>
      </c>
      <c r="F148" s="62" t="s">
        <v>195</v>
      </c>
      <c r="G148" s="62" t="s">
        <v>137</v>
      </c>
      <c r="H148" s="62" t="s">
        <v>11</v>
      </c>
      <c r="I148" s="62" t="s">
        <v>112</v>
      </c>
      <c r="J148" s="62"/>
      <c r="K148" s="64">
        <v>12.9</v>
      </c>
      <c r="L148" s="64">
        <f>K148*VLOOKUP(H148,dagsoorttabel1,2,FALSE)</f>
        <v>9.9230769230769234</v>
      </c>
      <c r="M148" s="65">
        <f>prodnorm19</f>
        <v>0</v>
      </c>
      <c r="N148" s="66">
        <f>dagwerk19</f>
        <v>0</v>
      </c>
      <c r="O148" s="62" t="s">
        <v>36</v>
      </c>
      <c r="P148" s="67">
        <f>uurtarief19</f>
        <v>0</v>
      </c>
      <c r="Q148" s="64" t="e">
        <f>IF(ISBLANK(M148),0,L148/ROUND(M148,4))</f>
        <v>#DIV/0!</v>
      </c>
      <c r="R148" s="64" t="e">
        <f>IF(ISBLANK(M148),0,Q148*ROUND(N148,2))</f>
        <v>#DIV/0!</v>
      </c>
      <c r="S148" s="67" t="e">
        <f>ROUND(P148,2)*Q148</f>
        <v>#DIV/0!</v>
      </c>
      <c r="T148" s="64" t="e">
        <f>Q148*dagenperjaar1</f>
        <v>#DIV/0!</v>
      </c>
      <c r="U148" s="68" t="e">
        <f>T148*ROUND(P148,2)</f>
        <v>#DIV/0!</v>
      </c>
    </row>
    <row r="149" spans="1:21" x14ac:dyDescent="0.2">
      <c r="A149" s="61" t="s">
        <v>164</v>
      </c>
      <c r="B149" s="62" t="s">
        <v>165</v>
      </c>
      <c r="C149" s="62" t="s">
        <v>164</v>
      </c>
      <c r="D149" s="62" t="s">
        <v>325</v>
      </c>
      <c r="E149" s="63" t="s">
        <v>197</v>
      </c>
      <c r="F149" s="62" t="s">
        <v>195</v>
      </c>
      <c r="G149" s="62" t="s">
        <v>139</v>
      </c>
      <c r="H149" s="62" t="s">
        <v>11</v>
      </c>
      <c r="I149" s="62" t="s">
        <v>112</v>
      </c>
      <c r="J149" s="62"/>
      <c r="K149" s="64">
        <v>12.9</v>
      </c>
      <c r="L149" s="64">
        <f>K149*VLOOKUP(H149,dagsoorttabel1,2,FALSE)</f>
        <v>9.9230769230769234</v>
      </c>
      <c r="M149" s="65">
        <f>prodnorm20</f>
        <v>0</v>
      </c>
      <c r="N149" s="66">
        <f>dagwerk20</f>
        <v>0</v>
      </c>
      <c r="O149" s="62" t="s">
        <v>36</v>
      </c>
      <c r="P149" s="67">
        <f>uurtarief20</f>
        <v>0</v>
      </c>
      <c r="Q149" s="64" t="e">
        <f>IF(ISBLANK(M149),0,L149/ROUND(M149,4))</f>
        <v>#DIV/0!</v>
      </c>
      <c r="R149" s="64" t="e">
        <f>IF(ISBLANK(M149),0,Q149*ROUND(N149,2))</f>
        <v>#DIV/0!</v>
      </c>
      <c r="S149" s="67" t="e">
        <f>ROUND(P149,2)*Q149</f>
        <v>#DIV/0!</v>
      </c>
      <c r="T149" s="64" t="e">
        <f>Q149*dagenperjaar1</f>
        <v>#DIV/0!</v>
      </c>
      <c r="U149" s="68" t="e">
        <f>T149*ROUND(P149,2)</f>
        <v>#DIV/0!</v>
      </c>
    </row>
    <row r="150" spans="1:21" x14ac:dyDescent="0.2">
      <c r="A150" s="61" t="s">
        <v>164</v>
      </c>
      <c r="B150" s="62" t="s">
        <v>165</v>
      </c>
      <c r="C150" s="62" t="s">
        <v>164</v>
      </c>
      <c r="D150" s="62" t="s">
        <v>326</v>
      </c>
      <c r="E150" s="63" t="s">
        <v>186</v>
      </c>
      <c r="F150" s="62" t="s">
        <v>171</v>
      </c>
      <c r="G150" s="62" t="s">
        <v>114</v>
      </c>
      <c r="H150" s="62" t="s">
        <v>16</v>
      </c>
      <c r="I150" s="62" t="s">
        <v>112</v>
      </c>
      <c r="J150" s="62"/>
      <c r="K150" s="64">
        <v>25.4</v>
      </c>
      <c r="L150" s="64">
        <f>K150*VLOOKUP(H150,dagsoorttabel1,2,FALSE)</f>
        <v>3.9076923076923076</v>
      </c>
      <c r="M150" s="65">
        <f>prodnorm6</f>
        <v>0</v>
      </c>
      <c r="N150" s="66">
        <f>dagwerk6</f>
        <v>0</v>
      </c>
      <c r="O150" s="62" t="s">
        <v>36</v>
      </c>
      <c r="P150" s="67">
        <f>uurtarief6</f>
        <v>0</v>
      </c>
      <c r="Q150" s="64" t="e">
        <f>IF(ISBLANK(M150),0,L150/ROUND(M150,4))</f>
        <v>#DIV/0!</v>
      </c>
      <c r="R150" s="64" t="e">
        <f>IF(ISBLANK(M150),0,Q150*ROUND(N150,2))</f>
        <v>#DIV/0!</v>
      </c>
      <c r="S150" s="67" t="e">
        <f>ROUND(P150,2)*Q150</f>
        <v>#DIV/0!</v>
      </c>
      <c r="T150" s="64" t="e">
        <f>Q150*dagenperjaar1</f>
        <v>#DIV/0!</v>
      </c>
      <c r="U150" s="68" t="e">
        <f>T150*ROUND(P150,2)</f>
        <v>#DIV/0!</v>
      </c>
    </row>
    <row r="151" spans="1:21" x14ac:dyDescent="0.2">
      <c r="A151" s="61" t="s">
        <v>164</v>
      </c>
      <c r="B151" s="62" t="s">
        <v>165</v>
      </c>
      <c r="C151" s="62" t="s">
        <v>164</v>
      </c>
      <c r="D151" s="62" t="s">
        <v>326</v>
      </c>
      <c r="E151" s="63" t="s">
        <v>186</v>
      </c>
      <c r="F151" s="62" t="s">
        <v>171</v>
      </c>
      <c r="G151" s="62" t="s">
        <v>149</v>
      </c>
      <c r="H151" s="62" t="s">
        <v>12</v>
      </c>
      <c r="I151" s="62" t="s">
        <v>112</v>
      </c>
      <c r="J151" s="62"/>
      <c r="K151" s="64">
        <v>25.4</v>
      </c>
      <c r="L151" s="64">
        <f>K151*VLOOKUP(H151,dagsoorttabel1,2,FALSE)</f>
        <v>15.63076923076923</v>
      </c>
      <c r="M151" s="65">
        <f>prodnorm25</f>
        <v>0</v>
      </c>
      <c r="N151" s="66">
        <f>dagwerk25</f>
        <v>0</v>
      </c>
      <c r="O151" s="62" t="s">
        <v>36</v>
      </c>
      <c r="P151" s="67">
        <f>uurtarief25</f>
        <v>0</v>
      </c>
      <c r="Q151" s="64" t="e">
        <f>IF(ISBLANK(M151),0,L151/ROUND(M151,4))</f>
        <v>#DIV/0!</v>
      </c>
      <c r="R151" s="64" t="e">
        <f>IF(ISBLANK(M151),0,Q151*ROUND(N151,2))</f>
        <v>#DIV/0!</v>
      </c>
      <c r="S151" s="67" t="e">
        <f>ROUND(P151,2)*Q151</f>
        <v>#DIV/0!</v>
      </c>
      <c r="T151" s="64" t="e">
        <f>Q151*dagenperjaar1</f>
        <v>#DIV/0!</v>
      </c>
      <c r="U151" s="68" t="e">
        <f>T151*ROUND(P151,2)</f>
        <v>#DIV/0!</v>
      </c>
    </row>
    <row r="152" spans="1:21" x14ac:dyDescent="0.2">
      <c r="A152" s="61" t="s">
        <v>164</v>
      </c>
      <c r="B152" s="62" t="s">
        <v>165</v>
      </c>
      <c r="C152" s="62" t="s">
        <v>164</v>
      </c>
      <c r="D152" s="62" t="s">
        <v>327</v>
      </c>
      <c r="E152" s="63" t="s">
        <v>186</v>
      </c>
      <c r="F152" s="62" t="s">
        <v>171</v>
      </c>
      <c r="G152" s="62" t="s">
        <v>114</v>
      </c>
      <c r="H152" s="62" t="s">
        <v>16</v>
      </c>
      <c r="I152" s="62" t="s">
        <v>112</v>
      </c>
      <c r="J152" s="62"/>
      <c r="K152" s="64">
        <v>27.2</v>
      </c>
      <c r="L152" s="64">
        <f>K152*VLOOKUP(H152,dagsoorttabel1,2,FALSE)</f>
        <v>4.1846153846153848</v>
      </c>
      <c r="M152" s="65">
        <f>prodnorm6</f>
        <v>0</v>
      </c>
      <c r="N152" s="66">
        <f>dagwerk6</f>
        <v>0</v>
      </c>
      <c r="O152" s="62" t="s">
        <v>36</v>
      </c>
      <c r="P152" s="67">
        <f>uurtarief6</f>
        <v>0</v>
      </c>
      <c r="Q152" s="64" t="e">
        <f>IF(ISBLANK(M152),0,L152/ROUND(M152,4))</f>
        <v>#DIV/0!</v>
      </c>
      <c r="R152" s="64" t="e">
        <f>IF(ISBLANK(M152),0,Q152*ROUND(N152,2))</f>
        <v>#DIV/0!</v>
      </c>
      <c r="S152" s="67" t="e">
        <f>ROUND(P152,2)*Q152</f>
        <v>#DIV/0!</v>
      </c>
      <c r="T152" s="64" t="e">
        <f>Q152*dagenperjaar1</f>
        <v>#DIV/0!</v>
      </c>
      <c r="U152" s="68" t="e">
        <f>T152*ROUND(P152,2)</f>
        <v>#DIV/0!</v>
      </c>
    </row>
    <row r="153" spans="1:21" x14ac:dyDescent="0.2">
      <c r="A153" s="61" t="s">
        <v>164</v>
      </c>
      <c r="B153" s="62" t="s">
        <v>165</v>
      </c>
      <c r="C153" s="62" t="s">
        <v>164</v>
      </c>
      <c r="D153" s="62" t="s">
        <v>327</v>
      </c>
      <c r="E153" s="63" t="s">
        <v>186</v>
      </c>
      <c r="F153" s="62" t="s">
        <v>171</v>
      </c>
      <c r="G153" s="62" t="s">
        <v>149</v>
      </c>
      <c r="H153" s="62" t="s">
        <v>12</v>
      </c>
      <c r="I153" s="62" t="s">
        <v>112</v>
      </c>
      <c r="J153" s="62"/>
      <c r="K153" s="64">
        <v>27.2</v>
      </c>
      <c r="L153" s="64">
        <f>K153*VLOOKUP(H153,dagsoorttabel1,2,FALSE)</f>
        <v>16.738461538461539</v>
      </c>
      <c r="M153" s="65">
        <f>prodnorm25</f>
        <v>0</v>
      </c>
      <c r="N153" s="66">
        <f>dagwerk25</f>
        <v>0</v>
      </c>
      <c r="O153" s="62" t="s">
        <v>36</v>
      </c>
      <c r="P153" s="67">
        <f>uurtarief25</f>
        <v>0</v>
      </c>
      <c r="Q153" s="64" t="e">
        <f>IF(ISBLANK(M153),0,L153/ROUND(M153,4))</f>
        <v>#DIV/0!</v>
      </c>
      <c r="R153" s="64" t="e">
        <f>IF(ISBLANK(M153),0,Q153*ROUND(N153,2))</f>
        <v>#DIV/0!</v>
      </c>
      <c r="S153" s="67" t="e">
        <f>ROUND(P153,2)*Q153</f>
        <v>#DIV/0!</v>
      </c>
      <c r="T153" s="64" t="e">
        <f>Q153*dagenperjaar1</f>
        <v>#DIV/0!</v>
      </c>
      <c r="U153" s="68" t="e">
        <f>T153*ROUND(P153,2)</f>
        <v>#DIV/0!</v>
      </c>
    </row>
    <row r="154" spans="1:21" x14ac:dyDescent="0.2">
      <c r="A154" s="61" t="s">
        <v>164</v>
      </c>
      <c r="B154" s="62" t="s">
        <v>165</v>
      </c>
      <c r="C154" s="62" t="s">
        <v>164</v>
      </c>
      <c r="D154" s="62" t="s">
        <v>328</v>
      </c>
      <c r="E154" s="63" t="s">
        <v>265</v>
      </c>
      <c r="F154" s="62" t="s">
        <v>171</v>
      </c>
      <c r="G154" s="62" t="s">
        <v>126</v>
      </c>
      <c r="H154" s="62" t="s">
        <v>12</v>
      </c>
      <c r="I154" s="62" t="s">
        <v>112</v>
      </c>
      <c r="J154" s="62"/>
      <c r="K154" s="64">
        <v>40</v>
      </c>
      <c r="L154" s="64">
        <f>K154*VLOOKUP(H154,dagsoorttabel1,2,FALSE)</f>
        <v>24.615384615384617</v>
      </c>
      <c r="M154" s="65">
        <f>prodnorm13</f>
        <v>0</v>
      </c>
      <c r="N154" s="66">
        <f>dagwerk13</f>
        <v>0</v>
      </c>
      <c r="O154" s="62" t="s">
        <v>36</v>
      </c>
      <c r="P154" s="67">
        <f>uurtarief13</f>
        <v>0</v>
      </c>
      <c r="Q154" s="64" t="e">
        <f>IF(ISBLANK(M154),0,L154/ROUND(M154,4))</f>
        <v>#DIV/0!</v>
      </c>
      <c r="R154" s="64" t="e">
        <f>IF(ISBLANK(M154),0,Q154*ROUND(N154,2))</f>
        <v>#DIV/0!</v>
      </c>
      <c r="S154" s="67" t="e">
        <f>ROUND(P154,2)*Q154</f>
        <v>#DIV/0!</v>
      </c>
      <c r="T154" s="64" t="e">
        <f>Q154*dagenperjaar1</f>
        <v>#DIV/0!</v>
      </c>
      <c r="U154" s="68" t="e">
        <f>T154*ROUND(P154,2)</f>
        <v>#DIV/0!</v>
      </c>
    </row>
    <row r="155" spans="1:21" x14ac:dyDescent="0.2">
      <c r="A155" s="61" t="s">
        <v>164</v>
      </c>
      <c r="B155" s="62" t="s">
        <v>165</v>
      </c>
      <c r="C155" s="62" t="s">
        <v>164</v>
      </c>
      <c r="D155" s="62" t="s">
        <v>329</v>
      </c>
      <c r="E155" s="63" t="s">
        <v>265</v>
      </c>
      <c r="F155" s="62" t="s">
        <v>174</v>
      </c>
      <c r="G155" s="62" t="s">
        <v>124</v>
      </c>
      <c r="H155" s="62" t="s">
        <v>12</v>
      </c>
      <c r="I155" s="62" t="s">
        <v>112</v>
      </c>
      <c r="J155" s="62"/>
      <c r="K155" s="64">
        <v>14</v>
      </c>
      <c r="L155" s="64">
        <f>K155*VLOOKUP(H155,dagsoorttabel1,2,FALSE)</f>
        <v>8.6153846153846168</v>
      </c>
      <c r="M155" s="65">
        <f>prodnorm11</f>
        <v>0</v>
      </c>
      <c r="N155" s="66">
        <f>dagwerk11</f>
        <v>0</v>
      </c>
      <c r="O155" s="62" t="s">
        <v>36</v>
      </c>
      <c r="P155" s="67">
        <f>uurtarief11</f>
        <v>0</v>
      </c>
      <c r="Q155" s="64" t="e">
        <f>IF(ISBLANK(M155),0,L155/ROUND(M155,4))</f>
        <v>#DIV/0!</v>
      </c>
      <c r="R155" s="64" t="e">
        <f>IF(ISBLANK(M155),0,Q155*ROUND(N155,2))</f>
        <v>#DIV/0!</v>
      </c>
      <c r="S155" s="67" t="e">
        <f>ROUND(P155,2)*Q155</f>
        <v>#DIV/0!</v>
      </c>
      <c r="T155" s="64" t="e">
        <f>Q155*dagenperjaar1</f>
        <v>#DIV/0!</v>
      </c>
      <c r="U155" s="68" t="e">
        <f>T155*ROUND(P155,2)</f>
        <v>#DIV/0!</v>
      </c>
    </row>
    <row r="156" spans="1:21" x14ac:dyDescent="0.2">
      <c r="A156" s="61" t="s">
        <v>164</v>
      </c>
      <c r="B156" s="62" t="s">
        <v>165</v>
      </c>
      <c r="C156" s="62" t="s">
        <v>164</v>
      </c>
      <c r="D156" s="62" t="s">
        <v>330</v>
      </c>
      <c r="E156" s="63" t="s">
        <v>265</v>
      </c>
      <c r="F156" s="62" t="s">
        <v>171</v>
      </c>
      <c r="G156" s="62" t="s">
        <v>126</v>
      </c>
      <c r="H156" s="62" t="s">
        <v>12</v>
      </c>
      <c r="I156" s="62" t="s">
        <v>112</v>
      </c>
      <c r="J156" s="62"/>
      <c r="K156" s="64">
        <v>40</v>
      </c>
      <c r="L156" s="64">
        <f>K156*VLOOKUP(H156,dagsoorttabel1,2,FALSE)</f>
        <v>24.615384615384617</v>
      </c>
      <c r="M156" s="65">
        <f>prodnorm13</f>
        <v>0</v>
      </c>
      <c r="N156" s="66">
        <f>dagwerk13</f>
        <v>0</v>
      </c>
      <c r="O156" s="62" t="s">
        <v>36</v>
      </c>
      <c r="P156" s="67">
        <f>uurtarief13</f>
        <v>0</v>
      </c>
      <c r="Q156" s="64" t="e">
        <f>IF(ISBLANK(M156),0,L156/ROUND(M156,4))</f>
        <v>#DIV/0!</v>
      </c>
      <c r="R156" s="64" t="e">
        <f>IF(ISBLANK(M156),0,Q156*ROUND(N156,2))</f>
        <v>#DIV/0!</v>
      </c>
      <c r="S156" s="67" t="e">
        <f>ROUND(P156,2)*Q156</f>
        <v>#DIV/0!</v>
      </c>
      <c r="T156" s="64" t="e">
        <f>Q156*dagenperjaar1</f>
        <v>#DIV/0!</v>
      </c>
      <c r="U156" s="68" t="e">
        <f>T156*ROUND(P156,2)</f>
        <v>#DIV/0!</v>
      </c>
    </row>
    <row r="157" spans="1:21" x14ac:dyDescent="0.2">
      <c r="A157" s="61" t="s">
        <v>164</v>
      </c>
      <c r="B157" s="62" t="s">
        <v>165</v>
      </c>
      <c r="C157" s="62" t="s">
        <v>164</v>
      </c>
      <c r="D157" s="62" t="s">
        <v>331</v>
      </c>
      <c r="E157" s="63" t="s">
        <v>265</v>
      </c>
      <c r="F157" s="62" t="s">
        <v>174</v>
      </c>
      <c r="G157" s="62" t="s">
        <v>124</v>
      </c>
      <c r="H157" s="62" t="s">
        <v>12</v>
      </c>
      <c r="I157" s="62" t="s">
        <v>112</v>
      </c>
      <c r="J157" s="62"/>
      <c r="K157" s="64">
        <v>14</v>
      </c>
      <c r="L157" s="64">
        <f>K157*VLOOKUP(H157,dagsoorttabel1,2,FALSE)</f>
        <v>8.6153846153846168</v>
      </c>
      <c r="M157" s="65">
        <f>prodnorm11</f>
        <v>0</v>
      </c>
      <c r="N157" s="66">
        <f>dagwerk11</f>
        <v>0</v>
      </c>
      <c r="O157" s="62" t="s">
        <v>36</v>
      </c>
      <c r="P157" s="67">
        <f>uurtarief11</f>
        <v>0</v>
      </c>
      <c r="Q157" s="64" t="e">
        <f>IF(ISBLANK(M157),0,L157/ROUND(M157,4))</f>
        <v>#DIV/0!</v>
      </c>
      <c r="R157" s="64" t="e">
        <f>IF(ISBLANK(M157),0,Q157*ROUND(N157,2))</f>
        <v>#DIV/0!</v>
      </c>
      <c r="S157" s="67" t="e">
        <f>ROUND(P157,2)*Q157</f>
        <v>#DIV/0!</v>
      </c>
      <c r="T157" s="64" t="e">
        <f>Q157*dagenperjaar1</f>
        <v>#DIV/0!</v>
      </c>
      <c r="U157" s="68" t="e">
        <f>T157*ROUND(P157,2)</f>
        <v>#DIV/0!</v>
      </c>
    </row>
    <row r="158" spans="1:21" x14ac:dyDescent="0.2">
      <c r="A158" s="61" t="s">
        <v>164</v>
      </c>
      <c r="B158" s="62" t="s">
        <v>165</v>
      </c>
      <c r="C158" s="62" t="s">
        <v>164</v>
      </c>
      <c r="D158" s="62" t="s">
        <v>332</v>
      </c>
      <c r="E158" s="63" t="s">
        <v>265</v>
      </c>
      <c r="F158" s="62" t="s">
        <v>171</v>
      </c>
      <c r="G158" s="62" t="s">
        <v>126</v>
      </c>
      <c r="H158" s="62" t="s">
        <v>12</v>
      </c>
      <c r="I158" s="62" t="s">
        <v>112</v>
      </c>
      <c r="J158" s="62"/>
      <c r="K158" s="64">
        <v>40</v>
      </c>
      <c r="L158" s="64">
        <f>K158*VLOOKUP(H158,dagsoorttabel1,2,FALSE)</f>
        <v>24.615384615384617</v>
      </c>
      <c r="M158" s="65">
        <f>prodnorm13</f>
        <v>0</v>
      </c>
      <c r="N158" s="66">
        <f>dagwerk13</f>
        <v>0</v>
      </c>
      <c r="O158" s="62" t="s">
        <v>36</v>
      </c>
      <c r="P158" s="67">
        <f>uurtarief13</f>
        <v>0</v>
      </c>
      <c r="Q158" s="64" t="e">
        <f>IF(ISBLANK(M158),0,L158/ROUND(M158,4))</f>
        <v>#DIV/0!</v>
      </c>
      <c r="R158" s="64" t="e">
        <f>IF(ISBLANK(M158),0,Q158*ROUND(N158,2))</f>
        <v>#DIV/0!</v>
      </c>
      <c r="S158" s="67" t="e">
        <f>ROUND(P158,2)*Q158</f>
        <v>#DIV/0!</v>
      </c>
      <c r="T158" s="64" t="e">
        <f>Q158*dagenperjaar1</f>
        <v>#DIV/0!</v>
      </c>
      <c r="U158" s="68" t="e">
        <f>T158*ROUND(P158,2)</f>
        <v>#DIV/0!</v>
      </c>
    </row>
    <row r="159" spans="1:21" x14ac:dyDescent="0.2">
      <c r="A159" s="61" t="s">
        <v>164</v>
      </c>
      <c r="B159" s="62" t="s">
        <v>165</v>
      </c>
      <c r="C159" s="62" t="s">
        <v>164</v>
      </c>
      <c r="D159" s="62" t="s">
        <v>333</v>
      </c>
      <c r="E159" s="63" t="s">
        <v>265</v>
      </c>
      <c r="F159" s="62" t="s">
        <v>174</v>
      </c>
      <c r="G159" s="62" t="s">
        <v>124</v>
      </c>
      <c r="H159" s="62" t="s">
        <v>12</v>
      </c>
      <c r="I159" s="62" t="s">
        <v>112</v>
      </c>
      <c r="J159" s="62"/>
      <c r="K159" s="64">
        <v>14</v>
      </c>
      <c r="L159" s="64">
        <f>K159*VLOOKUP(H159,dagsoorttabel1,2,FALSE)</f>
        <v>8.6153846153846168</v>
      </c>
      <c r="M159" s="65">
        <f>prodnorm11</f>
        <v>0</v>
      </c>
      <c r="N159" s="66">
        <f>dagwerk11</f>
        <v>0</v>
      </c>
      <c r="O159" s="62" t="s">
        <v>36</v>
      </c>
      <c r="P159" s="67">
        <f>uurtarief11</f>
        <v>0</v>
      </c>
      <c r="Q159" s="64" t="e">
        <f>IF(ISBLANK(M159),0,L159/ROUND(M159,4))</f>
        <v>#DIV/0!</v>
      </c>
      <c r="R159" s="64" t="e">
        <f>IF(ISBLANK(M159),0,Q159*ROUND(N159,2))</f>
        <v>#DIV/0!</v>
      </c>
      <c r="S159" s="67" t="e">
        <f>ROUND(P159,2)*Q159</f>
        <v>#DIV/0!</v>
      </c>
      <c r="T159" s="64" t="e">
        <f>Q159*dagenperjaar1</f>
        <v>#DIV/0!</v>
      </c>
      <c r="U159" s="68" t="e">
        <f>T159*ROUND(P159,2)</f>
        <v>#DIV/0!</v>
      </c>
    </row>
    <row r="160" spans="1:21" x14ac:dyDescent="0.2">
      <c r="A160" s="61" t="s">
        <v>164</v>
      </c>
      <c r="B160" s="62" t="s">
        <v>165</v>
      </c>
      <c r="C160" s="62" t="s">
        <v>164</v>
      </c>
      <c r="D160" s="62" t="s">
        <v>334</v>
      </c>
      <c r="E160" s="63" t="s">
        <v>265</v>
      </c>
      <c r="F160" s="62" t="s">
        <v>174</v>
      </c>
      <c r="G160" s="62" t="s">
        <v>124</v>
      </c>
      <c r="H160" s="62" t="s">
        <v>12</v>
      </c>
      <c r="I160" s="62" t="s">
        <v>112</v>
      </c>
      <c r="J160" s="62"/>
      <c r="K160" s="64">
        <v>58</v>
      </c>
      <c r="L160" s="64">
        <f>K160*VLOOKUP(H160,dagsoorttabel1,2,FALSE)</f>
        <v>35.692307692307693</v>
      </c>
      <c r="M160" s="65">
        <f>prodnorm11</f>
        <v>0</v>
      </c>
      <c r="N160" s="66">
        <f>dagwerk11</f>
        <v>0</v>
      </c>
      <c r="O160" s="62" t="s">
        <v>36</v>
      </c>
      <c r="P160" s="67">
        <f>uurtarief11</f>
        <v>0</v>
      </c>
      <c r="Q160" s="64" t="e">
        <f>IF(ISBLANK(M160),0,L160/ROUND(M160,4))</f>
        <v>#DIV/0!</v>
      </c>
      <c r="R160" s="64" t="e">
        <f>IF(ISBLANK(M160),0,Q160*ROUND(N160,2))</f>
        <v>#DIV/0!</v>
      </c>
      <c r="S160" s="67" t="e">
        <f>ROUND(P160,2)*Q160</f>
        <v>#DIV/0!</v>
      </c>
      <c r="T160" s="64" t="e">
        <f>Q160*dagenperjaar1</f>
        <v>#DIV/0!</v>
      </c>
      <c r="U160" s="68" t="e">
        <f>T160*ROUND(P160,2)</f>
        <v>#DIV/0!</v>
      </c>
    </row>
    <row r="161" spans="1:21" x14ac:dyDescent="0.2">
      <c r="A161" s="61" t="s">
        <v>164</v>
      </c>
      <c r="B161" s="62" t="s">
        <v>165</v>
      </c>
      <c r="C161" s="62" t="s">
        <v>164</v>
      </c>
      <c r="D161" s="62" t="s">
        <v>335</v>
      </c>
      <c r="E161" s="63" t="s">
        <v>186</v>
      </c>
      <c r="F161" s="62" t="s">
        <v>171</v>
      </c>
      <c r="G161" s="62" t="s">
        <v>114</v>
      </c>
      <c r="H161" s="62" t="s">
        <v>16</v>
      </c>
      <c r="I161" s="62" t="s">
        <v>112</v>
      </c>
      <c r="J161" s="62"/>
      <c r="K161" s="64">
        <v>23.459999999999997</v>
      </c>
      <c r="L161" s="64">
        <f>K161*VLOOKUP(H161,dagsoorttabel1,2,FALSE)</f>
        <v>3.609230769230769</v>
      </c>
      <c r="M161" s="65">
        <f>prodnorm6</f>
        <v>0</v>
      </c>
      <c r="N161" s="66">
        <f>dagwerk6</f>
        <v>0</v>
      </c>
      <c r="O161" s="62" t="s">
        <v>36</v>
      </c>
      <c r="P161" s="67">
        <f>uurtarief6</f>
        <v>0</v>
      </c>
      <c r="Q161" s="64" t="e">
        <f>IF(ISBLANK(M161),0,L161/ROUND(M161,4))</f>
        <v>#DIV/0!</v>
      </c>
      <c r="R161" s="64" t="e">
        <f>IF(ISBLANK(M161),0,Q161*ROUND(N161,2))</f>
        <v>#DIV/0!</v>
      </c>
      <c r="S161" s="67" t="e">
        <f>ROUND(P161,2)*Q161</f>
        <v>#DIV/0!</v>
      </c>
      <c r="T161" s="64" t="e">
        <f>Q161*dagenperjaar1</f>
        <v>#DIV/0!</v>
      </c>
      <c r="U161" s="68" t="e">
        <f>T161*ROUND(P161,2)</f>
        <v>#DIV/0!</v>
      </c>
    </row>
    <row r="162" spans="1:21" x14ac:dyDescent="0.2">
      <c r="A162" s="61" t="s">
        <v>164</v>
      </c>
      <c r="B162" s="62" t="s">
        <v>165</v>
      </c>
      <c r="C162" s="62" t="s">
        <v>164</v>
      </c>
      <c r="D162" s="62" t="s">
        <v>335</v>
      </c>
      <c r="E162" s="63" t="s">
        <v>186</v>
      </c>
      <c r="F162" s="62" t="s">
        <v>171</v>
      </c>
      <c r="G162" s="62" t="s">
        <v>149</v>
      </c>
      <c r="H162" s="62" t="s">
        <v>12</v>
      </c>
      <c r="I162" s="62" t="s">
        <v>112</v>
      </c>
      <c r="J162" s="62"/>
      <c r="K162" s="64">
        <v>23.459999999999997</v>
      </c>
      <c r="L162" s="64">
        <f>K162*VLOOKUP(H162,dagsoorttabel1,2,FALSE)</f>
        <v>14.436923076923076</v>
      </c>
      <c r="M162" s="65">
        <f>prodnorm25</f>
        <v>0</v>
      </c>
      <c r="N162" s="66">
        <f>dagwerk25</f>
        <v>0</v>
      </c>
      <c r="O162" s="62" t="s">
        <v>36</v>
      </c>
      <c r="P162" s="67">
        <f>uurtarief25</f>
        <v>0</v>
      </c>
      <c r="Q162" s="64" t="e">
        <f>IF(ISBLANK(M162),0,L162/ROUND(M162,4))</f>
        <v>#DIV/0!</v>
      </c>
      <c r="R162" s="64" t="e">
        <f>IF(ISBLANK(M162),0,Q162*ROUND(N162,2))</f>
        <v>#DIV/0!</v>
      </c>
      <c r="S162" s="67" t="e">
        <f>ROUND(P162,2)*Q162</f>
        <v>#DIV/0!</v>
      </c>
      <c r="T162" s="64" t="e">
        <f>Q162*dagenperjaar1</f>
        <v>#DIV/0!</v>
      </c>
      <c r="U162" s="68" t="e">
        <f>T162*ROUND(P162,2)</f>
        <v>#DIV/0!</v>
      </c>
    </row>
    <row r="163" spans="1:21" x14ac:dyDescent="0.2">
      <c r="A163" s="61" t="s">
        <v>164</v>
      </c>
      <c r="B163" s="62" t="s">
        <v>165</v>
      </c>
      <c r="C163" s="62" t="s">
        <v>164</v>
      </c>
      <c r="D163" s="62" t="s">
        <v>336</v>
      </c>
      <c r="E163" s="63" t="s">
        <v>265</v>
      </c>
      <c r="F163" s="62" t="s">
        <v>174</v>
      </c>
      <c r="G163" s="62" t="s">
        <v>124</v>
      </c>
      <c r="H163" s="62" t="s">
        <v>12</v>
      </c>
      <c r="I163" s="62" t="s">
        <v>112</v>
      </c>
      <c r="J163" s="62"/>
      <c r="K163" s="64">
        <v>58</v>
      </c>
      <c r="L163" s="64">
        <f>K163*VLOOKUP(H163,dagsoorttabel1,2,FALSE)</f>
        <v>35.692307692307693</v>
      </c>
      <c r="M163" s="65">
        <f>prodnorm11</f>
        <v>0</v>
      </c>
      <c r="N163" s="66">
        <f>dagwerk11</f>
        <v>0</v>
      </c>
      <c r="O163" s="62" t="s">
        <v>36</v>
      </c>
      <c r="P163" s="67">
        <f>uurtarief11</f>
        <v>0</v>
      </c>
      <c r="Q163" s="64" t="e">
        <f>IF(ISBLANK(M163),0,L163/ROUND(M163,4))</f>
        <v>#DIV/0!</v>
      </c>
      <c r="R163" s="64" t="e">
        <f>IF(ISBLANK(M163),0,Q163*ROUND(N163,2))</f>
        <v>#DIV/0!</v>
      </c>
      <c r="S163" s="67" t="e">
        <f>ROUND(P163,2)*Q163</f>
        <v>#DIV/0!</v>
      </c>
      <c r="T163" s="64" t="e">
        <f>Q163*dagenperjaar1</f>
        <v>#DIV/0!</v>
      </c>
      <c r="U163" s="68" t="e">
        <f>T163*ROUND(P163,2)</f>
        <v>#DIV/0!</v>
      </c>
    </row>
    <row r="164" spans="1:21" x14ac:dyDescent="0.2">
      <c r="A164" s="61" t="s">
        <v>164</v>
      </c>
      <c r="B164" s="62" t="s">
        <v>165</v>
      </c>
      <c r="C164" s="62" t="s">
        <v>164</v>
      </c>
      <c r="D164" s="62" t="s">
        <v>337</v>
      </c>
      <c r="E164" s="63" t="s">
        <v>173</v>
      </c>
      <c r="F164" s="62" t="s">
        <v>174</v>
      </c>
      <c r="G164" s="62" t="s">
        <v>143</v>
      </c>
      <c r="H164" s="62" t="s">
        <v>11</v>
      </c>
      <c r="I164" s="62" t="s">
        <v>112</v>
      </c>
      <c r="J164" s="62"/>
      <c r="K164" s="64">
        <v>48.8</v>
      </c>
      <c r="L164" s="64">
        <f>K164*VLOOKUP(H164,dagsoorttabel1,2,FALSE)</f>
        <v>37.53846153846154</v>
      </c>
      <c r="M164" s="65">
        <f>prodnorm22</f>
        <v>0</v>
      </c>
      <c r="N164" s="66">
        <f>dagwerk22</f>
        <v>0</v>
      </c>
      <c r="O164" s="62" t="s">
        <v>36</v>
      </c>
      <c r="P164" s="67">
        <f>uurtarief22</f>
        <v>0</v>
      </c>
      <c r="Q164" s="64" t="e">
        <f>IF(ISBLANK(M164),0,L164/ROUND(M164,4))</f>
        <v>#DIV/0!</v>
      </c>
      <c r="R164" s="64" t="e">
        <f>IF(ISBLANK(M164),0,Q164*ROUND(N164,2))</f>
        <v>#DIV/0!</v>
      </c>
      <c r="S164" s="67" t="e">
        <f>ROUND(P164,2)*Q164</f>
        <v>#DIV/0!</v>
      </c>
      <c r="T164" s="64" t="e">
        <f>Q164*dagenperjaar1</f>
        <v>#DIV/0!</v>
      </c>
      <c r="U164" s="68" t="e">
        <f>T164*ROUND(P164,2)</f>
        <v>#DIV/0!</v>
      </c>
    </row>
    <row r="165" spans="1:21" x14ac:dyDescent="0.2">
      <c r="A165" s="61" t="s">
        <v>164</v>
      </c>
      <c r="B165" s="62" t="s">
        <v>165</v>
      </c>
      <c r="C165" s="62" t="s">
        <v>164</v>
      </c>
      <c r="D165" s="62" t="s">
        <v>338</v>
      </c>
      <c r="E165" s="63" t="s">
        <v>265</v>
      </c>
      <c r="F165" s="62" t="s">
        <v>174</v>
      </c>
      <c r="G165" s="62" t="s">
        <v>124</v>
      </c>
      <c r="H165" s="62" t="s">
        <v>12</v>
      </c>
      <c r="I165" s="62" t="s">
        <v>112</v>
      </c>
      <c r="J165" s="62"/>
      <c r="K165" s="64">
        <v>58</v>
      </c>
      <c r="L165" s="64">
        <f>K165*VLOOKUP(H165,dagsoorttabel1,2,FALSE)</f>
        <v>35.692307692307693</v>
      </c>
      <c r="M165" s="65">
        <f>prodnorm11</f>
        <v>0</v>
      </c>
      <c r="N165" s="66">
        <f>dagwerk11</f>
        <v>0</v>
      </c>
      <c r="O165" s="62" t="s">
        <v>36</v>
      </c>
      <c r="P165" s="67">
        <f>uurtarief11</f>
        <v>0</v>
      </c>
      <c r="Q165" s="64" t="e">
        <f>IF(ISBLANK(M165),0,L165/ROUND(M165,4))</f>
        <v>#DIV/0!</v>
      </c>
      <c r="R165" s="64" t="e">
        <f>IF(ISBLANK(M165),0,Q165*ROUND(N165,2))</f>
        <v>#DIV/0!</v>
      </c>
      <c r="S165" s="67" t="e">
        <f>ROUND(P165,2)*Q165</f>
        <v>#DIV/0!</v>
      </c>
      <c r="T165" s="64" t="e">
        <f>Q165*dagenperjaar1</f>
        <v>#DIV/0!</v>
      </c>
      <c r="U165" s="68" t="e">
        <f>T165*ROUND(P165,2)</f>
        <v>#DIV/0!</v>
      </c>
    </row>
    <row r="166" spans="1:21" x14ac:dyDescent="0.2">
      <c r="A166" s="61" t="s">
        <v>164</v>
      </c>
      <c r="B166" s="62" t="s">
        <v>165</v>
      </c>
      <c r="C166" s="62" t="s">
        <v>164</v>
      </c>
      <c r="D166" s="62" t="s">
        <v>339</v>
      </c>
      <c r="E166" s="63" t="s">
        <v>173</v>
      </c>
      <c r="F166" s="62" t="s">
        <v>174</v>
      </c>
      <c r="G166" s="62" t="s">
        <v>143</v>
      </c>
      <c r="H166" s="62" t="s">
        <v>11</v>
      </c>
      <c r="I166" s="62" t="s">
        <v>112</v>
      </c>
      <c r="J166" s="62"/>
      <c r="K166" s="64">
        <v>35.4</v>
      </c>
      <c r="L166" s="64">
        <f>K166*VLOOKUP(H166,dagsoorttabel1,2,FALSE)</f>
        <v>27.23076923076923</v>
      </c>
      <c r="M166" s="65">
        <f>prodnorm22</f>
        <v>0</v>
      </c>
      <c r="N166" s="66">
        <f>dagwerk22</f>
        <v>0</v>
      </c>
      <c r="O166" s="62" t="s">
        <v>36</v>
      </c>
      <c r="P166" s="67">
        <f>uurtarief22</f>
        <v>0</v>
      </c>
      <c r="Q166" s="64" t="e">
        <f>IF(ISBLANK(M166),0,L166/ROUND(M166,4))</f>
        <v>#DIV/0!</v>
      </c>
      <c r="R166" s="64" t="e">
        <f>IF(ISBLANK(M166),0,Q166*ROUND(N166,2))</f>
        <v>#DIV/0!</v>
      </c>
      <c r="S166" s="67" t="e">
        <f>ROUND(P166,2)*Q166</f>
        <v>#DIV/0!</v>
      </c>
      <c r="T166" s="64" t="e">
        <f>Q166*dagenperjaar1</f>
        <v>#DIV/0!</v>
      </c>
      <c r="U166" s="68" t="e">
        <f>T166*ROUND(P166,2)</f>
        <v>#DIV/0!</v>
      </c>
    </row>
    <row r="167" spans="1:21" x14ac:dyDescent="0.2">
      <c r="A167" s="61" t="s">
        <v>164</v>
      </c>
      <c r="B167" s="62" t="s">
        <v>165</v>
      </c>
      <c r="C167" s="62" t="s">
        <v>164</v>
      </c>
      <c r="D167" s="62" t="s">
        <v>340</v>
      </c>
      <c r="E167" s="63" t="s">
        <v>265</v>
      </c>
      <c r="F167" s="62" t="s">
        <v>171</v>
      </c>
      <c r="G167" s="62" t="s">
        <v>126</v>
      </c>
      <c r="H167" s="62" t="s">
        <v>12</v>
      </c>
      <c r="I167" s="62" t="s">
        <v>112</v>
      </c>
      <c r="J167" s="62"/>
      <c r="K167" s="64">
        <v>40</v>
      </c>
      <c r="L167" s="64">
        <f>K167*VLOOKUP(H167,dagsoorttabel1,2,FALSE)</f>
        <v>24.615384615384617</v>
      </c>
      <c r="M167" s="65">
        <f>prodnorm13</f>
        <v>0</v>
      </c>
      <c r="N167" s="66">
        <f>dagwerk13</f>
        <v>0</v>
      </c>
      <c r="O167" s="62" t="s">
        <v>36</v>
      </c>
      <c r="P167" s="67">
        <f>uurtarief13</f>
        <v>0</v>
      </c>
      <c r="Q167" s="64" t="e">
        <f>IF(ISBLANK(M167),0,L167/ROUND(M167,4))</f>
        <v>#DIV/0!</v>
      </c>
      <c r="R167" s="64" t="e">
        <f>IF(ISBLANK(M167),0,Q167*ROUND(N167,2))</f>
        <v>#DIV/0!</v>
      </c>
      <c r="S167" s="67" t="e">
        <f>ROUND(P167,2)*Q167</f>
        <v>#DIV/0!</v>
      </c>
      <c r="T167" s="64" t="e">
        <f>Q167*dagenperjaar1</f>
        <v>#DIV/0!</v>
      </c>
      <c r="U167" s="68" t="e">
        <f>T167*ROUND(P167,2)</f>
        <v>#DIV/0!</v>
      </c>
    </row>
    <row r="168" spans="1:21" x14ac:dyDescent="0.2">
      <c r="A168" s="61" t="s">
        <v>164</v>
      </c>
      <c r="B168" s="62" t="s">
        <v>165</v>
      </c>
      <c r="C168" s="62" t="s">
        <v>164</v>
      </c>
      <c r="D168" s="62" t="s">
        <v>341</v>
      </c>
      <c r="E168" s="63" t="s">
        <v>265</v>
      </c>
      <c r="F168" s="62" t="s">
        <v>174</v>
      </c>
      <c r="G168" s="62" t="s">
        <v>124</v>
      </c>
      <c r="H168" s="62" t="s">
        <v>12</v>
      </c>
      <c r="I168" s="62" t="s">
        <v>112</v>
      </c>
      <c r="J168" s="62"/>
      <c r="K168" s="64">
        <v>14</v>
      </c>
      <c r="L168" s="64">
        <f>K168*VLOOKUP(H168,dagsoorttabel1,2,FALSE)</f>
        <v>8.6153846153846168</v>
      </c>
      <c r="M168" s="65">
        <f>prodnorm11</f>
        <v>0</v>
      </c>
      <c r="N168" s="66">
        <f>dagwerk11</f>
        <v>0</v>
      </c>
      <c r="O168" s="62" t="s">
        <v>36</v>
      </c>
      <c r="P168" s="67">
        <f>uurtarief11</f>
        <v>0</v>
      </c>
      <c r="Q168" s="64" t="e">
        <f>IF(ISBLANK(M168),0,L168/ROUND(M168,4))</f>
        <v>#DIV/0!</v>
      </c>
      <c r="R168" s="64" t="e">
        <f>IF(ISBLANK(M168),0,Q168*ROUND(N168,2))</f>
        <v>#DIV/0!</v>
      </c>
      <c r="S168" s="67" t="e">
        <f>ROUND(P168,2)*Q168</f>
        <v>#DIV/0!</v>
      </c>
      <c r="T168" s="64" t="e">
        <f>Q168*dagenperjaar1</f>
        <v>#DIV/0!</v>
      </c>
      <c r="U168" s="68" t="e">
        <f>T168*ROUND(P168,2)</f>
        <v>#DIV/0!</v>
      </c>
    </row>
    <row r="169" spans="1:21" x14ac:dyDescent="0.2">
      <c r="A169" s="61" t="s">
        <v>164</v>
      </c>
      <c r="B169" s="62" t="s">
        <v>165</v>
      </c>
      <c r="C169" s="62" t="s">
        <v>164</v>
      </c>
      <c r="D169" s="62" t="s">
        <v>342</v>
      </c>
      <c r="E169" s="63" t="s">
        <v>208</v>
      </c>
      <c r="F169" s="62" t="s">
        <v>174</v>
      </c>
      <c r="G169" s="62" t="s">
        <v>141</v>
      </c>
      <c r="H169" s="62" t="s">
        <v>11</v>
      </c>
      <c r="I169" s="62" t="s">
        <v>112</v>
      </c>
      <c r="J169" s="62"/>
      <c r="K169" s="64">
        <v>10.5</v>
      </c>
      <c r="L169" s="64">
        <f>K169*VLOOKUP(H169,dagsoorttabel1,2,FALSE)</f>
        <v>8.0769230769230766</v>
      </c>
      <c r="M169" s="65">
        <f>prodnorm21</f>
        <v>0</v>
      </c>
      <c r="N169" s="66">
        <f>dagwerk21</f>
        <v>0</v>
      </c>
      <c r="O169" s="62" t="s">
        <v>36</v>
      </c>
      <c r="P169" s="67">
        <f>uurtarief21</f>
        <v>0</v>
      </c>
      <c r="Q169" s="64" t="e">
        <f>IF(ISBLANK(M169),0,L169/ROUND(M169,4))</f>
        <v>#DIV/0!</v>
      </c>
      <c r="R169" s="64" t="e">
        <f>IF(ISBLANK(M169),0,Q169*ROUND(N169,2))</f>
        <v>#DIV/0!</v>
      </c>
      <c r="S169" s="67" t="e">
        <f>ROUND(P169,2)*Q169</f>
        <v>#DIV/0!</v>
      </c>
      <c r="T169" s="64" t="e">
        <f>Q169*dagenperjaar1</f>
        <v>#DIV/0!</v>
      </c>
      <c r="U169" s="68" t="e">
        <f>T169*ROUND(P169,2)</f>
        <v>#DIV/0!</v>
      </c>
    </row>
    <row r="170" spans="1:21" x14ac:dyDescent="0.2">
      <c r="A170" s="61" t="s">
        <v>164</v>
      </c>
      <c r="B170" s="62" t="s">
        <v>165</v>
      </c>
      <c r="C170" s="62" t="s">
        <v>164</v>
      </c>
      <c r="D170" s="62" t="s">
        <v>343</v>
      </c>
      <c r="E170" s="63" t="s">
        <v>173</v>
      </c>
      <c r="F170" s="62" t="s">
        <v>174</v>
      </c>
      <c r="G170" s="62" t="s">
        <v>143</v>
      </c>
      <c r="H170" s="62" t="s">
        <v>11</v>
      </c>
      <c r="I170" s="62" t="s">
        <v>112</v>
      </c>
      <c r="J170" s="62"/>
      <c r="K170" s="64">
        <v>126.7</v>
      </c>
      <c r="L170" s="64">
        <f>K170*VLOOKUP(H170,dagsoorttabel1,2,FALSE)</f>
        <v>97.461538461538467</v>
      </c>
      <c r="M170" s="65">
        <f>prodnorm22</f>
        <v>0</v>
      </c>
      <c r="N170" s="66">
        <f>dagwerk22</f>
        <v>0</v>
      </c>
      <c r="O170" s="62" t="s">
        <v>36</v>
      </c>
      <c r="P170" s="67">
        <f>uurtarief22</f>
        <v>0</v>
      </c>
      <c r="Q170" s="64" t="e">
        <f>IF(ISBLANK(M170),0,L170/ROUND(M170,4))</f>
        <v>#DIV/0!</v>
      </c>
      <c r="R170" s="64" t="e">
        <f>IF(ISBLANK(M170),0,Q170*ROUND(N170,2))</f>
        <v>#DIV/0!</v>
      </c>
      <c r="S170" s="67" t="e">
        <f>ROUND(P170,2)*Q170</f>
        <v>#DIV/0!</v>
      </c>
      <c r="T170" s="64" t="e">
        <f>Q170*dagenperjaar1</f>
        <v>#DIV/0!</v>
      </c>
      <c r="U170" s="68" t="e">
        <f>T170*ROUND(P170,2)</f>
        <v>#DIV/0!</v>
      </c>
    </row>
    <row r="171" spans="1:21" x14ac:dyDescent="0.2">
      <c r="A171" s="61" t="s">
        <v>164</v>
      </c>
      <c r="B171" s="62" t="s">
        <v>165</v>
      </c>
      <c r="C171" s="62" t="s">
        <v>164</v>
      </c>
      <c r="D171" s="62" t="s">
        <v>344</v>
      </c>
      <c r="E171" s="63" t="s">
        <v>265</v>
      </c>
      <c r="F171" s="62" t="s">
        <v>171</v>
      </c>
      <c r="G171" s="62" t="s">
        <v>126</v>
      </c>
      <c r="H171" s="62" t="s">
        <v>12</v>
      </c>
      <c r="I171" s="62" t="s">
        <v>112</v>
      </c>
      <c r="J171" s="62"/>
      <c r="K171" s="64">
        <v>40</v>
      </c>
      <c r="L171" s="64">
        <f>K171*VLOOKUP(H171,dagsoorttabel1,2,FALSE)</f>
        <v>24.615384615384617</v>
      </c>
      <c r="M171" s="65">
        <f>prodnorm13</f>
        <v>0</v>
      </c>
      <c r="N171" s="66">
        <f>dagwerk13</f>
        <v>0</v>
      </c>
      <c r="O171" s="62" t="s">
        <v>36</v>
      </c>
      <c r="P171" s="67">
        <f>uurtarief13</f>
        <v>0</v>
      </c>
      <c r="Q171" s="64" t="e">
        <f>IF(ISBLANK(M171),0,L171/ROUND(M171,4))</f>
        <v>#DIV/0!</v>
      </c>
      <c r="R171" s="64" t="e">
        <f>IF(ISBLANK(M171),0,Q171*ROUND(N171,2))</f>
        <v>#DIV/0!</v>
      </c>
      <c r="S171" s="67" t="e">
        <f>ROUND(P171,2)*Q171</f>
        <v>#DIV/0!</v>
      </c>
      <c r="T171" s="64" t="e">
        <f>Q171*dagenperjaar1</f>
        <v>#DIV/0!</v>
      </c>
      <c r="U171" s="68" t="e">
        <f>T171*ROUND(P171,2)</f>
        <v>#DIV/0!</v>
      </c>
    </row>
    <row r="172" spans="1:21" x14ac:dyDescent="0.2">
      <c r="A172" s="61" t="s">
        <v>164</v>
      </c>
      <c r="B172" s="62" t="s">
        <v>165</v>
      </c>
      <c r="C172" s="62" t="s">
        <v>164</v>
      </c>
      <c r="D172" s="62" t="s">
        <v>345</v>
      </c>
      <c r="E172" s="63" t="s">
        <v>265</v>
      </c>
      <c r="F172" s="62" t="s">
        <v>174</v>
      </c>
      <c r="G172" s="62" t="s">
        <v>124</v>
      </c>
      <c r="H172" s="62" t="s">
        <v>12</v>
      </c>
      <c r="I172" s="62" t="s">
        <v>112</v>
      </c>
      <c r="J172" s="62"/>
      <c r="K172" s="64">
        <v>14</v>
      </c>
      <c r="L172" s="64">
        <f>K172*VLOOKUP(H172,dagsoorttabel1,2,FALSE)</f>
        <v>8.6153846153846168</v>
      </c>
      <c r="M172" s="65">
        <f>prodnorm11</f>
        <v>0</v>
      </c>
      <c r="N172" s="66">
        <f>dagwerk11</f>
        <v>0</v>
      </c>
      <c r="O172" s="62" t="s">
        <v>36</v>
      </c>
      <c r="P172" s="67">
        <f>uurtarief11</f>
        <v>0</v>
      </c>
      <c r="Q172" s="64" t="e">
        <f>IF(ISBLANK(M172),0,L172/ROUND(M172,4))</f>
        <v>#DIV/0!</v>
      </c>
      <c r="R172" s="64" t="e">
        <f>IF(ISBLANK(M172),0,Q172*ROUND(N172,2))</f>
        <v>#DIV/0!</v>
      </c>
      <c r="S172" s="67" t="e">
        <f>ROUND(P172,2)*Q172</f>
        <v>#DIV/0!</v>
      </c>
      <c r="T172" s="64" t="e">
        <f>Q172*dagenperjaar1</f>
        <v>#DIV/0!</v>
      </c>
      <c r="U172" s="68" t="e">
        <f>T172*ROUND(P172,2)</f>
        <v>#DIV/0!</v>
      </c>
    </row>
    <row r="173" spans="1:21" x14ac:dyDescent="0.2">
      <c r="A173" s="61" t="s">
        <v>164</v>
      </c>
      <c r="B173" s="62" t="s">
        <v>165</v>
      </c>
      <c r="C173" s="62" t="s">
        <v>164</v>
      </c>
      <c r="D173" s="62" t="s">
        <v>346</v>
      </c>
      <c r="E173" s="63" t="s">
        <v>347</v>
      </c>
      <c r="F173" s="62" t="s">
        <v>174</v>
      </c>
      <c r="G173" s="62" t="s">
        <v>124</v>
      </c>
      <c r="H173" s="62" t="s">
        <v>12</v>
      </c>
      <c r="I173" s="62" t="s">
        <v>112</v>
      </c>
      <c r="J173" s="62"/>
      <c r="K173" s="64">
        <v>154.4</v>
      </c>
      <c r="L173" s="64">
        <f>K173*VLOOKUP(H173,dagsoorttabel1,2,FALSE)</f>
        <v>95.015384615384619</v>
      </c>
      <c r="M173" s="65">
        <f>prodnorm11</f>
        <v>0</v>
      </c>
      <c r="N173" s="66">
        <f>dagwerk11</f>
        <v>0</v>
      </c>
      <c r="O173" s="62" t="s">
        <v>36</v>
      </c>
      <c r="P173" s="67">
        <f>uurtarief11</f>
        <v>0</v>
      </c>
      <c r="Q173" s="64" t="e">
        <f>IF(ISBLANK(M173),0,L173/ROUND(M173,4))</f>
        <v>#DIV/0!</v>
      </c>
      <c r="R173" s="64" t="e">
        <f>IF(ISBLANK(M173),0,Q173*ROUND(N173,2))</f>
        <v>#DIV/0!</v>
      </c>
      <c r="S173" s="67" t="e">
        <f>ROUND(P173,2)*Q173</f>
        <v>#DIV/0!</v>
      </c>
      <c r="T173" s="64" t="e">
        <f>Q173*dagenperjaar1</f>
        <v>#DIV/0!</v>
      </c>
      <c r="U173" s="68" t="e">
        <f>T173*ROUND(P173,2)</f>
        <v>#DIV/0!</v>
      </c>
    </row>
    <row r="174" spans="1:21" x14ac:dyDescent="0.2">
      <c r="A174" s="61" t="s">
        <v>164</v>
      </c>
      <c r="B174" s="62" t="s">
        <v>165</v>
      </c>
      <c r="C174" s="62" t="s">
        <v>164</v>
      </c>
      <c r="D174" s="62" t="s">
        <v>348</v>
      </c>
      <c r="E174" s="63" t="s">
        <v>265</v>
      </c>
      <c r="F174" s="62" t="s">
        <v>171</v>
      </c>
      <c r="G174" s="62" t="s">
        <v>126</v>
      </c>
      <c r="H174" s="62" t="s">
        <v>12</v>
      </c>
      <c r="I174" s="62" t="s">
        <v>112</v>
      </c>
      <c r="J174" s="62"/>
      <c r="K174" s="64">
        <v>40</v>
      </c>
      <c r="L174" s="64">
        <f>K174*VLOOKUP(H174,dagsoorttabel1,2,FALSE)</f>
        <v>24.615384615384617</v>
      </c>
      <c r="M174" s="65">
        <f>prodnorm13</f>
        <v>0</v>
      </c>
      <c r="N174" s="66">
        <f>dagwerk13</f>
        <v>0</v>
      </c>
      <c r="O174" s="62" t="s">
        <v>36</v>
      </c>
      <c r="P174" s="67">
        <f>uurtarief13</f>
        <v>0</v>
      </c>
      <c r="Q174" s="64" t="e">
        <f>IF(ISBLANK(M174),0,L174/ROUND(M174,4))</f>
        <v>#DIV/0!</v>
      </c>
      <c r="R174" s="64" t="e">
        <f>IF(ISBLANK(M174),0,Q174*ROUND(N174,2))</f>
        <v>#DIV/0!</v>
      </c>
      <c r="S174" s="67" t="e">
        <f>ROUND(P174,2)*Q174</f>
        <v>#DIV/0!</v>
      </c>
      <c r="T174" s="64" t="e">
        <f>Q174*dagenperjaar1</f>
        <v>#DIV/0!</v>
      </c>
      <c r="U174" s="68" t="e">
        <f>T174*ROUND(P174,2)</f>
        <v>#DIV/0!</v>
      </c>
    </row>
    <row r="175" spans="1:21" x14ac:dyDescent="0.2">
      <c r="A175" s="61" t="s">
        <v>164</v>
      </c>
      <c r="B175" s="62" t="s">
        <v>165</v>
      </c>
      <c r="C175" s="62" t="s">
        <v>164</v>
      </c>
      <c r="D175" s="62" t="s">
        <v>349</v>
      </c>
      <c r="E175" s="63" t="s">
        <v>265</v>
      </c>
      <c r="F175" s="62" t="s">
        <v>174</v>
      </c>
      <c r="G175" s="62" t="s">
        <v>124</v>
      </c>
      <c r="H175" s="62" t="s">
        <v>12</v>
      </c>
      <c r="I175" s="62" t="s">
        <v>112</v>
      </c>
      <c r="J175" s="62"/>
      <c r="K175" s="64">
        <v>14</v>
      </c>
      <c r="L175" s="64">
        <f>K175*VLOOKUP(H175,dagsoorttabel1,2,FALSE)</f>
        <v>8.6153846153846168</v>
      </c>
      <c r="M175" s="65">
        <f>prodnorm11</f>
        <v>0</v>
      </c>
      <c r="N175" s="66">
        <f>dagwerk11</f>
        <v>0</v>
      </c>
      <c r="O175" s="62" t="s">
        <v>36</v>
      </c>
      <c r="P175" s="67">
        <f>uurtarief11</f>
        <v>0</v>
      </c>
      <c r="Q175" s="64" t="e">
        <f>IF(ISBLANK(M175),0,L175/ROUND(M175,4))</f>
        <v>#DIV/0!</v>
      </c>
      <c r="R175" s="64" t="e">
        <f>IF(ISBLANK(M175),0,Q175*ROUND(N175,2))</f>
        <v>#DIV/0!</v>
      </c>
      <c r="S175" s="67" t="e">
        <f>ROUND(P175,2)*Q175</f>
        <v>#DIV/0!</v>
      </c>
      <c r="T175" s="64" t="e">
        <f>Q175*dagenperjaar1</f>
        <v>#DIV/0!</v>
      </c>
      <c r="U175" s="68" t="e">
        <f>T175*ROUND(P175,2)</f>
        <v>#DIV/0!</v>
      </c>
    </row>
    <row r="176" spans="1:21" x14ac:dyDescent="0.2">
      <c r="A176" s="61" t="s">
        <v>164</v>
      </c>
      <c r="B176" s="62" t="s">
        <v>165</v>
      </c>
      <c r="C176" s="62" t="s">
        <v>164</v>
      </c>
      <c r="D176" s="62" t="s">
        <v>350</v>
      </c>
      <c r="E176" s="63" t="s">
        <v>265</v>
      </c>
      <c r="F176" s="62" t="s">
        <v>174</v>
      </c>
      <c r="G176" s="62" t="s">
        <v>124</v>
      </c>
      <c r="H176" s="62" t="s">
        <v>12</v>
      </c>
      <c r="I176" s="62" t="s">
        <v>112</v>
      </c>
      <c r="J176" s="62"/>
      <c r="K176" s="64">
        <v>79.7</v>
      </c>
      <c r="L176" s="64">
        <f>K176*VLOOKUP(H176,dagsoorttabel1,2,FALSE)</f>
        <v>49.04615384615385</v>
      </c>
      <c r="M176" s="65">
        <f>prodnorm11</f>
        <v>0</v>
      </c>
      <c r="N176" s="66">
        <f>dagwerk11</f>
        <v>0</v>
      </c>
      <c r="O176" s="62" t="s">
        <v>36</v>
      </c>
      <c r="P176" s="67">
        <f>uurtarief11</f>
        <v>0</v>
      </c>
      <c r="Q176" s="64" t="e">
        <f>IF(ISBLANK(M176),0,L176/ROUND(M176,4))</f>
        <v>#DIV/0!</v>
      </c>
      <c r="R176" s="64" t="e">
        <f>IF(ISBLANK(M176),0,Q176*ROUND(N176,2))</f>
        <v>#DIV/0!</v>
      </c>
      <c r="S176" s="67" t="e">
        <f>ROUND(P176,2)*Q176</f>
        <v>#DIV/0!</v>
      </c>
      <c r="T176" s="64" t="e">
        <f>Q176*dagenperjaar1</f>
        <v>#DIV/0!</v>
      </c>
      <c r="U176" s="68" t="e">
        <f>T176*ROUND(P176,2)</f>
        <v>#DIV/0!</v>
      </c>
    </row>
    <row r="177" spans="1:21" x14ac:dyDescent="0.2">
      <c r="A177" s="61" t="s">
        <v>164</v>
      </c>
      <c r="B177" s="62" t="s">
        <v>165</v>
      </c>
      <c r="C177" s="62" t="s">
        <v>164</v>
      </c>
      <c r="D177" s="62" t="s">
        <v>351</v>
      </c>
      <c r="E177" s="63" t="s">
        <v>173</v>
      </c>
      <c r="F177" s="62" t="s">
        <v>174</v>
      </c>
      <c r="G177" s="62" t="s">
        <v>143</v>
      </c>
      <c r="H177" s="62" t="s">
        <v>11</v>
      </c>
      <c r="I177" s="62" t="s">
        <v>112</v>
      </c>
      <c r="J177" s="62"/>
      <c r="K177" s="64">
        <v>61</v>
      </c>
      <c r="L177" s="64">
        <f>K177*VLOOKUP(H177,dagsoorttabel1,2,FALSE)</f>
        <v>46.923076923076927</v>
      </c>
      <c r="M177" s="65">
        <f>prodnorm22</f>
        <v>0</v>
      </c>
      <c r="N177" s="66">
        <f>dagwerk22</f>
        <v>0</v>
      </c>
      <c r="O177" s="62" t="s">
        <v>36</v>
      </c>
      <c r="P177" s="67">
        <f>uurtarief22</f>
        <v>0</v>
      </c>
      <c r="Q177" s="64" t="e">
        <f>IF(ISBLANK(M177),0,L177/ROUND(M177,4))</f>
        <v>#DIV/0!</v>
      </c>
      <c r="R177" s="64" t="e">
        <f>IF(ISBLANK(M177),0,Q177*ROUND(N177,2))</f>
        <v>#DIV/0!</v>
      </c>
      <c r="S177" s="67" t="e">
        <f>ROUND(P177,2)*Q177</f>
        <v>#DIV/0!</v>
      </c>
      <c r="T177" s="64" t="e">
        <f>Q177*dagenperjaar1</f>
        <v>#DIV/0!</v>
      </c>
      <c r="U177" s="68" t="e">
        <f>T177*ROUND(P177,2)</f>
        <v>#DIV/0!</v>
      </c>
    </row>
    <row r="178" spans="1:21" x14ac:dyDescent="0.2">
      <c r="A178" s="61" t="s">
        <v>164</v>
      </c>
      <c r="B178" s="62" t="s">
        <v>165</v>
      </c>
      <c r="C178" s="62" t="s">
        <v>164</v>
      </c>
      <c r="D178" s="62" t="s">
        <v>352</v>
      </c>
      <c r="E178" s="63" t="s">
        <v>353</v>
      </c>
      <c r="F178" s="62" t="s">
        <v>174</v>
      </c>
      <c r="G178" s="62" t="s">
        <v>111</v>
      </c>
      <c r="H178" s="62" t="s">
        <v>16</v>
      </c>
      <c r="I178" s="62" t="s">
        <v>112</v>
      </c>
      <c r="J178" s="62"/>
      <c r="K178" s="64">
        <v>38</v>
      </c>
      <c r="L178" s="64">
        <f>K178*VLOOKUP(H178,dagsoorttabel1,2,FALSE)</f>
        <v>5.8461538461538467</v>
      </c>
      <c r="M178" s="65">
        <f>prodnorm5</f>
        <v>0</v>
      </c>
      <c r="N178" s="66">
        <f>dagwerk5</f>
        <v>0</v>
      </c>
      <c r="O178" s="62" t="s">
        <v>36</v>
      </c>
      <c r="P178" s="67">
        <f>uurtarief5</f>
        <v>0</v>
      </c>
      <c r="Q178" s="64" t="e">
        <f>IF(ISBLANK(M178),0,L178/ROUND(M178,4))</f>
        <v>#DIV/0!</v>
      </c>
      <c r="R178" s="64" t="e">
        <f>IF(ISBLANK(M178),0,Q178*ROUND(N178,2))</f>
        <v>#DIV/0!</v>
      </c>
      <c r="S178" s="67" t="e">
        <f>ROUND(P178,2)*Q178</f>
        <v>#DIV/0!</v>
      </c>
      <c r="T178" s="64" t="e">
        <f>Q178*dagenperjaar1</f>
        <v>#DIV/0!</v>
      </c>
      <c r="U178" s="68" t="e">
        <f>T178*ROUND(P178,2)</f>
        <v>#DIV/0!</v>
      </c>
    </row>
    <row r="179" spans="1:21" x14ac:dyDescent="0.2">
      <c r="A179" s="61" t="s">
        <v>164</v>
      </c>
      <c r="B179" s="62" t="s">
        <v>165</v>
      </c>
      <c r="C179" s="62" t="s">
        <v>164</v>
      </c>
      <c r="D179" s="62" t="s">
        <v>352</v>
      </c>
      <c r="E179" s="63" t="s">
        <v>353</v>
      </c>
      <c r="F179" s="62" t="s">
        <v>174</v>
      </c>
      <c r="G179" s="62" t="s">
        <v>149</v>
      </c>
      <c r="H179" s="62" t="s">
        <v>12</v>
      </c>
      <c r="I179" s="62" t="s">
        <v>112</v>
      </c>
      <c r="J179" s="62"/>
      <c r="K179" s="64">
        <v>38</v>
      </c>
      <c r="L179" s="64">
        <f>K179*VLOOKUP(H179,dagsoorttabel1,2,FALSE)</f>
        <v>23.384615384615387</v>
      </c>
      <c r="M179" s="65">
        <f>prodnorm25</f>
        <v>0</v>
      </c>
      <c r="N179" s="66">
        <f>dagwerk25</f>
        <v>0</v>
      </c>
      <c r="O179" s="62" t="s">
        <v>36</v>
      </c>
      <c r="P179" s="67">
        <f>uurtarief25</f>
        <v>0</v>
      </c>
      <c r="Q179" s="64" t="e">
        <f>IF(ISBLANK(M179),0,L179/ROUND(M179,4))</f>
        <v>#DIV/0!</v>
      </c>
      <c r="R179" s="64" t="e">
        <f>IF(ISBLANK(M179),0,Q179*ROUND(N179,2))</f>
        <v>#DIV/0!</v>
      </c>
      <c r="S179" s="67" t="e">
        <f>ROUND(P179,2)*Q179</f>
        <v>#DIV/0!</v>
      </c>
      <c r="T179" s="64" t="e">
        <f>Q179*dagenperjaar1</f>
        <v>#DIV/0!</v>
      </c>
      <c r="U179" s="68" t="e">
        <f>T179*ROUND(P179,2)</f>
        <v>#DIV/0!</v>
      </c>
    </row>
    <row r="180" spans="1:21" x14ac:dyDescent="0.2">
      <c r="A180" s="61" t="s">
        <v>164</v>
      </c>
      <c r="B180" s="62" t="s">
        <v>165</v>
      </c>
      <c r="C180" s="62" t="s">
        <v>164</v>
      </c>
      <c r="D180" s="62" t="s">
        <v>354</v>
      </c>
      <c r="E180" s="63" t="s">
        <v>347</v>
      </c>
      <c r="F180" s="62" t="s">
        <v>174</v>
      </c>
      <c r="G180" s="62" t="s">
        <v>124</v>
      </c>
      <c r="H180" s="62" t="s">
        <v>12</v>
      </c>
      <c r="I180" s="62" t="s">
        <v>112</v>
      </c>
      <c r="J180" s="62"/>
      <c r="K180" s="64">
        <v>73</v>
      </c>
      <c r="L180" s="64">
        <f>K180*VLOOKUP(H180,dagsoorttabel1,2,FALSE)</f>
        <v>44.923076923076927</v>
      </c>
      <c r="M180" s="65">
        <f>prodnorm11</f>
        <v>0</v>
      </c>
      <c r="N180" s="66">
        <f>dagwerk11</f>
        <v>0</v>
      </c>
      <c r="O180" s="62" t="s">
        <v>36</v>
      </c>
      <c r="P180" s="67">
        <f>uurtarief11</f>
        <v>0</v>
      </c>
      <c r="Q180" s="64" t="e">
        <f>IF(ISBLANK(M180),0,L180/ROUND(M180,4))</f>
        <v>#DIV/0!</v>
      </c>
      <c r="R180" s="64" t="e">
        <f>IF(ISBLANK(M180),0,Q180*ROUND(N180,2))</f>
        <v>#DIV/0!</v>
      </c>
      <c r="S180" s="67" t="e">
        <f>ROUND(P180,2)*Q180</f>
        <v>#DIV/0!</v>
      </c>
      <c r="T180" s="64" t="e">
        <f>Q180*dagenperjaar1</f>
        <v>#DIV/0!</v>
      </c>
      <c r="U180" s="68" t="e">
        <f>T180*ROUND(P180,2)</f>
        <v>#DIV/0!</v>
      </c>
    </row>
    <row r="181" spans="1:21" x14ac:dyDescent="0.2">
      <c r="A181" s="61" t="s">
        <v>164</v>
      </c>
      <c r="B181" s="62" t="s">
        <v>165</v>
      </c>
      <c r="C181" s="62" t="s">
        <v>164</v>
      </c>
      <c r="D181" s="62" t="s">
        <v>355</v>
      </c>
      <c r="E181" s="63" t="s">
        <v>265</v>
      </c>
      <c r="F181" s="62" t="s">
        <v>174</v>
      </c>
      <c r="G181" s="62" t="s">
        <v>124</v>
      </c>
      <c r="H181" s="62" t="s">
        <v>12</v>
      </c>
      <c r="I181" s="62" t="s">
        <v>112</v>
      </c>
      <c r="J181" s="62"/>
      <c r="K181" s="64">
        <v>53</v>
      </c>
      <c r="L181" s="64">
        <f>K181*VLOOKUP(H181,dagsoorttabel1,2,FALSE)</f>
        <v>32.61538461538462</v>
      </c>
      <c r="M181" s="65">
        <f>prodnorm11</f>
        <v>0</v>
      </c>
      <c r="N181" s="66">
        <f>dagwerk11</f>
        <v>0</v>
      </c>
      <c r="O181" s="62" t="s">
        <v>36</v>
      </c>
      <c r="P181" s="67">
        <f>uurtarief11</f>
        <v>0</v>
      </c>
      <c r="Q181" s="64" t="e">
        <f>IF(ISBLANK(M181),0,L181/ROUND(M181,4))</f>
        <v>#DIV/0!</v>
      </c>
      <c r="R181" s="64" t="e">
        <f>IF(ISBLANK(M181),0,Q181*ROUND(N181,2))</f>
        <v>#DIV/0!</v>
      </c>
      <c r="S181" s="67" t="e">
        <f>ROUND(P181,2)*Q181</f>
        <v>#DIV/0!</v>
      </c>
      <c r="T181" s="64" t="e">
        <f>Q181*dagenperjaar1</f>
        <v>#DIV/0!</v>
      </c>
      <c r="U181" s="68" t="e">
        <f>T181*ROUND(P181,2)</f>
        <v>#DIV/0!</v>
      </c>
    </row>
    <row r="182" spans="1:21" x14ac:dyDescent="0.2">
      <c r="A182" s="61" t="s">
        <v>164</v>
      </c>
      <c r="B182" s="62" t="s">
        <v>165</v>
      </c>
      <c r="C182" s="62" t="s">
        <v>164</v>
      </c>
      <c r="D182" s="62" t="s">
        <v>356</v>
      </c>
      <c r="E182" s="63" t="s">
        <v>265</v>
      </c>
      <c r="F182" s="62" t="s">
        <v>171</v>
      </c>
      <c r="G182" s="62" t="s">
        <v>126</v>
      </c>
      <c r="H182" s="62" t="s">
        <v>12</v>
      </c>
      <c r="I182" s="62" t="s">
        <v>112</v>
      </c>
      <c r="J182" s="62"/>
      <c r="K182" s="64">
        <v>40</v>
      </c>
      <c r="L182" s="64">
        <f>K182*VLOOKUP(H182,dagsoorttabel1,2,FALSE)</f>
        <v>24.615384615384617</v>
      </c>
      <c r="M182" s="65">
        <f>prodnorm13</f>
        <v>0</v>
      </c>
      <c r="N182" s="66">
        <f>dagwerk13</f>
        <v>0</v>
      </c>
      <c r="O182" s="62" t="s">
        <v>36</v>
      </c>
      <c r="P182" s="67">
        <f>uurtarief13</f>
        <v>0</v>
      </c>
      <c r="Q182" s="64" t="e">
        <f>IF(ISBLANK(M182),0,L182/ROUND(M182,4))</f>
        <v>#DIV/0!</v>
      </c>
      <c r="R182" s="64" t="e">
        <f>IF(ISBLANK(M182),0,Q182*ROUND(N182,2))</f>
        <v>#DIV/0!</v>
      </c>
      <c r="S182" s="67" t="e">
        <f>ROUND(P182,2)*Q182</f>
        <v>#DIV/0!</v>
      </c>
      <c r="T182" s="64" t="e">
        <f>Q182*dagenperjaar1</f>
        <v>#DIV/0!</v>
      </c>
      <c r="U182" s="68" t="e">
        <f>T182*ROUND(P182,2)</f>
        <v>#DIV/0!</v>
      </c>
    </row>
    <row r="183" spans="1:21" x14ac:dyDescent="0.2">
      <c r="A183" s="61" t="s">
        <v>164</v>
      </c>
      <c r="B183" s="62" t="s">
        <v>165</v>
      </c>
      <c r="C183" s="62" t="s">
        <v>164</v>
      </c>
      <c r="D183" s="62" t="s">
        <v>357</v>
      </c>
      <c r="E183" s="63" t="s">
        <v>265</v>
      </c>
      <c r="F183" s="62" t="s">
        <v>174</v>
      </c>
      <c r="G183" s="62" t="s">
        <v>124</v>
      </c>
      <c r="H183" s="62" t="s">
        <v>12</v>
      </c>
      <c r="I183" s="62" t="s">
        <v>112</v>
      </c>
      <c r="J183" s="62"/>
      <c r="K183" s="64">
        <v>14</v>
      </c>
      <c r="L183" s="64">
        <f>K183*VLOOKUP(H183,dagsoorttabel1,2,FALSE)</f>
        <v>8.6153846153846168</v>
      </c>
      <c r="M183" s="65">
        <f>prodnorm11</f>
        <v>0</v>
      </c>
      <c r="N183" s="66">
        <f>dagwerk11</f>
        <v>0</v>
      </c>
      <c r="O183" s="62" t="s">
        <v>36</v>
      </c>
      <c r="P183" s="67">
        <f>uurtarief11</f>
        <v>0</v>
      </c>
      <c r="Q183" s="64" t="e">
        <f>IF(ISBLANK(M183),0,L183/ROUND(M183,4))</f>
        <v>#DIV/0!</v>
      </c>
      <c r="R183" s="64" t="e">
        <f>IF(ISBLANK(M183),0,Q183*ROUND(N183,2))</f>
        <v>#DIV/0!</v>
      </c>
      <c r="S183" s="67" t="e">
        <f>ROUND(P183,2)*Q183</f>
        <v>#DIV/0!</v>
      </c>
      <c r="T183" s="64" t="e">
        <f>Q183*dagenperjaar1</f>
        <v>#DIV/0!</v>
      </c>
      <c r="U183" s="68" t="e">
        <f>T183*ROUND(P183,2)</f>
        <v>#DIV/0!</v>
      </c>
    </row>
    <row r="184" spans="1:21" x14ac:dyDescent="0.2">
      <c r="A184" s="61" t="s">
        <v>164</v>
      </c>
      <c r="B184" s="62" t="s">
        <v>165</v>
      </c>
      <c r="C184" s="62" t="s">
        <v>164</v>
      </c>
      <c r="D184" s="62" t="s">
        <v>358</v>
      </c>
      <c r="E184" s="63" t="s">
        <v>265</v>
      </c>
      <c r="F184" s="62" t="s">
        <v>171</v>
      </c>
      <c r="G184" s="62" t="s">
        <v>126</v>
      </c>
      <c r="H184" s="62" t="s">
        <v>12</v>
      </c>
      <c r="I184" s="62" t="s">
        <v>112</v>
      </c>
      <c r="J184" s="62"/>
      <c r="K184" s="64">
        <v>40</v>
      </c>
      <c r="L184" s="64">
        <f>K184*VLOOKUP(H184,dagsoorttabel1,2,FALSE)</f>
        <v>24.615384615384617</v>
      </c>
      <c r="M184" s="65">
        <f>prodnorm13</f>
        <v>0</v>
      </c>
      <c r="N184" s="66">
        <f>dagwerk13</f>
        <v>0</v>
      </c>
      <c r="O184" s="62" t="s">
        <v>36</v>
      </c>
      <c r="P184" s="67">
        <f>uurtarief13</f>
        <v>0</v>
      </c>
      <c r="Q184" s="64" t="e">
        <f>IF(ISBLANK(M184),0,L184/ROUND(M184,4))</f>
        <v>#DIV/0!</v>
      </c>
      <c r="R184" s="64" t="e">
        <f>IF(ISBLANK(M184),0,Q184*ROUND(N184,2))</f>
        <v>#DIV/0!</v>
      </c>
      <c r="S184" s="67" t="e">
        <f>ROUND(P184,2)*Q184</f>
        <v>#DIV/0!</v>
      </c>
      <c r="T184" s="64" t="e">
        <f>Q184*dagenperjaar1</f>
        <v>#DIV/0!</v>
      </c>
      <c r="U184" s="68" t="e">
        <f>T184*ROUND(P184,2)</f>
        <v>#DIV/0!</v>
      </c>
    </row>
    <row r="185" spans="1:21" x14ac:dyDescent="0.2">
      <c r="A185" s="61" t="s">
        <v>164</v>
      </c>
      <c r="B185" s="62" t="s">
        <v>165</v>
      </c>
      <c r="C185" s="62" t="s">
        <v>164</v>
      </c>
      <c r="D185" s="62" t="s">
        <v>359</v>
      </c>
      <c r="E185" s="63" t="s">
        <v>265</v>
      </c>
      <c r="F185" s="62" t="s">
        <v>174</v>
      </c>
      <c r="G185" s="62" t="s">
        <v>124</v>
      </c>
      <c r="H185" s="62" t="s">
        <v>12</v>
      </c>
      <c r="I185" s="62" t="s">
        <v>112</v>
      </c>
      <c r="J185" s="62"/>
      <c r="K185" s="64">
        <v>14</v>
      </c>
      <c r="L185" s="64">
        <f>K185*VLOOKUP(H185,dagsoorttabel1,2,FALSE)</f>
        <v>8.6153846153846168</v>
      </c>
      <c r="M185" s="65">
        <f>prodnorm11</f>
        <v>0</v>
      </c>
      <c r="N185" s="66">
        <f>dagwerk11</f>
        <v>0</v>
      </c>
      <c r="O185" s="62" t="s">
        <v>36</v>
      </c>
      <c r="P185" s="67">
        <f>uurtarief11</f>
        <v>0</v>
      </c>
      <c r="Q185" s="64" t="e">
        <f>IF(ISBLANK(M185),0,L185/ROUND(M185,4))</f>
        <v>#DIV/0!</v>
      </c>
      <c r="R185" s="64" t="e">
        <f>IF(ISBLANK(M185),0,Q185*ROUND(N185,2))</f>
        <v>#DIV/0!</v>
      </c>
      <c r="S185" s="67" t="e">
        <f>ROUND(P185,2)*Q185</f>
        <v>#DIV/0!</v>
      </c>
      <c r="T185" s="64" t="e">
        <f>Q185*dagenperjaar1</f>
        <v>#DIV/0!</v>
      </c>
      <c r="U185" s="68" t="e">
        <f>T185*ROUND(P185,2)</f>
        <v>#DIV/0!</v>
      </c>
    </row>
    <row r="186" spans="1:21" x14ac:dyDescent="0.2">
      <c r="A186" s="61" t="s">
        <v>164</v>
      </c>
      <c r="B186" s="62" t="s">
        <v>165</v>
      </c>
      <c r="C186" s="62" t="s">
        <v>164</v>
      </c>
      <c r="D186" s="62" t="s">
        <v>360</v>
      </c>
      <c r="E186" s="63" t="s">
        <v>265</v>
      </c>
      <c r="F186" s="62" t="s">
        <v>171</v>
      </c>
      <c r="G186" s="62" t="s">
        <v>126</v>
      </c>
      <c r="H186" s="62" t="s">
        <v>12</v>
      </c>
      <c r="I186" s="62" t="s">
        <v>112</v>
      </c>
      <c r="J186" s="62"/>
      <c r="K186" s="64">
        <v>40</v>
      </c>
      <c r="L186" s="64">
        <f>K186*VLOOKUP(H186,dagsoorttabel1,2,FALSE)</f>
        <v>24.615384615384617</v>
      </c>
      <c r="M186" s="65">
        <f>prodnorm13</f>
        <v>0</v>
      </c>
      <c r="N186" s="66">
        <f>dagwerk13</f>
        <v>0</v>
      </c>
      <c r="O186" s="62" t="s">
        <v>36</v>
      </c>
      <c r="P186" s="67">
        <f>uurtarief13</f>
        <v>0</v>
      </c>
      <c r="Q186" s="64" t="e">
        <f>IF(ISBLANK(M186),0,L186/ROUND(M186,4))</f>
        <v>#DIV/0!</v>
      </c>
      <c r="R186" s="64" t="e">
        <f>IF(ISBLANK(M186),0,Q186*ROUND(N186,2))</f>
        <v>#DIV/0!</v>
      </c>
      <c r="S186" s="67" t="e">
        <f>ROUND(P186,2)*Q186</f>
        <v>#DIV/0!</v>
      </c>
      <c r="T186" s="64" t="e">
        <f>Q186*dagenperjaar1</f>
        <v>#DIV/0!</v>
      </c>
      <c r="U186" s="68" t="e">
        <f>T186*ROUND(P186,2)</f>
        <v>#DIV/0!</v>
      </c>
    </row>
    <row r="187" spans="1:21" x14ac:dyDescent="0.2">
      <c r="A187" s="61" t="s">
        <v>164</v>
      </c>
      <c r="B187" s="62" t="s">
        <v>165</v>
      </c>
      <c r="C187" s="62" t="s">
        <v>164</v>
      </c>
      <c r="D187" s="62" t="s">
        <v>361</v>
      </c>
      <c r="E187" s="63" t="s">
        <v>265</v>
      </c>
      <c r="F187" s="62" t="s">
        <v>174</v>
      </c>
      <c r="G187" s="62" t="s">
        <v>124</v>
      </c>
      <c r="H187" s="62" t="s">
        <v>12</v>
      </c>
      <c r="I187" s="62" t="s">
        <v>112</v>
      </c>
      <c r="J187" s="62"/>
      <c r="K187" s="64">
        <v>14</v>
      </c>
      <c r="L187" s="64">
        <f>K187*VLOOKUP(H187,dagsoorttabel1,2,FALSE)</f>
        <v>8.6153846153846168</v>
      </c>
      <c r="M187" s="65">
        <f>prodnorm11</f>
        <v>0</v>
      </c>
      <c r="N187" s="66">
        <f>dagwerk11</f>
        <v>0</v>
      </c>
      <c r="O187" s="62" t="s">
        <v>36</v>
      </c>
      <c r="P187" s="67">
        <f>uurtarief11</f>
        <v>0</v>
      </c>
      <c r="Q187" s="64" t="e">
        <f>IF(ISBLANK(M187),0,L187/ROUND(M187,4))</f>
        <v>#DIV/0!</v>
      </c>
      <c r="R187" s="64" t="e">
        <f>IF(ISBLANK(M187),0,Q187*ROUND(N187,2))</f>
        <v>#DIV/0!</v>
      </c>
      <c r="S187" s="67" t="e">
        <f>ROUND(P187,2)*Q187</f>
        <v>#DIV/0!</v>
      </c>
      <c r="T187" s="64" t="e">
        <f>Q187*dagenperjaar1</f>
        <v>#DIV/0!</v>
      </c>
      <c r="U187" s="68" t="e">
        <f>T187*ROUND(P187,2)</f>
        <v>#DIV/0!</v>
      </c>
    </row>
    <row r="188" spans="1:21" x14ac:dyDescent="0.2">
      <c r="A188" s="61" t="s">
        <v>164</v>
      </c>
      <c r="B188" s="62" t="s">
        <v>165</v>
      </c>
      <c r="C188" s="62" t="s">
        <v>164</v>
      </c>
      <c r="D188" s="62" t="s">
        <v>362</v>
      </c>
      <c r="E188" s="63" t="s">
        <v>265</v>
      </c>
      <c r="F188" s="62" t="s">
        <v>171</v>
      </c>
      <c r="G188" s="62" t="s">
        <v>126</v>
      </c>
      <c r="H188" s="62" t="s">
        <v>12</v>
      </c>
      <c r="I188" s="62" t="s">
        <v>112</v>
      </c>
      <c r="J188" s="62"/>
      <c r="K188" s="64">
        <v>40</v>
      </c>
      <c r="L188" s="64">
        <f>K188*VLOOKUP(H188,dagsoorttabel1,2,FALSE)</f>
        <v>24.615384615384617</v>
      </c>
      <c r="M188" s="65">
        <f>prodnorm13</f>
        <v>0</v>
      </c>
      <c r="N188" s="66">
        <f>dagwerk13</f>
        <v>0</v>
      </c>
      <c r="O188" s="62" t="s">
        <v>36</v>
      </c>
      <c r="P188" s="67">
        <f>uurtarief13</f>
        <v>0</v>
      </c>
      <c r="Q188" s="64" t="e">
        <f>IF(ISBLANK(M188),0,L188/ROUND(M188,4))</f>
        <v>#DIV/0!</v>
      </c>
      <c r="R188" s="64" t="e">
        <f>IF(ISBLANK(M188),0,Q188*ROUND(N188,2))</f>
        <v>#DIV/0!</v>
      </c>
      <c r="S188" s="67" t="e">
        <f>ROUND(P188,2)*Q188</f>
        <v>#DIV/0!</v>
      </c>
      <c r="T188" s="64" t="e">
        <f>Q188*dagenperjaar1</f>
        <v>#DIV/0!</v>
      </c>
      <c r="U188" s="68" t="e">
        <f>T188*ROUND(P188,2)</f>
        <v>#DIV/0!</v>
      </c>
    </row>
    <row r="189" spans="1:21" x14ac:dyDescent="0.2">
      <c r="A189" s="61" t="s">
        <v>164</v>
      </c>
      <c r="B189" s="62" t="s">
        <v>165</v>
      </c>
      <c r="C189" s="62" t="s">
        <v>164</v>
      </c>
      <c r="D189" s="62" t="s">
        <v>363</v>
      </c>
      <c r="E189" s="63" t="s">
        <v>265</v>
      </c>
      <c r="F189" s="62" t="s">
        <v>174</v>
      </c>
      <c r="G189" s="62" t="s">
        <v>124</v>
      </c>
      <c r="H189" s="62" t="s">
        <v>12</v>
      </c>
      <c r="I189" s="62" t="s">
        <v>112</v>
      </c>
      <c r="J189" s="62"/>
      <c r="K189" s="64">
        <v>13</v>
      </c>
      <c r="L189" s="64">
        <f>K189*VLOOKUP(H189,dagsoorttabel1,2,FALSE)</f>
        <v>8</v>
      </c>
      <c r="M189" s="65">
        <f>prodnorm11</f>
        <v>0</v>
      </c>
      <c r="N189" s="66">
        <f>dagwerk11</f>
        <v>0</v>
      </c>
      <c r="O189" s="62" t="s">
        <v>36</v>
      </c>
      <c r="P189" s="67">
        <f>uurtarief11</f>
        <v>0</v>
      </c>
      <c r="Q189" s="64" t="e">
        <f>IF(ISBLANK(M189),0,L189/ROUND(M189,4))</f>
        <v>#DIV/0!</v>
      </c>
      <c r="R189" s="64" t="e">
        <f>IF(ISBLANK(M189),0,Q189*ROUND(N189,2))</f>
        <v>#DIV/0!</v>
      </c>
      <c r="S189" s="67" t="e">
        <f>ROUND(P189,2)*Q189</f>
        <v>#DIV/0!</v>
      </c>
      <c r="T189" s="64" t="e">
        <f>Q189*dagenperjaar1</f>
        <v>#DIV/0!</v>
      </c>
      <c r="U189" s="68" t="e">
        <f>T189*ROUND(P189,2)</f>
        <v>#DIV/0!</v>
      </c>
    </row>
    <row r="190" spans="1:21" x14ac:dyDescent="0.2">
      <c r="A190" s="61" t="s">
        <v>164</v>
      </c>
      <c r="B190" s="62" t="s">
        <v>165</v>
      </c>
      <c r="C190" s="62" t="s">
        <v>164</v>
      </c>
      <c r="D190" s="62" t="s">
        <v>364</v>
      </c>
      <c r="E190" s="63" t="s">
        <v>265</v>
      </c>
      <c r="F190" s="62" t="s">
        <v>174</v>
      </c>
      <c r="G190" s="62" t="s">
        <v>124</v>
      </c>
      <c r="H190" s="62" t="s">
        <v>12</v>
      </c>
      <c r="I190" s="62" t="s">
        <v>112</v>
      </c>
      <c r="J190" s="62"/>
      <c r="K190" s="64">
        <v>77.3</v>
      </c>
      <c r="L190" s="64">
        <f>K190*VLOOKUP(H190,dagsoorttabel1,2,FALSE)</f>
        <v>47.569230769230771</v>
      </c>
      <c r="M190" s="65">
        <f>prodnorm11</f>
        <v>0</v>
      </c>
      <c r="N190" s="66">
        <f>dagwerk11</f>
        <v>0</v>
      </c>
      <c r="O190" s="62" t="s">
        <v>36</v>
      </c>
      <c r="P190" s="67">
        <f>uurtarief11</f>
        <v>0</v>
      </c>
      <c r="Q190" s="64" t="e">
        <f>IF(ISBLANK(M190),0,L190/ROUND(M190,4))</f>
        <v>#DIV/0!</v>
      </c>
      <c r="R190" s="64" t="e">
        <f>IF(ISBLANK(M190),0,Q190*ROUND(N190,2))</f>
        <v>#DIV/0!</v>
      </c>
      <c r="S190" s="67" t="e">
        <f>ROUND(P190,2)*Q190</f>
        <v>#DIV/0!</v>
      </c>
      <c r="T190" s="64" t="e">
        <f>Q190*dagenperjaar1</f>
        <v>#DIV/0!</v>
      </c>
      <c r="U190" s="68" t="e">
        <f>T190*ROUND(P190,2)</f>
        <v>#DIV/0!</v>
      </c>
    </row>
    <row r="191" spans="1:21" x14ac:dyDescent="0.2">
      <c r="A191" s="61" t="s">
        <v>164</v>
      </c>
      <c r="B191" s="62" t="s">
        <v>165</v>
      </c>
      <c r="C191" s="62" t="s">
        <v>164</v>
      </c>
      <c r="D191" s="62" t="s">
        <v>365</v>
      </c>
      <c r="E191" s="63" t="s">
        <v>186</v>
      </c>
      <c r="F191" s="62" t="s">
        <v>174</v>
      </c>
      <c r="G191" s="62" t="s">
        <v>111</v>
      </c>
      <c r="H191" s="62" t="s">
        <v>16</v>
      </c>
      <c r="I191" s="62" t="s">
        <v>112</v>
      </c>
      <c r="J191" s="62"/>
      <c r="K191" s="64">
        <v>5.9</v>
      </c>
      <c r="L191" s="64">
        <f>K191*VLOOKUP(H191,dagsoorttabel1,2,FALSE)</f>
        <v>0.9076923076923078</v>
      </c>
      <c r="M191" s="65">
        <f>prodnorm5</f>
        <v>0</v>
      </c>
      <c r="N191" s="66">
        <f>dagwerk5</f>
        <v>0</v>
      </c>
      <c r="O191" s="62" t="s">
        <v>36</v>
      </c>
      <c r="P191" s="67">
        <f>uurtarief5</f>
        <v>0</v>
      </c>
      <c r="Q191" s="64" t="e">
        <f>IF(ISBLANK(M191),0,L191/ROUND(M191,4))</f>
        <v>#DIV/0!</v>
      </c>
      <c r="R191" s="64" t="e">
        <f>IF(ISBLANK(M191),0,Q191*ROUND(N191,2))</f>
        <v>#DIV/0!</v>
      </c>
      <c r="S191" s="67" t="e">
        <f>ROUND(P191,2)*Q191</f>
        <v>#DIV/0!</v>
      </c>
      <c r="T191" s="64" t="e">
        <f>Q191*dagenperjaar1</f>
        <v>#DIV/0!</v>
      </c>
      <c r="U191" s="68" t="e">
        <f>T191*ROUND(P191,2)</f>
        <v>#DIV/0!</v>
      </c>
    </row>
    <row r="192" spans="1:21" x14ac:dyDescent="0.2">
      <c r="A192" s="61" t="s">
        <v>164</v>
      </c>
      <c r="B192" s="62" t="s">
        <v>165</v>
      </c>
      <c r="C192" s="62" t="s">
        <v>164</v>
      </c>
      <c r="D192" s="62" t="s">
        <v>365</v>
      </c>
      <c r="E192" s="63" t="s">
        <v>186</v>
      </c>
      <c r="F192" s="62" t="s">
        <v>174</v>
      </c>
      <c r="G192" s="62" t="s">
        <v>149</v>
      </c>
      <c r="H192" s="62" t="s">
        <v>12</v>
      </c>
      <c r="I192" s="62" t="s">
        <v>112</v>
      </c>
      <c r="J192" s="62"/>
      <c r="K192" s="64">
        <v>5.9</v>
      </c>
      <c r="L192" s="64">
        <f>K192*VLOOKUP(H192,dagsoorttabel1,2,FALSE)</f>
        <v>3.6307692307692312</v>
      </c>
      <c r="M192" s="65">
        <f>prodnorm25</f>
        <v>0</v>
      </c>
      <c r="N192" s="66">
        <f>dagwerk25</f>
        <v>0</v>
      </c>
      <c r="O192" s="62" t="s">
        <v>36</v>
      </c>
      <c r="P192" s="67">
        <f>uurtarief25</f>
        <v>0</v>
      </c>
      <c r="Q192" s="64" t="e">
        <f>IF(ISBLANK(M192),0,L192/ROUND(M192,4))</f>
        <v>#DIV/0!</v>
      </c>
      <c r="R192" s="64" t="e">
        <f>IF(ISBLANK(M192),0,Q192*ROUND(N192,2))</f>
        <v>#DIV/0!</v>
      </c>
      <c r="S192" s="67" t="e">
        <f>ROUND(P192,2)*Q192</f>
        <v>#DIV/0!</v>
      </c>
      <c r="T192" s="64" t="e">
        <f>Q192*dagenperjaar1</f>
        <v>#DIV/0!</v>
      </c>
      <c r="U192" s="68" t="e">
        <f>T192*ROUND(P192,2)</f>
        <v>#DIV/0!</v>
      </c>
    </row>
    <row r="193" spans="1:21" x14ac:dyDescent="0.2">
      <c r="A193" s="61" t="s">
        <v>164</v>
      </c>
      <c r="B193" s="62" t="s">
        <v>165</v>
      </c>
      <c r="C193" s="62" t="s">
        <v>164</v>
      </c>
      <c r="D193" s="62" t="s">
        <v>366</v>
      </c>
      <c r="E193" s="63" t="s">
        <v>367</v>
      </c>
      <c r="F193" s="62" t="s">
        <v>171</v>
      </c>
      <c r="G193" s="62" t="s">
        <v>128</v>
      </c>
      <c r="H193" s="62" t="s">
        <v>11</v>
      </c>
      <c r="I193" s="62" t="s">
        <v>112</v>
      </c>
      <c r="J193" s="62"/>
      <c r="K193" s="64">
        <v>124.9</v>
      </c>
      <c r="L193" s="64">
        <f>K193*VLOOKUP(H193,dagsoorttabel1,2,FALSE)</f>
        <v>96.07692307692308</v>
      </c>
      <c r="M193" s="65">
        <f>prodnorm14</f>
        <v>0</v>
      </c>
      <c r="N193" s="66">
        <f>dagwerk14</f>
        <v>0</v>
      </c>
      <c r="O193" s="62" t="s">
        <v>36</v>
      </c>
      <c r="P193" s="67">
        <f>uurtarief14</f>
        <v>0</v>
      </c>
      <c r="Q193" s="64" t="e">
        <f>IF(ISBLANK(M193),0,L193/ROUND(M193,4))</f>
        <v>#DIV/0!</v>
      </c>
      <c r="R193" s="64" t="e">
        <f>IF(ISBLANK(M193),0,Q193*ROUND(N193,2))</f>
        <v>#DIV/0!</v>
      </c>
      <c r="S193" s="67" t="e">
        <f>ROUND(P193,2)*Q193</f>
        <v>#DIV/0!</v>
      </c>
      <c r="T193" s="64" t="e">
        <f>Q193*dagenperjaar1</f>
        <v>#DIV/0!</v>
      </c>
      <c r="U193" s="68" t="e">
        <f>T193*ROUND(P193,2)</f>
        <v>#DIV/0!</v>
      </c>
    </row>
    <row r="194" spans="1:21" x14ac:dyDescent="0.2">
      <c r="A194" s="61" t="s">
        <v>164</v>
      </c>
      <c r="B194" s="62" t="s">
        <v>165</v>
      </c>
      <c r="C194" s="62" t="s">
        <v>164</v>
      </c>
      <c r="D194" s="62" t="s">
        <v>368</v>
      </c>
      <c r="E194" s="63" t="s">
        <v>265</v>
      </c>
      <c r="F194" s="62" t="s">
        <v>174</v>
      </c>
      <c r="G194" s="62" t="s">
        <v>124</v>
      </c>
      <c r="H194" s="62" t="s">
        <v>12</v>
      </c>
      <c r="I194" s="62" t="s">
        <v>112</v>
      </c>
      <c r="J194" s="62"/>
      <c r="K194" s="64">
        <v>55</v>
      </c>
      <c r="L194" s="64">
        <f>K194*VLOOKUP(H194,dagsoorttabel1,2,FALSE)</f>
        <v>33.846153846153847</v>
      </c>
      <c r="M194" s="65">
        <f>prodnorm11</f>
        <v>0</v>
      </c>
      <c r="N194" s="66">
        <f>dagwerk11</f>
        <v>0</v>
      </c>
      <c r="O194" s="62" t="s">
        <v>36</v>
      </c>
      <c r="P194" s="67">
        <f>uurtarief11</f>
        <v>0</v>
      </c>
      <c r="Q194" s="64" t="e">
        <f>IF(ISBLANK(M194),0,L194/ROUND(M194,4))</f>
        <v>#DIV/0!</v>
      </c>
      <c r="R194" s="64" t="e">
        <f>IF(ISBLANK(M194),0,Q194*ROUND(N194,2))</f>
        <v>#DIV/0!</v>
      </c>
      <c r="S194" s="67" t="e">
        <f>ROUND(P194,2)*Q194</f>
        <v>#DIV/0!</v>
      </c>
      <c r="T194" s="64" t="e">
        <f>Q194*dagenperjaar1</f>
        <v>#DIV/0!</v>
      </c>
      <c r="U194" s="68" t="e">
        <f>T194*ROUND(P194,2)</f>
        <v>#DIV/0!</v>
      </c>
    </row>
    <row r="195" spans="1:21" x14ac:dyDescent="0.2">
      <c r="A195" s="61" t="s">
        <v>164</v>
      </c>
      <c r="B195" s="62" t="s">
        <v>165</v>
      </c>
      <c r="C195" s="62" t="s">
        <v>164</v>
      </c>
      <c r="D195" s="62" t="s">
        <v>369</v>
      </c>
      <c r="E195" s="63" t="s">
        <v>265</v>
      </c>
      <c r="F195" s="62" t="s">
        <v>174</v>
      </c>
      <c r="G195" s="62" t="s">
        <v>124</v>
      </c>
      <c r="H195" s="62" t="s">
        <v>12</v>
      </c>
      <c r="I195" s="62" t="s">
        <v>112</v>
      </c>
      <c r="J195" s="62"/>
      <c r="K195" s="64">
        <v>55</v>
      </c>
      <c r="L195" s="64">
        <f>K195*VLOOKUP(H195,dagsoorttabel1,2,FALSE)</f>
        <v>33.846153846153847</v>
      </c>
      <c r="M195" s="65">
        <f>prodnorm11</f>
        <v>0</v>
      </c>
      <c r="N195" s="66">
        <f>dagwerk11</f>
        <v>0</v>
      </c>
      <c r="O195" s="62" t="s">
        <v>36</v>
      </c>
      <c r="P195" s="67">
        <f>uurtarief11</f>
        <v>0</v>
      </c>
      <c r="Q195" s="64" t="e">
        <f>IF(ISBLANK(M195),0,L195/ROUND(M195,4))</f>
        <v>#DIV/0!</v>
      </c>
      <c r="R195" s="64" t="e">
        <f>IF(ISBLANK(M195),0,Q195*ROUND(N195,2))</f>
        <v>#DIV/0!</v>
      </c>
      <c r="S195" s="67" t="e">
        <f>ROUND(P195,2)*Q195</f>
        <v>#DIV/0!</v>
      </c>
      <c r="T195" s="64" t="e">
        <f>Q195*dagenperjaar1</f>
        <v>#DIV/0!</v>
      </c>
      <c r="U195" s="68" t="e">
        <f>T195*ROUND(P195,2)</f>
        <v>#DIV/0!</v>
      </c>
    </row>
    <row r="196" spans="1:21" x14ac:dyDescent="0.2">
      <c r="A196" s="61" t="s">
        <v>164</v>
      </c>
      <c r="B196" s="62" t="s">
        <v>165</v>
      </c>
      <c r="C196" s="62" t="s">
        <v>370</v>
      </c>
      <c r="D196" s="62" t="s">
        <v>371</v>
      </c>
      <c r="E196" s="63" t="s">
        <v>208</v>
      </c>
      <c r="F196" s="62" t="s">
        <v>174</v>
      </c>
      <c r="G196" s="62" t="s">
        <v>141</v>
      </c>
      <c r="H196" s="62" t="s">
        <v>11</v>
      </c>
      <c r="I196" s="62" t="s">
        <v>112</v>
      </c>
      <c r="J196" s="62"/>
      <c r="K196" s="64">
        <v>10.5</v>
      </c>
      <c r="L196" s="64">
        <f>K196*VLOOKUP(H196,dagsoorttabel1,2,FALSE)</f>
        <v>8.0769230769230766</v>
      </c>
      <c r="M196" s="65">
        <f>prodnorm21</f>
        <v>0</v>
      </c>
      <c r="N196" s="66">
        <f>dagwerk21</f>
        <v>0</v>
      </c>
      <c r="O196" s="62" t="s">
        <v>36</v>
      </c>
      <c r="P196" s="67">
        <f>uurtarief21</f>
        <v>0</v>
      </c>
      <c r="Q196" s="64" t="e">
        <f>IF(ISBLANK(M196),0,L196/ROUND(M196,4))</f>
        <v>#DIV/0!</v>
      </c>
      <c r="R196" s="64" t="e">
        <f>IF(ISBLANK(M196),0,Q196*ROUND(N196,2))</f>
        <v>#DIV/0!</v>
      </c>
      <c r="S196" s="67" t="e">
        <f>ROUND(P196,2)*Q196</f>
        <v>#DIV/0!</v>
      </c>
      <c r="T196" s="64" t="e">
        <f>Q196*dagenperjaar1</f>
        <v>#DIV/0!</v>
      </c>
      <c r="U196" s="68" t="e">
        <f>T196*ROUND(P196,2)</f>
        <v>#DIV/0!</v>
      </c>
    </row>
    <row r="197" spans="1:21" x14ac:dyDescent="0.2">
      <c r="A197" s="61" t="s">
        <v>164</v>
      </c>
      <c r="B197" s="62" t="s">
        <v>165</v>
      </c>
      <c r="C197" s="62" t="s">
        <v>370</v>
      </c>
      <c r="D197" s="62" t="s">
        <v>372</v>
      </c>
      <c r="E197" s="63" t="s">
        <v>265</v>
      </c>
      <c r="F197" s="62" t="s">
        <v>171</v>
      </c>
      <c r="G197" s="62" t="s">
        <v>126</v>
      </c>
      <c r="H197" s="62" t="s">
        <v>12</v>
      </c>
      <c r="I197" s="62" t="s">
        <v>112</v>
      </c>
      <c r="J197" s="62"/>
      <c r="K197" s="64">
        <v>120</v>
      </c>
      <c r="L197" s="64">
        <f>K197*VLOOKUP(H197,dagsoorttabel1,2,FALSE)</f>
        <v>73.846153846153854</v>
      </c>
      <c r="M197" s="65">
        <f>prodnorm13</f>
        <v>0</v>
      </c>
      <c r="N197" s="66">
        <f>dagwerk13</f>
        <v>0</v>
      </c>
      <c r="O197" s="62" t="s">
        <v>36</v>
      </c>
      <c r="P197" s="67">
        <f>uurtarief13</f>
        <v>0</v>
      </c>
      <c r="Q197" s="64" t="e">
        <f>IF(ISBLANK(M197),0,L197/ROUND(M197,4))</f>
        <v>#DIV/0!</v>
      </c>
      <c r="R197" s="64" t="e">
        <f>IF(ISBLANK(M197),0,Q197*ROUND(N197,2))</f>
        <v>#DIV/0!</v>
      </c>
      <c r="S197" s="67" t="e">
        <f>ROUND(P197,2)*Q197</f>
        <v>#DIV/0!</v>
      </c>
      <c r="T197" s="64" t="e">
        <f>Q197*dagenperjaar1</f>
        <v>#DIV/0!</v>
      </c>
      <c r="U197" s="68" t="e">
        <f>T197*ROUND(P197,2)</f>
        <v>#DIV/0!</v>
      </c>
    </row>
    <row r="198" spans="1:21" x14ac:dyDescent="0.2">
      <c r="A198" s="61" t="s">
        <v>164</v>
      </c>
      <c r="B198" s="62" t="s">
        <v>165</v>
      </c>
      <c r="C198" s="62" t="s">
        <v>370</v>
      </c>
      <c r="D198" s="62" t="s">
        <v>373</v>
      </c>
      <c r="E198" s="63" t="s">
        <v>265</v>
      </c>
      <c r="F198" s="62" t="s">
        <v>174</v>
      </c>
      <c r="G198" s="62" t="s">
        <v>124</v>
      </c>
      <c r="H198" s="62" t="s">
        <v>12</v>
      </c>
      <c r="I198" s="62" t="s">
        <v>112</v>
      </c>
      <c r="J198" s="62"/>
      <c r="K198" s="64">
        <v>14</v>
      </c>
      <c r="L198" s="64">
        <f>K198*VLOOKUP(H198,dagsoorttabel1,2,FALSE)</f>
        <v>8.6153846153846168</v>
      </c>
      <c r="M198" s="65">
        <f>prodnorm11</f>
        <v>0</v>
      </c>
      <c r="N198" s="66">
        <f>dagwerk11</f>
        <v>0</v>
      </c>
      <c r="O198" s="62" t="s">
        <v>36</v>
      </c>
      <c r="P198" s="67">
        <f>uurtarief11</f>
        <v>0</v>
      </c>
      <c r="Q198" s="64" t="e">
        <f>IF(ISBLANK(M198),0,L198/ROUND(M198,4))</f>
        <v>#DIV/0!</v>
      </c>
      <c r="R198" s="64" t="e">
        <f>IF(ISBLANK(M198),0,Q198*ROUND(N198,2))</f>
        <v>#DIV/0!</v>
      </c>
      <c r="S198" s="67" t="e">
        <f>ROUND(P198,2)*Q198</f>
        <v>#DIV/0!</v>
      </c>
      <c r="T198" s="64" t="e">
        <f>Q198*dagenperjaar1</f>
        <v>#DIV/0!</v>
      </c>
      <c r="U198" s="68" t="e">
        <f>T198*ROUND(P198,2)</f>
        <v>#DIV/0!</v>
      </c>
    </row>
    <row r="199" spans="1:21" x14ac:dyDescent="0.2">
      <c r="A199" s="61" t="s">
        <v>164</v>
      </c>
      <c r="B199" s="62" t="s">
        <v>165</v>
      </c>
      <c r="C199" s="62" t="s">
        <v>370</v>
      </c>
      <c r="D199" s="62" t="s">
        <v>374</v>
      </c>
      <c r="E199" s="63" t="s">
        <v>265</v>
      </c>
      <c r="F199" s="62" t="s">
        <v>174</v>
      </c>
      <c r="G199" s="62" t="s">
        <v>124</v>
      </c>
      <c r="H199" s="62" t="s">
        <v>12</v>
      </c>
      <c r="I199" s="62" t="s">
        <v>112</v>
      </c>
      <c r="J199" s="62"/>
      <c r="K199" s="64">
        <v>14</v>
      </c>
      <c r="L199" s="64">
        <f>K199*VLOOKUP(H199,dagsoorttabel1,2,FALSE)</f>
        <v>8.6153846153846168</v>
      </c>
      <c r="M199" s="65">
        <f>prodnorm11</f>
        <v>0</v>
      </c>
      <c r="N199" s="66">
        <f>dagwerk11</f>
        <v>0</v>
      </c>
      <c r="O199" s="62" t="s">
        <v>36</v>
      </c>
      <c r="P199" s="67">
        <f>uurtarief11</f>
        <v>0</v>
      </c>
      <c r="Q199" s="64" t="e">
        <f>IF(ISBLANK(M199),0,L199/ROUND(M199,4))</f>
        <v>#DIV/0!</v>
      </c>
      <c r="R199" s="64" t="e">
        <f>IF(ISBLANK(M199),0,Q199*ROUND(N199,2))</f>
        <v>#DIV/0!</v>
      </c>
      <c r="S199" s="67" t="e">
        <f>ROUND(P199,2)*Q199</f>
        <v>#DIV/0!</v>
      </c>
      <c r="T199" s="64" t="e">
        <f>Q199*dagenperjaar1</f>
        <v>#DIV/0!</v>
      </c>
      <c r="U199" s="68" t="e">
        <f>T199*ROUND(P199,2)</f>
        <v>#DIV/0!</v>
      </c>
    </row>
    <row r="200" spans="1:21" x14ac:dyDescent="0.2">
      <c r="A200" s="61" t="s">
        <v>164</v>
      </c>
      <c r="B200" s="62" t="s">
        <v>165</v>
      </c>
      <c r="C200" s="62" t="s">
        <v>370</v>
      </c>
      <c r="D200" s="62" t="s">
        <v>375</v>
      </c>
      <c r="E200" s="63" t="s">
        <v>265</v>
      </c>
      <c r="F200" s="62" t="s">
        <v>174</v>
      </c>
      <c r="G200" s="62" t="s">
        <v>124</v>
      </c>
      <c r="H200" s="62" t="s">
        <v>12</v>
      </c>
      <c r="I200" s="62" t="s">
        <v>112</v>
      </c>
      <c r="J200" s="62"/>
      <c r="K200" s="64">
        <v>14</v>
      </c>
      <c r="L200" s="64">
        <f>K200*VLOOKUP(H200,dagsoorttabel1,2,FALSE)</f>
        <v>8.6153846153846168</v>
      </c>
      <c r="M200" s="65">
        <f>prodnorm11</f>
        <v>0</v>
      </c>
      <c r="N200" s="66">
        <f>dagwerk11</f>
        <v>0</v>
      </c>
      <c r="O200" s="62" t="s">
        <v>36</v>
      </c>
      <c r="P200" s="67">
        <f>uurtarief11</f>
        <v>0</v>
      </c>
      <c r="Q200" s="64" t="e">
        <f>IF(ISBLANK(M200),0,L200/ROUND(M200,4))</f>
        <v>#DIV/0!</v>
      </c>
      <c r="R200" s="64" t="e">
        <f>IF(ISBLANK(M200),0,Q200*ROUND(N200,2))</f>
        <v>#DIV/0!</v>
      </c>
      <c r="S200" s="67" t="e">
        <f>ROUND(P200,2)*Q200</f>
        <v>#DIV/0!</v>
      </c>
      <c r="T200" s="64" t="e">
        <f>Q200*dagenperjaar1</f>
        <v>#DIV/0!</v>
      </c>
      <c r="U200" s="68" t="e">
        <f>T200*ROUND(P200,2)</f>
        <v>#DIV/0!</v>
      </c>
    </row>
    <row r="201" spans="1:21" x14ac:dyDescent="0.2">
      <c r="A201" s="61" t="s">
        <v>164</v>
      </c>
      <c r="B201" s="62" t="s">
        <v>165</v>
      </c>
      <c r="C201" s="62" t="s">
        <v>370</v>
      </c>
      <c r="D201" s="62" t="s">
        <v>376</v>
      </c>
      <c r="E201" s="63" t="s">
        <v>208</v>
      </c>
      <c r="F201" s="62" t="s">
        <v>174</v>
      </c>
      <c r="G201" s="62" t="s">
        <v>141</v>
      </c>
      <c r="H201" s="62" t="s">
        <v>11</v>
      </c>
      <c r="I201" s="62" t="s">
        <v>112</v>
      </c>
      <c r="J201" s="62"/>
      <c r="K201" s="64">
        <v>10.5</v>
      </c>
      <c r="L201" s="64">
        <f>K201*VLOOKUP(H201,dagsoorttabel1,2,FALSE)</f>
        <v>8.0769230769230766</v>
      </c>
      <c r="M201" s="65">
        <f>prodnorm21</f>
        <v>0</v>
      </c>
      <c r="N201" s="66">
        <f>dagwerk21</f>
        <v>0</v>
      </c>
      <c r="O201" s="62" t="s">
        <v>36</v>
      </c>
      <c r="P201" s="67">
        <f>uurtarief21</f>
        <v>0</v>
      </c>
      <c r="Q201" s="64" t="e">
        <f>IF(ISBLANK(M201),0,L201/ROUND(M201,4))</f>
        <v>#DIV/0!</v>
      </c>
      <c r="R201" s="64" t="e">
        <f>IF(ISBLANK(M201),0,Q201*ROUND(N201,2))</f>
        <v>#DIV/0!</v>
      </c>
      <c r="S201" s="67" t="e">
        <f>ROUND(P201,2)*Q201</f>
        <v>#DIV/0!</v>
      </c>
      <c r="T201" s="64" t="e">
        <f>Q201*dagenperjaar1</f>
        <v>#DIV/0!</v>
      </c>
      <c r="U201" s="68" t="e">
        <f>T201*ROUND(P201,2)</f>
        <v>#DIV/0!</v>
      </c>
    </row>
    <row r="202" spans="1:21" x14ac:dyDescent="0.2">
      <c r="A202" s="61" t="s">
        <v>164</v>
      </c>
      <c r="B202" s="62" t="s">
        <v>165</v>
      </c>
      <c r="C202" s="62" t="s">
        <v>370</v>
      </c>
      <c r="D202" s="62" t="s">
        <v>377</v>
      </c>
      <c r="E202" s="63" t="s">
        <v>265</v>
      </c>
      <c r="F202" s="62" t="s">
        <v>174</v>
      </c>
      <c r="G202" s="62" t="s">
        <v>124</v>
      </c>
      <c r="H202" s="62" t="s">
        <v>12</v>
      </c>
      <c r="I202" s="62" t="s">
        <v>112</v>
      </c>
      <c r="J202" s="62"/>
      <c r="K202" s="64">
        <v>77</v>
      </c>
      <c r="L202" s="64">
        <f>K202*VLOOKUP(H202,dagsoorttabel1,2,FALSE)</f>
        <v>47.384615384615387</v>
      </c>
      <c r="M202" s="65">
        <f>prodnorm11</f>
        <v>0</v>
      </c>
      <c r="N202" s="66">
        <f>dagwerk11</f>
        <v>0</v>
      </c>
      <c r="O202" s="62" t="s">
        <v>36</v>
      </c>
      <c r="P202" s="67">
        <f>uurtarief11</f>
        <v>0</v>
      </c>
      <c r="Q202" s="64" t="e">
        <f>IF(ISBLANK(M202),0,L202/ROUND(M202,4))</f>
        <v>#DIV/0!</v>
      </c>
      <c r="R202" s="64" t="e">
        <f>IF(ISBLANK(M202),0,Q202*ROUND(N202,2))</f>
        <v>#DIV/0!</v>
      </c>
      <c r="S202" s="67" t="e">
        <f>ROUND(P202,2)*Q202</f>
        <v>#DIV/0!</v>
      </c>
      <c r="T202" s="64" t="e">
        <f>Q202*dagenperjaar1</f>
        <v>#DIV/0!</v>
      </c>
      <c r="U202" s="68" t="e">
        <f>T202*ROUND(P202,2)</f>
        <v>#DIV/0!</v>
      </c>
    </row>
    <row r="203" spans="1:21" x14ac:dyDescent="0.2">
      <c r="A203" s="61" t="s">
        <v>164</v>
      </c>
      <c r="B203" s="62" t="s">
        <v>165</v>
      </c>
      <c r="C203" s="62" t="s">
        <v>370</v>
      </c>
      <c r="D203" s="62" t="s">
        <v>378</v>
      </c>
      <c r="E203" s="63" t="s">
        <v>379</v>
      </c>
      <c r="F203" s="62" t="s">
        <v>174</v>
      </c>
      <c r="G203" s="62" t="s">
        <v>111</v>
      </c>
      <c r="H203" s="62" t="s">
        <v>16</v>
      </c>
      <c r="I203" s="62" t="s">
        <v>112</v>
      </c>
      <c r="J203" s="62"/>
      <c r="K203" s="64">
        <v>34</v>
      </c>
      <c r="L203" s="64">
        <f>K203*VLOOKUP(H203,dagsoorttabel1,2,FALSE)</f>
        <v>5.2307692307692308</v>
      </c>
      <c r="M203" s="65">
        <f>prodnorm5</f>
        <v>0</v>
      </c>
      <c r="N203" s="66">
        <f>dagwerk5</f>
        <v>0</v>
      </c>
      <c r="O203" s="62" t="s">
        <v>36</v>
      </c>
      <c r="P203" s="67">
        <f>uurtarief5</f>
        <v>0</v>
      </c>
      <c r="Q203" s="64" t="e">
        <f>IF(ISBLANK(M203),0,L203/ROUND(M203,4))</f>
        <v>#DIV/0!</v>
      </c>
      <c r="R203" s="64" t="e">
        <f>IF(ISBLANK(M203),0,Q203*ROUND(N203,2))</f>
        <v>#DIV/0!</v>
      </c>
      <c r="S203" s="67" t="e">
        <f>ROUND(P203,2)*Q203</f>
        <v>#DIV/0!</v>
      </c>
      <c r="T203" s="64" t="e">
        <f>Q203*dagenperjaar1</f>
        <v>#DIV/0!</v>
      </c>
      <c r="U203" s="68" t="e">
        <f>T203*ROUND(P203,2)</f>
        <v>#DIV/0!</v>
      </c>
    </row>
    <row r="204" spans="1:21" x14ac:dyDescent="0.2">
      <c r="A204" s="61" t="s">
        <v>164</v>
      </c>
      <c r="B204" s="62" t="s">
        <v>165</v>
      </c>
      <c r="C204" s="62" t="s">
        <v>370</v>
      </c>
      <c r="D204" s="62" t="s">
        <v>378</v>
      </c>
      <c r="E204" s="63" t="s">
        <v>379</v>
      </c>
      <c r="F204" s="62" t="s">
        <v>174</v>
      </c>
      <c r="G204" s="62" t="s">
        <v>149</v>
      </c>
      <c r="H204" s="62" t="s">
        <v>12</v>
      </c>
      <c r="I204" s="62" t="s">
        <v>112</v>
      </c>
      <c r="J204" s="62"/>
      <c r="K204" s="64">
        <v>34</v>
      </c>
      <c r="L204" s="64">
        <f>K204*VLOOKUP(H204,dagsoorttabel1,2,FALSE)</f>
        <v>20.923076923076923</v>
      </c>
      <c r="M204" s="65">
        <f>prodnorm25</f>
        <v>0</v>
      </c>
      <c r="N204" s="66">
        <f>dagwerk25</f>
        <v>0</v>
      </c>
      <c r="O204" s="62" t="s">
        <v>36</v>
      </c>
      <c r="P204" s="67">
        <f>uurtarief25</f>
        <v>0</v>
      </c>
      <c r="Q204" s="64" t="e">
        <f>IF(ISBLANK(M204),0,L204/ROUND(M204,4))</f>
        <v>#DIV/0!</v>
      </c>
      <c r="R204" s="64" t="e">
        <f>IF(ISBLANK(M204),0,Q204*ROUND(N204,2))</f>
        <v>#DIV/0!</v>
      </c>
      <c r="S204" s="67" t="e">
        <f>ROUND(P204,2)*Q204</f>
        <v>#DIV/0!</v>
      </c>
      <c r="T204" s="64" t="e">
        <f>Q204*dagenperjaar1</f>
        <v>#DIV/0!</v>
      </c>
      <c r="U204" s="68" t="e">
        <f>T204*ROUND(P204,2)</f>
        <v>#DIV/0!</v>
      </c>
    </row>
    <row r="205" spans="1:21" x14ac:dyDescent="0.2">
      <c r="A205" s="61" t="s">
        <v>164</v>
      </c>
      <c r="B205" s="62" t="s">
        <v>165</v>
      </c>
      <c r="C205" s="62" t="s">
        <v>370</v>
      </c>
      <c r="D205" s="62" t="s">
        <v>380</v>
      </c>
      <c r="E205" s="63" t="s">
        <v>265</v>
      </c>
      <c r="F205" s="62" t="s">
        <v>174</v>
      </c>
      <c r="G205" s="62" t="s">
        <v>124</v>
      </c>
      <c r="H205" s="62" t="s">
        <v>12</v>
      </c>
      <c r="I205" s="62" t="s">
        <v>112</v>
      </c>
      <c r="J205" s="62"/>
      <c r="K205" s="64">
        <v>77</v>
      </c>
      <c r="L205" s="64">
        <f>K205*VLOOKUP(H205,dagsoorttabel1,2,FALSE)</f>
        <v>47.384615384615387</v>
      </c>
      <c r="M205" s="65">
        <f>prodnorm11</f>
        <v>0</v>
      </c>
      <c r="N205" s="66">
        <f>dagwerk11</f>
        <v>0</v>
      </c>
      <c r="O205" s="62" t="s">
        <v>36</v>
      </c>
      <c r="P205" s="67">
        <f>uurtarief11</f>
        <v>0</v>
      </c>
      <c r="Q205" s="64" t="e">
        <f>IF(ISBLANK(M205),0,L205/ROUND(M205,4))</f>
        <v>#DIV/0!</v>
      </c>
      <c r="R205" s="64" t="e">
        <f>IF(ISBLANK(M205),0,Q205*ROUND(N205,2))</f>
        <v>#DIV/0!</v>
      </c>
      <c r="S205" s="67" t="e">
        <f>ROUND(P205,2)*Q205</f>
        <v>#DIV/0!</v>
      </c>
      <c r="T205" s="64" t="e">
        <f>Q205*dagenperjaar1</f>
        <v>#DIV/0!</v>
      </c>
      <c r="U205" s="68" t="e">
        <f>T205*ROUND(P205,2)</f>
        <v>#DIV/0!</v>
      </c>
    </row>
    <row r="206" spans="1:21" x14ac:dyDescent="0.2">
      <c r="A206" s="61" t="s">
        <v>164</v>
      </c>
      <c r="B206" s="62" t="s">
        <v>165</v>
      </c>
      <c r="C206" s="62" t="s">
        <v>370</v>
      </c>
      <c r="D206" s="62" t="s">
        <v>381</v>
      </c>
      <c r="E206" s="63" t="s">
        <v>382</v>
      </c>
      <c r="F206" s="62" t="s">
        <v>174</v>
      </c>
      <c r="G206" s="62" t="s">
        <v>132</v>
      </c>
      <c r="H206" s="62" t="s">
        <v>11</v>
      </c>
      <c r="I206" s="62" t="s">
        <v>112</v>
      </c>
      <c r="J206" s="62"/>
      <c r="K206" s="64">
        <v>196.73</v>
      </c>
      <c r="L206" s="64">
        <f>K206*VLOOKUP(H206,dagsoorttabel1,2,FALSE)</f>
        <v>151.33076923076922</v>
      </c>
      <c r="M206" s="65">
        <f>prodnorm16</f>
        <v>0</v>
      </c>
      <c r="N206" s="66">
        <f>dagwerk16</f>
        <v>0</v>
      </c>
      <c r="O206" s="62" t="s">
        <v>36</v>
      </c>
      <c r="P206" s="67">
        <f>uurtarief16</f>
        <v>0</v>
      </c>
      <c r="Q206" s="64" t="e">
        <f>IF(ISBLANK(M206),0,L206/ROUND(M206,4))</f>
        <v>#DIV/0!</v>
      </c>
      <c r="R206" s="64" t="e">
        <f>IF(ISBLANK(M206),0,Q206*ROUND(N206,2))</f>
        <v>#DIV/0!</v>
      </c>
      <c r="S206" s="67" t="e">
        <f>ROUND(P206,2)*Q206</f>
        <v>#DIV/0!</v>
      </c>
      <c r="T206" s="64" t="e">
        <f>Q206*dagenperjaar1</f>
        <v>#DIV/0!</v>
      </c>
      <c r="U206" s="68" t="e">
        <f>T206*ROUND(P206,2)</f>
        <v>#DIV/0!</v>
      </c>
    </row>
    <row r="207" spans="1:21" x14ac:dyDescent="0.2">
      <c r="A207" s="61" t="s">
        <v>164</v>
      </c>
      <c r="B207" s="62" t="s">
        <v>165</v>
      </c>
      <c r="C207" s="62" t="s">
        <v>370</v>
      </c>
      <c r="D207" s="62" t="s">
        <v>383</v>
      </c>
      <c r="E207" s="63" t="s">
        <v>384</v>
      </c>
      <c r="F207" s="62" t="s">
        <v>174</v>
      </c>
      <c r="G207" s="62" t="s">
        <v>111</v>
      </c>
      <c r="H207" s="62" t="s">
        <v>16</v>
      </c>
      <c r="I207" s="62" t="s">
        <v>112</v>
      </c>
      <c r="J207" s="62"/>
      <c r="K207" s="64">
        <v>21.12</v>
      </c>
      <c r="L207" s="64">
        <f>K207*VLOOKUP(H207,dagsoorttabel1,2,FALSE)</f>
        <v>3.2492307692307696</v>
      </c>
      <c r="M207" s="65">
        <f>prodnorm5</f>
        <v>0</v>
      </c>
      <c r="N207" s="66">
        <f>dagwerk5</f>
        <v>0</v>
      </c>
      <c r="O207" s="62" t="s">
        <v>36</v>
      </c>
      <c r="P207" s="67">
        <f>uurtarief5</f>
        <v>0</v>
      </c>
      <c r="Q207" s="64" t="e">
        <f>IF(ISBLANK(M207),0,L207/ROUND(M207,4))</f>
        <v>#DIV/0!</v>
      </c>
      <c r="R207" s="64" t="e">
        <f>IF(ISBLANK(M207),0,Q207*ROUND(N207,2))</f>
        <v>#DIV/0!</v>
      </c>
      <c r="S207" s="67" t="e">
        <f>ROUND(P207,2)*Q207</f>
        <v>#DIV/0!</v>
      </c>
      <c r="T207" s="64" t="e">
        <f>Q207*dagenperjaar1</f>
        <v>#DIV/0!</v>
      </c>
      <c r="U207" s="68" t="e">
        <f>T207*ROUND(P207,2)</f>
        <v>#DIV/0!</v>
      </c>
    </row>
    <row r="208" spans="1:21" x14ac:dyDescent="0.2">
      <c r="A208" s="61" t="s">
        <v>164</v>
      </c>
      <c r="B208" s="62" t="s">
        <v>165</v>
      </c>
      <c r="C208" s="62" t="s">
        <v>370</v>
      </c>
      <c r="D208" s="62" t="s">
        <v>383</v>
      </c>
      <c r="E208" s="63" t="s">
        <v>384</v>
      </c>
      <c r="F208" s="62" t="s">
        <v>174</v>
      </c>
      <c r="G208" s="62" t="s">
        <v>149</v>
      </c>
      <c r="H208" s="62" t="s">
        <v>12</v>
      </c>
      <c r="I208" s="62" t="s">
        <v>112</v>
      </c>
      <c r="J208" s="62"/>
      <c r="K208" s="64">
        <v>21.12</v>
      </c>
      <c r="L208" s="64">
        <f>K208*VLOOKUP(H208,dagsoorttabel1,2,FALSE)</f>
        <v>12.996923076923078</v>
      </c>
      <c r="M208" s="65">
        <f>prodnorm25</f>
        <v>0</v>
      </c>
      <c r="N208" s="66">
        <f>dagwerk25</f>
        <v>0</v>
      </c>
      <c r="O208" s="62" t="s">
        <v>36</v>
      </c>
      <c r="P208" s="67">
        <f>uurtarief25</f>
        <v>0</v>
      </c>
      <c r="Q208" s="64" t="e">
        <f>IF(ISBLANK(M208),0,L208/ROUND(M208,4))</f>
        <v>#DIV/0!</v>
      </c>
      <c r="R208" s="64" t="e">
        <f>IF(ISBLANK(M208),0,Q208*ROUND(N208,2))</f>
        <v>#DIV/0!</v>
      </c>
      <c r="S208" s="67" t="e">
        <f>ROUND(P208,2)*Q208</f>
        <v>#DIV/0!</v>
      </c>
      <c r="T208" s="64" t="e">
        <f>Q208*dagenperjaar1</f>
        <v>#DIV/0!</v>
      </c>
      <c r="U208" s="68" t="e">
        <f>T208*ROUND(P208,2)</f>
        <v>#DIV/0!</v>
      </c>
    </row>
    <row r="209" spans="1:21" x14ac:dyDescent="0.2">
      <c r="A209" s="61" t="s">
        <v>164</v>
      </c>
      <c r="B209" s="62" t="s">
        <v>165</v>
      </c>
      <c r="C209" s="62" t="s">
        <v>370</v>
      </c>
      <c r="D209" s="62" t="s">
        <v>385</v>
      </c>
      <c r="E209" s="63" t="s">
        <v>241</v>
      </c>
      <c r="F209" s="62" t="s">
        <v>195</v>
      </c>
      <c r="G209" s="62" t="s">
        <v>137</v>
      </c>
      <c r="H209" s="62" t="s">
        <v>11</v>
      </c>
      <c r="I209" s="62" t="s">
        <v>112</v>
      </c>
      <c r="J209" s="62"/>
      <c r="K209" s="64">
        <v>7.5</v>
      </c>
      <c r="L209" s="64">
        <f>K209*VLOOKUP(H209,dagsoorttabel1,2,FALSE)</f>
        <v>5.7692307692307692</v>
      </c>
      <c r="M209" s="65">
        <f>prodnorm19</f>
        <v>0</v>
      </c>
      <c r="N209" s="66">
        <f>dagwerk19</f>
        <v>0</v>
      </c>
      <c r="O209" s="62" t="s">
        <v>36</v>
      </c>
      <c r="P209" s="67">
        <f>uurtarief19</f>
        <v>0</v>
      </c>
      <c r="Q209" s="64" t="e">
        <f>IF(ISBLANK(M209),0,L209/ROUND(M209,4))</f>
        <v>#DIV/0!</v>
      </c>
      <c r="R209" s="64" t="e">
        <f>IF(ISBLANK(M209),0,Q209*ROUND(N209,2))</f>
        <v>#DIV/0!</v>
      </c>
      <c r="S209" s="67" t="e">
        <f>ROUND(P209,2)*Q209</f>
        <v>#DIV/0!</v>
      </c>
      <c r="T209" s="64" t="e">
        <f>Q209*dagenperjaar1</f>
        <v>#DIV/0!</v>
      </c>
      <c r="U209" s="68" t="e">
        <f>T209*ROUND(P209,2)</f>
        <v>#DIV/0!</v>
      </c>
    </row>
    <row r="210" spans="1:21" x14ac:dyDescent="0.2">
      <c r="A210" s="61" t="s">
        <v>164</v>
      </c>
      <c r="B210" s="62" t="s">
        <v>165</v>
      </c>
      <c r="C210" s="62" t="s">
        <v>370</v>
      </c>
      <c r="D210" s="62" t="s">
        <v>385</v>
      </c>
      <c r="E210" s="63" t="s">
        <v>241</v>
      </c>
      <c r="F210" s="62" t="s">
        <v>195</v>
      </c>
      <c r="G210" s="62" t="s">
        <v>139</v>
      </c>
      <c r="H210" s="62" t="s">
        <v>11</v>
      </c>
      <c r="I210" s="62" t="s">
        <v>112</v>
      </c>
      <c r="J210" s="62"/>
      <c r="K210" s="64">
        <v>7.5</v>
      </c>
      <c r="L210" s="64">
        <f>K210*VLOOKUP(H210,dagsoorttabel1,2,FALSE)</f>
        <v>5.7692307692307692</v>
      </c>
      <c r="M210" s="65">
        <f>prodnorm20</f>
        <v>0</v>
      </c>
      <c r="N210" s="66">
        <f>dagwerk20</f>
        <v>0</v>
      </c>
      <c r="O210" s="62" t="s">
        <v>36</v>
      </c>
      <c r="P210" s="67">
        <f>uurtarief20</f>
        <v>0</v>
      </c>
      <c r="Q210" s="64" t="e">
        <f>IF(ISBLANK(M210),0,L210/ROUND(M210,4))</f>
        <v>#DIV/0!</v>
      </c>
      <c r="R210" s="64" t="e">
        <f>IF(ISBLANK(M210),0,Q210*ROUND(N210,2))</f>
        <v>#DIV/0!</v>
      </c>
      <c r="S210" s="67" t="e">
        <f>ROUND(P210,2)*Q210</f>
        <v>#DIV/0!</v>
      </c>
      <c r="T210" s="64" t="e">
        <f>Q210*dagenperjaar1</f>
        <v>#DIV/0!</v>
      </c>
      <c r="U210" s="68" t="e">
        <f>T210*ROUND(P210,2)</f>
        <v>#DIV/0!</v>
      </c>
    </row>
    <row r="211" spans="1:21" x14ac:dyDescent="0.2">
      <c r="A211" s="61" t="s">
        <v>164</v>
      </c>
      <c r="B211" s="62" t="s">
        <v>165</v>
      </c>
      <c r="C211" s="62" t="s">
        <v>370</v>
      </c>
      <c r="D211" s="62" t="s">
        <v>386</v>
      </c>
      <c r="E211" s="63" t="s">
        <v>241</v>
      </c>
      <c r="F211" s="62" t="s">
        <v>195</v>
      </c>
      <c r="G211" s="62" t="s">
        <v>137</v>
      </c>
      <c r="H211" s="62" t="s">
        <v>11</v>
      </c>
      <c r="I211" s="62" t="s">
        <v>112</v>
      </c>
      <c r="J211" s="62"/>
      <c r="K211" s="64">
        <v>7.5</v>
      </c>
      <c r="L211" s="64">
        <f>K211*VLOOKUP(H211,dagsoorttabel1,2,FALSE)</f>
        <v>5.7692307692307692</v>
      </c>
      <c r="M211" s="65">
        <f>prodnorm19</f>
        <v>0</v>
      </c>
      <c r="N211" s="66">
        <f>dagwerk19</f>
        <v>0</v>
      </c>
      <c r="O211" s="62" t="s">
        <v>36</v>
      </c>
      <c r="P211" s="67">
        <f>uurtarief19</f>
        <v>0</v>
      </c>
      <c r="Q211" s="64" t="e">
        <f>IF(ISBLANK(M211),0,L211/ROUND(M211,4))</f>
        <v>#DIV/0!</v>
      </c>
      <c r="R211" s="64" t="e">
        <f>IF(ISBLANK(M211),0,Q211*ROUND(N211,2))</f>
        <v>#DIV/0!</v>
      </c>
      <c r="S211" s="67" t="e">
        <f>ROUND(P211,2)*Q211</f>
        <v>#DIV/0!</v>
      </c>
      <c r="T211" s="64" t="e">
        <f>Q211*dagenperjaar1</f>
        <v>#DIV/0!</v>
      </c>
      <c r="U211" s="68" t="e">
        <f>T211*ROUND(P211,2)</f>
        <v>#DIV/0!</v>
      </c>
    </row>
    <row r="212" spans="1:21" x14ac:dyDescent="0.2">
      <c r="A212" s="61" t="s">
        <v>164</v>
      </c>
      <c r="B212" s="62" t="s">
        <v>165</v>
      </c>
      <c r="C212" s="62" t="s">
        <v>370</v>
      </c>
      <c r="D212" s="62" t="s">
        <v>386</v>
      </c>
      <c r="E212" s="63" t="s">
        <v>241</v>
      </c>
      <c r="F212" s="62" t="s">
        <v>195</v>
      </c>
      <c r="G212" s="62" t="s">
        <v>139</v>
      </c>
      <c r="H212" s="62" t="s">
        <v>11</v>
      </c>
      <c r="I212" s="62" t="s">
        <v>112</v>
      </c>
      <c r="J212" s="62"/>
      <c r="K212" s="64">
        <v>7.5</v>
      </c>
      <c r="L212" s="64">
        <f>K212*VLOOKUP(H212,dagsoorttabel1,2,FALSE)</f>
        <v>5.7692307692307692</v>
      </c>
      <c r="M212" s="65">
        <f>prodnorm20</f>
        <v>0</v>
      </c>
      <c r="N212" s="66">
        <f>dagwerk20</f>
        <v>0</v>
      </c>
      <c r="O212" s="62" t="s">
        <v>36</v>
      </c>
      <c r="P212" s="67">
        <f>uurtarief20</f>
        <v>0</v>
      </c>
      <c r="Q212" s="64" t="e">
        <f>IF(ISBLANK(M212),0,L212/ROUND(M212,4))</f>
        <v>#DIV/0!</v>
      </c>
      <c r="R212" s="64" t="e">
        <f>IF(ISBLANK(M212),0,Q212*ROUND(N212,2))</f>
        <v>#DIV/0!</v>
      </c>
      <c r="S212" s="67" t="e">
        <f>ROUND(P212,2)*Q212</f>
        <v>#DIV/0!</v>
      </c>
      <c r="T212" s="64" t="e">
        <f>Q212*dagenperjaar1</f>
        <v>#DIV/0!</v>
      </c>
      <c r="U212" s="68" t="e">
        <f>T212*ROUND(P212,2)</f>
        <v>#DIV/0!</v>
      </c>
    </row>
    <row r="213" spans="1:21" x14ac:dyDescent="0.2">
      <c r="A213" s="61" t="s">
        <v>164</v>
      </c>
      <c r="B213" s="62" t="s">
        <v>165</v>
      </c>
      <c r="C213" s="62" t="s">
        <v>370</v>
      </c>
      <c r="D213" s="62" t="s">
        <v>387</v>
      </c>
      <c r="E213" s="63" t="s">
        <v>186</v>
      </c>
      <c r="F213" s="62" t="s">
        <v>174</v>
      </c>
      <c r="G213" s="62" t="s">
        <v>111</v>
      </c>
      <c r="H213" s="62" t="s">
        <v>16</v>
      </c>
      <c r="I213" s="62" t="s">
        <v>112</v>
      </c>
      <c r="J213" s="62"/>
      <c r="K213" s="64">
        <v>26</v>
      </c>
      <c r="L213" s="64">
        <f>K213*VLOOKUP(H213,dagsoorttabel1,2,FALSE)</f>
        <v>4</v>
      </c>
      <c r="M213" s="65">
        <f>prodnorm5</f>
        <v>0</v>
      </c>
      <c r="N213" s="66">
        <f>dagwerk5</f>
        <v>0</v>
      </c>
      <c r="O213" s="62" t="s">
        <v>36</v>
      </c>
      <c r="P213" s="67">
        <f>uurtarief5</f>
        <v>0</v>
      </c>
      <c r="Q213" s="64" t="e">
        <f>IF(ISBLANK(M213),0,L213/ROUND(M213,4))</f>
        <v>#DIV/0!</v>
      </c>
      <c r="R213" s="64" t="e">
        <f>IF(ISBLANK(M213),0,Q213*ROUND(N213,2))</f>
        <v>#DIV/0!</v>
      </c>
      <c r="S213" s="67" t="e">
        <f>ROUND(P213,2)*Q213</f>
        <v>#DIV/0!</v>
      </c>
      <c r="T213" s="64" t="e">
        <f>Q213*dagenperjaar1</f>
        <v>#DIV/0!</v>
      </c>
      <c r="U213" s="68" t="e">
        <f>T213*ROUND(P213,2)</f>
        <v>#DIV/0!</v>
      </c>
    </row>
    <row r="214" spans="1:21" x14ac:dyDescent="0.2">
      <c r="A214" s="61" t="s">
        <v>164</v>
      </c>
      <c r="B214" s="62" t="s">
        <v>165</v>
      </c>
      <c r="C214" s="62" t="s">
        <v>370</v>
      </c>
      <c r="D214" s="62" t="s">
        <v>387</v>
      </c>
      <c r="E214" s="63" t="s">
        <v>186</v>
      </c>
      <c r="F214" s="62" t="s">
        <v>174</v>
      </c>
      <c r="G214" s="62" t="s">
        <v>149</v>
      </c>
      <c r="H214" s="62" t="s">
        <v>12</v>
      </c>
      <c r="I214" s="62" t="s">
        <v>112</v>
      </c>
      <c r="J214" s="62"/>
      <c r="K214" s="64">
        <v>26</v>
      </c>
      <c r="L214" s="64">
        <f>K214*VLOOKUP(H214,dagsoorttabel1,2,FALSE)</f>
        <v>16</v>
      </c>
      <c r="M214" s="65">
        <f>prodnorm25</f>
        <v>0</v>
      </c>
      <c r="N214" s="66">
        <f>dagwerk25</f>
        <v>0</v>
      </c>
      <c r="O214" s="62" t="s">
        <v>36</v>
      </c>
      <c r="P214" s="67">
        <f>uurtarief25</f>
        <v>0</v>
      </c>
      <c r="Q214" s="64" t="e">
        <f>IF(ISBLANK(M214),0,L214/ROUND(M214,4))</f>
        <v>#DIV/0!</v>
      </c>
      <c r="R214" s="64" t="e">
        <f>IF(ISBLANK(M214),0,Q214*ROUND(N214,2))</f>
        <v>#DIV/0!</v>
      </c>
      <c r="S214" s="67" t="e">
        <f>ROUND(P214,2)*Q214</f>
        <v>#DIV/0!</v>
      </c>
      <c r="T214" s="64" t="e">
        <f>Q214*dagenperjaar1</f>
        <v>#DIV/0!</v>
      </c>
      <c r="U214" s="68" t="e">
        <f>T214*ROUND(P214,2)</f>
        <v>#DIV/0!</v>
      </c>
    </row>
    <row r="215" spans="1:21" x14ac:dyDescent="0.2">
      <c r="A215" s="61" t="s">
        <v>164</v>
      </c>
      <c r="B215" s="62" t="s">
        <v>165</v>
      </c>
      <c r="C215" s="62" t="s">
        <v>370</v>
      </c>
      <c r="D215" s="62" t="s">
        <v>388</v>
      </c>
      <c r="E215" s="63" t="s">
        <v>389</v>
      </c>
      <c r="F215" s="62" t="s">
        <v>174</v>
      </c>
      <c r="G215" s="62" t="s">
        <v>132</v>
      </c>
      <c r="H215" s="62" t="s">
        <v>11</v>
      </c>
      <c r="I215" s="62" t="s">
        <v>112</v>
      </c>
      <c r="J215" s="62"/>
      <c r="K215" s="64">
        <v>81</v>
      </c>
      <c r="L215" s="64">
        <f>K215*VLOOKUP(H215,dagsoorttabel1,2,FALSE)</f>
        <v>62.307692307692314</v>
      </c>
      <c r="M215" s="65">
        <f>prodnorm16</f>
        <v>0</v>
      </c>
      <c r="N215" s="66">
        <f>dagwerk16</f>
        <v>0</v>
      </c>
      <c r="O215" s="62" t="s">
        <v>36</v>
      </c>
      <c r="P215" s="67">
        <f>uurtarief16</f>
        <v>0</v>
      </c>
      <c r="Q215" s="64" t="e">
        <f>IF(ISBLANK(M215),0,L215/ROUND(M215,4))</f>
        <v>#DIV/0!</v>
      </c>
      <c r="R215" s="64" t="e">
        <f>IF(ISBLANK(M215),0,Q215*ROUND(N215,2))</f>
        <v>#DIV/0!</v>
      </c>
      <c r="S215" s="67" t="e">
        <f>ROUND(P215,2)*Q215</f>
        <v>#DIV/0!</v>
      </c>
      <c r="T215" s="64" t="e">
        <f>Q215*dagenperjaar1</f>
        <v>#DIV/0!</v>
      </c>
      <c r="U215" s="68" t="e">
        <f>T215*ROUND(P215,2)</f>
        <v>#DIV/0!</v>
      </c>
    </row>
    <row r="216" spans="1:21" x14ac:dyDescent="0.2">
      <c r="A216" s="61" t="s">
        <v>164</v>
      </c>
      <c r="B216" s="62" t="s">
        <v>165</v>
      </c>
      <c r="C216" s="62" t="s">
        <v>370</v>
      </c>
      <c r="D216" s="62" t="s">
        <v>390</v>
      </c>
      <c r="E216" s="63" t="s">
        <v>379</v>
      </c>
      <c r="F216" s="62" t="s">
        <v>174</v>
      </c>
      <c r="G216" s="62" t="s">
        <v>111</v>
      </c>
      <c r="H216" s="62" t="s">
        <v>16</v>
      </c>
      <c r="I216" s="62" t="s">
        <v>112</v>
      </c>
      <c r="J216" s="62"/>
      <c r="K216" s="64">
        <v>42</v>
      </c>
      <c r="L216" s="64">
        <f>K216*VLOOKUP(H216,dagsoorttabel1,2,FALSE)</f>
        <v>6.4615384615384617</v>
      </c>
      <c r="M216" s="65">
        <f>prodnorm5</f>
        <v>0</v>
      </c>
      <c r="N216" s="66">
        <f>dagwerk5</f>
        <v>0</v>
      </c>
      <c r="O216" s="62" t="s">
        <v>36</v>
      </c>
      <c r="P216" s="67">
        <f>uurtarief5</f>
        <v>0</v>
      </c>
      <c r="Q216" s="64" t="e">
        <f>IF(ISBLANK(M216),0,L216/ROUND(M216,4))</f>
        <v>#DIV/0!</v>
      </c>
      <c r="R216" s="64" t="e">
        <f>IF(ISBLANK(M216),0,Q216*ROUND(N216,2))</f>
        <v>#DIV/0!</v>
      </c>
      <c r="S216" s="67" t="e">
        <f>ROUND(P216,2)*Q216</f>
        <v>#DIV/0!</v>
      </c>
      <c r="T216" s="64" t="e">
        <f>Q216*dagenperjaar1</f>
        <v>#DIV/0!</v>
      </c>
      <c r="U216" s="68" t="e">
        <f>T216*ROUND(P216,2)</f>
        <v>#DIV/0!</v>
      </c>
    </row>
    <row r="217" spans="1:21" x14ac:dyDescent="0.2">
      <c r="A217" s="61" t="s">
        <v>164</v>
      </c>
      <c r="B217" s="62" t="s">
        <v>165</v>
      </c>
      <c r="C217" s="62" t="s">
        <v>370</v>
      </c>
      <c r="D217" s="62" t="s">
        <v>390</v>
      </c>
      <c r="E217" s="63" t="s">
        <v>379</v>
      </c>
      <c r="F217" s="62" t="s">
        <v>174</v>
      </c>
      <c r="G217" s="62" t="s">
        <v>149</v>
      </c>
      <c r="H217" s="62" t="s">
        <v>12</v>
      </c>
      <c r="I217" s="62" t="s">
        <v>112</v>
      </c>
      <c r="J217" s="62"/>
      <c r="K217" s="64">
        <v>42</v>
      </c>
      <c r="L217" s="64">
        <f>K217*VLOOKUP(H217,dagsoorttabel1,2,FALSE)</f>
        <v>25.846153846153847</v>
      </c>
      <c r="M217" s="65">
        <f>prodnorm25</f>
        <v>0</v>
      </c>
      <c r="N217" s="66">
        <f>dagwerk25</f>
        <v>0</v>
      </c>
      <c r="O217" s="62" t="s">
        <v>36</v>
      </c>
      <c r="P217" s="67">
        <f>uurtarief25</f>
        <v>0</v>
      </c>
      <c r="Q217" s="64" t="e">
        <f>IF(ISBLANK(M217),0,L217/ROUND(M217,4))</f>
        <v>#DIV/0!</v>
      </c>
      <c r="R217" s="64" t="e">
        <f>IF(ISBLANK(M217),0,Q217*ROUND(N217,2))</f>
        <v>#DIV/0!</v>
      </c>
      <c r="S217" s="67" t="e">
        <f>ROUND(P217,2)*Q217</f>
        <v>#DIV/0!</v>
      </c>
      <c r="T217" s="64" t="e">
        <f>Q217*dagenperjaar1</f>
        <v>#DIV/0!</v>
      </c>
      <c r="U217" s="68" t="e">
        <f>T217*ROUND(P217,2)</f>
        <v>#DIV/0!</v>
      </c>
    </row>
    <row r="218" spans="1:21" x14ac:dyDescent="0.2">
      <c r="A218" s="69" t="s">
        <v>164</v>
      </c>
      <c r="B218" s="70" t="s">
        <v>165</v>
      </c>
      <c r="C218" s="70" t="s">
        <v>370</v>
      </c>
      <c r="D218" s="70" t="s">
        <v>391</v>
      </c>
      <c r="E218" s="71" t="s">
        <v>265</v>
      </c>
      <c r="F218" s="70" t="s">
        <v>174</v>
      </c>
      <c r="G218" s="70" t="s">
        <v>124</v>
      </c>
      <c r="H218" s="70" t="s">
        <v>12</v>
      </c>
      <c r="I218" s="70" t="s">
        <v>112</v>
      </c>
      <c r="J218" s="70"/>
      <c r="K218" s="72">
        <v>76</v>
      </c>
      <c r="L218" s="72">
        <f>K218*VLOOKUP(H218,dagsoorttabel1,2,FALSE)</f>
        <v>46.769230769230774</v>
      </c>
      <c r="M218" s="73">
        <f>prodnorm11</f>
        <v>0</v>
      </c>
      <c r="N218" s="74">
        <f>dagwerk11</f>
        <v>0</v>
      </c>
      <c r="O218" s="70" t="s">
        <v>36</v>
      </c>
      <c r="P218" s="75">
        <f>uurtarief11</f>
        <v>0</v>
      </c>
      <c r="Q218" s="72" t="e">
        <f>IF(ISBLANK(M218),0,L218/ROUND(M218,4))</f>
        <v>#DIV/0!</v>
      </c>
      <c r="R218" s="72" t="e">
        <f>IF(ISBLANK(M218),0,Q218*ROUND(N218,2))</f>
        <v>#DIV/0!</v>
      </c>
      <c r="S218" s="75" t="e">
        <f>ROUND(P218,2)*Q218</f>
        <v>#DIV/0!</v>
      </c>
      <c r="T218" s="72" t="e">
        <f>Q218*dagenperjaar1</f>
        <v>#DIV/0!</v>
      </c>
      <c r="U218" s="76" t="e">
        <f>T218*ROUND(P218,2)</f>
        <v>#DIV/0!</v>
      </c>
    </row>
    <row r="219" spans="1:21" x14ac:dyDescent="0.2">
      <c r="A219" s="43" t="s">
        <v>392</v>
      </c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6" t="e">
        <f>IF(_xlfn.SINGLE(object1_urenjaar1)&gt;0,_xlfn.SINGLE(object1_prijsjaar1)/_xlfn.SINGLE(object1_urenjaar1),0)</f>
        <v>#DIV/0!</v>
      </c>
      <c r="Q219" s="45" t="e">
        <f>SUM(Q5:Q218)</f>
        <v>#DIV/0!</v>
      </c>
      <c r="R219" s="45" t="e">
        <f>SUM(R5:R218)</f>
        <v>#DIV/0!</v>
      </c>
      <c r="S219" s="46" t="e">
        <f>SUM(S5:S218)</f>
        <v>#DIV/0!</v>
      </c>
      <c r="T219" s="45" t="e">
        <f>SUM(T5:T218)</f>
        <v>#DIV/0!</v>
      </c>
      <c r="U219" s="46" t="e">
        <f>SUM(U5:U218)</f>
        <v>#DIV/0!</v>
      </c>
    </row>
  </sheetData>
  <sheetProtection algorithmName="SHA-512" hashValue="LSd5lmrrAsT2Zt00Vnx4mJgp/I6/cofH/4oXKiXef7SSFcK9+lFHp4rQ8qzYOPoUKOvfBthlj4+n8Zniz3eJcw==" saltValue="t8Ehl1O6xkyJ0Xl+Q5Y6ig==" spinCount="100000" sheet="1" objects="1" scenarios="1" autoFilter="0"/>
  <autoFilter ref="A3:U219" xr:uid="{D2436507-7187-48C4-8454-0AFE9969C083}"/>
  <pageMargins left="0.7" right="0.7" top="0.75" bottom="0.75" header="0.3" footer="0.3"/>
  <pageSetup paperSize="9" scale="61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05B2-7839-4E85-9B24-4BE9D1CFA9DC}">
  <dimension ref="A1:J26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393</v>
      </c>
    </row>
    <row r="3" spans="1:10" ht="25.5" x14ac:dyDescent="0.2">
      <c r="A3" s="77" t="s">
        <v>103</v>
      </c>
      <c r="B3" s="77" t="s">
        <v>7</v>
      </c>
      <c r="C3" s="78" t="s">
        <v>394</v>
      </c>
      <c r="D3" s="78" t="s">
        <v>395</v>
      </c>
      <c r="E3" s="78" t="s">
        <v>396</v>
      </c>
      <c r="F3" s="78" t="s">
        <v>397</v>
      </c>
      <c r="G3" s="78" t="s">
        <v>398</v>
      </c>
      <c r="H3" s="78" t="s">
        <v>399</v>
      </c>
      <c r="I3" s="77" t="s">
        <v>400</v>
      </c>
      <c r="J3" s="77" t="s">
        <v>401</v>
      </c>
    </row>
    <row r="4" spans="1:10" x14ac:dyDescent="0.2">
      <c r="A4" s="79"/>
      <c r="B4" s="79"/>
      <c r="C4" s="79"/>
      <c r="D4" s="79"/>
      <c r="E4" s="79"/>
      <c r="F4" s="79"/>
      <c r="G4" s="79"/>
      <c r="H4" s="79"/>
      <c r="I4" s="79"/>
      <c r="J4" s="80" t="s">
        <v>105</v>
      </c>
    </row>
    <row r="5" spans="1:10" x14ac:dyDescent="0.2">
      <c r="A5" s="15" t="s">
        <v>111</v>
      </c>
      <c r="B5" s="15" t="s">
        <v>16</v>
      </c>
      <c r="C5" s="15" t="s">
        <v>402</v>
      </c>
      <c r="D5" s="15" t="s">
        <v>112</v>
      </c>
      <c r="E5" s="30">
        <f>IF(B5="","",VLOOKUP(B5,dagsoorttabel1,2,FALSE))</f>
        <v>0.15384615384615385</v>
      </c>
      <c r="F5" s="30">
        <v>1</v>
      </c>
      <c r="G5" s="30">
        <f>IF(prodnorm5&gt;0,1/ROUND(prodnorm5,4),0)</f>
        <v>0</v>
      </c>
      <c r="H5" s="32">
        <f>ROUND(dagwerk5,4+2)</f>
        <v>0</v>
      </c>
      <c r="I5" s="33">
        <f>ROUND(uurtarief5,2)</f>
        <v>0</v>
      </c>
      <c r="J5" s="30">
        <v>242.08</v>
      </c>
    </row>
    <row r="6" spans="1:10" x14ac:dyDescent="0.2">
      <c r="A6" s="20" t="s">
        <v>114</v>
      </c>
      <c r="B6" s="20" t="s">
        <v>16</v>
      </c>
      <c r="C6" s="20" t="s">
        <v>402</v>
      </c>
      <c r="D6" s="20" t="s">
        <v>112</v>
      </c>
      <c r="E6" s="34">
        <f>IF(B6="","",VLOOKUP(B6,dagsoorttabel1,2,FALSE))</f>
        <v>0.15384615384615385</v>
      </c>
      <c r="F6" s="34">
        <v>1</v>
      </c>
      <c r="G6" s="34">
        <f>IF(prodnorm6&gt;0,1/ROUND(prodnorm6,4),0)</f>
        <v>0</v>
      </c>
      <c r="H6" s="36">
        <f>ROUND(dagwerk6,4+2)</f>
        <v>0</v>
      </c>
      <c r="I6" s="37">
        <f>ROUND(uurtarief6,2)</f>
        <v>0</v>
      </c>
      <c r="J6" s="34">
        <v>348.03999999999996</v>
      </c>
    </row>
    <row r="7" spans="1:10" x14ac:dyDescent="0.2">
      <c r="A7" s="20" t="s">
        <v>116</v>
      </c>
      <c r="B7" s="20" t="s">
        <v>11</v>
      </c>
      <c r="C7" s="20" t="s">
        <v>402</v>
      </c>
      <c r="D7" s="20" t="s">
        <v>112</v>
      </c>
      <c r="E7" s="34">
        <f>IF(B7="","",VLOOKUP(B7,dagsoorttabel1,2,FALSE))</f>
        <v>0.76923076923076927</v>
      </c>
      <c r="F7" s="34">
        <v>1</v>
      </c>
      <c r="G7" s="34">
        <f>IF(prodnorm7&gt;0,1/ROUND(prodnorm7,4),0)</f>
        <v>0</v>
      </c>
      <c r="H7" s="36">
        <f>ROUND(dagwerk7,4+2)</f>
        <v>0</v>
      </c>
      <c r="I7" s="37">
        <f>ROUND(uurtarief7,2)</f>
        <v>0</v>
      </c>
      <c r="J7" s="34">
        <v>55.7</v>
      </c>
    </row>
    <row r="8" spans="1:10" x14ac:dyDescent="0.2">
      <c r="A8" s="20" t="s">
        <v>118</v>
      </c>
      <c r="B8" s="20" t="s">
        <v>11</v>
      </c>
      <c r="C8" s="20" t="s">
        <v>402</v>
      </c>
      <c r="D8" s="20" t="s">
        <v>112</v>
      </c>
      <c r="E8" s="34">
        <f>IF(B8="","",VLOOKUP(B8,dagsoorttabel1,2,FALSE))</f>
        <v>0.76923076923076927</v>
      </c>
      <c r="F8" s="34">
        <v>1</v>
      </c>
      <c r="G8" s="34">
        <f>IF(prodnorm8&gt;0,1/ROUND(prodnorm8,4),0)</f>
        <v>0</v>
      </c>
      <c r="H8" s="36">
        <f>ROUND(dagwerk8,4+2)</f>
        <v>0</v>
      </c>
      <c r="I8" s="37">
        <f>ROUND(uurtarief8,2)</f>
        <v>0</v>
      </c>
      <c r="J8" s="34">
        <v>762</v>
      </c>
    </row>
    <row r="9" spans="1:10" x14ac:dyDescent="0.2">
      <c r="A9" s="20" t="s">
        <v>120</v>
      </c>
      <c r="B9" s="20" t="s">
        <v>11</v>
      </c>
      <c r="C9" s="20" t="s">
        <v>402</v>
      </c>
      <c r="D9" s="20" t="s">
        <v>112</v>
      </c>
      <c r="E9" s="34">
        <f>IF(B9="","",VLOOKUP(B9,dagsoorttabel1,2,FALSE))</f>
        <v>0.76923076923076927</v>
      </c>
      <c r="F9" s="34">
        <v>1</v>
      </c>
      <c r="G9" s="34">
        <f>IF(prodnorm9&gt;0,1/ROUND(prodnorm9,4),0)</f>
        <v>0</v>
      </c>
      <c r="H9" s="36">
        <f>ROUND(dagwerk9,4+2)</f>
        <v>0</v>
      </c>
      <c r="I9" s="37">
        <f>ROUND(uurtarief9,2)</f>
        <v>0</v>
      </c>
      <c r="J9" s="34">
        <v>1.5</v>
      </c>
    </row>
    <row r="10" spans="1:10" x14ac:dyDescent="0.2">
      <c r="A10" s="20" t="s">
        <v>122</v>
      </c>
      <c r="B10" s="20" t="s">
        <v>11</v>
      </c>
      <c r="C10" s="20" t="s">
        <v>402</v>
      </c>
      <c r="D10" s="20" t="s">
        <v>112</v>
      </c>
      <c r="E10" s="34">
        <f>IF(B10="","",VLOOKUP(B10,dagsoorttabel1,2,FALSE))</f>
        <v>0.76923076923076927</v>
      </c>
      <c r="F10" s="34">
        <v>1</v>
      </c>
      <c r="G10" s="34">
        <f>IF(prodnorm10&gt;0,1/ROUND(prodnorm10,4),0)</f>
        <v>0</v>
      </c>
      <c r="H10" s="36">
        <f>ROUND(dagwerk10,4+2)</f>
        <v>0</v>
      </c>
      <c r="I10" s="37">
        <f>ROUND(uurtarief10,2)</f>
        <v>0</v>
      </c>
      <c r="J10" s="34">
        <v>101.5</v>
      </c>
    </row>
    <row r="11" spans="1:10" x14ac:dyDescent="0.2">
      <c r="A11" s="20" t="s">
        <v>124</v>
      </c>
      <c r="B11" s="20" t="s">
        <v>12</v>
      </c>
      <c r="C11" s="20" t="s">
        <v>402</v>
      </c>
      <c r="D11" s="20" t="s">
        <v>112</v>
      </c>
      <c r="E11" s="34">
        <f>IF(B11="","",VLOOKUP(B11,dagsoorttabel1,2,FALSE))</f>
        <v>0.61538461538461542</v>
      </c>
      <c r="F11" s="34">
        <v>1</v>
      </c>
      <c r="G11" s="34">
        <f>IF(prodnorm11&gt;0,1/ROUND(prodnorm11,4),0)</f>
        <v>0</v>
      </c>
      <c r="H11" s="36">
        <f>ROUND(dagwerk11,4+2)</f>
        <v>0</v>
      </c>
      <c r="I11" s="37">
        <f>ROUND(uurtarief11,2)</f>
        <v>0</v>
      </c>
      <c r="J11" s="34">
        <v>1869.92</v>
      </c>
    </row>
    <row r="12" spans="1:10" x14ac:dyDescent="0.2">
      <c r="A12" s="20" t="s">
        <v>124</v>
      </c>
      <c r="B12" s="20" t="s">
        <v>11</v>
      </c>
      <c r="C12" s="20" t="s">
        <v>402</v>
      </c>
      <c r="D12" s="20" t="s">
        <v>112</v>
      </c>
      <c r="E12" s="34">
        <f>IF(B12="","",VLOOKUP(B12,dagsoorttabel1,2,FALSE))</f>
        <v>0.76923076923076927</v>
      </c>
      <c r="F12" s="34">
        <v>1</v>
      </c>
      <c r="G12" s="34">
        <f>IF(prodnorm12&gt;0,1/ROUND(prodnorm12,4),0)</f>
        <v>0</v>
      </c>
      <c r="H12" s="36">
        <f>ROUND(dagwerk12,4+2)</f>
        <v>0</v>
      </c>
      <c r="I12" s="37">
        <f>ROUND(uurtarief12,2)</f>
        <v>0</v>
      </c>
      <c r="J12" s="34">
        <v>94.48</v>
      </c>
    </row>
    <row r="13" spans="1:10" x14ac:dyDescent="0.2">
      <c r="A13" s="20" t="s">
        <v>126</v>
      </c>
      <c r="B13" s="20" t="s">
        <v>12</v>
      </c>
      <c r="C13" s="20" t="s">
        <v>402</v>
      </c>
      <c r="D13" s="20" t="s">
        <v>112</v>
      </c>
      <c r="E13" s="34">
        <f>IF(B13="","",VLOOKUP(B13,dagsoorttabel1,2,FALSE))</f>
        <v>0.61538461538461542</v>
      </c>
      <c r="F13" s="34">
        <v>1</v>
      </c>
      <c r="G13" s="34">
        <f>IF(prodnorm13&gt;0,1/ROUND(prodnorm13,4),0)</f>
        <v>0</v>
      </c>
      <c r="H13" s="36">
        <f>ROUND(dagwerk13,4+2)</f>
        <v>0</v>
      </c>
      <c r="I13" s="37">
        <f>ROUND(uurtarief13,2)</f>
        <v>0</v>
      </c>
      <c r="J13" s="34">
        <v>640</v>
      </c>
    </row>
    <row r="14" spans="1:10" x14ac:dyDescent="0.2">
      <c r="A14" s="20" t="s">
        <v>128</v>
      </c>
      <c r="B14" s="20" t="s">
        <v>11</v>
      </c>
      <c r="C14" s="20" t="s">
        <v>402</v>
      </c>
      <c r="D14" s="20" t="s">
        <v>112</v>
      </c>
      <c r="E14" s="34">
        <f>IF(B14="","",VLOOKUP(B14,dagsoorttabel1,2,FALSE))</f>
        <v>0.76923076923076927</v>
      </c>
      <c r="F14" s="34">
        <v>1</v>
      </c>
      <c r="G14" s="34">
        <f>IF(prodnorm14&gt;0,1/ROUND(prodnorm14,4),0)</f>
        <v>0</v>
      </c>
      <c r="H14" s="36">
        <f>ROUND(dagwerk14,4+2)</f>
        <v>0</v>
      </c>
      <c r="I14" s="37">
        <f>ROUND(uurtarief14,2)</f>
        <v>0</v>
      </c>
      <c r="J14" s="34">
        <v>124.9</v>
      </c>
    </row>
    <row r="15" spans="1:10" x14ac:dyDescent="0.2">
      <c r="A15" s="20" t="s">
        <v>130</v>
      </c>
      <c r="B15" s="20" t="s">
        <v>11</v>
      </c>
      <c r="C15" s="20" t="s">
        <v>402</v>
      </c>
      <c r="D15" s="20" t="s">
        <v>112</v>
      </c>
      <c r="E15" s="34">
        <f>IF(B15="","",VLOOKUP(B15,dagsoorttabel1,2,FALSE))</f>
        <v>0.76923076923076927</v>
      </c>
      <c r="F15" s="34">
        <v>1</v>
      </c>
      <c r="G15" s="34">
        <f>IF(prodnorm15&gt;0,1/ROUND(prodnorm15,4),0)</f>
        <v>0</v>
      </c>
      <c r="H15" s="36">
        <f>ROUND(dagwerk15,4+2)</f>
        <v>0</v>
      </c>
      <c r="I15" s="37">
        <f>ROUND(uurtarief15,2)</f>
        <v>0</v>
      </c>
      <c r="J15" s="34">
        <v>242.32</v>
      </c>
    </row>
    <row r="16" spans="1:10" x14ac:dyDescent="0.2">
      <c r="A16" s="20" t="s">
        <v>132</v>
      </c>
      <c r="B16" s="20" t="s">
        <v>11</v>
      </c>
      <c r="C16" s="20" t="s">
        <v>402</v>
      </c>
      <c r="D16" s="20" t="s">
        <v>112</v>
      </c>
      <c r="E16" s="34">
        <f>IF(B16="","",VLOOKUP(B16,dagsoorttabel1,2,FALSE))</f>
        <v>0.76923076923076927</v>
      </c>
      <c r="F16" s="34">
        <v>1</v>
      </c>
      <c r="G16" s="34">
        <f>IF(prodnorm16&gt;0,1/ROUND(prodnorm16,4),0)</f>
        <v>0</v>
      </c>
      <c r="H16" s="36">
        <f>ROUND(dagwerk16,4+2)</f>
        <v>0</v>
      </c>
      <c r="I16" s="37">
        <f>ROUND(uurtarief16,2)</f>
        <v>0</v>
      </c>
      <c r="J16" s="34">
        <v>277.73</v>
      </c>
    </row>
    <row r="17" spans="1:10" x14ac:dyDescent="0.2">
      <c r="A17" s="20" t="s">
        <v>134</v>
      </c>
      <c r="B17" s="20" t="s">
        <v>11</v>
      </c>
      <c r="C17" s="20" t="s">
        <v>402</v>
      </c>
      <c r="D17" s="20" t="s">
        <v>112</v>
      </c>
      <c r="E17" s="34">
        <f>IF(B17="","",VLOOKUP(B17,dagsoorttabel1,2,FALSE))</f>
        <v>0.76923076923076927</v>
      </c>
      <c r="F17" s="34">
        <v>1</v>
      </c>
      <c r="G17" s="34">
        <f>IF(prodnorm17&gt;0,1/ROUND(prodnorm17,4),0)</f>
        <v>0</v>
      </c>
      <c r="H17" s="36">
        <f>ROUND(dagwerk17,4+2)</f>
        <v>0</v>
      </c>
      <c r="I17" s="37">
        <f>ROUND(uurtarief17,2)</f>
        <v>0</v>
      </c>
      <c r="J17" s="34">
        <v>923.24</v>
      </c>
    </row>
    <row r="18" spans="1:10" x14ac:dyDescent="0.2">
      <c r="A18" s="20" t="s">
        <v>136</v>
      </c>
      <c r="B18" s="20" t="s">
        <v>11</v>
      </c>
      <c r="C18" s="20" t="s">
        <v>402</v>
      </c>
      <c r="D18" s="20" t="s">
        <v>112</v>
      </c>
      <c r="E18" s="34">
        <f>IF(B18="","",VLOOKUP(B18,dagsoorttabel1,2,FALSE))</f>
        <v>0.76923076923076927</v>
      </c>
      <c r="F18" s="34">
        <v>1</v>
      </c>
      <c r="G18" s="34">
        <f>IF(prodnorm18&gt;0,1/ROUND(prodnorm18,4),0)</f>
        <v>0</v>
      </c>
      <c r="H18" s="36">
        <f>ROUND(dagwerk18,4+2)</f>
        <v>0</v>
      </c>
      <c r="I18" s="37">
        <f>ROUND(uurtarief18,2)</f>
        <v>0</v>
      </c>
      <c r="J18" s="34">
        <v>28.71</v>
      </c>
    </row>
    <row r="19" spans="1:10" x14ac:dyDescent="0.2">
      <c r="A19" s="20" t="s">
        <v>137</v>
      </c>
      <c r="B19" s="20" t="s">
        <v>11</v>
      </c>
      <c r="C19" s="20" t="s">
        <v>402</v>
      </c>
      <c r="D19" s="20" t="s">
        <v>112</v>
      </c>
      <c r="E19" s="34">
        <f>IF(B19="","",VLOOKUP(B19,dagsoorttabel1,2,FALSE))</f>
        <v>0.76923076923076927</v>
      </c>
      <c r="F19" s="34">
        <v>1</v>
      </c>
      <c r="G19" s="34">
        <f>IF(prodnorm19&gt;0,1/ROUND(prodnorm19,4),0)</f>
        <v>0</v>
      </c>
      <c r="H19" s="36">
        <f>ROUND(dagwerk19,4+2)</f>
        <v>0</v>
      </c>
      <c r="I19" s="37">
        <f>ROUND(uurtarief19,2)</f>
        <v>0</v>
      </c>
      <c r="J19" s="34">
        <v>137.1</v>
      </c>
    </row>
    <row r="20" spans="1:10" x14ac:dyDescent="0.2">
      <c r="A20" s="20" t="s">
        <v>139</v>
      </c>
      <c r="B20" s="20" t="s">
        <v>11</v>
      </c>
      <c r="C20" s="20" t="s">
        <v>402</v>
      </c>
      <c r="D20" s="20" t="s">
        <v>112</v>
      </c>
      <c r="E20" s="34">
        <f>IF(B20="","",VLOOKUP(B20,dagsoorttabel1,2,FALSE))</f>
        <v>0.76923076923076927</v>
      </c>
      <c r="F20" s="34">
        <v>1</v>
      </c>
      <c r="G20" s="34">
        <f>IF(prodnorm20&gt;0,1/ROUND(prodnorm20,4),0)</f>
        <v>0</v>
      </c>
      <c r="H20" s="36">
        <f>ROUND(dagwerk20,4+2)</f>
        <v>0</v>
      </c>
      <c r="I20" s="37">
        <f>ROUND(uurtarief20,2)</f>
        <v>0</v>
      </c>
      <c r="J20" s="34">
        <v>124.4</v>
      </c>
    </row>
    <row r="21" spans="1:10" x14ac:dyDescent="0.2">
      <c r="A21" s="20" t="s">
        <v>141</v>
      </c>
      <c r="B21" s="20" t="s">
        <v>11</v>
      </c>
      <c r="C21" s="20" t="s">
        <v>402</v>
      </c>
      <c r="D21" s="20" t="s">
        <v>112</v>
      </c>
      <c r="E21" s="34">
        <f>IF(B21="","",VLOOKUP(B21,dagsoorttabel1,2,FALSE))</f>
        <v>0.76923076923076927</v>
      </c>
      <c r="F21" s="34">
        <v>1</v>
      </c>
      <c r="G21" s="34">
        <f>IF(prodnorm21&gt;0,1/ROUND(prodnorm21,4),0)</f>
        <v>0</v>
      </c>
      <c r="H21" s="36">
        <f>ROUND(dagwerk21,4+2)</f>
        <v>0</v>
      </c>
      <c r="I21" s="37">
        <f>ROUND(uurtarief21,2)</f>
        <v>0</v>
      </c>
      <c r="J21" s="34">
        <v>191.14</v>
      </c>
    </row>
    <row r="22" spans="1:10" x14ac:dyDescent="0.2">
      <c r="A22" s="20" t="s">
        <v>143</v>
      </c>
      <c r="B22" s="20" t="s">
        <v>11</v>
      </c>
      <c r="C22" s="20" t="s">
        <v>402</v>
      </c>
      <c r="D22" s="20" t="s">
        <v>112</v>
      </c>
      <c r="E22" s="34">
        <f>IF(B22="","",VLOOKUP(B22,dagsoorttabel1,2,FALSE))</f>
        <v>0.76923076923076927</v>
      </c>
      <c r="F22" s="34">
        <v>1</v>
      </c>
      <c r="G22" s="34">
        <f>IF(prodnorm22&gt;0,1/ROUND(prodnorm22,4),0)</f>
        <v>0</v>
      </c>
      <c r="H22" s="36">
        <f>ROUND(dagwerk22,4+2)</f>
        <v>0</v>
      </c>
      <c r="I22" s="37">
        <f>ROUND(uurtarief22,2)</f>
        <v>0</v>
      </c>
      <c r="J22" s="34">
        <v>1539.7600000000002</v>
      </c>
    </row>
    <row r="23" spans="1:10" x14ac:dyDescent="0.2">
      <c r="A23" s="20" t="s">
        <v>145</v>
      </c>
      <c r="B23" s="20" t="s">
        <v>11</v>
      </c>
      <c r="C23" s="20" t="s">
        <v>402</v>
      </c>
      <c r="D23" s="20" t="s">
        <v>112</v>
      </c>
      <c r="E23" s="34">
        <f>IF(B23="","",VLOOKUP(B23,dagsoorttabel1,2,FALSE))</f>
        <v>0.76923076923076927</v>
      </c>
      <c r="F23" s="34">
        <v>1</v>
      </c>
      <c r="G23" s="34">
        <f>IF(prodnorm23&gt;0,1/ROUND(prodnorm23,4),0)</f>
        <v>0</v>
      </c>
      <c r="H23" s="36">
        <f>ROUND(dagwerk23,4+2)</f>
        <v>0</v>
      </c>
      <c r="I23" s="37">
        <f>ROUND(uurtarief23,2)</f>
        <v>0</v>
      </c>
      <c r="J23" s="34">
        <v>29.3</v>
      </c>
    </row>
    <row r="24" spans="1:10" x14ac:dyDescent="0.2">
      <c r="A24" s="20" t="s">
        <v>147</v>
      </c>
      <c r="B24" s="20" t="s">
        <v>11</v>
      </c>
      <c r="C24" s="20" t="s">
        <v>402</v>
      </c>
      <c r="D24" s="20" t="s">
        <v>112</v>
      </c>
      <c r="E24" s="34">
        <f>IF(B24="","",VLOOKUP(B24,dagsoorttabel1,2,FALSE))</f>
        <v>0.76923076923076927</v>
      </c>
      <c r="F24" s="34">
        <v>1</v>
      </c>
      <c r="G24" s="34">
        <f>IF(prodnorm24&gt;0,1/ROUND(prodnorm24,4),0)</f>
        <v>0</v>
      </c>
      <c r="H24" s="36">
        <f>ROUND(dagwerk24,4+2)</f>
        <v>0</v>
      </c>
      <c r="I24" s="37">
        <f>ROUND(uurtarief24,2)</f>
        <v>0</v>
      </c>
      <c r="J24" s="34">
        <v>29.3</v>
      </c>
    </row>
    <row r="25" spans="1:10" x14ac:dyDescent="0.2">
      <c r="A25" s="25" t="s">
        <v>149</v>
      </c>
      <c r="B25" s="25" t="s">
        <v>12</v>
      </c>
      <c r="C25" s="25" t="s">
        <v>402</v>
      </c>
      <c r="D25" s="25" t="s">
        <v>112</v>
      </c>
      <c r="E25" s="39">
        <f>IF(B25="","",VLOOKUP(B25,dagsoorttabel1,2,FALSE))</f>
        <v>0.61538461538461542</v>
      </c>
      <c r="F25" s="39">
        <v>1</v>
      </c>
      <c r="G25" s="39">
        <f>IF(prodnorm25&gt;0,1/ROUND(prodnorm25,4),0)</f>
        <v>0</v>
      </c>
      <c r="H25" s="81">
        <f>ROUND(dagwerk25,4+2)</f>
        <v>0</v>
      </c>
      <c r="I25" s="41">
        <f>ROUND(uurtarief25,2)</f>
        <v>0</v>
      </c>
      <c r="J25" s="39">
        <v>570.12</v>
      </c>
    </row>
    <row r="26" spans="1:10" x14ac:dyDescent="0.2">
      <c r="A26" s="43" t="s">
        <v>151</v>
      </c>
      <c r="B26" s="44"/>
      <c r="C26" s="44"/>
      <c r="D26" s="44"/>
      <c r="E26" s="44"/>
      <c r="F26" s="44"/>
      <c r="G26" s="44"/>
      <c r="H26" s="44"/>
      <c r="I26" s="44"/>
      <c r="J26" s="82"/>
    </row>
  </sheetData>
  <sheetProtection algorithmName="SHA-512" hashValue="qqaIBw86kOfoeXEw7QJ6ETaHQzKYtVphhpFbC/DkvECSjZFgh5gd3qHEkUUKubrV6ngeJZqIVrORlJ9rM6JQgw==" saltValue="jar1D8UPpUSCrlw1ZBn6Z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B5CD-8A79-4AB4-898D-F0C14647F147}">
  <dimension ref="A1:R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7" width="14.625" customWidth="1"/>
    <col min="18" max="18" width="13.625" customWidth="1"/>
  </cols>
  <sheetData>
    <row r="1" spans="1:18" x14ac:dyDescent="0.2">
      <c r="A1" s="1" t="str">
        <f>CONCATENATE("Bijlage F2 .4: ",tabeltype," objecten")</f>
        <v>Bijlage F2 .4: Invultabel objecten</v>
      </c>
    </row>
    <row r="3" spans="1:18" ht="51" x14ac:dyDescent="0.2">
      <c r="A3" s="8" t="s">
        <v>154</v>
      </c>
      <c r="B3" s="8" t="s">
        <v>403</v>
      </c>
      <c r="C3" s="8" t="s">
        <v>404</v>
      </c>
      <c r="D3" s="8" t="s">
        <v>405</v>
      </c>
      <c r="E3" s="8" t="s">
        <v>7</v>
      </c>
      <c r="F3" s="8" t="s">
        <v>406</v>
      </c>
      <c r="G3" s="8" t="s">
        <v>407</v>
      </c>
      <c r="H3" s="8" t="s">
        <v>408</v>
      </c>
      <c r="I3" s="8" t="s">
        <v>409</v>
      </c>
      <c r="J3" s="8" t="s">
        <v>410</v>
      </c>
      <c r="K3" s="8" t="s">
        <v>411</v>
      </c>
      <c r="L3" s="8" t="s">
        <v>412</v>
      </c>
      <c r="M3" s="8" t="s">
        <v>413</v>
      </c>
      <c r="N3" s="8" t="s">
        <v>414</v>
      </c>
      <c r="O3" s="8" t="s">
        <v>415</v>
      </c>
      <c r="P3" s="8" t="s">
        <v>109</v>
      </c>
      <c r="Q3" s="8" t="s">
        <v>110</v>
      </c>
      <c r="R3" s="8" t="s">
        <v>416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83" t="s">
        <v>164</v>
      </c>
      <c r="B6" s="83" t="s">
        <v>417</v>
      </c>
      <c r="C6" s="83" t="s">
        <v>418</v>
      </c>
      <c r="D6" s="83" t="s">
        <v>419</v>
      </c>
      <c r="E6" s="84" t="s">
        <v>11</v>
      </c>
      <c r="F6" s="85">
        <f>gemuurtarief1</f>
        <v>0</v>
      </c>
      <c r="G6" s="86">
        <f>SUMPRODUCT(taakfreqtabel1,uurfactortabel1,kengetaltabel1,object1_opptabel1)*(1/VLOOKUP(E6,dagsoorttabel1,2,FALSE))</f>
        <v>0</v>
      </c>
      <c r="H6" s="86">
        <f>SUMPRODUCT(dagwerktabel1,taakfreqtabel1,uurfactortabel1,kengetaltabel1,object1_opptabel1)*(1/VLOOKUP(E6,dagsoorttabel1,2,FALSE))</f>
        <v>0</v>
      </c>
      <c r="I6" s="87"/>
      <c r="J6" s="86">
        <f>H6+I6</f>
        <v>0</v>
      </c>
      <c r="K6" s="86">
        <f>G6+I6</f>
        <v>0</v>
      </c>
      <c r="L6" s="88">
        <f>SUMPRODUCT(taakfreqtabel1,kengetaltabel1,tarieftabel1,object1_opptabel1)*(1/VLOOKUP(E6,dagsoorttabel1,2,FALSE))</f>
        <v>0</v>
      </c>
      <c r="M6" s="88">
        <f>F6*I6</f>
        <v>0</v>
      </c>
      <c r="N6" s="88">
        <f>SUM(L6:M6)</f>
        <v>0</v>
      </c>
      <c r="O6" s="86">
        <f>J6*dagenperjaar1*VLOOKUP(E6,dagsoorttabel1,2,FALSE)</f>
        <v>0</v>
      </c>
      <c r="P6" s="86">
        <f>K6*dagenperjaar1*VLOOKUP(E6,dagsoorttabel1,2,FALSE)</f>
        <v>0</v>
      </c>
      <c r="Q6" s="88">
        <f>N6*dagenperjaar1*VLOOKUP(E6,dagsoorttabel1,2,FALSE)</f>
        <v>0</v>
      </c>
      <c r="R6" s="88">
        <f>Q6/12</f>
        <v>0</v>
      </c>
    </row>
    <row r="7" spans="1:18" x14ac:dyDescent="0.2">
      <c r="A7" s="43" t="s">
        <v>151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>
        <f>SUM(O6:O6)</f>
        <v>0</v>
      </c>
      <c r="P7" s="45">
        <f>SUM(P6:P6)</f>
        <v>0</v>
      </c>
      <c r="Q7" s="46">
        <f>SUM(Q6:Q6)</f>
        <v>0</v>
      </c>
      <c r="R7" s="47">
        <f>SUM(R6:R6)</f>
        <v>0</v>
      </c>
    </row>
    <row r="8" spans="1:18" x14ac:dyDescent="0.2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9"/>
    </row>
    <row r="10" spans="1:18" x14ac:dyDescent="0.2">
      <c r="A10" s="43" t="s">
        <v>420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>
        <f>urenjaartotaalhf1</f>
        <v>0</v>
      </c>
      <c r="P10" s="45">
        <f>urenjaartotaal1</f>
        <v>0</v>
      </c>
      <c r="Q10" s="46">
        <f>prijsjaartotaal1</f>
        <v>0</v>
      </c>
      <c r="R10" s="46">
        <f>prijsmaandtotaal1</f>
        <v>0</v>
      </c>
    </row>
    <row r="12" spans="1:18" x14ac:dyDescent="0.2">
      <c r="A12" s="43" t="s">
        <v>421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6">
        <f>Q10*1.21</f>
        <v>0</v>
      </c>
      <c r="R12" s="46">
        <f>R10*1.21</f>
        <v>0</v>
      </c>
    </row>
  </sheetData>
  <sheetProtection algorithmName="SHA-512" hashValue="IYiJpuwqPQFwp/NBJ1EjIXLVr2VY9DbSjZ9N96t5bD35Kfa1ndzt3fLjOfOrHD6HgmxpY7n0lQMSRMAFyBy0Kg==" saltValue="ILhY1hfHrW7VBSciJPA0S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9E81-C657-44BC-983A-83B0F49F0E20}">
  <dimension ref="A1:C17"/>
  <sheetViews>
    <sheetView workbookViewId="0"/>
  </sheetViews>
  <sheetFormatPr defaultRowHeight="12.75" x14ac:dyDescent="0.2"/>
  <cols>
    <col min="1" max="1" width="25.625" customWidth="1"/>
    <col min="2" max="3" width="20.625" customWidth="1"/>
  </cols>
  <sheetData>
    <row r="1" spans="1:3" x14ac:dyDescent="0.2">
      <c r="A1" s="1" t="str">
        <f>CONCATENATE("Bijlage F2 .5: ",tabeltype," totaalblad objecten")</f>
        <v>Bijlage F2 .5: Invultabel totaalblad objecten</v>
      </c>
    </row>
    <row r="3" spans="1:3" x14ac:dyDescent="0.2">
      <c r="A3" s="89" t="s">
        <v>422</v>
      </c>
      <c r="B3" s="93" t="s">
        <v>434</v>
      </c>
      <c r="C3" s="93" t="s">
        <v>164</v>
      </c>
    </row>
    <row r="4" spans="1:3" x14ac:dyDescent="0.2">
      <c r="A4" s="90" t="s">
        <v>423</v>
      </c>
      <c r="B4" s="96"/>
      <c r="C4" s="90" t="s">
        <v>417</v>
      </c>
    </row>
    <row r="5" spans="1:3" x14ac:dyDescent="0.2">
      <c r="A5" s="90" t="s">
        <v>424</v>
      </c>
      <c r="B5" s="96"/>
      <c r="C5" s="94" t="s">
        <v>418</v>
      </c>
    </row>
    <row r="6" spans="1:3" x14ac:dyDescent="0.2">
      <c r="A6" s="90" t="s">
        <v>425</v>
      </c>
      <c r="B6" s="96"/>
      <c r="C6" s="94" t="s">
        <v>419</v>
      </c>
    </row>
    <row r="7" spans="1:3" x14ac:dyDescent="0.2">
      <c r="A7" s="90" t="s">
        <v>426</v>
      </c>
      <c r="B7" s="95">
        <f>SUM(C7:C7)</f>
        <v>7638.7200000000012</v>
      </c>
      <c r="C7" s="95">
        <v>7638.7200000000012</v>
      </c>
    </row>
    <row r="8" spans="1:3" x14ac:dyDescent="0.2">
      <c r="A8" s="90" t="s">
        <v>165</v>
      </c>
      <c r="B8" s="96"/>
      <c r="C8" s="96"/>
    </row>
    <row r="9" spans="1:3" x14ac:dyDescent="0.2">
      <c r="A9" s="90" t="s">
        <v>427</v>
      </c>
      <c r="B9" s="34">
        <f>SUM(C9:C9)</f>
        <v>0</v>
      </c>
      <c r="C9" s="95">
        <f>objecturenhf1_1</f>
        <v>0</v>
      </c>
    </row>
    <row r="10" spans="1:3" x14ac:dyDescent="0.2">
      <c r="A10" s="90" t="s">
        <v>428</v>
      </c>
      <c r="B10" s="34">
        <f>SUM(C10:C10)</f>
        <v>0</v>
      </c>
      <c r="C10" s="34">
        <f>objecturen1_1</f>
        <v>0</v>
      </c>
    </row>
    <row r="11" spans="1:3" ht="25.5" x14ac:dyDescent="0.2">
      <c r="A11" s="90" t="s">
        <v>429</v>
      </c>
      <c r="B11" s="34">
        <f>IF(AND(urenjaartotaal1&gt;0,dagenperjaar1&gt;0),B7/(urenjaartotaal1/dagenperjaar1),0)</f>
        <v>0</v>
      </c>
      <c r="C11" s="34">
        <f>IF(AND(objecturen1_1&gt;0,dagenperjaar1&gt;0),C7/(objecturen1_1/dagenperjaar1),0)</f>
        <v>0</v>
      </c>
    </row>
    <row r="12" spans="1:3" x14ac:dyDescent="0.2">
      <c r="A12" s="90" t="s">
        <v>430</v>
      </c>
      <c r="B12" s="37">
        <f>SUM(C12:C12)</f>
        <v>0</v>
      </c>
      <c r="C12" s="37">
        <f>objectprijs1_1</f>
        <v>0</v>
      </c>
    </row>
    <row r="13" spans="1:3" x14ac:dyDescent="0.2">
      <c r="A13" s="90" t="s">
        <v>431</v>
      </c>
      <c r="B13" s="37">
        <f>SUM(C13:C13)</f>
        <v>0</v>
      </c>
      <c r="C13" s="37">
        <f>C12/12</f>
        <v>0</v>
      </c>
    </row>
    <row r="14" spans="1:3" x14ac:dyDescent="0.2">
      <c r="A14" s="90" t="s">
        <v>432</v>
      </c>
      <c r="B14" s="37">
        <f>SUM(C14:C14)</f>
        <v>0</v>
      </c>
      <c r="C14" s="37">
        <f>C13*1.21</f>
        <v>0</v>
      </c>
    </row>
    <row r="15" spans="1:3" x14ac:dyDescent="0.2">
      <c r="A15" s="90" t="s">
        <v>165</v>
      </c>
      <c r="B15" s="96"/>
      <c r="C15" s="96"/>
    </row>
    <row r="16" spans="1:3" x14ac:dyDescent="0.2">
      <c r="A16" s="90" t="s">
        <v>165</v>
      </c>
      <c r="B16" s="96"/>
      <c r="C16" s="96"/>
    </row>
    <row r="17" spans="1:3" x14ac:dyDescent="0.2">
      <c r="A17" s="91" t="s">
        <v>433</v>
      </c>
      <c r="B17" s="41">
        <f>IF(B7&gt;0,B12/B7,0)</f>
        <v>0</v>
      </c>
      <c r="C17" s="41">
        <f>IF(C7&gt;0,C12/C7,0)</f>
        <v>0</v>
      </c>
    </row>
  </sheetData>
  <sheetProtection algorithmName="SHA-512" hashValue="L885ZN7H3A8N+5nCve7mGqzHUxoddtE3G9jZCe8yNdFycwMPKcjdGkNSSIKWWWF+AIqwOXyDykkas7LMt6k0qA==" saltValue="PZndafuAGtYQwEumnmoi9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2563-46C7-4ECD-B8A4-5A1F676DB143}">
  <dimension ref="A1:L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F2 .6: ",tabeltype," additioneel werk")</f>
        <v>Bijlage F2 .6: Invultabel additioneel werk</v>
      </c>
    </row>
    <row r="3" spans="1:12" ht="38.25" x14ac:dyDescent="0.2">
      <c r="A3" s="8" t="s">
        <v>435</v>
      </c>
      <c r="B3" s="8" t="s">
        <v>7</v>
      </c>
      <c r="C3" s="8" t="s">
        <v>436</v>
      </c>
      <c r="D3" s="8" t="s">
        <v>27</v>
      </c>
      <c r="E3" s="8" t="s">
        <v>30</v>
      </c>
      <c r="F3" s="8" t="s">
        <v>437</v>
      </c>
      <c r="G3" s="8" t="s">
        <v>438</v>
      </c>
      <c r="H3" s="8" t="s">
        <v>439</v>
      </c>
      <c r="I3" s="8" t="s">
        <v>440</v>
      </c>
      <c r="J3" s="8" t="s">
        <v>441</v>
      </c>
      <c r="K3" s="8" t="s">
        <v>110</v>
      </c>
      <c r="L3" s="8" t="s">
        <v>416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83" t="s">
        <v>442</v>
      </c>
      <c r="B6" s="83" t="s">
        <v>23</v>
      </c>
      <c r="C6" s="97">
        <f>IF(ISBLANK(B6),0,IF(ISERROR(VALUE(B6)),VLOOKUP(B6,dagsoorttabel1,2,FALSE)*dagenperjaar1,VALUE(B6)))</f>
        <v>1</v>
      </c>
      <c r="D6" s="83" t="s">
        <v>443</v>
      </c>
      <c r="E6" s="83" t="s">
        <v>444</v>
      </c>
      <c r="F6" s="98">
        <v>4778.96</v>
      </c>
      <c r="G6" s="99"/>
      <c r="H6" s="87"/>
      <c r="I6" s="100"/>
      <c r="J6" s="88">
        <f>IF(ISBLANK(H6),0,F6 / ROUND(H6,4) * ROUND(G6,2))</f>
        <v>0</v>
      </c>
      <c r="K6" s="88">
        <f>C6*J6</f>
        <v>0</v>
      </c>
      <c r="L6" s="88">
        <f>K6/12</f>
        <v>0</v>
      </c>
    </row>
    <row r="7" spans="1:12" x14ac:dyDescent="0.2">
      <c r="A7" s="43" t="s">
        <v>151</v>
      </c>
      <c r="B7" s="44"/>
      <c r="C7" s="44"/>
      <c r="D7" s="44"/>
      <c r="E7" s="44"/>
      <c r="F7" s="44"/>
      <c r="G7" s="44"/>
      <c r="H7" s="44"/>
      <c r="I7" s="44"/>
      <c r="J7" s="44"/>
      <c r="K7" s="46">
        <f>SUM(K6:K6)</f>
        <v>0</v>
      </c>
      <c r="L7" s="101">
        <f>K7/12</f>
        <v>0</v>
      </c>
    </row>
    <row r="9" spans="1:12" x14ac:dyDescent="0.2">
      <c r="A9" s="43" t="s">
        <v>445</v>
      </c>
      <c r="B9" s="44"/>
      <c r="C9" s="44"/>
      <c r="D9" s="44"/>
      <c r="E9" s="44"/>
      <c r="F9" s="44"/>
      <c r="G9" s="44"/>
      <c r="H9" s="44"/>
      <c r="I9" s="44"/>
      <c r="J9" s="44"/>
      <c r="K9" s="46">
        <f>prijsjaaradditioneel1</f>
        <v>0</v>
      </c>
      <c r="L9" s="101">
        <f>K9/12</f>
        <v>0</v>
      </c>
    </row>
  </sheetData>
  <sheetProtection algorithmName="SHA-512" hashValue="O+Iog+aZqqqpYwwfAnGDe6QqT+JjOhadV77F/8Yr59IR6k9i9pfJayOpm2SLL3ZOFF/F9/WCelvZ9rACqLtjow==" saltValue="dQwIZ7NjL3O4grA2iCXg5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98BF-A018-4120-A9D7-D6DB98333274}">
  <dimension ref="A1:M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F2 .7: ",tabeltype," additioneel werk per locatie")</f>
        <v>Bijlage F2 .7: Invultabel additioneel werk per locatie</v>
      </c>
    </row>
    <row r="3" spans="1:13" ht="38.25" x14ac:dyDescent="0.2">
      <c r="A3" s="8" t="s">
        <v>435</v>
      </c>
      <c r="B3" s="8" t="s">
        <v>7</v>
      </c>
      <c r="C3" s="8" t="s">
        <v>436</v>
      </c>
      <c r="D3" s="8" t="s">
        <v>394</v>
      </c>
      <c r="E3" s="8" t="s">
        <v>27</v>
      </c>
      <c r="F3" s="8" t="s">
        <v>30</v>
      </c>
      <c r="G3" s="8" t="s">
        <v>437</v>
      </c>
      <c r="H3" s="8" t="s">
        <v>438</v>
      </c>
      <c r="I3" s="8" t="s">
        <v>439</v>
      </c>
      <c r="J3" s="8" t="s">
        <v>440</v>
      </c>
      <c r="K3" s="8" t="s">
        <v>441</v>
      </c>
      <c r="L3" s="8" t="s">
        <v>110</v>
      </c>
      <c r="M3" s="8" t="s">
        <v>416</v>
      </c>
    </row>
    <row r="5" spans="1:13" x14ac:dyDescent="0.2">
      <c r="A5" s="102" t="s">
        <v>163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92"/>
    </row>
    <row r="6" spans="1:13" x14ac:dyDescent="0.2">
      <c r="A6" s="83" t="s">
        <v>442</v>
      </c>
      <c r="B6" s="83" t="s">
        <v>23</v>
      </c>
      <c r="C6" s="97">
        <f>IF(ISBLANK(B6),0,IF(ISERROR(VALUE(B6)),VLOOKUP(B6,dagsoorttabel1,2,FALSE)*dagenperjaar1,VALUE(B6)))</f>
        <v>1</v>
      </c>
      <c r="D6" s="83" t="s">
        <v>402</v>
      </c>
      <c r="E6" s="83" t="s">
        <v>443</v>
      </c>
      <c r="F6" s="83" t="s">
        <v>444</v>
      </c>
      <c r="G6" s="98">
        <v>4778.96</v>
      </c>
      <c r="H6" s="103">
        <f>'Additioneel werk'!G6</f>
        <v>0</v>
      </c>
      <c r="I6" s="104">
        <f>'Additioneel werk'!H6</f>
        <v>0</v>
      </c>
      <c r="J6" s="100"/>
      <c r="K6" s="88" t="e">
        <f>IF(ISBLANK(I6),0,G6 / ROUND(I6,4) * ROUND(H6,2))</f>
        <v>#DIV/0!</v>
      </c>
      <c r="L6" s="88" t="e">
        <f>C6*K6</f>
        <v>#DIV/0!</v>
      </c>
      <c r="M6" s="88" t="e">
        <f>L6/12</f>
        <v>#DIV/0!</v>
      </c>
    </row>
    <row r="7" spans="1:13" x14ac:dyDescent="0.2">
      <c r="A7" s="105" t="s">
        <v>446</v>
      </c>
      <c r="B7" s="44"/>
      <c r="C7" s="44"/>
      <c r="D7" s="44"/>
      <c r="E7" s="44"/>
      <c r="F7" s="44"/>
      <c r="G7" s="44"/>
      <c r="H7" s="44"/>
      <c r="I7" s="44"/>
      <c r="J7" s="44"/>
      <c r="K7" s="46" t="e">
        <f>SUM(K6:K6)</f>
        <v>#DIV/0!</v>
      </c>
      <c r="L7" s="46" t="e">
        <f>SUM(L6:L6)</f>
        <v>#DIV/0!</v>
      </c>
      <c r="M7" s="101" t="e">
        <f>L7/12</f>
        <v>#DIV/0!</v>
      </c>
    </row>
  </sheetData>
  <sheetProtection algorithmName="SHA-512" hashValue="gGFYOaRZhTMgeWHGtvlizkvD8QMlZjCUoxAduPE+UmdSUl1SkETfWA/l9T2WiQNR6tm/ddHkflXQdVF3k95AiQ==" saltValue="tnzNdwQ2SShWVxlNZqUwj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&amp;LPallas Athene College EA 2025                               &amp;ROpmaakdatum: 10-01-2025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257</vt:i4>
      </vt:variant>
    </vt:vector>
  </HeadingPairs>
  <TitlesOfParts>
    <vt:vector size="271" baseType="lpstr">
      <vt:lpstr>Omreken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</vt:lpstr>
      <vt:lpstr>Afroep incidenteel</vt:lpstr>
      <vt:lpstr>Glas</vt:lpstr>
      <vt:lpstr>Glas per locatie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werkdag'!Afdruktitels</vt:lpstr>
      <vt:lpstr>Totaal!Afdruktitels</vt:lpstr>
      <vt:lpstr>'Totaalblad Objecten'!Afdruktitels</vt:lpstr>
      <vt:lpstr>catdw_1_BHV_40</vt:lpstr>
      <vt:lpstr>catdw_1_BZV_40</vt:lpstr>
      <vt:lpstr>catdw_1_EZB_1</vt:lpstr>
      <vt:lpstr>catdw_1_EZV_40</vt:lpstr>
      <vt:lpstr>catdw_1_GHB_1</vt:lpstr>
      <vt:lpstr>catdw_1_GHV_40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catdw_1_MZB_1</vt:lpstr>
      <vt:lpstr>catdw_1_MZV_40</vt:lpstr>
      <vt:lpstr>catdw_1_PMHB_1</vt:lpstr>
      <vt:lpstr>catdw_1_PMHV_40</vt:lpstr>
      <vt:lpstr>catdw_1_PUHB_1</vt:lpstr>
      <vt:lpstr>catdw_1_PUHV_40</vt:lpstr>
      <vt:lpstr>catdw_1_RHB_1</vt:lpstr>
      <vt:lpstr>catdw_1_RHV_40</vt:lpstr>
      <vt:lpstr>catdw_1_RZB_1</vt:lpstr>
      <vt:lpstr>catdw_1_RZV_40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catfd_1_BHV_40</vt:lpstr>
      <vt:lpstr>catfd_1_BZV_40</vt:lpstr>
      <vt:lpstr>catfd_1_EZB_1</vt:lpstr>
      <vt:lpstr>catfd_1_EZV_40</vt:lpstr>
      <vt:lpstr>catfd_1_GHB_1</vt:lpstr>
      <vt:lpstr>catfd_1_GHV_40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catfd_1_MZB_1</vt:lpstr>
      <vt:lpstr>catfd_1_MZV_40</vt:lpstr>
      <vt:lpstr>catfd_1_PMHB_1</vt:lpstr>
      <vt:lpstr>catfd_1_PMHV_40</vt:lpstr>
      <vt:lpstr>catfd_1_PUHB_1</vt:lpstr>
      <vt:lpstr>catfd_1_PUHV_40</vt:lpstr>
      <vt:lpstr>catfd_1_RHB_1</vt:lpstr>
      <vt:lpstr>catfd_1_RHV_40</vt:lpstr>
      <vt:lpstr>catfd_1_RZB_1</vt:lpstr>
      <vt:lpstr>catfd_1_RZV_40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catpn_1_BHV_40</vt:lpstr>
      <vt:lpstr>catpn_1_BZV_40</vt:lpstr>
      <vt:lpstr>catpn_1_EZB_1</vt:lpstr>
      <vt:lpstr>catpn_1_EZV_40</vt:lpstr>
      <vt:lpstr>catpn_1_GHB_1</vt:lpstr>
      <vt:lpstr>catpn_1_GHV_40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catpn_1_MZB_1</vt:lpstr>
      <vt:lpstr>catpn_1_MZV_40</vt:lpstr>
      <vt:lpstr>catpn_1_PMHB_1</vt:lpstr>
      <vt:lpstr>catpn_1_PMHV_40</vt:lpstr>
      <vt:lpstr>catpn_1_PUHB_1</vt:lpstr>
      <vt:lpstr>catpn_1_PUHV_40</vt:lpstr>
      <vt:lpstr>catpn_1_RHB_1</vt:lpstr>
      <vt:lpstr>catpn_1_RHV_40</vt:lpstr>
      <vt:lpstr>catpn_1_RZB_1</vt:lpstr>
      <vt:lpstr>catpn_1_RZV_40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cattf_1_BHV_40</vt:lpstr>
      <vt:lpstr>cattf_1_BZV_40</vt:lpstr>
      <vt:lpstr>cattf_1_EZB_1</vt:lpstr>
      <vt:lpstr>cattf_1_EZV_40</vt:lpstr>
      <vt:lpstr>cattf_1_GHB_1</vt:lpstr>
      <vt:lpstr>cattf_1_GHV_40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cattf_1_MZB_1</vt:lpstr>
      <vt:lpstr>cattf_1_MZV_40</vt:lpstr>
      <vt:lpstr>cattf_1_PMHB_1</vt:lpstr>
      <vt:lpstr>cattf_1_PMHV_40</vt:lpstr>
      <vt:lpstr>cattf_1_PUHB_1</vt:lpstr>
      <vt:lpstr>cattf_1_PUHV_40</vt:lpstr>
      <vt:lpstr>cattf_1_RHB_1</vt:lpstr>
      <vt:lpstr>cattf_1_RHV_40</vt:lpstr>
      <vt:lpstr>cattf_1_RZB_1</vt:lpstr>
      <vt:lpstr>cattf_1_RZV_40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cattf_1_VZB_1</vt:lpstr>
      <vt:lpstr>cattf_1_VZV_40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prijsjaaradditioneel</vt:lpstr>
      <vt:lpstr>prijsjaaradditioneel1</vt:lpstr>
      <vt:lpstr>prijsjaarafroep</vt:lpstr>
      <vt:lpstr>prijsjaarafroep1</vt:lpstr>
      <vt:lpstr>prijsjaarglas</vt:lpstr>
      <vt:lpstr>prijsjaarglas1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2025-01-10T12:59:08Z</dcterms:created>
  <dcterms:modified xsi:type="dcterms:W3CDTF">2025-01-10T13:06:27Z</dcterms:modified>
</cp:coreProperties>
</file>