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arnix College\Aanbesteding 2025\Uitlever\"/>
    </mc:Choice>
  </mc:AlternateContent>
  <xr:revisionPtr revIDLastSave="0" documentId="13_ncr:1_{47CD62C2-4E55-4EE2-A25C-24FD2405978E}" xr6:coauthVersionLast="47" xr6:coauthVersionMax="47" xr10:uidLastSave="{00000000-0000-0000-0000-000000000000}"/>
  <bookViews>
    <workbookView xWindow="4920" yWindow="2055" windowWidth="21600" windowHeight="11295" firstSheet="5" activeTab="7" xr2:uid="{70CB52F0-13D0-4DEF-9D62-F132841D12EE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Totaalblad Objecten" sheetId="7" r:id="rId7"/>
    <sheet name="Additioneel werk" sheetId="8" r:id="rId8"/>
    <sheet name="Afroep" sheetId="10" r:id="rId9"/>
    <sheet name="Afroep incidenteel" sheetId="11" r:id="rId10"/>
    <sheet name="Glas" sheetId="12" r:id="rId11"/>
    <sheet name="Glas per locatie" sheetId="13" r:id="rId12"/>
    <sheet name="Totaal" sheetId="14" r:id="rId13"/>
  </sheets>
  <definedNames>
    <definedName name="_xlnm._FilterDatabase" localSheetId="3" hidden="1">'Ruimten werkdag'!$A$3:$U$268</definedName>
    <definedName name="_xlnm.Print_Titles" localSheetId="7">'Additioneel werk'!$1:$3</definedName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6">'Totaalblad Objecten'!$A:$A,'Totaalblad Objecten'!$1:$3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EZB_1">Categorienormen!$F$24</definedName>
    <definedName name="catdw_1_EZV_40">Categorienormen!$F$25</definedName>
    <definedName name="catdw_1_GHB_1">Categorienormen!$F$26</definedName>
    <definedName name="catdw_1_GHV_40">Categorienormen!$F$27</definedName>
    <definedName name="catdw_1_IHB_1">Categorienormen!$F$28</definedName>
    <definedName name="catdw_1_IHV_40">Categorienormen!$F$29</definedName>
    <definedName name="catdw_1_KHB_1">Categorienormen!$F$20</definedName>
    <definedName name="catdw_1_KHV_40">Categorienormen!$F$21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MHB_1">Categorienormen!$F$14</definedName>
    <definedName name="catdw_1_MHV_40">Categorienormen!$F$15</definedName>
    <definedName name="catdw_1_PHB_1">Categorienormen!$F$30</definedName>
    <definedName name="catdw_1_PHV_40">Categorienormen!$F$31</definedName>
    <definedName name="catdw_1_PMHB_1">Categorienormen!$F$16</definedName>
    <definedName name="catdw_1_PMHV_40">Categorienormen!$F$17</definedName>
    <definedName name="catdw_1_PUHB_1">Categorienormen!$F$18</definedName>
    <definedName name="catdw_1_PUHV_40">Categorienormen!$F$19</definedName>
    <definedName name="catdw_1_RZB_1">Categorienormen!$F$32</definedName>
    <definedName name="catdw_1_RZV_40">Categorienormen!$F$33</definedName>
    <definedName name="catdw_1_SHB_1">Categorienormen!$F$22</definedName>
    <definedName name="catdw_1_SHV_40">Categorienormen!$F$23</definedName>
    <definedName name="catdw_1_THB_1">Categorienormen!$F$34</definedName>
    <definedName name="catdw_1_THV_40">Categorienormen!$F$35</definedName>
    <definedName name="catdw_1_TZB_1">Categorienormen!$F$36</definedName>
    <definedName name="catdw_1_TZV_40">Categorienormen!$F$37</definedName>
    <definedName name="catdw_1_VHB_1">Categorienormen!$F$38</definedName>
    <definedName name="catdw_1_VHV_40">Categorienormen!$F$39</definedName>
    <definedName name="catdw_1_VZB_1">Categorienormen!$F$40</definedName>
    <definedName name="catdw_1_VZV_40">Categorienormen!$F$41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EZB_1">Categorienormen!$C$24</definedName>
    <definedName name="catfd_1_EZV_40">Categorienormen!$C$25</definedName>
    <definedName name="catfd_1_GHB_1">Categorienormen!$C$26</definedName>
    <definedName name="catfd_1_GHV_40">Categorienormen!$C$27</definedName>
    <definedName name="catfd_1_IHB_1">Categorienormen!$C$28</definedName>
    <definedName name="catfd_1_IHV_40">Categorienormen!$C$29</definedName>
    <definedName name="catfd_1_KHB_1">Categorienormen!$C$20</definedName>
    <definedName name="catfd_1_KHV_40">Categorienormen!$C$21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MHB_1">Categorienormen!$C$14</definedName>
    <definedName name="catfd_1_MHV_40">Categorienormen!$C$15</definedName>
    <definedName name="catfd_1_PHB_1">Categorienormen!$C$30</definedName>
    <definedName name="catfd_1_PHV_40">Categorienormen!$C$31</definedName>
    <definedName name="catfd_1_PMHB_1">Categorienormen!$C$16</definedName>
    <definedName name="catfd_1_PMHV_40">Categorienormen!$C$17</definedName>
    <definedName name="catfd_1_PUHB_1">Categorienormen!$C$18</definedName>
    <definedName name="catfd_1_PUHV_40">Categorienormen!$C$19</definedName>
    <definedName name="catfd_1_RZB_1">Categorienormen!$C$32</definedName>
    <definedName name="catfd_1_RZV_40">Categorienormen!$C$33</definedName>
    <definedName name="catfd_1_SHB_1">Categorienormen!$C$22</definedName>
    <definedName name="catfd_1_SHV_40">Categorienormen!$C$23</definedName>
    <definedName name="catfd_1_THB_1">Categorienormen!$C$34</definedName>
    <definedName name="catfd_1_THV_40">Categorienormen!$C$35</definedName>
    <definedName name="catfd_1_TZB_1">Categorienormen!$C$36</definedName>
    <definedName name="catfd_1_TZV_40">Categorienormen!$C$37</definedName>
    <definedName name="catfd_1_VHB_1">Categorienormen!$C$38</definedName>
    <definedName name="catfd_1_VHV_40">Categorienormen!$C$39</definedName>
    <definedName name="catfd_1_VZB_1">Categorienormen!$C$40</definedName>
    <definedName name="catfd_1_VZV_40">Categorienormen!$C$41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EZB_1">Categorienormen!$E$24</definedName>
    <definedName name="catpn_1_EZV_40">Categorienormen!$E$25</definedName>
    <definedName name="catpn_1_GHB_1">Categorienormen!$E$26</definedName>
    <definedName name="catpn_1_GHV_40">Categorienormen!$E$27</definedName>
    <definedName name="catpn_1_IHB_1">Categorienormen!$E$28</definedName>
    <definedName name="catpn_1_IHV_40">Categorienormen!$E$29</definedName>
    <definedName name="catpn_1_KHB_1">Categorienormen!$E$20</definedName>
    <definedName name="catpn_1_KHV_40">Categorienormen!$E$21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MHB_1">Categorienormen!$E$14</definedName>
    <definedName name="catpn_1_MHV_40">Categorienormen!$E$15</definedName>
    <definedName name="catpn_1_PHB_1">Categorienormen!$E$30</definedName>
    <definedName name="catpn_1_PHV_40">Categorienormen!$E$31</definedName>
    <definedName name="catpn_1_PMHB_1">Categorienormen!$E$16</definedName>
    <definedName name="catpn_1_PMHV_40">Categorienormen!$E$17</definedName>
    <definedName name="catpn_1_PUHB_1">Categorienormen!$E$18</definedName>
    <definedName name="catpn_1_PUHV_40">Categorienormen!$E$19</definedName>
    <definedName name="catpn_1_RZB_1">Categorienormen!$E$32</definedName>
    <definedName name="catpn_1_RZV_40">Categorienormen!$E$33</definedName>
    <definedName name="catpn_1_SHB_1">Categorienormen!$E$22</definedName>
    <definedName name="catpn_1_SHV_40">Categorienormen!$E$23</definedName>
    <definedName name="catpn_1_THB_1">Categorienormen!$E$34</definedName>
    <definedName name="catpn_1_THV_40">Categorienormen!$E$35</definedName>
    <definedName name="catpn_1_TZB_1">Categorienormen!$E$36</definedName>
    <definedName name="catpn_1_TZV_40">Categorienormen!$E$37</definedName>
    <definedName name="catpn_1_VHB_1">Categorienormen!$E$38</definedName>
    <definedName name="catpn_1_VHV_40">Categorienormen!$E$39</definedName>
    <definedName name="catpn_1_VZB_1">Categorienormen!$E$40</definedName>
    <definedName name="catpn_1_VZV_40">Categorienormen!$E$41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EZB_1">Categorienormen!$H$24</definedName>
    <definedName name="cattf_1_EZV_40">Categorienormen!$H$25</definedName>
    <definedName name="cattf_1_GHB_1">Categorienormen!$H$26</definedName>
    <definedName name="cattf_1_GHV_40">Categorienormen!$H$27</definedName>
    <definedName name="cattf_1_IHB_1">Categorienormen!$H$28</definedName>
    <definedName name="cattf_1_IHV_40">Categorienormen!$H$29</definedName>
    <definedName name="cattf_1_KHB_1">Categorienormen!$H$20</definedName>
    <definedName name="cattf_1_KHV_40">Categorienormen!$H$21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MHB_1">Categorienormen!$H$14</definedName>
    <definedName name="cattf_1_MHV_40">Categorienormen!$H$15</definedName>
    <definedName name="cattf_1_PHB_1">Categorienormen!$H$30</definedName>
    <definedName name="cattf_1_PHV_40">Categorienormen!$H$31</definedName>
    <definedName name="cattf_1_PMHB_1">Categorienormen!$H$16</definedName>
    <definedName name="cattf_1_PMHV_40">Categorienormen!$H$17</definedName>
    <definedName name="cattf_1_PUHB_1">Categorienormen!$H$18</definedName>
    <definedName name="cattf_1_PUHV_40">Categorienormen!$H$19</definedName>
    <definedName name="cattf_1_RZB_1">Categorienormen!$H$32</definedName>
    <definedName name="cattf_1_RZV_40">Categorienormen!$H$33</definedName>
    <definedName name="cattf_1_SHB_1">Categorienormen!$H$22</definedName>
    <definedName name="cattf_1_SHV_40">Categorienormen!$H$23</definedName>
    <definedName name="cattf_1_THB_1">Categorienormen!$H$34</definedName>
    <definedName name="cattf_1_THV_40">Categorienormen!$H$35</definedName>
    <definedName name="cattf_1_TZB_1">Categorienormen!$H$36</definedName>
    <definedName name="cattf_1_TZV_40">Categorienormen!$H$37</definedName>
    <definedName name="cattf_1_VHB_1">Categorienormen!$H$38</definedName>
    <definedName name="cattf_1_VHV_40">Categorienormen!$H$39</definedName>
    <definedName name="cattf_1_VZB_1">Categorienormen!$H$40</definedName>
    <definedName name="cattf_1_VZV_40">Categorienormen!$H$41</definedName>
    <definedName name="dagenperjaar1">Omreken!$B$9</definedName>
    <definedName name="dagenperweek1">Omreken!$B$10</definedName>
    <definedName name="dagsoorttabel1">Omreken!$A$13:$B$27</definedName>
    <definedName name="dagwerk10">'Regulier werk'!$H$8</definedName>
    <definedName name="dagwerk11">'Regulier werk'!$H$9</definedName>
    <definedName name="dagwerk12">'Regulier werk'!$H$10</definedName>
    <definedName name="dagwerk13">'Regulier werk'!$H$11</definedName>
    <definedName name="dagwerk14">'Regulier werk'!$H$12</definedName>
    <definedName name="dagwerk15">'Regulier werk'!$H$13</definedName>
    <definedName name="dagwerk16">'Regulier werk'!$H$14</definedName>
    <definedName name="dagwerk17">'Regulier werk'!$H$15</definedName>
    <definedName name="dagwerk18">'Regulier werk'!$H$16</definedName>
    <definedName name="dagwerk19">'Regulier werk'!$H$17</definedName>
    <definedName name="dagwerk20">'Regulier werk'!$H$18</definedName>
    <definedName name="dagwerk21">'Regulier werk'!$H$19</definedName>
    <definedName name="dagwerk22">'Regulier werk'!$H$20</definedName>
    <definedName name="dagwerk23">'Regulier werk'!$H$21</definedName>
    <definedName name="dagwerk24">'Regulier werk'!$H$22</definedName>
    <definedName name="dagwerk25">'Regulier werk'!$H$23</definedName>
    <definedName name="dagwerk26">'Regulier werk'!$H$24</definedName>
    <definedName name="dagwerk27">'Regulier werk'!$H$25</definedName>
    <definedName name="dagwerk28">'Regulier werk'!$H$26</definedName>
    <definedName name="dagwerk29">'Regulier werk'!$H$27</definedName>
    <definedName name="dagwerk30">'Regulier werk'!$H$28</definedName>
    <definedName name="dagwerk31">'Regulier werk'!$H$29</definedName>
    <definedName name="dagwerk32">'Regulier werk'!$H$30</definedName>
    <definedName name="dagwerk33">'Regulier werk'!$H$31</definedName>
    <definedName name="dagwerk8">'Regulier werk'!$H$6</definedName>
    <definedName name="dagwerk9">'Regulier werk'!$H$7</definedName>
    <definedName name="dagwerktabel1">Objectinformatie!$H$5:$H$30</definedName>
    <definedName name="gemuurtarief1">'Regulier werk'!$J$34</definedName>
    <definedName name="kengetaltabel1">Objectinformatie!$G$5:$G$30</definedName>
    <definedName name="object1_gemuurtarief1">'Ruimten werkdag'!$P$157</definedName>
    <definedName name="object1_opptabel1">Objectinformatie!$J$5:$J$30</definedName>
    <definedName name="object1_prijsdag1">'Ruimten werkdag'!$S$157</definedName>
    <definedName name="object1_prijsjaar1">'Ruimten werkdag'!$U$157</definedName>
    <definedName name="object1_urendag1">'Ruimten werkdag'!$Q$157</definedName>
    <definedName name="object1_urendaghf1">'Ruimten werkdag'!$R$157</definedName>
    <definedName name="object1_urenjaar1">'Ruimten werkdag'!$T$157</definedName>
    <definedName name="object2_gemuurtarief1">'Ruimten werkdag'!$P$268</definedName>
    <definedName name="object2_opptabel1">Objectinformatie!$K$5:$K$30</definedName>
    <definedName name="object2_prijsdag1">'Ruimten werkdag'!$S$268</definedName>
    <definedName name="object2_prijsjaar1">'Ruimten werkdag'!$U$268</definedName>
    <definedName name="object2_urendag1">'Ruimten werkdag'!$Q$268</definedName>
    <definedName name="object2_urendaghf1">'Ruimten werkdag'!$R$268</definedName>
    <definedName name="object2_urenjaar1">'Ruimten werkdag'!$T$268</definedName>
    <definedName name="objectprijs1_1">Objecten!$Q$6</definedName>
    <definedName name="objectprijs2_1">Objecten!$Q$7</definedName>
    <definedName name="objecturen1_1">Objecten!$P$6</definedName>
    <definedName name="objecturen2_1">Objecten!$P$7</definedName>
    <definedName name="objecturenhf1_1">Objecten!$O$6</definedName>
    <definedName name="objecturenhf2_1">Objecten!$O$7</definedName>
    <definedName name="prijsdag1">'Regulier werk'!$L$32</definedName>
    <definedName name="prijsjaar">'Regulier werk'!$N$37</definedName>
    <definedName name="prijsjaar1">'Regulier werk'!$N$32</definedName>
    <definedName name="prijsjaaradditioneel">'Additioneel werk'!$K$9</definedName>
    <definedName name="prijsjaaradditioneel1">'Additioneel werk'!$K$7</definedName>
    <definedName name="prijsjaarafroep">Afroep!$K$11</definedName>
    <definedName name="prijsjaarafroep1">Afroep!$K$9</definedName>
    <definedName name="prijsjaarglas">Glas!$K$14</definedName>
    <definedName name="prijsjaarglas1">Glas!$K$12</definedName>
    <definedName name="prijsjaartotaal">Objecten!$Q$11</definedName>
    <definedName name="prijsjaartotaal1">Objecten!$Q$8</definedName>
    <definedName name="prijsjaartotaaloverzicht">'Totaalblad Objecten'!$B$12</definedName>
    <definedName name="prijsmaandtotaal1">Objecten!$R$8</definedName>
    <definedName name="prodnorm0">Afroep!$H$8</definedName>
    <definedName name="prodnorm1">'Glas per locatie'!$I$12</definedName>
    <definedName name="prodnorm10">'Regulier werk'!$G$8</definedName>
    <definedName name="prodnorm11">'Regulier werk'!$G$9</definedName>
    <definedName name="prodnorm12">'Regulier werk'!$G$10</definedName>
    <definedName name="prodnorm13">'Regulier werk'!$G$11</definedName>
    <definedName name="prodnorm14">'Regulier werk'!$G$12</definedName>
    <definedName name="prodnorm15">'Regulier werk'!$G$13</definedName>
    <definedName name="prodnorm16">'Regulier werk'!$G$14</definedName>
    <definedName name="prodnorm17">'Regulier werk'!$G$15</definedName>
    <definedName name="prodnorm18">'Regulier werk'!$G$16</definedName>
    <definedName name="prodnorm19">'Regulier werk'!$G$17</definedName>
    <definedName name="prodnorm2">'Glas per locatie'!$I$13</definedName>
    <definedName name="prodnorm20">'Regulier werk'!$G$18</definedName>
    <definedName name="prodnorm21">'Regulier werk'!$G$19</definedName>
    <definedName name="prodnorm22">'Regulier werk'!$G$20</definedName>
    <definedName name="prodnorm23">'Regulier werk'!$G$21</definedName>
    <definedName name="prodnorm24">'Regulier werk'!$G$22</definedName>
    <definedName name="prodnorm25">'Regulier werk'!$G$23</definedName>
    <definedName name="prodnorm26">'Regulier werk'!$G$24</definedName>
    <definedName name="prodnorm27">'Regulier werk'!$G$25</definedName>
    <definedName name="prodnorm28">'Regulier werk'!$G$26</definedName>
    <definedName name="prodnorm29">'Regulier werk'!$G$27</definedName>
    <definedName name="prodnorm3">'Glas per locatie'!$I$14</definedName>
    <definedName name="prodnorm30">'Regulier werk'!$G$28</definedName>
    <definedName name="prodnorm31">'Regulier werk'!$G$29</definedName>
    <definedName name="prodnorm32">'Regulier werk'!$G$30</definedName>
    <definedName name="prodnorm33">'Regulier werk'!$G$31</definedName>
    <definedName name="prodnorm4">'Glas per locatie'!$I$15</definedName>
    <definedName name="prodnorm5">'Glas per locatie'!$I$16</definedName>
    <definedName name="prodnorm6">'Glas per locatie'!$I$17</definedName>
    <definedName name="prodnorm8">'Regulier werk'!$G$6</definedName>
    <definedName name="prodnorm9">'Regulier werk'!$G$7</definedName>
    <definedName name="taakfreqtabel1">Objectinformatie!$E$5:$E$30</definedName>
    <definedName name="tabeltype">Omreken!$B$5:$B$5</definedName>
    <definedName name="tarieftabel1">Objectinformatie!$I$5:$I$30</definedName>
    <definedName name="urendag1">'Regulier werk'!$K$32</definedName>
    <definedName name="urenjaar">'Regulier werk'!$M$37</definedName>
    <definedName name="urenjaar1">'Regulier werk'!$M$32</definedName>
    <definedName name="urenjaartotaal">Objecten!$P$11</definedName>
    <definedName name="urenjaartotaal1">Objecten!$P$8</definedName>
    <definedName name="urenjaartotaalhf">Objecten!$O$11</definedName>
    <definedName name="urenjaartotaalhf1">Objecten!$O$8</definedName>
    <definedName name="urenjaartotaaloverzicht">'Totaalblad Objecten'!$B$10</definedName>
    <definedName name="urenjaartotaaloverzichthf">'Totaalblad Objecten'!$B$9</definedName>
    <definedName name="uurfactortabel1">Objectinformatie!$F$5:$F$30</definedName>
    <definedName name="uurtarief0">'Afroep incidenteel'!$E$91</definedName>
    <definedName name="uurtarief1">'Glas per locatie'!$J$12</definedName>
    <definedName name="uurtarief10">'Regulier werk'!$J$8</definedName>
    <definedName name="uurtarief11">'Regulier werk'!$J$9</definedName>
    <definedName name="uurtarief12">'Regulier werk'!$J$10</definedName>
    <definedName name="uurtarief13">'Regulier werk'!$J$11</definedName>
    <definedName name="uurtarief14">'Regulier werk'!$J$12</definedName>
    <definedName name="uurtarief15">'Regulier werk'!$J$13</definedName>
    <definedName name="uurtarief16">'Regulier werk'!$J$14</definedName>
    <definedName name="uurtarief17">'Regulier werk'!$J$15</definedName>
    <definedName name="uurtarief18">'Regulier werk'!$J$16</definedName>
    <definedName name="uurtarief19">'Regulier werk'!$J$17</definedName>
    <definedName name="uurtarief2">'Glas per locatie'!$J$13</definedName>
    <definedName name="uurtarief20">'Regulier werk'!$J$18</definedName>
    <definedName name="uurtarief21">'Regulier werk'!$J$19</definedName>
    <definedName name="uurtarief22">'Regulier werk'!$J$20</definedName>
    <definedName name="uurtarief23">'Regulier werk'!$J$21</definedName>
    <definedName name="uurtarief24">'Regulier werk'!$J$22</definedName>
    <definedName name="uurtarief25">'Regulier werk'!$J$23</definedName>
    <definedName name="uurtarief26">'Regulier werk'!$J$24</definedName>
    <definedName name="uurtarief27">'Regulier werk'!$J$25</definedName>
    <definedName name="uurtarief28">'Regulier werk'!$J$26</definedName>
    <definedName name="uurtarief29">'Regulier werk'!$J$27</definedName>
    <definedName name="uurtarief3">'Glas per locatie'!$J$14</definedName>
    <definedName name="uurtarief30">'Regulier werk'!$J$28</definedName>
    <definedName name="uurtarief31">'Regulier werk'!$J$29</definedName>
    <definedName name="uurtarief32">'Regulier werk'!$J$30</definedName>
    <definedName name="uurtarief33">'Regulier werk'!$J$31</definedName>
    <definedName name="uurtarief4">'Glas per locatie'!$J$15</definedName>
    <definedName name="uurtarief5">'Glas per locatie'!$J$16</definedName>
    <definedName name="uurtarief6">'Glas per locatie'!$J$17</definedName>
    <definedName name="uurtarief8">'Regulier werk'!$J$6</definedName>
    <definedName name="uurtarief9">'Regulier werk'!$J$7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4" l="1"/>
  <c r="A1" i="14"/>
  <c r="J17" i="13"/>
  <c r="K17" i="13" s="1"/>
  <c r="H17" i="13"/>
  <c r="J16" i="13"/>
  <c r="K16" i="13" s="1"/>
  <c r="H16" i="13"/>
  <c r="J15" i="13"/>
  <c r="K15" i="13" s="1"/>
  <c r="H15" i="13"/>
  <c r="J14" i="13"/>
  <c r="K14" i="13" s="1"/>
  <c r="H14" i="13"/>
  <c r="J13" i="13"/>
  <c r="K13" i="13" s="1"/>
  <c r="H13" i="13"/>
  <c r="J12" i="13"/>
  <c r="K12" i="13" s="1"/>
  <c r="K18" i="13" s="1"/>
  <c r="H12" i="13"/>
  <c r="J8" i="13"/>
  <c r="K8" i="13" s="1"/>
  <c r="H8" i="13"/>
  <c r="J7" i="13"/>
  <c r="K7" i="13" s="1"/>
  <c r="H7" i="13"/>
  <c r="J6" i="13"/>
  <c r="K6" i="13" s="1"/>
  <c r="K9" i="13" s="1"/>
  <c r="H6" i="13"/>
  <c r="A1" i="13"/>
  <c r="J11" i="12"/>
  <c r="J10" i="12"/>
  <c r="J9" i="12"/>
  <c r="J8" i="12"/>
  <c r="J7" i="12"/>
  <c r="J6" i="12"/>
  <c r="A1" i="12"/>
  <c r="A1" i="11"/>
  <c r="J8" i="10"/>
  <c r="J7" i="10"/>
  <c r="J6" i="10"/>
  <c r="A1" i="10"/>
  <c r="J6" i="8"/>
  <c r="A1" i="8"/>
  <c r="B7" i="7"/>
  <c r="A1" i="7"/>
  <c r="A1" i="6"/>
  <c r="I30" i="5"/>
  <c r="H30" i="5"/>
  <c r="G30" i="5"/>
  <c r="I29" i="5"/>
  <c r="H29" i="5"/>
  <c r="G29" i="5"/>
  <c r="I28" i="5"/>
  <c r="H28" i="5"/>
  <c r="G28" i="5"/>
  <c r="P263" i="4"/>
  <c r="N263" i="4"/>
  <c r="M263" i="4"/>
  <c r="P260" i="4"/>
  <c r="N260" i="4"/>
  <c r="M260" i="4"/>
  <c r="P251" i="4"/>
  <c r="N251" i="4"/>
  <c r="M251" i="4"/>
  <c r="P249" i="4"/>
  <c r="N249" i="4"/>
  <c r="M249" i="4"/>
  <c r="P247" i="4"/>
  <c r="N247" i="4"/>
  <c r="M247" i="4"/>
  <c r="P245" i="4"/>
  <c r="N245" i="4"/>
  <c r="M245" i="4"/>
  <c r="P242" i="4"/>
  <c r="N242" i="4"/>
  <c r="M242" i="4"/>
  <c r="P228" i="4"/>
  <c r="N228" i="4"/>
  <c r="M228" i="4"/>
  <c r="P226" i="4"/>
  <c r="N226" i="4"/>
  <c r="M226" i="4"/>
  <c r="P205" i="4"/>
  <c r="N205" i="4"/>
  <c r="M205" i="4"/>
  <c r="P188" i="4"/>
  <c r="N188" i="4"/>
  <c r="M188" i="4"/>
  <c r="P153" i="4"/>
  <c r="N153" i="4"/>
  <c r="M153" i="4"/>
  <c r="P151" i="4"/>
  <c r="N151" i="4"/>
  <c r="M151" i="4"/>
  <c r="P149" i="4"/>
  <c r="N149" i="4"/>
  <c r="M149" i="4"/>
  <c r="P147" i="4"/>
  <c r="N147" i="4"/>
  <c r="M147" i="4"/>
  <c r="P139" i="4"/>
  <c r="N139" i="4"/>
  <c r="M139" i="4"/>
  <c r="P135" i="4"/>
  <c r="N135" i="4"/>
  <c r="M135" i="4"/>
  <c r="P132" i="4"/>
  <c r="N132" i="4"/>
  <c r="M132" i="4"/>
  <c r="P127" i="4"/>
  <c r="N127" i="4"/>
  <c r="M127" i="4"/>
  <c r="P97" i="4"/>
  <c r="N97" i="4"/>
  <c r="M97" i="4"/>
  <c r="P91" i="4"/>
  <c r="N91" i="4"/>
  <c r="M91" i="4"/>
  <c r="P89" i="4"/>
  <c r="N89" i="4"/>
  <c r="M89" i="4"/>
  <c r="P87" i="4"/>
  <c r="N87" i="4"/>
  <c r="M87" i="4"/>
  <c r="P83" i="4"/>
  <c r="N83" i="4"/>
  <c r="M83" i="4"/>
  <c r="P79" i="4"/>
  <c r="N79" i="4"/>
  <c r="M79" i="4"/>
  <c r="P72" i="4"/>
  <c r="N72" i="4"/>
  <c r="M72" i="4"/>
  <c r="P62" i="4"/>
  <c r="N62" i="4"/>
  <c r="M62" i="4"/>
  <c r="P51" i="4"/>
  <c r="N51" i="4"/>
  <c r="M51" i="4"/>
  <c r="P49" i="4"/>
  <c r="N49" i="4"/>
  <c r="M49" i="4"/>
  <c r="P44" i="4"/>
  <c r="N44" i="4"/>
  <c r="M44" i="4"/>
  <c r="P41" i="4"/>
  <c r="N41" i="4"/>
  <c r="M41" i="4"/>
  <c r="P21" i="4"/>
  <c r="N21" i="4"/>
  <c r="M21" i="4"/>
  <c r="P20" i="4"/>
  <c r="N20" i="4"/>
  <c r="M20" i="4"/>
  <c r="P10" i="4"/>
  <c r="N10" i="4"/>
  <c r="M10" i="4"/>
  <c r="A1" i="4"/>
  <c r="K31" i="3"/>
  <c r="K30" i="3"/>
  <c r="K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7" i="5" l="1"/>
  <c r="E26" i="5"/>
  <c r="E25" i="5"/>
  <c r="E24" i="5"/>
  <c r="E23" i="5"/>
  <c r="E22" i="5"/>
  <c r="E21" i="5"/>
  <c r="E20" i="5"/>
  <c r="E19" i="5"/>
  <c r="E18" i="5"/>
  <c r="E17" i="5"/>
  <c r="E16" i="5"/>
  <c r="E13" i="5"/>
  <c r="E12" i="5"/>
  <c r="E10" i="5"/>
  <c r="E9" i="5"/>
  <c r="E7" i="5"/>
  <c r="E5" i="5"/>
  <c r="L267" i="4"/>
  <c r="L262" i="4"/>
  <c r="L259" i="4"/>
  <c r="L253" i="4"/>
  <c r="L252" i="4"/>
  <c r="L250" i="4"/>
  <c r="L248" i="4"/>
  <c r="L246" i="4"/>
  <c r="L244" i="4"/>
  <c r="L241" i="4"/>
  <c r="L240" i="4"/>
  <c r="L239" i="4"/>
  <c r="L231" i="4"/>
  <c r="L230" i="4"/>
  <c r="L229" i="4"/>
  <c r="L227" i="4"/>
  <c r="L225" i="4"/>
  <c r="L224" i="4"/>
  <c r="L223" i="4"/>
  <c r="L222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4" i="4"/>
  <c r="L203" i="4"/>
  <c r="L202" i="4"/>
  <c r="L201" i="4"/>
  <c r="L200" i="4"/>
  <c r="L199" i="4"/>
  <c r="L198" i="4"/>
  <c r="L197" i="4"/>
  <c r="L196" i="4"/>
  <c r="L194" i="4"/>
  <c r="L193" i="4"/>
  <c r="L192" i="4"/>
  <c r="L191" i="4"/>
  <c r="L190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45" i="4"/>
  <c r="L144" i="4"/>
  <c r="L143" i="4"/>
  <c r="L142" i="4"/>
  <c r="L141" i="4"/>
  <c r="L140" i="4"/>
  <c r="L137" i="4"/>
  <c r="L136" i="4"/>
  <c r="L133" i="4"/>
  <c r="L130" i="4"/>
  <c r="L129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05" i="4"/>
  <c r="L104" i="4"/>
  <c r="L102" i="4"/>
  <c r="L101" i="4"/>
  <c r="L100" i="4"/>
  <c r="L95" i="4"/>
  <c r="L85" i="4"/>
  <c r="L84" i="4"/>
  <c r="L81" i="4"/>
  <c r="L77" i="4"/>
  <c r="L75" i="4"/>
  <c r="L70" i="4"/>
  <c r="L69" i="4"/>
  <c r="L66" i="4"/>
  <c r="L65" i="4"/>
  <c r="L64" i="4"/>
  <c r="L60" i="4"/>
  <c r="L59" i="4"/>
  <c r="L58" i="4"/>
  <c r="L57" i="4"/>
  <c r="L56" i="4"/>
  <c r="L55" i="4"/>
  <c r="L54" i="4"/>
  <c r="L53" i="4"/>
  <c r="L52" i="4"/>
  <c r="L47" i="4"/>
  <c r="L46" i="4"/>
  <c r="L45" i="4"/>
  <c r="L42" i="4"/>
  <c r="L38" i="4"/>
  <c r="L37" i="4"/>
  <c r="L36" i="4"/>
  <c r="L35" i="4"/>
  <c r="L34" i="4"/>
  <c r="L33" i="4"/>
  <c r="L30" i="4"/>
  <c r="L29" i="4"/>
  <c r="L28" i="4"/>
  <c r="L27" i="4"/>
  <c r="L26" i="4"/>
  <c r="L25" i="4"/>
  <c r="L24" i="4"/>
  <c r="L23" i="4"/>
  <c r="L22" i="4"/>
  <c r="L19" i="4"/>
  <c r="L18" i="4"/>
  <c r="L17" i="4"/>
  <c r="L16" i="4"/>
  <c r="L15" i="4"/>
  <c r="L14" i="4"/>
  <c r="L13" i="4"/>
  <c r="L12" i="4"/>
  <c r="L11" i="4"/>
  <c r="L8" i="4"/>
  <c r="L7" i="4"/>
  <c r="L6" i="4"/>
  <c r="L5" i="4"/>
  <c r="F28" i="3"/>
  <c r="F27" i="3"/>
  <c r="F26" i="3"/>
  <c r="F25" i="3"/>
  <c r="F24" i="3"/>
  <c r="F23" i="3"/>
  <c r="F22" i="3"/>
  <c r="F21" i="3"/>
  <c r="F20" i="3"/>
  <c r="F19" i="3"/>
  <c r="F18" i="3"/>
  <c r="F17" i="3"/>
  <c r="F14" i="3"/>
  <c r="F13" i="3"/>
  <c r="F11" i="3"/>
  <c r="F10" i="3"/>
  <c r="F8" i="3"/>
  <c r="F6" i="3"/>
  <c r="E30" i="5"/>
  <c r="E15" i="5"/>
  <c r="E14" i="5"/>
  <c r="L266" i="4"/>
  <c r="L265" i="4"/>
  <c r="L264" i="4"/>
  <c r="L261" i="4"/>
  <c r="L258" i="4"/>
  <c r="L257" i="4"/>
  <c r="L256" i="4"/>
  <c r="L255" i="4"/>
  <c r="L254" i="4"/>
  <c r="L243" i="4"/>
  <c r="L238" i="4"/>
  <c r="L237" i="4"/>
  <c r="L236" i="4"/>
  <c r="L235" i="4"/>
  <c r="L234" i="4"/>
  <c r="L233" i="4"/>
  <c r="L232" i="4"/>
  <c r="L189" i="4"/>
  <c r="L156" i="4"/>
  <c r="L155" i="4"/>
  <c r="L154" i="4"/>
  <c r="L153" i="4"/>
  <c r="L151" i="4"/>
  <c r="L149" i="4"/>
  <c r="L147" i="4"/>
  <c r="L139" i="4"/>
  <c r="L135" i="4"/>
  <c r="L132" i="4"/>
  <c r="L128" i="4"/>
  <c r="L127" i="4"/>
  <c r="L112" i="4"/>
  <c r="L111" i="4"/>
  <c r="L110" i="4"/>
  <c r="L109" i="4"/>
  <c r="L108" i="4"/>
  <c r="L107" i="4"/>
  <c r="L106" i="4"/>
  <c r="L103" i="4"/>
  <c r="L99" i="4"/>
  <c r="L98" i="4"/>
  <c r="L97" i="4"/>
  <c r="L94" i="4"/>
  <c r="L93" i="4"/>
  <c r="L92" i="4"/>
  <c r="L91" i="4"/>
  <c r="L89" i="4"/>
  <c r="L87" i="4"/>
  <c r="L83" i="4"/>
  <c r="L80" i="4"/>
  <c r="L79" i="4"/>
  <c r="L76" i="4"/>
  <c r="L74" i="4"/>
  <c r="L73" i="4"/>
  <c r="L72" i="4"/>
  <c r="L68" i="4"/>
  <c r="L67" i="4"/>
  <c r="L63" i="4"/>
  <c r="L62" i="4"/>
  <c r="L51" i="4"/>
  <c r="L49" i="4"/>
  <c r="L44" i="4"/>
  <c r="L41" i="4"/>
  <c r="L39" i="4"/>
  <c r="L32" i="4"/>
  <c r="L31" i="4"/>
  <c r="L10" i="4"/>
  <c r="F31" i="3"/>
  <c r="F16" i="3"/>
  <c r="F15" i="3"/>
  <c r="E11" i="5"/>
  <c r="E8" i="5"/>
  <c r="E6" i="5"/>
  <c r="L221" i="4"/>
  <c r="L195" i="4"/>
  <c r="L152" i="4"/>
  <c r="L150" i="4"/>
  <c r="L148" i="4"/>
  <c r="L146" i="4"/>
  <c r="L138" i="4"/>
  <c r="L134" i="4"/>
  <c r="L131" i="4"/>
  <c r="L126" i="4"/>
  <c r="L96" i="4"/>
  <c r="L90" i="4"/>
  <c r="L88" i="4"/>
  <c r="L86" i="4"/>
  <c r="L82" i="4"/>
  <c r="L78" i="4"/>
  <c r="L71" i="4"/>
  <c r="L61" i="4"/>
  <c r="L50" i="4"/>
  <c r="L48" i="4"/>
  <c r="L43" i="4"/>
  <c r="L40" i="4"/>
  <c r="L9" i="4"/>
  <c r="F12" i="3"/>
  <c r="F9" i="3"/>
  <c r="F7" i="3"/>
  <c r="C8" i="10"/>
  <c r="K8" i="10" s="1"/>
  <c r="L8" i="10" s="1"/>
  <c r="C7" i="10"/>
  <c r="K7" i="10" s="1"/>
  <c r="L7" i="10" s="1"/>
  <c r="C6" i="10"/>
  <c r="K6" i="10" s="1"/>
  <c r="E29" i="5"/>
  <c r="L21" i="4"/>
  <c r="L20" i="4"/>
  <c r="F30" i="3"/>
  <c r="C17" i="13"/>
  <c r="L17" i="13" s="1"/>
  <c r="M17" i="13" s="1"/>
  <c r="C16" i="13"/>
  <c r="L16" i="13" s="1"/>
  <c r="M16" i="13" s="1"/>
  <c r="C15" i="13"/>
  <c r="L15" i="13" s="1"/>
  <c r="M15" i="13" s="1"/>
  <c r="C14" i="13"/>
  <c r="L14" i="13" s="1"/>
  <c r="M14" i="13" s="1"/>
  <c r="C13" i="13"/>
  <c r="L13" i="13" s="1"/>
  <c r="M13" i="13" s="1"/>
  <c r="C12" i="13"/>
  <c r="L12" i="13" s="1"/>
  <c r="C8" i="13"/>
  <c r="L8" i="13" s="1"/>
  <c r="M8" i="13" s="1"/>
  <c r="C7" i="13"/>
  <c r="L7" i="13" s="1"/>
  <c r="M7" i="13" s="1"/>
  <c r="C6" i="13"/>
  <c r="L6" i="13" s="1"/>
  <c r="C11" i="12"/>
  <c r="K11" i="12" s="1"/>
  <c r="L11" i="12" s="1"/>
  <c r="C10" i="12"/>
  <c r="K10" i="12" s="1"/>
  <c r="L10" i="12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6" i="8"/>
  <c r="K6" i="8" s="1"/>
  <c r="E28" i="5"/>
  <c r="L263" i="4"/>
  <c r="L260" i="4"/>
  <c r="L251" i="4"/>
  <c r="L249" i="4"/>
  <c r="L247" i="4"/>
  <c r="L245" i="4"/>
  <c r="L242" i="4"/>
  <c r="L228" i="4"/>
  <c r="L226" i="4"/>
  <c r="L205" i="4"/>
  <c r="L188" i="4"/>
  <c r="F29" i="3"/>
  <c r="G5" i="5"/>
  <c r="M211" i="4"/>
  <c r="M210" i="4"/>
  <c r="M209" i="4"/>
  <c r="M177" i="4"/>
  <c r="K6" i="3"/>
  <c r="H5" i="5"/>
  <c r="N211" i="4"/>
  <c r="N210" i="4"/>
  <c r="N209" i="4"/>
  <c r="N177" i="4"/>
  <c r="I5" i="5"/>
  <c r="P211" i="4"/>
  <c r="P210" i="4"/>
  <c r="P209" i="4"/>
  <c r="P177" i="4"/>
  <c r="L6" i="3"/>
  <c r="G6" i="5"/>
  <c r="M148" i="4"/>
  <c r="M146" i="4"/>
  <c r="M138" i="4"/>
  <c r="M131" i="4"/>
  <c r="M96" i="4"/>
  <c r="M78" i="4"/>
  <c r="M71" i="4"/>
  <c r="M9" i="4"/>
  <c r="K7" i="3"/>
  <c r="M7" i="3" s="1"/>
  <c r="N7" i="3" s="1"/>
  <c r="H6" i="5"/>
  <c r="N148" i="4"/>
  <c r="N146" i="4"/>
  <c r="N138" i="4"/>
  <c r="N131" i="4"/>
  <c r="N96" i="4"/>
  <c r="N78" i="4"/>
  <c r="N71" i="4"/>
  <c r="N9" i="4"/>
  <c r="I6" i="5"/>
  <c r="P148" i="4"/>
  <c r="P146" i="4"/>
  <c r="P138" i="4"/>
  <c r="P131" i="4"/>
  <c r="P96" i="4"/>
  <c r="P78" i="4"/>
  <c r="P71" i="4"/>
  <c r="P9" i="4"/>
  <c r="L7" i="3"/>
  <c r="G7" i="5"/>
  <c r="M231" i="4"/>
  <c r="M230" i="4"/>
  <c r="M229" i="4"/>
  <c r="M208" i="4"/>
  <c r="M207" i="4"/>
  <c r="M204" i="4"/>
  <c r="K8" i="3"/>
  <c r="M8" i="3" s="1"/>
  <c r="N8" i="3" s="1"/>
  <c r="H7" i="5"/>
  <c r="N231" i="4"/>
  <c r="N230" i="4"/>
  <c r="N229" i="4"/>
  <c r="N208" i="4"/>
  <c r="N207" i="4"/>
  <c r="N204" i="4"/>
  <c r="I7" i="5"/>
  <c r="P231" i="4"/>
  <c r="P230" i="4"/>
  <c r="P229" i="4"/>
  <c r="P208" i="4"/>
  <c r="P207" i="4"/>
  <c r="P204" i="4"/>
  <c r="L8" i="3"/>
  <c r="G8" i="5"/>
  <c r="M152" i="4"/>
  <c r="M150" i="4"/>
  <c r="M134" i="4"/>
  <c r="M126" i="4"/>
  <c r="M90" i="4"/>
  <c r="M88" i="4"/>
  <c r="M86" i="4"/>
  <c r="M82" i="4"/>
  <c r="M61" i="4"/>
  <c r="M50" i="4"/>
  <c r="M48" i="4"/>
  <c r="M43" i="4"/>
  <c r="M40" i="4"/>
  <c r="K9" i="3"/>
  <c r="M9" i="3" s="1"/>
  <c r="N9" i="3" s="1"/>
  <c r="H8" i="5"/>
  <c r="N152" i="4"/>
  <c r="N150" i="4"/>
  <c r="N134" i="4"/>
  <c r="N126" i="4"/>
  <c r="N90" i="4"/>
  <c r="N88" i="4"/>
  <c r="N86" i="4"/>
  <c r="N82" i="4"/>
  <c r="N61" i="4"/>
  <c r="N50" i="4"/>
  <c r="N48" i="4"/>
  <c r="N43" i="4"/>
  <c r="N40" i="4"/>
  <c r="I8" i="5"/>
  <c r="P152" i="4"/>
  <c r="P150" i="4"/>
  <c r="P134" i="4"/>
  <c r="P126" i="4"/>
  <c r="P90" i="4"/>
  <c r="P88" i="4"/>
  <c r="P86" i="4"/>
  <c r="P82" i="4"/>
  <c r="P61" i="4"/>
  <c r="P50" i="4"/>
  <c r="P48" i="4"/>
  <c r="P43" i="4"/>
  <c r="P40" i="4"/>
  <c r="L9" i="3"/>
  <c r="G9" i="5"/>
  <c r="M212" i="4"/>
  <c r="M191" i="4"/>
  <c r="M161" i="4"/>
  <c r="M22" i="4"/>
  <c r="M7" i="4"/>
  <c r="K10" i="3"/>
  <c r="M10" i="3" s="1"/>
  <c r="N10" i="3" s="1"/>
  <c r="H9" i="5"/>
  <c r="N212" i="4"/>
  <c r="N191" i="4"/>
  <c r="N161" i="4"/>
  <c r="N22" i="4"/>
  <c r="N7" i="4"/>
  <c r="I9" i="5"/>
  <c r="P212" i="4"/>
  <c r="P191" i="4"/>
  <c r="P161" i="4"/>
  <c r="P22" i="4"/>
  <c r="P7" i="4"/>
  <c r="L10" i="3"/>
  <c r="G10" i="5"/>
  <c r="M223" i="4"/>
  <c r="M222" i="4"/>
  <c r="M194" i="4"/>
  <c r="K11" i="3"/>
  <c r="M11" i="3" s="1"/>
  <c r="N11" i="3" s="1"/>
  <c r="H10" i="5"/>
  <c r="N223" i="4"/>
  <c r="N222" i="4"/>
  <c r="N194" i="4"/>
  <c r="I10" i="5"/>
  <c r="P223" i="4"/>
  <c r="P222" i="4"/>
  <c r="P194" i="4"/>
  <c r="L11" i="3"/>
  <c r="G11" i="5"/>
  <c r="M221" i="4"/>
  <c r="M195" i="4"/>
  <c r="K12" i="3"/>
  <c r="M12" i="3" s="1"/>
  <c r="N12" i="3" s="1"/>
  <c r="H11" i="5"/>
  <c r="N221" i="4"/>
  <c r="N195" i="4"/>
  <c r="I11" i="5"/>
  <c r="P221" i="4"/>
  <c r="P195" i="4"/>
  <c r="L12" i="3"/>
  <c r="G12" i="5"/>
  <c r="M180" i="4"/>
  <c r="M15" i="4"/>
  <c r="K13" i="3"/>
  <c r="M13" i="3" s="1"/>
  <c r="N13" i="3" s="1"/>
  <c r="H12" i="5"/>
  <c r="N180" i="4"/>
  <c r="N15" i="4"/>
  <c r="I12" i="5"/>
  <c r="P180" i="4"/>
  <c r="P15" i="4"/>
  <c r="L13" i="3"/>
  <c r="G13" i="5"/>
  <c r="M198" i="4"/>
  <c r="M197" i="4"/>
  <c r="K14" i="3"/>
  <c r="M14" i="3" s="1"/>
  <c r="N14" i="3" s="1"/>
  <c r="H13" i="5"/>
  <c r="N198" i="4"/>
  <c r="N197" i="4"/>
  <c r="I13" i="5"/>
  <c r="P198" i="4"/>
  <c r="P197" i="4"/>
  <c r="L14" i="3"/>
  <c r="G14" i="5"/>
  <c r="M266" i="4"/>
  <c r="M265" i="4"/>
  <c r="M264" i="4"/>
  <c r="M261" i="4"/>
  <c r="M258" i="4"/>
  <c r="M257" i="4"/>
  <c r="M256" i="4"/>
  <c r="M255" i="4"/>
  <c r="M254" i="4"/>
  <c r="M243" i="4"/>
  <c r="M238" i="4"/>
  <c r="M237" i="4"/>
  <c r="M236" i="4"/>
  <c r="M235" i="4"/>
  <c r="M234" i="4"/>
  <c r="M233" i="4"/>
  <c r="M232" i="4"/>
  <c r="M155" i="4"/>
  <c r="M154" i="4"/>
  <c r="M128" i="4"/>
  <c r="M112" i="4"/>
  <c r="M111" i="4"/>
  <c r="M110" i="4"/>
  <c r="M109" i="4"/>
  <c r="M108" i="4"/>
  <c r="M107" i="4"/>
  <c r="M106" i="4"/>
  <c r="M103" i="4"/>
  <c r="M99" i="4"/>
  <c r="M98" i="4"/>
  <c r="M94" i="4"/>
  <c r="M93" i="4"/>
  <c r="M92" i="4"/>
  <c r="M80" i="4"/>
  <c r="M76" i="4"/>
  <c r="M74" i="4"/>
  <c r="M73" i="4"/>
  <c r="M68" i="4"/>
  <c r="M39" i="4"/>
  <c r="M32" i="4"/>
  <c r="M31" i="4"/>
  <c r="K15" i="3"/>
  <c r="M15" i="3" s="1"/>
  <c r="N15" i="3" s="1"/>
  <c r="H14" i="5"/>
  <c r="N266" i="4"/>
  <c r="N265" i="4"/>
  <c r="N264" i="4"/>
  <c r="N261" i="4"/>
  <c r="N258" i="4"/>
  <c r="N257" i="4"/>
  <c r="N256" i="4"/>
  <c r="N255" i="4"/>
  <c r="N254" i="4"/>
  <c r="N243" i="4"/>
  <c r="N238" i="4"/>
  <c r="N237" i="4"/>
  <c r="N236" i="4"/>
  <c r="N235" i="4"/>
  <c r="N234" i="4"/>
  <c r="N233" i="4"/>
  <c r="N232" i="4"/>
  <c r="N155" i="4"/>
  <c r="N154" i="4"/>
  <c r="N128" i="4"/>
  <c r="N112" i="4"/>
  <c r="N111" i="4"/>
  <c r="N110" i="4"/>
  <c r="N109" i="4"/>
  <c r="N108" i="4"/>
  <c r="N107" i="4"/>
  <c r="N106" i="4"/>
  <c r="N103" i="4"/>
  <c r="N99" i="4"/>
  <c r="N98" i="4"/>
  <c r="N94" i="4"/>
  <c r="N93" i="4"/>
  <c r="N92" i="4"/>
  <c r="N80" i="4"/>
  <c r="N76" i="4"/>
  <c r="N74" i="4"/>
  <c r="N73" i="4"/>
  <c r="N68" i="4"/>
  <c r="N39" i="4"/>
  <c r="N32" i="4"/>
  <c r="N31" i="4"/>
  <c r="I14" i="5"/>
  <c r="P266" i="4"/>
  <c r="P265" i="4"/>
  <c r="P264" i="4"/>
  <c r="P261" i="4"/>
  <c r="P258" i="4"/>
  <c r="P257" i="4"/>
  <c r="P256" i="4"/>
  <c r="P255" i="4"/>
  <c r="P254" i="4"/>
  <c r="P243" i="4"/>
  <c r="P238" i="4"/>
  <c r="P237" i="4"/>
  <c r="P236" i="4"/>
  <c r="P235" i="4"/>
  <c r="P234" i="4"/>
  <c r="P233" i="4"/>
  <c r="P232" i="4"/>
  <c r="P155" i="4"/>
  <c r="P154" i="4"/>
  <c r="P128" i="4"/>
  <c r="P112" i="4"/>
  <c r="P111" i="4"/>
  <c r="P110" i="4"/>
  <c r="P109" i="4"/>
  <c r="P108" i="4"/>
  <c r="P107" i="4"/>
  <c r="P106" i="4"/>
  <c r="P103" i="4"/>
  <c r="P99" i="4"/>
  <c r="P98" i="4"/>
  <c r="P94" i="4"/>
  <c r="P93" i="4"/>
  <c r="P92" i="4"/>
  <c r="P80" i="4"/>
  <c r="P76" i="4"/>
  <c r="P74" i="4"/>
  <c r="P73" i="4"/>
  <c r="P68" i="4"/>
  <c r="P39" i="4"/>
  <c r="P32" i="4"/>
  <c r="P31" i="4"/>
  <c r="L15" i="3"/>
  <c r="G15" i="5"/>
  <c r="M189" i="4"/>
  <c r="M156" i="4"/>
  <c r="M67" i="4"/>
  <c r="M63" i="4"/>
  <c r="K16" i="3"/>
  <c r="M16" i="3" s="1"/>
  <c r="N16" i="3" s="1"/>
  <c r="H15" i="5"/>
  <c r="N189" i="4"/>
  <c r="N156" i="4"/>
  <c r="N67" i="4"/>
  <c r="N63" i="4"/>
  <c r="I15" i="5"/>
  <c r="P189" i="4"/>
  <c r="P156" i="4"/>
  <c r="P67" i="4"/>
  <c r="P63" i="4"/>
  <c r="L16" i="3"/>
  <c r="G16" i="5"/>
  <c r="M184" i="4"/>
  <c r="M183" i="4"/>
  <c r="M165" i="4"/>
  <c r="K17" i="3"/>
  <c r="M17" i="3" s="1"/>
  <c r="N17" i="3" s="1"/>
  <c r="H16" i="5"/>
  <c r="N184" i="4"/>
  <c r="N183" i="4"/>
  <c r="N165" i="4"/>
  <c r="I16" i="5"/>
  <c r="P184" i="4"/>
  <c r="P183" i="4"/>
  <c r="P165" i="4"/>
  <c r="L17" i="3"/>
  <c r="G17" i="5"/>
  <c r="M119" i="4"/>
  <c r="M77" i="4"/>
  <c r="K18" i="3"/>
  <c r="M18" i="3" s="1"/>
  <c r="N18" i="3" s="1"/>
  <c r="H17" i="5"/>
  <c r="N119" i="4"/>
  <c r="N77" i="4"/>
  <c r="I17" i="5"/>
  <c r="P119" i="4"/>
  <c r="P77" i="4"/>
  <c r="L18" i="3"/>
  <c r="G18" i="5"/>
  <c r="M169" i="4"/>
  <c r="M168" i="4"/>
  <c r="M166" i="4"/>
  <c r="M58" i="4"/>
  <c r="K19" i="3"/>
  <c r="M19" i="3" s="1"/>
  <c r="N19" i="3" s="1"/>
  <c r="H18" i="5"/>
  <c r="N169" i="4"/>
  <c r="N168" i="4"/>
  <c r="N166" i="4"/>
  <c r="N58" i="4"/>
  <c r="I18" i="5"/>
  <c r="P169" i="4"/>
  <c r="P168" i="4"/>
  <c r="P166" i="4"/>
  <c r="P58" i="4"/>
  <c r="L19" i="3"/>
  <c r="G19" i="5"/>
  <c r="M179" i="4"/>
  <c r="M178" i="4"/>
  <c r="M176" i="4"/>
  <c r="M175" i="4"/>
  <c r="M174" i="4"/>
  <c r="K20" i="3"/>
  <c r="M20" i="3" s="1"/>
  <c r="N20" i="3" s="1"/>
  <c r="H19" i="5"/>
  <c r="N179" i="4"/>
  <c r="N178" i="4"/>
  <c r="N176" i="4"/>
  <c r="N175" i="4"/>
  <c r="N174" i="4"/>
  <c r="I19" i="5"/>
  <c r="P179" i="4"/>
  <c r="P178" i="4"/>
  <c r="P176" i="4"/>
  <c r="P175" i="4"/>
  <c r="P174" i="4"/>
  <c r="L20" i="3"/>
  <c r="G20" i="5"/>
  <c r="M253" i="4"/>
  <c r="M252" i="4"/>
  <c r="M145" i="4"/>
  <c r="M141" i="4"/>
  <c r="M140" i="4"/>
  <c r="M136" i="4"/>
  <c r="M133" i="4"/>
  <c r="M130" i="4"/>
  <c r="K21" i="3"/>
  <c r="M21" i="3" s="1"/>
  <c r="N21" i="3" s="1"/>
  <c r="H20" i="5"/>
  <c r="N253" i="4"/>
  <c r="N252" i="4"/>
  <c r="N145" i="4"/>
  <c r="N141" i="4"/>
  <c r="N140" i="4"/>
  <c r="N136" i="4"/>
  <c r="N133" i="4"/>
  <c r="N130" i="4"/>
  <c r="I20" i="5"/>
  <c r="P253" i="4"/>
  <c r="P252" i="4"/>
  <c r="P145" i="4"/>
  <c r="P141" i="4"/>
  <c r="P140" i="4"/>
  <c r="P136" i="4"/>
  <c r="P133" i="4"/>
  <c r="P130" i="4"/>
  <c r="L21" i="3"/>
  <c r="G21" i="5"/>
  <c r="M206" i="4"/>
  <c r="M167" i="4"/>
  <c r="M52" i="4"/>
  <c r="K22" i="3"/>
  <c r="M22" i="3" s="1"/>
  <c r="N22" i="3" s="1"/>
  <c r="H21" i="5"/>
  <c r="N206" i="4"/>
  <c r="N167" i="4"/>
  <c r="N52" i="4"/>
  <c r="I21" i="5"/>
  <c r="P206" i="4"/>
  <c r="P167" i="4"/>
  <c r="P52" i="4"/>
  <c r="L22" i="3"/>
  <c r="G22" i="5"/>
  <c r="M240" i="4"/>
  <c r="M239" i="4"/>
  <c r="M224" i="4"/>
  <c r="M220" i="4"/>
  <c r="M217" i="4"/>
  <c r="M216" i="4"/>
  <c r="M215" i="4"/>
  <c r="M214" i="4"/>
  <c r="M203" i="4"/>
  <c r="M201" i="4"/>
  <c r="M200" i="4"/>
  <c r="M199" i="4"/>
  <c r="M196" i="4"/>
  <c r="M182" i="4"/>
  <c r="M144" i="4"/>
  <c r="M143" i="4"/>
  <c r="M125" i="4"/>
  <c r="M124" i="4"/>
  <c r="M118" i="4"/>
  <c r="M117" i="4"/>
  <c r="M101" i="4"/>
  <c r="M100" i="4"/>
  <c r="M56" i="4"/>
  <c r="M54" i="4"/>
  <c r="M37" i="4"/>
  <c r="M35" i="4"/>
  <c r="M33" i="4"/>
  <c r="M28" i="4"/>
  <c r="M26" i="4"/>
  <c r="M18" i="4"/>
  <c r="M16" i="4"/>
  <c r="K23" i="3"/>
  <c r="M23" i="3" s="1"/>
  <c r="N23" i="3" s="1"/>
  <c r="H22" i="5"/>
  <c r="N240" i="4"/>
  <c r="N239" i="4"/>
  <c r="N224" i="4"/>
  <c r="N220" i="4"/>
  <c r="N217" i="4"/>
  <c r="N216" i="4"/>
  <c r="N215" i="4"/>
  <c r="N214" i="4"/>
  <c r="N203" i="4"/>
  <c r="N201" i="4"/>
  <c r="N200" i="4"/>
  <c r="N199" i="4"/>
  <c r="N196" i="4"/>
  <c r="N182" i="4"/>
  <c r="N144" i="4"/>
  <c r="N143" i="4"/>
  <c r="N125" i="4"/>
  <c r="N124" i="4"/>
  <c r="N118" i="4"/>
  <c r="N117" i="4"/>
  <c r="N101" i="4"/>
  <c r="N100" i="4"/>
  <c r="N56" i="4"/>
  <c r="N54" i="4"/>
  <c r="N37" i="4"/>
  <c r="N35" i="4"/>
  <c r="N33" i="4"/>
  <c r="N28" i="4"/>
  <c r="N26" i="4"/>
  <c r="N18" i="4"/>
  <c r="N16" i="4"/>
  <c r="I22" i="5"/>
  <c r="P240" i="4"/>
  <c r="P239" i="4"/>
  <c r="P224" i="4"/>
  <c r="P220" i="4"/>
  <c r="P217" i="4"/>
  <c r="P216" i="4"/>
  <c r="P215" i="4"/>
  <c r="P214" i="4"/>
  <c r="P203" i="4"/>
  <c r="P201" i="4"/>
  <c r="P200" i="4"/>
  <c r="P199" i="4"/>
  <c r="P196" i="4"/>
  <c r="P182" i="4"/>
  <c r="P144" i="4"/>
  <c r="P143" i="4"/>
  <c r="P125" i="4"/>
  <c r="P124" i="4"/>
  <c r="P118" i="4"/>
  <c r="P117" i="4"/>
  <c r="P101" i="4"/>
  <c r="P100" i="4"/>
  <c r="P56" i="4"/>
  <c r="P54" i="4"/>
  <c r="P37" i="4"/>
  <c r="P35" i="4"/>
  <c r="P33" i="4"/>
  <c r="P28" i="4"/>
  <c r="P26" i="4"/>
  <c r="P18" i="4"/>
  <c r="P16" i="4"/>
  <c r="L23" i="3"/>
  <c r="G23" i="5"/>
  <c r="M57" i="4"/>
  <c r="M55" i="4"/>
  <c r="M38" i="4"/>
  <c r="M36" i="4"/>
  <c r="M34" i="4"/>
  <c r="M29" i="4"/>
  <c r="M27" i="4"/>
  <c r="M19" i="4"/>
  <c r="M17" i="4"/>
  <c r="K24" i="3"/>
  <c r="M24" i="3" s="1"/>
  <c r="N24" i="3" s="1"/>
  <c r="H23" i="5"/>
  <c r="N57" i="4"/>
  <c r="N55" i="4"/>
  <c r="N38" i="4"/>
  <c r="N36" i="4"/>
  <c r="N34" i="4"/>
  <c r="N29" i="4"/>
  <c r="N27" i="4"/>
  <c r="N19" i="4"/>
  <c r="N17" i="4"/>
  <c r="I23" i="5"/>
  <c r="P57" i="4"/>
  <c r="P55" i="4"/>
  <c r="P38" i="4"/>
  <c r="P36" i="4"/>
  <c r="P34" i="4"/>
  <c r="P29" i="4"/>
  <c r="P27" i="4"/>
  <c r="P19" i="4"/>
  <c r="P17" i="4"/>
  <c r="L24" i="3"/>
  <c r="G24" i="5"/>
  <c r="M219" i="4"/>
  <c r="M218" i="4"/>
  <c r="M192" i="4"/>
  <c r="M187" i="4"/>
  <c r="M186" i="4"/>
  <c r="M173" i="4"/>
  <c r="M171" i="4"/>
  <c r="M163" i="4"/>
  <c r="M159" i="4"/>
  <c r="M142" i="4"/>
  <c r="M129" i="4"/>
  <c r="M120" i="4"/>
  <c r="M115" i="4"/>
  <c r="M114" i="4"/>
  <c r="M113" i="4"/>
  <c r="M105" i="4"/>
  <c r="M104" i="4"/>
  <c r="M66" i="4"/>
  <c r="M64" i="4"/>
  <c r="M59" i="4"/>
  <c r="M46" i="4"/>
  <c r="M23" i="4"/>
  <c r="M14" i="4"/>
  <c r="M13" i="4"/>
  <c r="M11" i="4"/>
  <c r="M5" i="4"/>
  <c r="K25" i="3"/>
  <c r="M25" i="3" s="1"/>
  <c r="N25" i="3" s="1"/>
  <c r="H24" i="5"/>
  <c r="N219" i="4"/>
  <c r="N218" i="4"/>
  <c r="N192" i="4"/>
  <c r="N187" i="4"/>
  <c r="N186" i="4"/>
  <c r="N173" i="4"/>
  <c r="N171" i="4"/>
  <c r="N163" i="4"/>
  <c r="N159" i="4"/>
  <c r="N142" i="4"/>
  <c r="N129" i="4"/>
  <c r="N120" i="4"/>
  <c r="N115" i="4"/>
  <c r="N114" i="4"/>
  <c r="N113" i="4"/>
  <c r="N105" i="4"/>
  <c r="N104" i="4"/>
  <c r="N66" i="4"/>
  <c r="N64" i="4"/>
  <c r="N59" i="4"/>
  <c r="N46" i="4"/>
  <c r="N23" i="4"/>
  <c r="N14" i="4"/>
  <c r="N13" i="4"/>
  <c r="N11" i="4"/>
  <c r="N5" i="4"/>
  <c r="I24" i="5"/>
  <c r="P219" i="4"/>
  <c r="P218" i="4"/>
  <c r="P192" i="4"/>
  <c r="P187" i="4"/>
  <c r="P186" i="4"/>
  <c r="P173" i="4"/>
  <c r="P171" i="4"/>
  <c r="P163" i="4"/>
  <c r="P159" i="4"/>
  <c r="P142" i="4"/>
  <c r="P129" i="4"/>
  <c r="P120" i="4"/>
  <c r="P115" i="4"/>
  <c r="P114" i="4"/>
  <c r="P113" i="4"/>
  <c r="P105" i="4"/>
  <c r="P104" i="4"/>
  <c r="P66" i="4"/>
  <c r="P64" i="4"/>
  <c r="P59" i="4"/>
  <c r="P46" i="4"/>
  <c r="P23" i="4"/>
  <c r="P14" i="4"/>
  <c r="P13" i="4"/>
  <c r="P11" i="4"/>
  <c r="P5" i="4"/>
  <c r="L25" i="3"/>
  <c r="G25" i="5"/>
  <c r="M185" i="4"/>
  <c r="M172" i="4"/>
  <c r="M65" i="4"/>
  <c r="M12" i="4"/>
  <c r="K26" i="3"/>
  <c r="M26" i="3" s="1"/>
  <c r="N26" i="3" s="1"/>
  <c r="H25" i="5"/>
  <c r="N185" i="4"/>
  <c r="N172" i="4"/>
  <c r="N65" i="4"/>
  <c r="N12" i="4"/>
  <c r="I25" i="5"/>
  <c r="P185" i="4"/>
  <c r="P172" i="4"/>
  <c r="P65" i="4"/>
  <c r="P12" i="4"/>
  <c r="L26" i="3"/>
  <c r="G26" i="5"/>
  <c r="M267" i="4"/>
  <c r="M262" i="4"/>
  <c r="M259" i="4"/>
  <c r="M250" i="4"/>
  <c r="M248" i="4"/>
  <c r="M246" i="4"/>
  <c r="M244" i="4"/>
  <c r="M241" i="4"/>
  <c r="M227" i="4"/>
  <c r="M225" i="4"/>
  <c r="M213" i="4"/>
  <c r="M202" i="4"/>
  <c r="M193" i="4"/>
  <c r="M190" i="4"/>
  <c r="M181" i="4"/>
  <c r="M170" i="4"/>
  <c r="M162" i="4"/>
  <c r="M160" i="4"/>
  <c r="M137" i="4"/>
  <c r="M123" i="4"/>
  <c r="M122" i="4"/>
  <c r="M121" i="4"/>
  <c r="M116" i="4"/>
  <c r="M102" i="4"/>
  <c r="M95" i="4"/>
  <c r="M85" i="4"/>
  <c r="M84" i="4"/>
  <c r="M81" i="4"/>
  <c r="M75" i="4"/>
  <c r="M70" i="4"/>
  <c r="M69" i="4"/>
  <c r="M47" i="4"/>
  <c r="M45" i="4"/>
  <c r="M42" i="4"/>
  <c r="M30" i="4"/>
  <c r="M25" i="4"/>
  <c r="M24" i="4"/>
  <c r="M8" i="4"/>
  <c r="K27" i="3"/>
  <c r="M27" i="3" s="1"/>
  <c r="N27" i="3" s="1"/>
  <c r="H26" i="5"/>
  <c r="N267" i="4"/>
  <c r="N262" i="4"/>
  <c r="N259" i="4"/>
  <c r="N250" i="4"/>
  <c r="N248" i="4"/>
  <c r="N246" i="4"/>
  <c r="N244" i="4"/>
  <c r="N241" i="4"/>
  <c r="N227" i="4"/>
  <c r="N225" i="4"/>
  <c r="N213" i="4"/>
  <c r="N202" i="4"/>
  <c r="N193" i="4"/>
  <c r="N190" i="4"/>
  <c r="N181" i="4"/>
  <c r="N170" i="4"/>
  <c r="N162" i="4"/>
  <c r="N160" i="4"/>
  <c r="N137" i="4"/>
  <c r="N123" i="4"/>
  <c r="N122" i="4"/>
  <c r="N121" i="4"/>
  <c r="N116" i="4"/>
  <c r="N102" i="4"/>
  <c r="N95" i="4"/>
  <c r="N85" i="4"/>
  <c r="N84" i="4"/>
  <c r="N81" i="4"/>
  <c r="N75" i="4"/>
  <c r="N70" i="4"/>
  <c r="N69" i="4"/>
  <c r="N47" i="4"/>
  <c r="N45" i="4"/>
  <c r="N42" i="4"/>
  <c r="N30" i="4"/>
  <c r="N25" i="4"/>
  <c r="N24" i="4"/>
  <c r="N8" i="4"/>
  <c r="I26" i="5"/>
  <c r="P267" i="4"/>
  <c r="P262" i="4"/>
  <c r="P259" i="4"/>
  <c r="P250" i="4"/>
  <c r="P248" i="4"/>
  <c r="P246" i="4"/>
  <c r="P244" i="4"/>
  <c r="P241" i="4"/>
  <c r="P227" i="4"/>
  <c r="P225" i="4"/>
  <c r="P213" i="4"/>
  <c r="P202" i="4"/>
  <c r="P193" i="4"/>
  <c r="P190" i="4"/>
  <c r="P181" i="4"/>
  <c r="P170" i="4"/>
  <c r="P162" i="4"/>
  <c r="P160" i="4"/>
  <c r="P137" i="4"/>
  <c r="P123" i="4"/>
  <c r="P122" i="4"/>
  <c r="P121" i="4"/>
  <c r="P116" i="4"/>
  <c r="P102" i="4"/>
  <c r="P95" i="4"/>
  <c r="P85" i="4"/>
  <c r="P84" i="4"/>
  <c r="P81" i="4"/>
  <c r="P75" i="4"/>
  <c r="P70" i="4"/>
  <c r="P69" i="4"/>
  <c r="P47" i="4"/>
  <c r="P45" i="4"/>
  <c r="P42" i="4"/>
  <c r="P30" i="4"/>
  <c r="P25" i="4"/>
  <c r="P24" i="4"/>
  <c r="P8" i="4"/>
  <c r="L27" i="3"/>
  <c r="G27" i="5"/>
  <c r="M164" i="4"/>
  <c r="M60" i="4"/>
  <c r="M53" i="4"/>
  <c r="M6" i="4"/>
  <c r="K28" i="3"/>
  <c r="M28" i="3" s="1"/>
  <c r="N28" i="3" s="1"/>
  <c r="H27" i="5"/>
  <c r="N164" i="4"/>
  <c r="N60" i="4"/>
  <c r="N53" i="4"/>
  <c r="N6" i="4"/>
  <c r="I27" i="5"/>
  <c r="P164" i="4"/>
  <c r="P60" i="4"/>
  <c r="P53" i="4"/>
  <c r="P6" i="4"/>
  <c r="L28" i="3"/>
  <c r="M29" i="3"/>
  <c r="N29" i="3" s="1"/>
  <c r="L29" i="3"/>
  <c r="M30" i="3"/>
  <c r="N30" i="3" s="1"/>
  <c r="L30" i="3"/>
  <c r="M31" i="3"/>
  <c r="N31" i="3" s="1"/>
  <c r="L31" i="3"/>
  <c r="Q10" i="4"/>
  <c r="S10" i="4"/>
  <c r="Q20" i="4"/>
  <c r="S20" i="4"/>
  <c r="Q21" i="4"/>
  <c r="S21" i="4"/>
  <c r="Q41" i="4"/>
  <c r="S41" i="4"/>
  <c r="Q44" i="4"/>
  <c r="S44" i="4"/>
  <c r="Q49" i="4"/>
  <c r="S49" i="4"/>
  <c r="Q51" i="4"/>
  <c r="S51" i="4"/>
  <c r="Q62" i="4"/>
  <c r="S62" i="4"/>
  <c r="Q72" i="4"/>
  <c r="S72" i="4"/>
  <c r="Q79" i="4"/>
  <c r="S79" i="4"/>
  <c r="Q83" i="4"/>
  <c r="S83" i="4"/>
  <c r="Q87" i="4"/>
  <c r="S87" i="4"/>
  <c r="Q89" i="4"/>
  <c r="S89" i="4"/>
  <c r="Q91" i="4"/>
  <c r="S91" i="4"/>
  <c r="Q97" i="4"/>
  <c r="S97" i="4"/>
  <c r="Q127" i="4"/>
  <c r="S127" i="4"/>
  <c r="Q132" i="4"/>
  <c r="S132" i="4"/>
  <c r="Q135" i="4"/>
  <c r="S135" i="4"/>
  <c r="Q139" i="4"/>
  <c r="S139" i="4"/>
  <c r="Q147" i="4"/>
  <c r="S147" i="4"/>
  <c r="Q149" i="4"/>
  <c r="S149" i="4"/>
  <c r="Q151" i="4"/>
  <c r="S151" i="4"/>
  <c r="Q153" i="4"/>
  <c r="S153" i="4"/>
  <c r="Q188" i="4"/>
  <c r="S188" i="4"/>
  <c r="Q205" i="4"/>
  <c r="S205" i="4"/>
  <c r="Q226" i="4"/>
  <c r="S226" i="4"/>
  <c r="Q228" i="4"/>
  <c r="S228" i="4"/>
  <c r="Q242" i="4"/>
  <c r="S242" i="4"/>
  <c r="Q245" i="4"/>
  <c r="S245" i="4"/>
  <c r="Q247" i="4"/>
  <c r="S247" i="4"/>
  <c r="Q249" i="4"/>
  <c r="S249" i="4"/>
  <c r="Q251" i="4"/>
  <c r="S251" i="4"/>
  <c r="Q260" i="4"/>
  <c r="S260" i="4"/>
  <c r="Q263" i="4"/>
  <c r="S263" i="4"/>
  <c r="T263" i="4" l="1"/>
  <c r="U263" i="4" s="1"/>
  <c r="R263" i="4"/>
  <c r="T260" i="4"/>
  <c r="U260" i="4" s="1"/>
  <c r="R260" i="4"/>
  <c r="T251" i="4"/>
  <c r="U251" i="4" s="1"/>
  <c r="R251" i="4"/>
  <c r="T249" i="4"/>
  <c r="U249" i="4" s="1"/>
  <c r="R249" i="4"/>
  <c r="T247" i="4"/>
  <c r="U247" i="4" s="1"/>
  <c r="R247" i="4"/>
  <c r="T245" i="4"/>
  <c r="U245" i="4" s="1"/>
  <c r="R245" i="4"/>
  <c r="T242" i="4"/>
  <c r="U242" i="4" s="1"/>
  <c r="R242" i="4"/>
  <c r="T228" i="4"/>
  <c r="U228" i="4" s="1"/>
  <c r="R228" i="4"/>
  <c r="T226" i="4"/>
  <c r="U226" i="4" s="1"/>
  <c r="R226" i="4"/>
  <c r="T205" i="4"/>
  <c r="U205" i="4" s="1"/>
  <c r="R205" i="4"/>
  <c r="T188" i="4"/>
  <c r="U188" i="4" s="1"/>
  <c r="R188" i="4"/>
  <c r="T153" i="4"/>
  <c r="U153" i="4" s="1"/>
  <c r="R153" i="4"/>
  <c r="T151" i="4"/>
  <c r="U151" i="4" s="1"/>
  <c r="R151" i="4"/>
  <c r="T149" i="4"/>
  <c r="U149" i="4" s="1"/>
  <c r="R149" i="4"/>
  <c r="T147" i="4"/>
  <c r="U147" i="4" s="1"/>
  <c r="R147" i="4"/>
  <c r="T139" i="4"/>
  <c r="U139" i="4" s="1"/>
  <c r="R139" i="4"/>
  <c r="T135" i="4"/>
  <c r="U135" i="4" s="1"/>
  <c r="R135" i="4"/>
  <c r="T132" i="4"/>
  <c r="U132" i="4" s="1"/>
  <c r="R132" i="4"/>
  <c r="T127" i="4"/>
  <c r="U127" i="4" s="1"/>
  <c r="R127" i="4"/>
  <c r="T97" i="4"/>
  <c r="U97" i="4" s="1"/>
  <c r="R97" i="4"/>
  <c r="T91" i="4"/>
  <c r="U91" i="4" s="1"/>
  <c r="R91" i="4"/>
  <c r="T89" i="4"/>
  <c r="U89" i="4" s="1"/>
  <c r="R89" i="4"/>
  <c r="T87" i="4"/>
  <c r="U87" i="4" s="1"/>
  <c r="R87" i="4"/>
  <c r="T83" i="4"/>
  <c r="U83" i="4" s="1"/>
  <c r="R83" i="4"/>
  <c r="T79" i="4"/>
  <c r="U79" i="4" s="1"/>
  <c r="R79" i="4"/>
  <c r="T72" i="4"/>
  <c r="U72" i="4" s="1"/>
  <c r="R72" i="4"/>
  <c r="T62" i="4"/>
  <c r="U62" i="4" s="1"/>
  <c r="R62" i="4"/>
  <c r="T51" i="4"/>
  <c r="U51" i="4" s="1"/>
  <c r="R51" i="4"/>
  <c r="T49" i="4"/>
  <c r="U49" i="4" s="1"/>
  <c r="R49" i="4"/>
  <c r="T44" i="4"/>
  <c r="U44" i="4" s="1"/>
  <c r="R44" i="4"/>
  <c r="T41" i="4"/>
  <c r="U41" i="4" s="1"/>
  <c r="R41" i="4"/>
  <c r="T21" i="4"/>
  <c r="U21" i="4" s="1"/>
  <c r="R21" i="4"/>
  <c r="T20" i="4"/>
  <c r="U20" i="4" s="1"/>
  <c r="R20" i="4"/>
  <c r="T10" i="4"/>
  <c r="U10" i="4" s="1"/>
  <c r="R10" i="4"/>
  <c r="Q6" i="4"/>
  <c r="Q53" i="4"/>
  <c r="Q60" i="4"/>
  <c r="Q164" i="4"/>
  <c r="Q8" i="4"/>
  <c r="Q24" i="4"/>
  <c r="Q25" i="4"/>
  <c r="Q30" i="4"/>
  <c r="Q42" i="4"/>
  <c r="Q45" i="4"/>
  <c r="Q47" i="4"/>
  <c r="Q69" i="4"/>
  <c r="Q70" i="4"/>
  <c r="Q75" i="4"/>
  <c r="Q81" i="4"/>
  <c r="Q84" i="4"/>
  <c r="Q85" i="4"/>
  <c r="Q95" i="4"/>
  <c r="Q102" i="4"/>
  <c r="Q116" i="4"/>
  <c r="Q121" i="4"/>
  <c r="Q122" i="4"/>
  <c r="Q123" i="4"/>
  <c r="Q137" i="4"/>
  <c r="Q160" i="4"/>
  <c r="Q162" i="4"/>
  <c r="Q170" i="4"/>
  <c r="Q181" i="4"/>
  <c r="Q190" i="4"/>
  <c r="Q193" i="4"/>
  <c r="Q202" i="4"/>
  <c r="Q213" i="4"/>
  <c r="Q225" i="4"/>
  <c r="Q227" i="4"/>
  <c r="Q241" i="4"/>
  <c r="Q244" i="4"/>
  <c r="Q246" i="4"/>
  <c r="Q248" i="4"/>
  <c r="Q250" i="4"/>
  <c r="Q259" i="4"/>
  <c r="Q262" i="4"/>
  <c r="Q267" i="4"/>
  <c r="Q12" i="4"/>
  <c r="Q65" i="4"/>
  <c r="Q172" i="4"/>
  <c r="Q185" i="4"/>
  <c r="Q5" i="4"/>
  <c r="Q11" i="4"/>
  <c r="Q13" i="4"/>
  <c r="Q14" i="4"/>
  <c r="Q23" i="4"/>
  <c r="Q46" i="4"/>
  <c r="Q59" i="4"/>
  <c r="Q64" i="4"/>
  <c r="Q66" i="4"/>
  <c r="Q104" i="4"/>
  <c r="Q105" i="4"/>
  <c r="Q113" i="4"/>
  <c r="Q114" i="4"/>
  <c r="Q115" i="4"/>
  <c r="Q120" i="4"/>
  <c r="Q129" i="4"/>
  <c r="Q142" i="4"/>
  <c r="Q159" i="4"/>
  <c r="Q163" i="4"/>
  <c r="Q171" i="4"/>
  <c r="Q173" i="4"/>
  <c r="Q186" i="4"/>
  <c r="Q187" i="4"/>
  <c r="Q192" i="4"/>
  <c r="Q218" i="4"/>
  <c r="Q219" i="4"/>
  <c r="Q17" i="4"/>
  <c r="Q19" i="4"/>
  <c r="Q27" i="4"/>
  <c r="Q29" i="4"/>
  <c r="Q34" i="4"/>
  <c r="Q36" i="4"/>
  <c r="Q38" i="4"/>
  <c r="Q55" i="4"/>
  <c r="Q57" i="4"/>
  <c r="Q16" i="4"/>
  <c r="Q18" i="4"/>
  <c r="Q26" i="4"/>
  <c r="Q28" i="4"/>
  <c r="Q33" i="4"/>
  <c r="Q35" i="4"/>
  <c r="Q37" i="4"/>
  <c r="Q54" i="4"/>
  <c r="Q56" i="4"/>
  <c r="Q100" i="4"/>
  <c r="Q101" i="4"/>
  <c r="Q117" i="4"/>
  <c r="Q118" i="4"/>
  <c r="Q124" i="4"/>
  <c r="Q125" i="4"/>
  <c r="Q143" i="4"/>
  <c r="Q144" i="4"/>
  <c r="Q182" i="4"/>
  <c r="Q196" i="4"/>
  <c r="Q199" i="4"/>
  <c r="Q200" i="4"/>
  <c r="Q201" i="4"/>
  <c r="Q203" i="4"/>
  <c r="Q214" i="4"/>
  <c r="Q215" i="4"/>
  <c r="Q216" i="4"/>
  <c r="Q217" i="4"/>
  <c r="Q220" i="4"/>
  <c r="Q224" i="4"/>
  <c r="Q239" i="4"/>
  <c r="Q240" i="4"/>
  <c r="Q52" i="4"/>
  <c r="Q167" i="4"/>
  <c r="Q206" i="4"/>
  <c r="Q130" i="4"/>
  <c r="Q133" i="4"/>
  <c r="Q136" i="4"/>
  <c r="Q140" i="4"/>
  <c r="Q141" i="4"/>
  <c r="Q145" i="4"/>
  <c r="Q252" i="4"/>
  <c r="Q253" i="4"/>
  <c r="Q174" i="4"/>
  <c r="Q175" i="4"/>
  <c r="Q176" i="4"/>
  <c r="Q178" i="4"/>
  <c r="Q179" i="4"/>
  <c r="Q58" i="4"/>
  <c r="Q166" i="4"/>
  <c r="Q168" i="4"/>
  <c r="Q169" i="4"/>
  <c r="Q77" i="4"/>
  <c r="Q119" i="4"/>
  <c r="Q165" i="4"/>
  <c r="Q183" i="4"/>
  <c r="Q184" i="4"/>
  <c r="Q63" i="4"/>
  <c r="Q67" i="4"/>
  <c r="Q156" i="4"/>
  <c r="Q189" i="4"/>
  <c r="Q31" i="4"/>
  <c r="Q32" i="4"/>
  <c r="Q39" i="4"/>
  <c r="Q68" i="4"/>
  <c r="Q73" i="4"/>
  <c r="Q74" i="4"/>
  <c r="Q76" i="4"/>
  <c r="Q80" i="4"/>
  <c r="Q92" i="4"/>
  <c r="Q93" i="4"/>
  <c r="Q94" i="4"/>
  <c r="Q98" i="4"/>
  <c r="Q99" i="4"/>
  <c r="Q103" i="4"/>
  <c r="Q106" i="4"/>
  <c r="Q107" i="4"/>
  <c r="Q108" i="4"/>
  <c r="Q109" i="4"/>
  <c r="Q110" i="4"/>
  <c r="Q111" i="4"/>
  <c r="Q112" i="4"/>
  <c r="Q128" i="4"/>
  <c r="Q154" i="4"/>
  <c r="Q155" i="4"/>
  <c r="Q232" i="4"/>
  <c r="Q233" i="4"/>
  <c r="Q234" i="4"/>
  <c r="Q235" i="4"/>
  <c r="Q236" i="4"/>
  <c r="Q237" i="4"/>
  <c r="Q238" i="4"/>
  <c r="Q243" i="4"/>
  <c r="Q254" i="4"/>
  <c r="Q255" i="4"/>
  <c r="Q256" i="4"/>
  <c r="Q257" i="4"/>
  <c r="Q258" i="4"/>
  <c r="Q261" i="4"/>
  <c r="Q264" i="4"/>
  <c r="Q265" i="4"/>
  <c r="Q266" i="4"/>
  <c r="Q197" i="4"/>
  <c r="Q198" i="4"/>
  <c r="Q15" i="4"/>
  <c r="Q180" i="4"/>
  <c r="Q195" i="4"/>
  <c r="Q221" i="4"/>
  <c r="Q194" i="4"/>
  <c r="Q222" i="4"/>
  <c r="Q223" i="4"/>
  <c r="Q7" i="4"/>
  <c r="Q22" i="4"/>
  <c r="Q161" i="4"/>
  <c r="Q191" i="4"/>
  <c r="Q212" i="4"/>
  <c r="Q40" i="4"/>
  <c r="Q43" i="4"/>
  <c r="Q48" i="4"/>
  <c r="Q50" i="4"/>
  <c r="Q61" i="4"/>
  <c r="Q82" i="4"/>
  <c r="Q86" i="4"/>
  <c r="Q88" i="4"/>
  <c r="Q90" i="4"/>
  <c r="Q126" i="4"/>
  <c r="Q134" i="4"/>
  <c r="Q150" i="4"/>
  <c r="Q152" i="4"/>
  <c r="Q204" i="4"/>
  <c r="Q207" i="4"/>
  <c r="Q208" i="4"/>
  <c r="Q229" i="4"/>
  <c r="Q230" i="4"/>
  <c r="Q231" i="4"/>
  <c r="Q9" i="4"/>
  <c r="Q71" i="4"/>
  <c r="Q78" i="4"/>
  <c r="Q96" i="4"/>
  <c r="Q131" i="4"/>
  <c r="Q138" i="4"/>
  <c r="Q146" i="4"/>
  <c r="Q148" i="4"/>
  <c r="L32" i="3"/>
  <c r="K32" i="3"/>
  <c r="M6" i="3"/>
  <c r="Q177" i="4"/>
  <c r="Q209" i="4"/>
  <c r="Q210" i="4"/>
  <c r="Q211" i="4"/>
  <c r="K7" i="8"/>
  <c r="L6" i="8"/>
  <c r="K12" i="12"/>
  <c r="L6" i="12"/>
  <c r="L9" i="13"/>
  <c r="M9" i="13" s="1"/>
  <c r="M6" i="13"/>
  <c r="L18" i="13"/>
  <c r="M18" i="13" s="1"/>
  <c r="M12" i="13"/>
  <c r="K9" i="10"/>
  <c r="L6" i="10"/>
  <c r="K11" i="10" l="1"/>
  <c r="L9" i="10"/>
  <c r="K14" i="12"/>
  <c r="L12" i="12"/>
  <c r="K9" i="8"/>
  <c r="L7" i="8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177" i="4"/>
  <c r="U177" i="4" s="1"/>
  <c r="S177" i="4"/>
  <c r="R177" i="4"/>
  <c r="M32" i="3"/>
  <c r="N6" i="3"/>
  <c r="N32" i="3" s="1"/>
  <c r="N37" i="3" s="1"/>
  <c r="T148" i="4"/>
  <c r="U148" i="4" s="1"/>
  <c r="S148" i="4"/>
  <c r="R148" i="4"/>
  <c r="T146" i="4"/>
  <c r="U146" i="4" s="1"/>
  <c r="S146" i="4"/>
  <c r="R146" i="4"/>
  <c r="T138" i="4"/>
  <c r="U138" i="4" s="1"/>
  <c r="S138" i="4"/>
  <c r="R138" i="4"/>
  <c r="T131" i="4"/>
  <c r="U131" i="4" s="1"/>
  <c r="S131" i="4"/>
  <c r="R131" i="4"/>
  <c r="T96" i="4"/>
  <c r="U96" i="4" s="1"/>
  <c r="S96" i="4"/>
  <c r="R96" i="4"/>
  <c r="T78" i="4"/>
  <c r="U78" i="4" s="1"/>
  <c r="S78" i="4"/>
  <c r="R78" i="4"/>
  <c r="T71" i="4"/>
  <c r="U71" i="4" s="1"/>
  <c r="S71" i="4"/>
  <c r="R71" i="4"/>
  <c r="T9" i="4"/>
  <c r="U9" i="4" s="1"/>
  <c r="S9" i="4"/>
  <c r="R9" i="4"/>
  <c r="T231" i="4"/>
  <c r="U231" i="4" s="1"/>
  <c r="S231" i="4"/>
  <c r="R231" i="4"/>
  <c r="T230" i="4"/>
  <c r="U230" i="4" s="1"/>
  <c r="S230" i="4"/>
  <c r="R230" i="4"/>
  <c r="T229" i="4"/>
  <c r="U229" i="4" s="1"/>
  <c r="S229" i="4"/>
  <c r="R229" i="4"/>
  <c r="T208" i="4"/>
  <c r="U208" i="4" s="1"/>
  <c r="S208" i="4"/>
  <c r="R208" i="4"/>
  <c r="T207" i="4"/>
  <c r="U207" i="4" s="1"/>
  <c r="S207" i="4"/>
  <c r="R207" i="4"/>
  <c r="T204" i="4"/>
  <c r="U204" i="4" s="1"/>
  <c r="S204" i="4"/>
  <c r="R204" i="4"/>
  <c r="T152" i="4"/>
  <c r="U152" i="4" s="1"/>
  <c r="S152" i="4"/>
  <c r="R152" i="4"/>
  <c r="T150" i="4"/>
  <c r="U150" i="4" s="1"/>
  <c r="S150" i="4"/>
  <c r="R150" i="4"/>
  <c r="T134" i="4"/>
  <c r="U134" i="4" s="1"/>
  <c r="S134" i="4"/>
  <c r="R134" i="4"/>
  <c r="T126" i="4"/>
  <c r="U126" i="4" s="1"/>
  <c r="S126" i="4"/>
  <c r="R126" i="4"/>
  <c r="T90" i="4"/>
  <c r="U90" i="4" s="1"/>
  <c r="S90" i="4"/>
  <c r="R90" i="4"/>
  <c r="T88" i="4"/>
  <c r="U88" i="4" s="1"/>
  <c r="S88" i="4"/>
  <c r="R88" i="4"/>
  <c r="T86" i="4"/>
  <c r="U86" i="4" s="1"/>
  <c r="S86" i="4"/>
  <c r="R86" i="4"/>
  <c r="T82" i="4"/>
  <c r="U82" i="4" s="1"/>
  <c r="S82" i="4"/>
  <c r="R82" i="4"/>
  <c r="T61" i="4"/>
  <c r="U61" i="4" s="1"/>
  <c r="S61" i="4"/>
  <c r="R61" i="4"/>
  <c r="T50" i="4"/>
  <c r="U50" i="4" s="1"/>
  <c r="S50" i="4"/>
  <c r="R50" i="4"/>
  <c r="T48" i="4"/>
  <c r="U48" i="4" s="1"/>
  <c r="S48" i="4"/>
  <c r="R48" i="4"/>
  <c r="T43" i="4"/>
  <c r="U43" i="4" s="1"/>
  <c r="S43" i="4"/>
  <c r="R43" i="4"/>
  <c r="T40" i="4"/>
  <c r="U40" i="4" s="1"/>
  <c r="S40" i="4"/>
  <c r="R40" i="4"/>
  <c r="T212" i="4"/>
  <c r="U212" i="4" s="1"/>
  <c r="S212" i="4"/>
  <c r="R212" i="4"/>
  <c r="T191" i="4"/>
  <c r="U191" i="4" s="1"/>
  <c r="S191" i="4"/>
  <c r="R191" i="4"/>
  <c r="T161" i="4"/>
  <c r="U161" i="4" s="1"/>
  <c r="S161" i="4"/>
  <c r="R161" i="4"/>
  <c r="T22" i="4"/>
  <c r="U22" i="4" s="1"/>
  <c r="S22" i="4"/>
  <c r="R22" i="4"/>
  <c r="T7" i="4"/>
  <c r="U7" i="4" s="1"/>
  <c r="S7" i="4"/>
  <c r="R7" i="4"/>
  <c r="T223" i="4"/>
  <c r="U223" i="4" s="1"/>
  <c r="S223" i="4"/>
  <c r="R223" i="4"/>
  <c r="T222" i="4"/>
  <c r="U222" i="4" s="1"/>
  <c r="S222" i="4"/>
  <c r="R222" i="4"/>
  <c r="T194" i="4"/>
  <c r="U194" i="4" s="1"/>
  <c r="S194" i="4"/>
  <c r="R194" i="4"/>
  <c r="T221" i="4"/>
  <c r="U221" i="4" s="1"/>
  <c r="S221" i="4"/>
  <c r="R221" i="4"/>
  <c r="T195" i="4"/>
  <c r="U195" i="4" s="1"/>
  <c r="S195" i="4"/>
  <c r="R195" i="4"/>
  <c r="T180" i="4"/>
  <c r="U180" i="4" s="1"/>
  <c r="S180" i="4"/>
  <c r="R180" i="4"/>
  <c r="T15" i="4"/>
  <c r="U15" i="4" s="1"/>
  <c r="S15" i="4"/>
  <c r="R15" i="4"/>
  <c r="T198" i="4"/>
  <c r="U198" i="4" s="1"/>
  <c r="S198" i="4"/>
  <c r="R198" i="4"/>
  <c r="T197" i="4"/>
  <c r="U197" i="4" s="1"/>
  <c r="S197" i="4"/>
  <c r="R197" i="4"/>
  <c r="T266" i="4"/>
  <c r="U266" i="4" s="1"/>
  <c r="S266" i="4"/>
  <c r="R266" i="4"/>
  <c r="T265" i="4"/>
  <c r="U265" i="4" s="1"/>
  <c r="S265" i="4"/>
  <c r="R265" i="4"/>
  <c r="T264" i="4"/>
  <c r="U264" i="4" s="1"/>
  <c r="S264" i="4"/>
  <c r="R264" i="4"/>
  <c r="T261" i="4"/>
  <c r="U261" i="4" s="1"/>
  <c r="S261" i="4"/>
  <c r="R261" i="4"/>
  <c r="T258" i="4"/>
  <c r="U258" i="4" s="1"/>
  <c r="S258" i="4"/>
  <c r="R258" i="4"/>
  <c r="T257" i="4"/>
  <c r="U257" i="4" s="1"/>
  <c r="S257" i="4"/>
  <c r="R257" i="4"/>
  <c r="T256" i="4"/>
  <c r="U256" i="4" s="1"/>
  <c r="S256" i="4"/>
  <c r="R256" i="4"/>
  <c r="T255" i="4"/>
  <c r="U255" i="4" s="1"/>
  <c r="S255" i="4"/>
  <c r="R255" i="4"/>
  <c r="T254" i="4"/>
  <c r="U254" i="4" s="1"/>
  <c r="S254" i="4"/>
  <c r="R254" i="4"/>
  <c r="T243" i="4"/>
  <c r="U243" i="4" s="1"/>
  <c r="S243" i="4"/>
  <c r="R243" i="4"/>
  <c r="T238" i="4"/>
  <c r="U238" i="4" s="1"/>
  <c r="S238" i="4"/>
  <c r="R238" i="4"/>
  <c r="T237" i="4"/>
  <c r="U237" i="4" s="1"/>
  <c r="S237" i="4"/>
  <c r="R237" i="4"/>
  <c r="T236" i="4"/>
  <c r="U236" i="4" s="1"/>
  <c r="S236" i="4"/>
  <c r="R236" i="4"/>
  <c r="T235" i="4"/>
  <c r="U235" i="4" s="1"/>
  <c r="S235" i="4"/>
  <c r="R235" i="4"/>
  <c r="T234" i="4"/>
  <c r="U234" i="4" s="1"/>
  <c r="S234" i="4"/>
  <c r="R234" i="4"/>
  <c r="T233" i="4"/>
  <c r="U233" i="4" s="1"/>
  <c r="S233" i="4"/>
  <c r="R233" i="4"/>
  <c r="T232" i="4"/>
  <c r="U232" i="4" s="1"/>
  <c r="S232" i="4"/>
  <c r="R232" i="4"/>
  <c r="T155" i="4"/>
  <c r="U155" i="4" s="1"/>
  <c r="S155" i="4"/>
  <c r="R155" i="4"/>
  <c r="T154" i="4"/>
  <c r="U154" i="4" s="1"/>
  <c r="S154" i="4"/>
  <c r="R154" i="4"/>
  <c r="T128" i="4"/>
  <c r="U128" i="4" s="1"/>
  <c r="S128" i="4"/>
  <c r="R128" i="4"/>
  <c r="T112" i="4"/>
  <c r="U112" i="4" s="1"/>
  <c r="S112" i="4"/>
  <c r="R112" i="4"/>
  <c r="T111" i="4"/>
  <c r="U111" i="4" s="1"/>
  <c r="S111" i="4"/>
  <c r="R111" i="4"/>
  <c r="T110" i="4"/>
  <c r="U110" i="4" s="1"/>
  <c r="S110" i="4"/>
  <c r="R110" i="4"/>
  <c r="T109" i="4"/>
  <c r="U109" i="4" s="1"/>
  <c r="S109" i="4"/>
  <c r="R109" i="4"/>
  <c r="T108" i="4"/>
  <c r="U108" i="4" s="1"/>
  <c r="S108" i="4"/>
  <c r="R108" i="4"/>
  <c r="T107" i="4"/>
  <c r="U107" i="4" s="1"/>
  <c r="S107" i="4"/>
  <c r="R107" i="4"/>
  <c r="T106" i="4"/>
  <c r="U106" i="4" s="1"/>
  <c r="S106" i="4"/>
  <c r="R106" i="4"/>
  <c r="T103" i="4"/>
  <c r="U103" i="4" s="1"/>
  <c r="S103" i="4"/>
  <c r="R103" i="4"/>
  <c r="T99" i="4"/>
  <c r="U99" i="4" s="1"/>
  <c r="S99" i="4"/>
  <c r="R99" i="4"/>
  <c r="T98" i="4"/>
  <c r="U98" i="4" s="1"/>
  <c r="S98" i="4"/>
  <c r="R98" i="4"/>
  <c r="T94" i="4"/>
  <c r="U94" i="4" s="1"/>
  <c r="S94" i="4"/>
  <c r="R94" i="4"/>
  <c r="T93" i="4"/>
  <c r="U93" i="4" s="1"/>
  <c r="S93" i="4"/>
  <c r="R93" i="4"/>
  <c r="T92" i="4"/>
  <c r="U92" i="4" s="1"/>
  <c r="S92" i="4"/>
  <c r="R92" i="4"/>
  <c r="T80" i="4"/>
  <c r="U80" i="4" s="1"/>
  <c r="S80" i="4"/>
  <c r="R80" i="4"/>
  <c r="T76" i="4"/>
  <c r="U76" i="4" s="1"/>
  <c r="S76" i="4"/>
  <c r="R76" i="4"/>
  <c r="T74" i="4"/>
  <c r="U74" i="4" s="1"/>
  <c r="S74" i="4"/>
  <c r="R74" i="4"/>
  <c r="T73" i="4"/>
  <c r="U73" i="4" s="1"/>
  <c r="S73" i="4"/>
  <c r="R73" i="4"/>
  <c r="T68" i="4"/>
  <c r="U68" i="4" s="1"/>
  <c r="S68" i="4"/>
  <c r="R68" i="4"/>
  <c r="T39" i="4"/>
  <c r="U39" i="4" s="1"/>
  <c r="S39" i="4"/>
  <c r="R39" i="4"/>
  <c r="T32" i="4"/>
  <c r="U32" i="4" s="1"/>
  <c r="S32" i="4"/>
  <c r="R32" i="4"/>
  <c r="T31" i="4"/>
  <c r="U31" i="4" s="1"/>
  <c r="S31" i="4"/>
  <c r="R31" i="4"/>
  <c r="T189" i="4"/>
  <c r="U189" i="4" s="1"/>
  <c r="S189" i="4"/>
  <c r="R189" i="4"/>
  <c r="T156" i="4"/>
  <c r="U156" i="4" s="1"/>
  <c r="S156" i="4"/>
  <c r="R156" i="4"/>
  <c r="T67" i="4"/>
  <c r="U67" i="4" s="1"/>
  <c r="S67" i="4"/>
  <c r="R67" i="4"/>
  <c r="T63" i="4"/>
  <c r="U63" i="4" s="1"/>
  <c r="S63" i="4"/>
  <c r="R63" i="4"/>
  <c r="T184" i="4"/>
  <c r="U184" i="4" s="1"/>
  <c r="S184" i="4"/>
  <c r="R184" i="4"/>
  <c r="T183" i="4"/>
  <c r="U183" i="4" s="1"/>
  <c r="S183" i="4"/>
  <c r="R183" i="4"/>
  <c r="T165" i="4"/>
  <c r="U165" i="4" s="1"/>
  <c r="S165" i="4"/>
  <c r="R165" i="4"/>
  <c r="T119" i="4"/>
  <c r="U119" i="4" s="1"/>
  <c r="S119" i="4"/>
  <c r="R119" i="4"/>
  <c r="T77" i="4"/>
  <c r="U77" i="4" s="1"/>
  <c r="S77" i="4"/>
  <c r="R77" i="4"/>
  <c r="T169" i="4"/>
  <c r="U169" i="4" s="1"/>
  <c r="S169" i="4"/>
  <c r="R169" i="4"/>
  <c r="T168" i="4"/>
  <c r="U168" i="4" s="1"/>
  <c r="S168" i="4"/>
  <c r="R168" i="4"/>
  <c r="T166" i="4"/>
  <c r="U166" i="4" s="1"/>
  <c r="S166" i="4"/>
  <c r="R166" i="4"/>
  <c r="T58" i="4"/>
  <c r="U58" i="4" s="1"/>
  <c r="S58" i="4"/>
  <c r="R58" i="4"/>
  <c r="T179" i="4"/>
  <c r="U179" i="4" s="1"/>
  <c r="S179" i="4"/>
  <c r="R179" i="4"/>
  <c r="T178" i="4"/>
  <c r="U178" i="4" s="1"/>
  <c r="S178" i="4"/>
  <c r="R178" i="4"/>
  <c r="T176" i="4"/>
  <c r="U176" i="4" s="1"/>
  <c r="S176" i="4"/>
  <c r="R176" i="4"/>
  <c r="T175" i="4"/>
  <c r="U175" i="4" s="1"/>
  <c r="S175" i="4"/>
  <c r="R175" i="4"/>
  <c r="T174" i="4"/>
  <c r="U174" i="4" s="1"/>
  <c r="S174" i="4"/>
  <c r="R174" i="4"/>
  <c r="T253" i="4"/>
  <c r="U253" i="4" s="1"/>
  <c r="S253" i="4"/>
  <c r="R253" i="4"/>
  <c r="T252" i="4"/>
  <c r="U252" i="4" s="1"/>
  <c r="S252" i="4"/>
  <c r="R252" i="4"/>
  <c r="T145" i="4"/>
  <c r="U145" i="4" s="1"/>
  <c r="S145" i="4"/>
  <c r="R145" i="4"/>
  <c r="T141" i="4"/>
  <c r="U141" i="4" s="1"/>
  <c r="S141" i="4"/>
  <c r="R141" i="4"/>
  <c r="T140" i="4"/>
  <c r="U140" i="4" s="1"/>
  <c r="S140" i="4"/>
  <c r="R140" i="4"/>
  <c r="T136" i="4"/>
  <c r="U136" i="4" s="1"/>
  <c r="S136" i="4"/>
  <c r="R136" i="4"/>
  <c r="T133" i="4"/>
  <c r="U133" i="4" s="1"/>
  <c r="S133" i="4"/>
  <c r="R133" i="4"/>
  <c r="T130" i="4"/>
  <c r="U130" i="4" s="1"/>
  <c r="S130" i="4"/>
  <c r="R130" i="4"/>
  <c r="T206" i="4"/>
  <c r="U206" i="4" s="1"/>
  <c r="S206" i="4"/>
  <c r="R206" i="4"/>
  <c r="T167" i="4"/>
  <c r="U167" i="4" s="1"/>
  <c r="S167" i="4"/>
  <c r="R167" i="4"/>
  <c r="T52" i="4"/>
  <c r="U52" i="4" s="1"/>
  <c r="S52" i="4"/>
  <c r="R52" i="4"/>
  <c r="T240" i="4"/>
  <c r="U240" i="4" s="1"/>
  <c r="S240" i="4"/>
  <c r="R240" i="4"/>
  <c r="T239" i="4"/>
  <c r="U239" i="4" s="1"/>
  <c r="S239" i="4"/>
  <c r="R239" i="4"/>
  <c r="T224" i="4"/>
  <c r="U224" i="4" s="1"/>
  <c r="S224" i="4"/>
  <c r="R224" i="4"/>
  <c r="T220" i="4"/>
  <c r="U220" i="4" s="1"/>
  <c r="S220" i="4"/>
  <c r="R220" i="4"/>
  <c r="T217" i="4"/>
  <c r="U217" i="4" s="1"/>
  <c r="S217" i="4"/>
  <c r="R217" i="4"/>
  <c r="T216" i="4"/>
  <c r="U216" i="4" s="1"/>
  <c r="S216" i="4"/>
  <c r="R216" i="4"/>
  <c r="T215" i="4"/>
  <c r="U215" i="4" s="1"/>
  <c r="S215" i="4"/>
  <c r="R215" i="4"/>
  <c r="T214" i="4"/>
  <c r="U214" i="4" s="1"/>
  <c r="S214" i="4"/>
  <c r="R214" i="4"/>
  <c r="T203" i="4"/>
  <c r="U203" i="4" s="1"/>
  <c r="S203" i="4"/>
  <c r="R203" i="4"/>
  <c r="T201" i="4"/>
  <c r="U201" i="4" s="1"/>
  <c r="S201" i="4"/>
  <c r="R201" i="4"/>
  <c r="T200" i="4"/>
  <c r="U200" i="4" s="1"/>
  <c r="S200" i="4"/>
  <c r="R200" i="4"/>
  <c r="T199" i="4"/>
  <c r="U199" i="4" s="1"/>
  <c r="S199" i="4"/>
  <c r="R199" i="4"/>
  <c r="T196" i="4"/>
  <c r="U196" i="4" s="1"/>
  <c r="S196" i="4"/>
  <c r="R196" i="4"/>
  <c r="T182" i="4"/>
  <c r="U182" i="4" s="1"/>
  <c r="S182" i="4"/>
  <c r="R182" i="4"/>
  <c r="T144" i="4"/>
  <c r="U144" i="4" s="1"/>
  <c r="S144" i="4"/>
  <c r="R144" i="4"/>
  <c r="T143" i="4"/>
  <c r="U143" i="4" s="1"/>
  <c r="S143" i="4"/>
  <c r="R143" i="4"/>
  <c r="T125" i="4"/>
  <c r="U125" i="4" s="1"/>
  <c r="S125" i="4"/>
  <c r="R125" i="4"/>
  <c r="T124" i="4"/>
  <c r="U124" i="4" s="1"/>
  <c r="S124" i="4"/>
  <c r="R124" i="4"/>
  <c r="T118" i="4"/>
  <c r="U118" i="4" s="1"/>
  <c r="S118" i="4"/>
  <c r="R118" i="4"/>
  <c r="T117" i="4"/>
  <c r="U117" i="4" s="1"/>
  <c r="S117" i="4"/>
  <c r="R117" i="4"/>
  <c r="T101" i="4"/>
  <c r="U101" i="4" s="1"/>
  <c r="S101" i="4"/>
  <c r="R101" i="4"/>
  <c r="T100" i="4"/>
  <c r="U100" i="4" s="1"/>
  <c r="S100" i="4"/>
  <c r="R100" i="4"/>
  <c r="T56" i="4"/>
  <c r="U56" i="4" s="1"/>
  <c r="S56" i="4"/>
  <c r="R56" i="4"/>
  <c r="T54" i="4"/>
  <c r="U54" i="4" s="1"/>
  <c r="S54" i="4"/>
  <c r="R54" i="4"/>
  <c r="T37" i="4"/>
  <c r="U37" i="4" s="1"/>
  <c r="S37" i="4"/>
  <c r="R37" i="4"/>
  <c r="T35" i="4"/>
  <c r="U35" i="4" s="1"/>
  <c r="S35" i="4"/>
  <c r="R35" i="4"/>
  <c r="T33" i="4"/>
  <c r="U33" i="4" s="1"/>
  <c r="S33" i="4"/>
  <c r="R33" i="4"/>
  <c r="T28" i="4"/>
  <c r="U28" i="4" s="1"/>
  <c r="S28" i="4"/>
  <c r="R28" i="4"/>
  <c r="T26" i="4"/>
  <c r="U26" i="4" s="1"/>
  <c r="S26" i="4"/>
  <c r="R26" i="4"/>
  <c r="T18" i="4"/>
  <c r="U18" i="4" s="1"/>
  <c r="S18" i="4"/>
  <c r="R18" i="4"/>
  <c r="T16" i="4"/>
  <c r="U16" i="4" s="1"/>
  <c r="S16" i="4"/>
  <c r="R16" i="4"/>
  <c r="T57" i="4"/>
  <c r="U57" i="4" s="1"/>
  <c r="S57" i="4"/>
  <c r="R57" i="4"/>
  <c r="T55" i="4"/>
  <c r="U55" i="4" s="1"/>
  <c r="S55" i="4"/>
  <c r="R55" i="4"/>
  <c r="T38" i="4"/>
  <c r="U38" i="4" s="1"/>
  <c r="S38" i="4"/>
  <c r="R38" i="4"/>
  <c r="T36" i="4"/>
  <c r="U36" i="4" s="1"/>
  <c r="S36" i="4"/>
  <c r="R36" i="4"/>
  <c r="T34" i="4"/>
  <c r="U34" i="4" s="1"/>
  <c r="S34" i="4"/>
  <c r="R34" i="4"/>
  <c r="T29" i="4"/>
  <c r="U29" i="4" s="1"/>
  <c r="S29" i="4"/>
  <c r="R29" i="4"/>
  <c r="T27" i="4"/>
  <c r="U27" i="4" s="1"/>
  <c r="S27" i="4"/>
  <c r="R27" i="4"/>
  <c r="T19" i="4"/>
  <c r="U19" i="4" s="1"/>
  <c r="S19" i="4"/>
  <c r="R19" i="4"/>
  <c r="T17" i="4"/>
  <c r="U17" i="4" s="1"/>
  <c r="S17" i="4"/>
  <c r="R17" i="4"/>
  <c r="T219" i="4"/>
  <c r="U219" i="4" s="1"/>
  <c r="S219" i="4"/>
  <c r="R219" i="4"/>
  <c r="T218" i="4"/>
  <c r="U218" i="4" s="1"/>
  <c r="S218" i="4"/>
  <c r="R218" i="4"/>
  <c r="T192" i="4"/>
  <c r="U192" i="4" s="1"/>
  <c r="S192" i="4"/>
  <c r="R192" i="4"/>
  <c r="T187" i="4"/>
  <c r="U187" i="4" s="1"/>
  <c r="S187" i="4"/>
  <c r="R187" i="4"/>
  <c r="T186" i="4"/>
  <c r="U186" i="4" s="1"/>
  <c r="S186" i="4"/>
  <c r="R186" i="4"/>
  <c r="T173" i="4"/>
  <c r="U173" i="4" s="1"/>
  <c r="S173" i="4"/>
  <c r="R173" i="4"/>
  <c r="T171" i="4"/>
  <c r="U171" i="4" s="1"/>
  <c r="S171" i="4"/>
  <c r="R171" i="4"/>
  <c r="T163" i="4"/>
  <c r="U163" i="4" s="1"/>
  <c r="S163" i="4"/>
  <c r="R163" i="4"/>
  <c r="Q268" i="4"/>
  <c r="T159" i="4"/>
  <c r="S159" i="4"/>
  <c r="S268" i="4" s="1"/>
  <c r="R159" i="4"/>
  <c r="R268" i="4" s="1"/>
  <c r="T142" i="4"/>
  <c r="U142" i="4" s="1"/>
  <c r="S142" i="4"/>
  <c r="R142" i="4"/>
  <c r="T129" i="4"/>
  <c r="U129" i="4" s="1"/>
  <c r="S129" i="4"/>
  <c r="R129" i="4"/>
  <c r="T120" i="4"/>
  <c r="U120" i="4" s="1"/>
  <c r="S120" i="4"/>
  <c r="R120" i="4"/>
  <c r="T115" i="4"/>
  <c r="U115" i="4" s="1"/>
  <c r="S115" i="4"/>
  <c r="R115" i="4"/>
  <c r="T114" i="4"/>
  <c r="U114" i="4" s="1"/>
  <c r="S114" i="4"/>
  <c r="R114" i="4"/>
  <c r="T113" i="4"/>
  <c r="U113" i="4" s="1"/>
  <c r="S113" i="4"/>
  <c r="R113" i="4"/>
  <c r="T105" i="4"/>
  <c r="U105" i="4" s="1"/>
  <c r="S105" i="4"/>
  <c r="R105" i="4"/>
  <c r="T104" i="4"/>
  <c r="U104" i="4" s="1"/>
  <c r="S104" i="4"/>
  <c r="R104" i="4"/>
  <c r="T66" i="4"/>
  <c r="U66" i="4" s="1"/>
  <c r="S66" i="4"/>
  <c r="R66" i="4"/>
  <c r="T64" i="4"/>
  <c r="U64" i="4" s="1"/>
  <c r="S64" i="4"/>
  <c r="R64" i="4"/>
  <c r="T59" i="4"/>
  <c r="U59" i="4" s="1"/>
  <c r="S59" i="4"/>
  <c r="R59" i="4"/>
  <c r="T46" i="4"/>
  <c r="U46" i="4" s="1"/>
  <c r="S46" i="4"/>
  <c r="R46" i="4"/>
  <c r="T23" i="4"/>
  <c r="U23" i="4" s="1"/>
  <c r="S23" i="4"/>
  <c r="R23" i="4"/>
  <c r="T14" i="4"/>
  <c r="U14" i="4" s="1"/>
  <c r="S14" i="4"/>
  <c r="R14" i="4"/>
  <c r="T13" i="4"/>
  <c r="U13" i="4" s="1"/>
  <c r="S13" i="4"/>
  <c r="R13" i="4"/>
  <c r="T11" i="4"/>
  <c r="U11" i="4" s="1"/>
  <c r="S11" i="4"/>
  <c r="R11" i="4"/>
  <c r="Q157" i="4"/>
  <c r="T5" i="4"/>
  <c r="S5" i="4"/>
  <c r="S157" i="4" s="1"/>
  <c r="R5" i="4"/>
  <c r="R157" i="4" s="1"/>
  <c r="T185" i="4"/>
  <c r="U185" i="4" s="1"/>
  <c r="S185" i="4"/>
  <c r="R185" i="4"/>
  <c r="T172" i="4"/>
  <c r="U172" i="4" s="1"/>
  <c r="S172" i="4"/>
  <c r="R172" i="4"/>
  <c r="T65" i="4"/>
  <c r="U65" i="4" s="1"/>
  <c r="S65" i="4"/>
  <c r="R65" i="4"/>
  <c r="T12" i="4"/>
  <c r="U12" i="4" s="1"/>
  <c r="S12" i="4"/>
  <c r="R12" i="4"/>
  <c r="T267" i="4"/>
  <c r="U267" i="4" s="1"/>
  <c r="S267" i="4"/>
  <c r="R267" i="4"/>
  <c r="T262" i="4"/>
  <c r="U262" i="4" s="1"/>
  <c r="S262" i="4"/>
  <c r="R262" i="4"/>
  <c r="T259" i="4"/>
  <c r="U259" i="4" s="1"/>
  <c r="S259" i="4"/>
  <c r="R259" i="4"/>
  <c r="T250" i="4"/>
  <c r="U250" i="4" s="1"/>
  <c r="S250" i="4"/>
  <c r="R250" i="4"/>
  <c r="T248" i="4"/>
  <c r="U248" i="4" s="1"/>
  <c r="S248" i="4"/>
  <c r="R248" i="4"/>
  <c r="T246" i="4"/>
  <c r="U246" i="4" s="1"/>
  <c r="S246" i="4"/>
  <c r="R246" i="4"/>
  <c r="T244" i="4"/>
  <c r="U244" i="4" s="1"/>
  <c r="S244" i="4"/>
  <c r="R244" i="4"/>
  <c r="T241" i="4"/>
  <c r="U241" i="4" s="1"/>
  <c r="S241" i="4"/>
  <c r="R241" i="4"/>
  <c r="T227" i="4"/>
  <c r="U227" i="4" s="1"/>
  <c r="S227" i="4"/>
  <c r="R227" i="4"/>
  <c r="T225" i="4"/>
  <c r="U225" i="4" s="1"/>
  <c r="S225" i="4"/>
  <c r="R225" i="4"/>
  <c r="T213" i="4"/>
  <c r="U213" i="4" s="1"/>
  <c r="S213" i="4"/>
  <c r="R213" i="4"/>
  <c r="T202" i="4"/>
  <c r="U202" i="4" s="1"/>
  <c r="S202" i="4"/>
  <c r="R202" i="4"/>
  <c r="T193" i="4"/>
  <c r="U193" i="4" s="1"/>
  <c r="S193" i="4"/>
  <c r="R193" i="4"/>
  <c r="T190" i="4"/>
  <c r="U190" i="4" s="1"/>
  <c r="S190" i="4"/>
  <c r="R190" i="4"/>
  <c r="T181" i="4"/>
  <c r="U181" i="4" s="1"/>
  <c r="S181" i="4"/>
  <c r="R181" i="4"/>
  <c r="T170" i="4"/>
  <c r="U170" i="4" s="1"/>
  <c r="S170" i="4"/>
  <c r="R170" i="4"/>
  <c r="T162" i="4"/>
  <c r="U162" i="4" s="1"/>
  <c r="S162" i="4"/>
  <c r="R162" i="4"/>
  <c r="T160" i="4"/>
  <c r="U160" i="4" s="1"/>
  <c r="S160" i="4"/>
  <c r="R160" i="4"/>
  <c r="T137" i="4"/>
  <c r="U137" i="4" s="1"/>
  <c r="S137" i="4"/>
  <c r="R137" i="4"/>
  <c r="T123" i="4"/>
  <c r="U123" i="4" s="1"/>
  <c r="S123" i="4"/>
  <c r="R123" i="4"/>
  <c r="T122" i="4"/>
  <c r="U122" i="4" s="1"/>
  <c r="S122" i="4"/>
  <c r="R122" i="4"/>
  <c r="T121" i="4"/>
  <c r="U121" i="4" s="1"/>
  <c r="S121" i="4"/>
  <c r="R121" i="4"/>
  <c r="T116" i="4"/>
  <c r="U116" i="4" s="1"/>
  <c r="S116" i="4"/>
  <c r="R116" i="4"/>
  <c r="T102" i="4"/>
  <c r="U102" i="4" s="1"/>
  <c r="S102" i="4"/>
  <c r="R102" i="4"/>
  <c r="T95" i="4"/>
  <c r="U95" i="4" s="1"/>
  <c r="S95" i="4"/>
  <c r="R95" i="4"/>
  <c r="T85" i="4"/>
  <c r="U85" i="4" s="1"/>
  <c r="S85" i="4"/>
  <c r="R85" i="4"/>
  <c r="T84" i="4"/>
  <c r="U84" i="4" s="1"/>
  <c r="S84" i="4"/>
  <c r="R84" i="4"/>
  <c r="T81" i="4"/>
  <c r="U81" i="4" s="1"/>
  <c r="S81" i="4"/>
  <c r="R81" i="4"/>
  <c r="T75" i="4"/>
  <c r="U75" i="4" s="1"/>
  <c r="S75" i="4"/>
  <c r="R75" i="4"/>
  <c r="T70" i="4"/>
  <c r="U70" i="4" s="1"/>
  <c r="S70" i="4"/>
  <c r="R70" i="4"/>
  <c r="T69" i="4"/>
  <c r="U69" i="4" s="1"/>
  <c r="S69" i="4"/>
  <c r="R69" i="4"/>
  <c r="T47" i="4"/>
  <c r="U47" i="4" s="1"/>
  <c r="S47" i="4"/>
  <c r="R47" i="4"/>
  <c r="T45" i="4"/>
  <c r="U45" i="4" s="1"/>
  <c r="S45" i="4"/>
  <c r="R45" i="4"/>
  <c r="T42" i="4"/>
  <c r="U42" i="4" s="1"/>
  <c r="S42" i="4"/>
  <c r="R42" i="4"/>
  <c r="T30" i="4"/>
  <c r="U30" i="4" s="1"/>
  <c r="S30" i="4"/>
  <c r="R30" i="4"/>
  <c r="T25" i="4"/>
  <c r="U25" i="4" s="1"/>
  <c r="S25" i="4"/>
  <c r="R25" i="4"/>
  <c r="T24" i="4"/>
  <c r="U24" i="4" s="1"/>
  <c r="S24" i="4"/>
  <c r="R24" i="4"/>
  <c r="T8" i="4"/>
  <c r="U8" i="4" s="1"/>
  <c r="S8" i="4"/>
  <c r="R8" i="4"/>
  <c r="T164" i="4"/>
  <c r="U164" i="4" s="1"/>
  <c r="S164" i="4"/>
  <c r="R164" i="4"/>
  <c r="T60" i="4"/>
  <c r="U60" i="4" s="1"/>
  <c r="S60" i="4"/>
  <c r="R60" i="4"/>
  <c r="T53" i="4"/>
  <c r="U53" i="4" s="1"/>
  <c r="S53" i="4"/>
  <c r="R53" i="4"/>
  <c r="T6" i="4"/>
  <c r="U6" i="4" s="1"/>
  <c r="S6" i="4"/>
  <c r="R6" i="4"/>
  <c r="T157" i="4" l="1"/>
  <c r="P157" i="4" s="1"/>
  <c r="U5" i="4"/>
  <c r="U157" i="4" s="1"/>
  <c r="T268" i="4"/>
  <c r="P268" i="4" s="1"/>
  <c r="U159" i="4"/>
  <c r="U268" i="4" s="1"/>
  <c r="M37" i="3"/>
  <c r="J34" i="3"/>
  <c r="D5" i="14"/>
  <c r="L9" i="8"/>
  <c r="D7" i="14"/>
  <c r="E7" i="14" s="1"/>
  <c r="L14" i="12"/>
  <c r="D6" i="14"/>
  <c r="E6" i="14" s="1"/>
  <c r="L11" i="10"/>
  <c r="E5" i="14" l="1"/>
  <c r="E19" i="14"/>
  <c r="F7" i="6"/>
  <c r="M7" i="6" s="1"/>
  <c r="F6" i="6"/>
  <c r="M6" i="6" s="1"/>
  <c r="L7" i="6"/>
  <c r="N7" i="6"/>
  <c r="Q7" i="6"/>
  <c r="R7" i="6"/>
  <c r="D12" i="7"/>
  <c r="D13" i="7"/>
  <c r="D14" i="7"/>
  <c r="D17" i="7"/>
  <c r="H7" i="6"/>
  <c r="J7" i="6"/>
  <c r="O7" i="6"/>
  <c r="D9" i="7"/>
  <c r="G7" i="6"/>
  <c r="K7" i="6"/>
  <c r="P7" i="6"/>
  <c r="D10" i="7"/>
  <c r="D11" i="7"/>
  <c r="L6" i="6"/>
  <c r="N6" i="6"/>
  <c r="Q6" i="6"/>
  <c r="R6" i="6"/>
  <c r="R8" i="6"/>
  <c r="R11" i="6"/>
  <c r="R13" i="6"/>
  <c r="Q8" i="6"/>
  <c r="Q11" i="6"/>
  <c r="Q13" i="6"/>
  <c r="C12" i="7"/>
  <c r="C13" i="7"/>
  <c r="C14" i="7"/>
  <c r="B14" i="7"/>
  <c r="B13" i="7"/>
  <c r="C17" i="7"/>
  <c r="B12" i="7"/>
  <c r="D4" i="14"/>
  <c r="E4" i="14"/>
  <c r="D9" i="14"/>
  <c r="E9" i="14"/>
  <c r="H6" i="6"/>
  <c r="J6" i="6"/>
  <c r="O6" i="6"/>
  <c r="O8" i="6"/>
  <c r="O11" i="6"/>
  <c r="C9" i="7"/>
  <c r="B9" i="7"/>
  <c r="C4" i="14"/>
  <c r="C9" i="14"/>
  <c r="G6" i="6"/>
  <c r="K6" i="6"/>
  <c r="P6" i="6"/>
  <c r="P8" i="6"/>
  <c r="P11" i="6"/>
  <c r="B11" i="7"/>
  <c r="C10" i="7"/>
  <c r="B10" i="7"/>
  <c r="B4" i="14"/>
  <c r="B9" i="14"/>
  <c r="C11" i="7"/>
  <c r="B17" i="7"/>
</calcChain>
</file>

<file path=xl/sharedStrings.xml><?xml version="1.0" encoding="utf-8"?>
<sst xmlns="http://schemas.openxmlformats.org/spreadsheetml/2006/main" count="3646" uniqueCount="639">
  <si>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</si>
  <si>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</si>
  <si>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</si>
  <si>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</si>
  <si>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</si>
  <si>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</si>
  <si>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</si>
  <si>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</si>
  <si>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</si>
  <si>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</si>
  <si>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</si>
  <si>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</si>
  <si>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160J</t>
  </si>
  <si>
    <t>3W</t>
  </si>
  <si>
    <t>2W</t>
  </si>
  <si>
    <t>1W</t>
  </si>
  <si>
    <t>40J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</si>
  <si>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</si>
  <si>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</si>
  <si>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</si>
  <si>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</si>
  <si>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</si>
  <si>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</si>
  <si>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</si>
  <si>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</si>
  <si>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</si>
  <si>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</si>
  <si>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</si>
  <si>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</si>
  <si>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</si>
  <si>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</si>
  <si>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</si>
  <si>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</si>
  <si>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</si>
  <si>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</si>
  <si>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Kantoor-/vergader-/spreekruimte - harde vloeren (basis)</t>
  </si>
  <si>
    <t>m²/uur</t>
  </si>
  <si>
    <t>BHV</t>
  </si>
  <si>
    <t>Kantoor-/vergader-/spreekruimte - harde vloeren (volledig)</t>
  </si>
  <si>
    <t>BZB</t>
  </si>
  <si>
    <t>Kantoor-/vergader-/spreekruimte - zachte vloeren (basis)</t>
  </si>
  <si>
    <t>BZV</t>
  </si>
  <si>
    <t>Kantoor-/vergader-/spreekruimte - zachte vloeren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</si>
  <si>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</si>
  <si>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</si>
  <si>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</si>
  <si>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</si>
  <si>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</si>
  <si>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</si>
  <si>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</si>
  <si>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</si>
  <si>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MHB</t>
  </si>
  <si>
    <t>Mediatheek/bibliotheek - harde vloeren (basis)</t>
  </si>
  <si>
    <t>MHV</t>
  </si>
  <si>
    <t>Mediatheek/bibliotheek - harde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</si>
  <si>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</si>
  <si>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</si>
  <si>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</si>
  <si>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</si>
  <si>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</si>
  <si>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</si>
  <si>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</si>
  <si>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</si>
  <si>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</si>
  <si>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</si>
  <si>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KHB</t>
  </si>
  <si>
    <t xml:space="preserve">S    </t>
  </si>
  <si>
    <t>Kleedruimte - harde vloeren (basis)</t>
  </si>
  <si>
    <t>KHV</t>
  </si>
  <si>
    <t>Kleedruimte - harde vloeren (volledig)</t>
  </si>
  <si>
    <t>SHB</t>
  </si>
  <si>
    <t>Sanitaire ruimte - harde vloeren (basis)</t>
  </si>
  <si>
    <t>SHV</t>
  </si>
  <si>
    <t>Sanitaire ruimte - harde vloeren (volledig)</t>
  </si>
  <si>
    <t>EZB</t>
  </si>
  <si>
    <t xml:space="preserve">V    </t>
  </si>
  <si>
    <t>Entree - zachte vloeren (basis)</t>
  </si>
  <si>
    <t>EZV</t>
  </si>
  <si>
    <t>Entree - zachte vloeren (volledig)</t>
  </si>
  <si>
    <t>GHB</t>
  </si>
  <si>
    <t>Sportzaal - harde vloeren (basis)</t>
  </si>
  <si>
    <t>GHV</t>
  </si>
  <si>
    <t>Sportzaal - harde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</si>
  <si>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</si>
  <si>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</si>
  <si>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</si>
  <si>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</si>
  <si>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</si>
  <si>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</si>
  <si>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</si>
  <si>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</si>
  <si>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RZB</t>
  </si>
  <si>
    <t>Restaurant/kantine/docentenkamer - zachte vloeren (basis)</t>
  </si>
  <si>
    <t>RZV</t>
  </si>
  <si>
    <t>Restaurant/kantine/docentenkamer - zachte vloeren (volledig)</t>
  </si>
  <si>
    <t>THB</t>
  </si>
  <si>
    <t>Trappenhuis - harde vloeren (basis)</t>
  </si>
  <si>
    <t>THV</t>
  </si>
  <si>
    <t>Trappenhuis - harde vloeren (volledig)</t>
  </si>
  <si>
    <t>TZB</t>
  </si>
  <si>
    <t>Trappenhuis - zachte vloeren (basis)</t>
  </si>
  <si>
    <t>TZV</t>
  </si>
  <si>
    <t>Trappenhuis - zachte vloeren (volledig)</t>
  </si>
  <si>
    <t>VHB</t>
  </si>
  <si>
    <t>Verkeersruimte - harde vloeren (basis)</t>
  </si>
  <si>
    <t>VHV</t>
  </si>
  <si>
    <t>Verkeersruimte - harde vloeren (volledig)</t>
  </si>
  <si>
    <t>VZB</t>
  </si>
  <si>
    <t>Verkeersruimte - zachte vloeren (basis)</t>
  </si>
  <si>
    <t>VZV</t>
  </si>
  <si>
    <t>Verkeersruimte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</si>
  <si>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</si>
  <si>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</si>
  <si>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</si>
  <si>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</si>
  <si>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</si>
  <si>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</si>
  <si>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</si>
  <si>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</si>
  <si>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</si>
  <si>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</si>
  <si>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Kantoor-/vergader-/spreekruimte harde vloeren</t>
  </si>
  <si>
    <t>BZ</t>
  </si>
  <si>
    <t>Kantoor-/vergader-/spreekruimte zachte vloeren</t>
  </si>
  <si>
    <t>EZ</t>
  </si>
  <si>
    <t>Entree zachte vloeren</t>
  </si>
  <si>
    <t>GH</t>
  </si>
  <si>
    <t>Gymzaal harde vloer</t>
  </si>
  <si>
    <t>IH</t>
  </si>
  <si>
    <t>Lift harde vloeren</t>
  </si>
  <si>
    <t>KH</t>
  </si>
  <si>
    <t>Kleedruimte - harde vloeren</t>
  </si>
  <si>
    <t>LH</t>
  </si>
  <si>
    <t>Leslokaal/studieruimte - harde vloeren</t>
  </si>
  <si>
    <t>LZ</t>
  </si>
  <si>
    <t>Leslokaal/studieruimte - zachte vloeren</t>
  </si>
  <si>
    <t>MH</t>
  </si>
  <si>
    <t>Media-/bibliotheek harde vloeren</t>
  </si>
  <si>
    <t>PH</t>
  </si>
  <si>
    <t>Pantry/keuken harde vloeren</t>
  </si>
  <si>
    <t>PMH</t>
  </si>
  <si>
    <t>Praktijklokaal minimaal - harde vloeren</t>
  </si>
  <si>
    <t>PUH</t>
  </si>
  <si>
    <t>Praktijklokaal uitgebreid - harde vloeren</t>
  </si>
  <si>
    <t>RZ</t>
  </si>
  <si>
    <t>Restaurant/kantine/docentenkamer harde vloeren</t>
  </si>
  <si>
    <t>SH</t>
  </si>
  <si>
    <t>Sanitaire ruimte/toiletten harde vloer</t>
  </si>
  <si>
    <t>SHN</t>
  </si>
  <si>
    <t>Sanitaire ruimte/toiletten harde vloer naloop</t>
  </si>
  <si>
    <t>TH</t>
  </si>
  <si>
    <t>Trappenhuis harde vloeren</t>
  </si>
  <si>
    <t>TZ</t>
  </si>
  <si>
    <t>Trappenhuis zachte vloeren</t>
  </si>
  <si>
    <t>VH</t>
  </si>
  <si>
    <t>Verkeersruimte/garderobe harde vloeren</t>
  </si>
  <si>
    <t>VZ</t>
  </si>
  <si>
    <t>Verkeersruimte/garderobe zachte vloeren</t>
  </si>
  <si>
    <t>Z001</t>
  </si>
  <si>
    <t>Sprayen en opwrijven (incl. uit-/inruimen)</t>
  </si>
  <si>
    <t>Z002</t>
  </si>
  <si>
    <t>Ledigen afvalbakken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</si>
  <si>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</si>
  <si>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</si>
  <si>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</si>
  <si>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</si>
  <si>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</si>
  <si>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</si>
  <si>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</si>
  <si>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</si>
  <si>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</si>
  <si>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</si>
  <si>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</si>
  <si>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</si>
  <si>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10 - Marnix College Hoofdgebouw, Prins Bernhardlaan 30, Ede</t>
  </si>
  <si>
    <t>10</t>
  </si>
  <si>
    <t/>
  </si>
  <si>
    <t>-1</t>
  </si>
  <si>
    <t>-1.01</t>
  </si>
  <si>
    <t>Trap</t>
  </si>
  <si>
    <t>steen</t>
  </si>
  <si>
    <t>-1.02</t>
  </si>
  <si>
    <t>Gang</t>
  </si>
  <si>
    <t>tapijt</t>
  </si>
  <si>
    <t>00</t>
  </si>
  <si>
    <t>0.01</t>
  </si>
  <si>
    <t>Entree</t>
  </si>
  <si>
    <t>inloopmat</t>
  </si>
  <si>
    <t>0.02</t>
  </si>
  <si>
    <t>Hal</t>
  </si>
  <si>
    <t>linoleum</t>
  </si>
  <si>
    <t>0.03</t>
  </si>
  <si>
    <t>Repro/concierge</t>
  </si>
  <si>
    <t>pvc</t>
  </si>
  <si>
    <t>0.09a</t>
  </si>
  <si>
    <t>Traphal</t>
  </si>
  <si>
    <t>0.09b</t>
  </si>
  <si>
    <t>0.10a</t>
  </si>
  <si>
    <t>0.10b</t>
  </si>
  <si>
    <t>0.12</t>
  </si>
  <si>
    <t>Lift</t>
  </si>
  <si>
    <t>0.13</t>
  </si>
  <si>
    <t>Toilet</t>
  </si>
  <si>
    <t>tegels</t>
  </si>
  <si>
    <t>0.14</t>
  </si>
  <si>
    <t>0.15</t>
  </si>
  <si>
    <t>Keuken</t>
  </si>
  <si>
    <t>0.17</t>
  </si>
  <si>
    <t>Aula</t>
  </si>
  <si>
    <t>0.18</t>
  </si>
  <si>
    <t>0.19</t>
  </si>
  <si>
    <t>0.20</t>
  </si>
  <si>
    <t>0.21</t>
  </si>
  <si>
    <t>Garderobe</t>
  </si>
  <si>
    <t>0.22</t>
  </si>
  <si>
    <t>0.23</t>
  </si>
  <si>
    <t>0.24</t>
  </si>
  <si>
    <t>0.25a</t>
  </si>
  <si>
    <t>Theorielokaal</t>
  </si>
  <si>
    <t>0.26</t>
  </si>
  <si>
    <t>0.27</t>
  </si>
  <si>
    <t>0.28</t>
  </si>
  <si>
    <t>0.29</t>
  </si>
  <si>
    <t>0.30</t>
  </si>
  <si>
    <t>0.32</t>
  </si>
  <si>
    <t>Kantoor</t>
  </si>
  <si>
    <t>0.35</t>
  </si>
  <si>
    <t>0.36</t>
  </si>
  <si>
    <t>0.39</t>
  </si>
  <si>
    <t>0.41</t>
  </si>
  <si>
    <t>0.42</t>
  </si>
  <si>
    <t>0.43</t>
  </si>
  <si>
    <t>Kantoor - rector</t>
  </si>
  <si>
    <t>0.44</t>
  </si>
  <si>
    <t>Kantoor - administratie</t>
  </si>
  <si>
    <t>0.45</t>
  </si>
  <si>
    <t>Docentenkamer</t>
  </si>
  <si>
    <t>0.46</t>
  </si>
  <si>
    <t>0.47</t>
  </si>
  <si>
    <t>0.48</t>
  </si>
  <si>
    <t>0.49</t>
  </si>
  <si>
    <t>0.50</t>
  </si>
  <si>
    <t>0.51</t>
  </si>
  <si>
    <t>0.53</t>
  </si>
  <si>
    <t>Werkruimte personeel</t>
  </si>
  <si>
    <t>0.54</t>
  </si>
  <si>
    <t>Studieruimte</t>
  </si>
  <si>
    <t>0.55a</t>
  </si>
  <si>
    <t>0.55b</t>
  </si>
  <si>
    <t>0.56</t>
  </si>
  <si>
    <t>hout</t>
  </si>
  <si>
    <t>0.57</t>
  </si>
  <si>
    <t>0.60</t>
  </si>
  <si>
    <t>0.61</t>
  </si>
  <si>
    <t>01</t>
  </si>
  <si>
    <t>1.01</t>
  </si>
  <si>
    <t>1.02</t>
  </si>
  <si>
    <t>1.05</t>
  </si>
  <si>
    <t>1.06</t>
  </si>
  <si>
    <t>1.07</t>
  </si>
  <si>
    <t>1.08</t>
  </si>
  <si>
    <t>1.09</t>
  </si>
  <si>
    <t>Computerlokaal</t>
  </si>
  <si>
    <t>1.10</t>
  </si>
  <si>
    <t>1.14</t>
  </si>
  <si>
    <t>1.16</t>
  </si>
  <si>
    <t>1.17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</si>
  <si>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</si>
  <si>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</si>
  <si>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</si>
  <si>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</si>
  <si>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</si>
  <si>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</si>
  <si>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</si>
  <si>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</si>
  <si>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</si>
  <si>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</si>
  <si>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</si>
  <si>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</si>
  <si>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</si>
  <si>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1.33</t>
  </si>
  <si>
    <t>1.34</t>
  </si>
  <si>
    <t>1.35</t>
  </si>
  <si>
    <t>1.36</t>
  </si>
  <si>
    <t>1.37</t>
  </si>
  <si>
    <t>1.39</t>
  </si>
  <si>
    <t>1.40</t>
  </si>
  <si>
    <t>1.41</t>
  </si>
  <si>
    <t>1.42</t>
  </si>
  <si>
    <t>1.43</t>
  </si>
  <si>
    <t>1.44</t>
  </si>
  <si>
    <t>1.45</t>
  </si>
  <si>
    <t>1.47</t>
  </si>
  <si>
    <t>1.48a</t>
  </si>
  <si>
    <t>1.48b</t>
  </si>
  <si>
    <t>1.49</t>
  </si>
  <si>
    <t>1.50</t>
  </si>
  <si>
    <t>1.52</t>
  </si>
  <si>
    <t>1.53</t>
  </si>
  <si>
    <t>Mediatheek</t>
  </si>
  <si>
    <t>1.55</t>
  </si>
  <si>
    <t>02</t>
  </si>
  <si>
    <t>2.01</t>
  </si>
  <si>
    <t>2.02a</t>
  </si>
  <si>
    <t>2.02b</t>
  </si>
  <si>
    <t>Hal (topshield 2-2015)</t>
  </si>
  <si>
    <t>2.03</t>
  </si>
  <si>
    <t>2.05</t>
  </si>
  <si>
    <t>2.08</t>
  </si>
  <si>
    <t>2.09</t>
  </si>
  <si>
    <t>2.10</t>
  </si>
  <si>
    <t>2.11</t>
  </si>
  <si>
    <t>Praktijklokaal</t>
  </si>
  <si>
    <t>2.12</t>
  </si>
  <si>
    <t>Kabinet</t>
  </si>
  <si>
    <t>2.13</t>
  </si>
  <si>
    <t>2.14</t>
  </si>
  <si>
    <t>2.15</t>
  </si>
  <si>
    <t>2.16</t>
  </si>
  <si>
    <t>2.17</t>
  </si>
  <si>
    <t>2.18</t>
  </si>
  <si>
    <t>2.19</t>
  </si>
  <si>
    <t>2.20</t>
  </si>
  <si>
    <t>2.25</t>
  </si>
  <si>
    <t>2.26</t>
  </si>
  <si>
    <t>2.28</t>
  </si>
  <si>
    <t>2.29</t>
  </si>
  <si>
    <t>2.30</t>
  </si>
  <si>
    <t>2.31</t>
  </si>
  <si>
    <t>2.32</t>
  </si>
  <si>
    <t>2.33</t>
  </si>
  <si>
    <t>Theorielokaal (topshield 2-2015)</t>
  </si>
  <si>
    <t>2.34</t>
  </si>
  <si>
    <t>2.35</t>
  </si>
  <si>
    <t>Totaal werkdag</t>
  </si>
  <si>
    <t>11 - Marnix College Junior, Prins Bernhardlaan 30, Ede</t>
  </si>
  <si>
    <t>11</t>
  </si>
  <si>
    <t>-0.04</t>
  </si>
  <si>
    <t>0.01a</t>
  </si>
  <si>
    <t>0.01b</t>
  </si>
  <si>
    <t>Hal - onder trap</t>
  </si>
  <si>
    <t>0.04</t>
  </si>
  <si>
    <t>Muzieklokaal</t>
  </si>
  <si>
    <t>0.05A</t>
  </si>
  <si>
    <t>0.05B</t>
  </si>
  <si>
    <t>0.05C</t>
  </si>
  <si>
    <t>natuursteen</t>
  </si>
  <si>
    <t>0.06</t>
  </si>
  <si>
    <t>0.09</t>
  </si>
  <si>
    <t>0.11A</t>
  </si>
  <si>
    <t>Trappenhuis (entree/hal)</t>
  </si>
  <si>
    <t>0.11B</t>
  </si>
  <si>
    <t>Trappenhuis (entree)</t>
  </si>
  <si>
    <t>0.11C</t>
  </si>
  <si>
    <t>Trappenhuis (trap)</t>
  </si>
  <si>
    <t>beton</t>
  </si>
  <si>
    <t>Werkplaats in technieklokaal</t>
  </si>
  <si>
    <t>Technieklokaal</t>
  </si>
  <si>
    <t>Kluisjes</t>
  </si>
  <si>
    <t>MIVA</t>
  </si>
  <si>
    <t>gietvloer</t>
  </si>
  <si>
    <t>0.25</t>
  </si>
  <si>
    <t>0.27a</t>
  </si>
  <si>
    <t>Trapoverloop</t>
  </si>
  <si>
    <t>0.27b</t>
  </si>
  <si>
    <t>Gang (topshield 2-2014)</t>
  </si>
  <si>
    <t>0.31</t>
  </si>
  <si>
    <t>0.34a</t>
  </si>
  <si>
    <t>0.34b</t>
  </si>
  <si>
    <t>Hal/entree</t>
  </si>
  <si>
    <t>sportvloer</t>
  </si>
  <si>
    <t>0.37</t>
  </si>
  <si>
    <t>Sportzaal</t>
  </si>
  <si>
    <t>0.38</t>
  </si>
  <si>
    <t>Berging toestel</t>
  </si>
  <si>
    <t>0.40</t>
  </si>
  <si>
    <t>Toilet/douche</t>
  </si>
  <si>
    <t>Kleedkamer meisjes</t>
  </si>
  <si>
    <t>Kleedkamer jongens</t>
  </si>
  <si>
    <t>Toilet meisjes</t>
  </si>
  <si>
    <t>Toilet jongens</t>
  </si>
  <si>
    <t>Vergaderkamer</t>
  </si>
  <si>
    <t>0.50a</t>
  </si>
  <si>
    <t>Personeelskamer (topshield 2-2014)</t>
  </si>
  <si>
    <t>0.50b</t>
  </si>
  <si>
    <t>Personeelskamer</t>
  </si>
  <si>
    <t>0.52</t>
  </si>
  <si>
    <t>0.53a</t>
  </si>
  <si>
    <t>Vergaderruimte</t>
  </si>
  <si>
    <t>Concierge</t>
  </si>
  <si>
    <t>0.70</t>
  </si>
  <si>
    <t>0.71</t>
  </si>
  <si>
    <t>0.72</t>
  </si>
  <si>
    <t>Kleedkamer -douche/toilet</t>
  </si>
  <si>
    <t>0.73</t>
  </si>
  <si>
    <t>0.74</t>
  </si>
  <si>
    <t>0.75</t>
  </si>
  <si>
    <t>0.76a</t>
  </si>
  <si>
    <t>0.76b</t>
  </si>
  <si>
    <t>0.78</t>
  </si>
  <si>
    <t>0.79</t>
  </si>
  <si>
    <t>0.80</t>
  </si>
  <si>
    <t>Gymzaal</t>
  </si>
  <si>
    <t>0.81</t>
  </si>
  <si>
    <t>0.83</t>
  </si>
  <si>
    <t>Hal (topshield 2-2014)</t>
  </si>
  <si>
    <t>1.03</t>
  </si>
  <si>
    <t>1.04</t>
  </si>
  <si>
    <t>Biologielokaal</t>
  </si>
  <si>
    <t>1.11</t>
  </si>
  <si>
    <t>1.12</t>
  </si>
  <si>
    <t>1.15</t>
  </si>
  <si>
    <t>Informatica lokaal</t>
  </si>
  <si>
    <t>1.18</t>
  </si>
  <si>
    <t>1.23A</t>
  </si>
  <si>
    <t>1.23B</t>
  </si>
  <si>
    <t>Trapbordes</t>
  </si>
  <si>
    <t>Tekenlokaal</t>
  </si>
  <si>
    <t>Handvaardigheidlokaal</t>
  </si>
  <si>
    <t>1.32</t>
  </si>
  <si>
    <t>1.38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</si>
  <si>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</si>
  <si>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</si>
  <si>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</si>
  <si>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</si>
  <si>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</si>
  <si>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</si>
  <si>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</si>
  <si>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</si>
  <si>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 10</t>
  </si>
  <si>
    <t xml:space="preserve">      11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</si>
  <si>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</si>
  <si>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</si>
  <si>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</si>
  <si>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</si>
  <si>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</si>
  <si>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</si>
  <si>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</si>
  <si>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</si>
  <si>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</si>
  <si>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</si>
  <si>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</si>
  <si>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</si>
  <si>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</si>
  <si>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</si>
  <si>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</si>
  <si>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Marnix College Hoofdgebouw</t>
  </si>
  <si>
    <t>Prins Bernhardlaan 30</t>
  </si>
  <si>
    <t>Ede</t>
  </si>
  <si>
    <t>Marnix College Junior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</si>
  <si>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</si>
  <si>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</si>
  <si>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</si>
  <si>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</si>
  <si>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</si>
  <si>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</si>
  <si>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</si>
  <si>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</si>
  <si>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</si>
  <si>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</si>
  <si>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</si>
  <si>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</si>
  <si>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</si>
  <si>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</si>
  <si>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</si>
  <si>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</si>
  <si>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</si>
  <si>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</si>
  <si>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</si>
  <si>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</si>
  <si>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</si>
  <si>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</si>
  <si>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</si>
  <si>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</si>
  <si>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</si>
  <si>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</si>
  <si>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9000</t>
  </si>
  <si>
    <t>Medewerker regiewerkzaamheden</t>
  </si>
  <si>
    <t>prijs per uur</t>
  </si>
  <si>
    <t>9100</t>
  </si>
  <si>
    <t>Medewerker specialistische werkzaamheden</t>
  </si>
  <si>
    <t>9200</t>
  </si>
  <si>
    <t>Medewerker verwijderen graffiti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</si>
  <si>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</si>
  <si>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</si>
  <si>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</si>
  <si>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</si>
  <si>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</si>
  <si>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</si>
  <si>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</si>
  <si>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</si>
  <si>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</si>
  <si>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</si>
  <si>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</si>
  <si>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</si>
  <si>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</si>
  <si>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</si>
  <si>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</si>
  <si>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</si>
  <si>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</si>
  <si>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</si>
  <si>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</si>
  <si>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</si>
  <si>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</si>
  <si>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</si>
  <si>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</si>
  <si>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</si>
  <si>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</si>
  <si>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</si>
  <si>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</si>
  <si>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</si>
  <si>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</si>
  <si>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</si>
  <si>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</si>
  <si>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</si>
  <si>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</si>
  <si>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</si>
  <si>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</si>
  <si>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</si>
  <si>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</si>
  <si>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</si>
  <si>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</si>
  <si>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</si>
  <si>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</si>
  <si>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</si>
  <si>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</si>
  <si>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</si>
  <si>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</si>
  <si>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</si>
  <si>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</si>
  <si>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</si>
  <si>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</si>
  <si>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</si>
  <si>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</si>
  <si>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</si>
  <si>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</si>
  <si>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</si>
  <si>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</si>
  <si>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</si>
  <si>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</si>
  <si>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</si>
  <si>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</si>
  <si>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</si>
  <si>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</si>
  <si>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</si>
  <si>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</si>
  <si>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</si>
  <si>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</si>
  <si>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</si>
  <si>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</si>
  <si>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</si>
  <si>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</si>
  <si>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</si>
  <si>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</si>
  <si>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</si>
  <si>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</si>
  <si>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</si>
  <si>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</si>
  <si>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</si>
  <si>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</si>
  <si>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</si>
  <si>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</si>
  <si>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</si>
  <si>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</si>
  <si>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</si>
  <si>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</si>
  <si>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</si>
  <si>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</si>
  <si>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</si>
  <si>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</si>
  <si>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</si>
  <si>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</si>
  <si>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</si>
  <si>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</si>
  <si>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</si>
  <si>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</si>
  <si>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</si>
  <si>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</si>
  <si>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</si>
  <si>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</si>
  <si>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</si>
  <si>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</si>
  <si>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</si>
  <si>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</si>
  <si>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</si>
  <si>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</si>
  <si>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</si>
  <si>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</si>
  <si>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</si>
  <si>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</si>
  <si>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</si>
  <si>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</si>
  <si>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</si>
  <si>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</si>
  <si>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</si>
  <si>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</si>
  <si>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</si>
  <si>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</si>
  <si>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</si>
  <si>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</si>
  <si>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</si>
  <si>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</si>
  <si>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</si>
  <si>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</si>
  <si>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</si>
  <si>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</si>
  <si>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</si>
  <si>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</si>
  <si>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</si>
  <si>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</si>
  <si>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</si>
  <si>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</si>
  <si>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</si>
  <si>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</si>
  <si>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</si>
  <si>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</si>
  <si>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</si>
  <si>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</si>
  <si>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8060</t>
  </si>
  <si>
    <t>Dakglas buitenzijde</t>
  </si>
  <si>
    <t>8070</t>
  </si>
  <si>
    <t>Dakglas binnenzijde</t>
  </si>
  <si>
    <t>8160</t>
  </si>
  <si>
    <t>Aluminium gevelbeplating reinigen</t>
  </si>
  <si>
    <t>Totaal glas excl. BTW</t>
  </si>
  <si>
    <t>Totaal 10 - Marnix College Hoofdgebouw, Prins Bernhardlaan 30, Ede</t>
  </si>
  <si>
    <t>Totaal 11 - Marnix College Junior, Prins Bernhardlaan 30, Ede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</si>
  <si>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</si>
  <si>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</si>
  <si>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</si>
  <si>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</si>
  <si>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</si>
  <si>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</si>
  <si>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Additioneel werk</t>
  </si>
  <si>
    <t>Afroepwerk (geschatte frequenties)</t>
  </si>
  <si>
    <t>Glas</t>
  </si>
  <si>
    <t>Totaal generaal</t>
  </si>
  <si>
    <t>BEGROOT BEDRAG REGULIERE WERKZAAMHEDEN (NIET HOGER DAN BUDGET)</t>
  </si>
  <si>
    <t>VERGELIJKINGSBEDRAG ADDITIONEEL/AFROEP/GLAS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</si>
</sst>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12" xfId="0" applyNumberFormat="1" applyFill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0" xfId="0" applyNumberFormat="1" applyFill="1" applyBorder="1" applyAlignment="1"/>
    <xf numFmtId="4" fontId="0" fillId="3" borderId="1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C2542757-6226-4008-BEFF-1B892E25D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DE48-EB5E-4049-880A-1CDCD5D4EB36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0.76923076923076927</v>
      </c>
    </row>
    <row r="16" spans="1:2" x14ac:dyDescent="0.2">
      <c r="A16" s="2" t="s">
        <v>12</v>
      </c>
      <c r="B16" s="3">
        <f t="shared" si="0"/>
        <v>0.61538461538461542</v>
      </c>
    </row>
    <row r="17" spans="1:2" x14ac:dyDescent="0.2">
      <c r="A17" s="2" t="s">
        <v>13</v>
      </c>
      <c r="B17" s="3">
        <f t="shared" si="0"/>
        <v>0.6</v>
      </c>
    </row>
    <row r="18" spans="1:2" x14ac:dyDescent="0.2">
      <c r="A18" s="2" t="s">
        <v>14</v>
      </c>
      <c r="B18" s="3">
        <f t="shared" si="0"/>
        <v>0.4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0.15384615384615385</v>
      </c>
    </row>
    <row r="21" spans="1:2" x14ac:dyDescent="0.2">
      <c r="A21" s="2" t="s">
        <v>17</v>
      </c>
      <c r="B21" s="3">
        <f t="shared" si="0"/>
        <v>0.1</v>
      </c>
    </row>
    <row r="22" spans="1:2" x14ac:dyDescent="0.2">
      <c r="A22" s="2" t="s">
        <v>18</v>
      </c>
      <c r="B22" s="3">
        <f t="shared" si="0"/>
        <v>4.6153846153846156E-2</v>
      </c>
    </row>
    <row r="23" spans="1:2" x14ac:dyDescent="0.2">
      <c r="A23" s="2" t="s">
        <v>19</v>
      </c>
      <c r="B23" s="3">
        <f t="shared" si="0"/>
        <v>2.3076923076923078E-2</v>
      </c>
    </row>
    <row r="24" spans="1:2" x14ac:dyDescent="0.2">
      <c r="A24" s="2" t="s">
        <v>20</v>
      </c>
      <c r="B24" s="3">
        <f t="shared" si="0"/>
        <v>1.5384615384615385E-2</v>
      </c>
    </row>
    <row r="25" spans="1:2" x14ac:dyDescent="0.2">
      <c r="A25" s="2" t="s">
        <v>21</v>
      </c>
      <c r="B25" s="3">
        <f t="shared" si="0"/>
        <v>1.1538461538461539E-2</v>
      </c>
    </row>
    <row r="26" spans="1:2" x14ac:dyDescent="0.2">
      <c r="A26" s="2" t="s">
        <v>22</v>
      </c>
      <c r="B26" s="3">
        <f t="shared" si="0"/>
        <v>7.6923076923076927E-3</v>
      </c>
    </row>
    <row r="27" spans="1:2" x14ac:dyDescent="0.2">
      <c r="A27" s="6" t="s">
        <v>23</v>
      </c>
      <c r="B27" s="7">
        <f t="shared" si="0"/>
        <v>3.8461538461538464E-3</v>
      </c>
    </row>
  </sheetData>
  <sheetProtection algorithmName="SHA-512" hashValue="i9yteyUx0E/6DZVQzCtXclz3/qja9GIBdwCamZXmXLEs4gV7zcZzm92Z4TemdZFhR6vc8L90Lst0k2MVFiePTg==" saltValue="n2pszFW8JSdbkfTCTMxvS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B830-32C2-4CCD-B9F0-2AA17905AB52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F.1.9: ",tabeltype," afroep incidenteel")</f>
        <v>Bijlage F.1.9: Invultabel afroep incidenteel</v>
      </c>
    </row>
    <row r="3" spans="1:5" ht="38.25" x14ac:dyDescent="0.2">
      <c r="A3" s="8" t="s">
        <v>465</v>
      </c>
      <c r="B3" s="8" t="s">
        <v>27</v>
      </c>
      <c r="C3" s="8" t="s">
        <v>30</v>
      </c>
      <c r="D3" s="8" t="s">
        <v>484</v>
      </c>
      <c r="E3" s="8" t="s">
        <v>470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485</v>
      </c>
      <c r="B6" s="15" t="s">
        <v>486</v>
      </c>
      <c r="C6" s="15" t="s">
        <v>487</v>
      </c>
      <c r="D6" s="15" t="s">
        <v>488</v>
      </c>
      <c r="E6" s="19"/>
    </row>
    <row r="7" spans="1:5" x14ac:dyDescent="0.2">
      <c r="A7" s="20" t="s">
        <v>489</v>
      </c>
      <c r="B7" s="20" t="s">
        <v>486</v>
      </c>
      <c r="C7" s="20" t="s">
        <v>487</v>
      </c>
      <c r="D7" s="20" t="s">
        <v>490</v>
      </c>
      <c r="E7" s="24"/>
    </row>
    <row r="8" spans="1:5" x14ac:dyDescent="0.2">
      <c r="A8" s="20" t="s">
        <v>491</v>
      </c>
      <c r="B8" s="20" t="s">
        <v>486</v>
      </c>
      <c r="C8" s="20" t="s">
        <v>487</v>
      </c>
      <c r="D8" s="20" t="s">
        <v>492</v>
      </c>
      <c r="E8" s="24"/>
    </row>
    <row r="9" spans="1:5" x14ac:dyDescent="0.2">
      <c r="A9" s="20" t="s">
        <v>493</v>
      </c>
      <c r="B9" s="20" t="s">
        <v>486</v>
      </c>
      <c r="C9" s="20" t="s">
        <v>487</v>
      </c>
      <c r="D9" s="20" t="s">
        <v>494</v>
      </c>
      <c r="E9" s="24"/>
    </row>
    <row r="10" spans="1:5" x14ac:dyDescent="0.2">
      <c r="A10" s="20" t="s">
        <v>495</v>
      </c>
      <c r="B10" s="20" t="s">
        <v>496</v>
      </c>
      <c r="C10" s="20" t="s">
        <v>487</v>
      </c>
      <c r="D10" s="20" t="s">
        <v>488</v>
      </c>
      <c r="E10" s="24"/>
    </row>
    <row r="11" spans="1:5" x14ac:dyDescent="0.2">
      <c r="A11" s="20" t="s">
        <v>497</v>
      </c>
      <c r="B11" s="20" t="s">
        <v>496</v>
      </c>
      <c r="C11" s="20" t="s">
        <v>487</v>
      </c>
      <c r="D11" s="20" t="s">
        <v>490</v>
      </c>
      <c r="E11" s="24"/>
    </row>
    <row r="12" spans="1:5" x14ac:dyDescent="0.2">
      <c r="A12" s="20" t="s">
        <v>498</v>
      </c>
      <c r="B12" s="20" t="s">
        <v>496</v>
      </c>
      <c r="C12" s="20" t="s">
        <v>487</v>
      </c>
      <c r="D12" s="20" t="s">
        <v>492</v>
      </c>
      <c r="E12" s="24"/>
    </row>
    <row r="13" spans="1:5" x14ac:dyDescent="0.2">
      <c r="A13" s="20" t="s">
        <v>499</v>
      </c>
      <c r="B13" s="20" t="s">
        <v>496</v>
      </c>
      <c r="C13" s="20" t="s">
        <v>487</v>
      </c>
      <c r="D13" s="20" t="s">
        <v>494</v>
      </c>
      <c r="E13" s="24"/>
    </row>
    <row r="14" spans="1:5" x14ac:dyDescent="0.2">
      <c r="A14" s="20" t="s">
        <v>500</v>
      </c>
      <c r="B14" s="20" t="s">
        <v>501</v>
      </c>
      <c r="C14" s="20" t="s">
        <v>487</v>
      </c>
      <c r="D14" s="20" t="s">
        <v>488</v>
      </c>
      <c r="E14" s="24"/>
    </row>
    <row r="15" spans="1:5" x14ac:dyDescent="0.2">
      <c r="A15" s="20" t="s">
        <v>502</v>
      </c>
      <c r="B15" s="20" t="s">
        <v>501</v>
      </c>
      <c r="C15" s="20" t="s">
        <v>487</v>
      </c>
      <c r="D15" s="20" t="s">
        <v>490</v>
      </c>
      <c r="E15" s="24"/>
    </row>
    <row r="16" spans="1:5" x14ac:dyDescent="0.2">
      <c r="A16" s="20" t="s">
        <v>503</v>
      </c>
      <c r="B16" s="20" t="s">
        <v>501</v>
      </c>
      <c r="C16" s="20" t="s">
        <v>487</v>
      </c>
      <c r="D16" s="20" t="s">
        <v>492</v>
      </c>
      <c r="E16" s="24"/>
    </row>
    <row r="17" spans="1:5" x14ac:dyDescent="0.2">
      <c r="A17" s="20" t="s">
        <v>504</v>
      </c>
      <c r="B17" s="20" t="s">
        <v>501</v>
      </c>
      <c r="C17" s="20" t="s">
        <v>487</v>
      </c>
      <c r="D17" s="20" t="s">
        <v>494</v>
      </c>
      <c r="E17" s="24"/>
    </row>
    <row r="18" spans="1:5" x14ac:dyDescent="0.2">
      <c r="A18" s="20" t="s">
        <v>505</v>
      </c>
      <c r="B18" s="20" t="s">
        <v>506</v>
      </c>
      <c r="C18" s="20" t="s">
        <v>487</v>
      </c>
      <c r="D18" s="20" t="s">
        <v>488</v>
      </c>
      <c r="E18" s="24"/>
    </row>
    <row r="19" spans="1:5" x14ac:dyDescent="0.2">
      <c r="A19" s="20" t="s">
        <v>507</v>
      </c>
      <c r="B19" s="20" t="s">
        <v>506</v>
      </c>
      <c r="C19" s="20" t="s">
        <v>487</v>
      </c>
      <c r="D19" s="20" t="s">
        <v>490</v>
      </c>
      <c r="E19" s="24"/>
    </row>
    <row r="20" spans="1:5" x14ac:dyDescent="0.2">
      <c r="A20" s="20" t="s">
        <v>508</v>
      </c>
      <c r="B20" s="20" t="s">
        <v>506</v>
      </c>
      <c r="C20" s="20" t="s">
        <v>487</v>
      </c>
      <c r="D20" s="20" t="s">
        <v>492</v>
      </c>
      <c r="E20" s="24"/>
    </row>
    <row r="21" spans="1:5" x14ac:dyDescent="0.2">
      <c r="A21" s="20" t="s">
        <v>509</v>
      </c>
      <c r="B21" s="20" t="s">
        <v>506</v>
      </c>
      <c r="C21" s="20" t="s">
        <v>487</v>
      </c>
      <c r="D21" s="20" t="s">
        <v>494</v>
      </c>
      <c r="E21" s="24"/>
    </row>
    <row r="22" spans="1:5" x14ac:dyDescent="0.2">
      <c r="A22" s="20" t="s">
        <v>510</v>
      </c>
      <c r="B22" s="20" t="s">
        <v>511</v>
      </c>
      <c r="C22" s="20" t="s">
        <v>512</v>
      </c>
      <c r="D22" s="20" t="s">
        <v>513</v>
      </c>
      <c r="E22" s="24"/>
    </row>
    <row r="23" spans="1:5" x14ac:dyDescent="0.2">
      <c r="A23" s="20" t="s">
        <v>514</v>
      </c>
      <c r="B23" s="20" t="s">
        <v>511</v>
      </c>
      <c r="C23" s="20" t="s">
        <v>512</v>
      </c>
      <c r="D23" s="20" t="s">
        <v>515</v>
      </c>
      <c r="E23" s="24"/>
    </row>
    <row r="24" spans="1:5" x14ac:dyDescent="0.2">
      <c r="A24" s="20" t="s">
        <v>516</v>
      </c>
      <c r="B24" s="20" t="s">
        <v>511</v>
      </c>
      <c r="C24" s="20" t="s">
        <v>512</v>
      </c>
      <c r="D24" s="20" t="s">
        <v>517</v>
      </c>
      <c r="E24" s="24"/>
    </row>
    <row r="25" spans="1:5" x14ac:dyDescent="0.2">
      <c r="A25" s="20" t="s">
        <v>518</v>
      </c>
      <c r="B25" s="20" t="s">
        <v>511</v>
      </c>
      <c r="C25" s="20" t="s">
        <v>512</v>
      </c>
      <c r="D25" s="20" t="s">
        <v>519</v>
      </c>
      <c r="E25" s="24"/>
    </row>
    <row r="26" spans="1:5" x14ac:dyDescent="0.2">
      <c r="A26" s="20" t="s">
        <v>520</v>
      </c>
      <c r="B26" s="20" t="s">
        <v>521</v>
      </c>
      <c r="C26" s="20" t="s">
        <v>512</v>
      </c>
      <c r="D26" s="20" t="s">
        <v>513</v>
      </c>
      <c r="E26" s="24"/>
    </row>
    <row r="27" spans="1:5" x14ac:dyDescent="0.2">
      <c r="A27" s="20" t="s">
        <v>522</v>
      </c>
      <c r="B27" s="20" t="s">
        <v>521</v>
      </c>
      <c r="C27" s="20" t="s">
        <v>512</v>
      </c>
      <c r="D27" s="20" t="s">
        <v>515</v>
      </c>
      <c r="E27" s="24"/>
    </row>
    <row r="28" spans="1:5" x14ac:dyDescent="0.2">
      <c r="A28" s="20" t="s">
        <v>523</v>
      </c>
      <c r="B28" s="20" t="s">
        <v>521</v>
      </c>
      <c r="C28" s="20" t="s">
        <v>512</v>
      </c>
      <c r="D28" s="20" t="s">
        <v>517</v>
      </c>
      <c r="E28" s="24"/>
    </row>
    <row r="29" spans="1:5" x14ac:dyDescent="0.2">
      <c r="A29" s="20" t="s">
        <v>524</v>
      </c>
      <c r="B29" s="20" t="s">
        <v>521</v>
      </c>
      <c r="C29" s="20" t="s">
        <v>512</v>
      </c>
      <c r="D29" s="20" t="s">
        <v>519</v>
      </c>
      <c r="E29" s="24"/>
    </row>
    <row r="30" spans="1:5" x14ac:dyDescent="0.2">
      <c r="A30" s="20" t="s">
        <v>525</v>
      </c>
      <c r="B30" s="20" t="s">
        <v>526</v>
      </c>
      <c r="C30" s="20" t="s">
        <v>512</v>
      </c>
      <c r="D30" s="20" t="s">
        <v>513</v>
      </c>
      <c r="E30" s="24"/>
    </row>
    <row r="31" spans="1:5" x14ac:dyDescent="0.2">
      <c r="A31" s="20" t="s">
        <v>527</v>
      </c>
      <c r="B31" s="20" t="s">
        <v>526</v>
      </c>
      <c r="C31" s="20" t="s">
        <v>512</v>
      </c>
      <c r="D31" s="20" t="s">
        <v>515</v>
      </c>
      <c r="E31" s="24"/>
    </row>
    <row r="32" spans="1:5" x14ac:dyDescent="0.2">
      <c r="A32" s="20" t="s">
        <v>528</v>
      </c>
      <c r="B32" s="20" t="s">
        <v>526</v>
      </c>
      <c r="C32" s="20" t="s">
        <v>512</v>
      </c>
      <c r="D32" s="20" t="s">
        <v>517</v>
      </c>
      <c r="E32" s="24"/>
    </row>
    <row r="33" spans="1:5" x14ac:dyDescent="0.2">
      <c r="A33" s="20" t="s">
        <v>529</v>
      </c>
      <c r="B33" s="20" t="s">
        <v>526</v>
      </c>
      <c r="C33" s="20" t="s">
        <v>512</v>
      </c>
      <c r="D33" s="20" t="s">
        <v>519</v>
      </c>
      <c r="E33" s="24"/>
    </row>
    <row r="34" spans="1:5" x14ac:dyDescent="0.2">
      <c r="A34" s="20" t="s">
        <v>530</v>
      </c>
      <c r="B34" s="20" t="s">
        <v>531</v>
      </c>
      <c r="C34" s="20" t="s">
        <v>512</v>
      </c>
      <c r="D34" s="20" t="s">
        <v>513</v>
      </c>
      <c r="E34" s="24"/>
    </row>
    <row r="35" spans="1:5" x14ac:dyDescent="0.2">
      <c r="A35" s="20" t="s">
        <v>532</v>
      </c>
      <c r="B35" s="20" t="s">
        <v>531</v>
      </c>
      <c r="C35" s="20" t="s">
        <v>512</v>
      </c>
      <c r="D35" s="20" t="s">
        <v>515</v>
      </c>
      <c r="E35" s="24"/>
    </row>
    <row r="36" spans="1:5" x14ac:dyDescent="0.2">
      <c r="A36" s="20" t="s">
        <v>533</v>
      </c>
      <c r="B36" s="20" t="s">
        <v>531</v>
      </c>
      <c r="C36" s="20" t="s">
        <v>512</v>
      </c>
      <c r="D36" s="20" t="s">
        <v>517</v>
      </c>
      <c r="E36" s="24"/>
    </row>
    <row r="37" spans="1:5" x14ac:dyDescent="0.2">
      <c r="A37" s="20" t="s">
        <v>534</v>
      </c>
      <c r="B37" s="20" t="s">
        <v>531</v>
      </c>
      <c r="C37" s="20" t="s">
        <v>512</v>
      </c>
      <c r="D37" s="20" t="s">
        <v>519</v>
      </c>
      <c r="E37" s="24"/>
    </row>
    <row r="38" spans="1:5" x14ac:dyDescent="0.2">
      <c r="A38" s="20" t="s">
        <v>535</v>
      </c>
      <c r="B38" s="20" t="s">
        <v>536</v>
      </c>
      <c r="C38" s="20" t="s">
        <v>512</v>
      </c>
      <c r="D38" s="20" t="s">
        <v>513</v>
      </c>
      <c r="E38" s="24"/>
    </row>
    <row r="39" spans="1:5" x14ac:dyDescent="0.2">
      <c r="A39" s="20" t="s">
        <v>537</v>
      </c>
      <c r="B39" s="20" t="s">
        <v>536</v>
      </c>
      <c r="C39" s="20" t="s">
        <v>512</v>
      </c>
      <c r="D39" s="20" t="s">
        <v>515</v>
      </c>
      <c r="E39" s="24"/>
    </row>
    <row r="40" spans="1:5" x14ac:dyDescent="0.2">
      <c r="A40" s="20" t="s">
        <v>538</v>
      </c>
      <c r="B40" s="20" t="s">
        <v>536</v>
      </c>
      <c r="C40" s="20" t="s">
        <v>512</v>
      </c>
      <c r="D40" s="20" t="s">
        <v>517</v>
      </c>
      <c r="E40" s="24"/>
    </row>
    <row r="41" spans="1:5" x14ac:dyDescent="0.2">
      <c r="A41" s="20" t="s">
        <v>539</v>
      </c>
      <c r="B41" s="20" t="s">
        <v>536</v>
      </c>
      <c r="C41" s="20" t="s">
        <v>512</v>
      </c>
      <c r="D41" s="20" t="s">
        <v>519</v>
      </c>
      <c r="E41" s="24"/>
    </row>
    <row r="42" spans="1:5" x14ac:dyDescent="0.2">
      <c r="A42" s="20" t="s">
        <v>540</v>
      </c>
      <c r="B42" s="20" t="s">
        <v>541</v>
      </c>
      <c r="C42" s="20" t="s">
        <v>512</v>
      </c>
      <c r="D42" s="20" t="s">
        <v>513</v>
      </c>
      <c r="E42" s="24"/>
    </row>
    <row r="43" spans="1:5" x14ac:dyDescent="0.2">
      <c r="A43" s="20" t="s">
        <v>542</v>
      </c>
      <c r="B43" s="20" t="s">
        <v>541</v>
      </c>
      <c r="C43" s="20" t="s">
        <v>512</v>
      </c>
      <c r="D43" s="20" t="s">
        <v>515</v>
      </c>
      <c r="E43" s="24"/>
    </row>
    <row r="44" spans="1:5" x14ac:dyDescent="0.2">
      <c r="A44" s="20" t="s">
        <v>543</v>
      </c>
      <c r="B44" s="20" t="s">
        <v>541</v>
      </c>
      <c r="C44" s="20" t="s">
        <v>512</v>
      </c>
      <c r="D44" s="20" t="s">
        <v>517</v>
      </c>
      <c r="E44" s="24"/>
    </row>
    <row r="45" spans="1:5" x14ac:dyDescent="0.2">
      <c r="A45" s="20" t="s">
        <v>544</v>
      </c>
      <c r="B45" s="20" t="s">
        <v>541</v>
      </c>
      <c r="C45" s="20" t="s">
        <v>512</v>
      </c>
      <c r="D45" s="20" t="s">
        <v>519</v>
      </c>
      <c r="E45" s="24"/>
    </row>
    <row r="46" spans="1:5" x14ac:dyDescent="0.2">
      <c r="A46" s="20" t="s">
        <v>545</v>
      </c>
      <c r="B46" s="20" t="s">
        <v>546</v>
      </c>
      <c r="C46" s="20" t="s">
        <v>512</v>
      </c>
      <c r="D46" s="20" t="s">
        <v>513</v>
      </c>
      <c r="E46" s="24"/>
    </row>
    <row r="47" spans="1:5" x14ac:dyDescent="0.2">
      <c r="A47" s="20" t="s">
        <v>547</v>
      </c>
      <c r="B47" s="20" t="s">
        <v>546</v>
      </c>
      <c r="C47" s="20" t="s">
        <v>512</v>
      </c>
      <c r="D47" s="20" t="s">
        <v>515</v>
      </c>
      <c r="E47" s="24"/>
    </row>
    <row r="48" spans="1:5" x14ac:dyDescent="0.2">
      <c r="A48" s="20" t="s">
        <v>548</v>
      </c>
      <c r="B48" s="20" t="s">
        <v>546</v>
      </c>
      <c r="C48" s="20" t="s">
        <v>512</v>
      </c>
      <c r="D48" s="20" t="s">
        <v>517</v>
      </c>
      <c r="E48" s="24"/>
    </row>
    <row r="49" spans="1:5" x14ac:dyDescent="0.2">
      <c r="A49" s="20" t="s">
        <v>549</v>
      </c>
      <c r="B49" s="20" t="s">
        <v>546</v>
      </c>
      <c r="C49" s="20" t="s">
        <v>512</v>
      </c>
      <c r="D49" s="20" t="s">
        <v>519</v>
      </c>
      <c r="E49" s="24"/>
    </row>
    <row r="50" spans="1:5" x14ac:dyDescent="0.2">
      <c r="A50" s="20" t="s">
        <v>550</v>
      </c>
      <c r="B50" s="20" t="s">
        <v>551</v>
      </c>
      <c r="C50" s="20" t="s">
        <v>512</v>
      </c>
      <c r="D50" s="20" t="s">
        <v>176</v>
      </c>
      <c r="E50" s="24"/>
    </row>
    <row r="51" spans="1:5" x14ac:dyDescent="0.2">
      <c r="A51" s="20" t="s">
        <v>552</v>
      </c>
      <c r="B51" s="20" t="s">
        <v>553</v>
      </c>
      <c r="C51" s="20" t="s">
        <v>478</v>
      </c>
      <c r="D51" s="20" t="s">
        <v>176</v>
      </c>
      <c r="E51" s="24"/>
    </row>
    <row r="52" spans="1:5" x14ac:dyDescent="0.2">
      <c r="A52" s="20" t="s">
        <v>554</v>
      </c>
      <c r="B52" s="20" t="s">
        <v>555</v>
      </c>
      <c r="C52" s="20" t="s">
        <v>512</v>
      </c>
      <c r="D52" s="20" t="s">
        <v>556</v>
      </c>
      <c r="E52" s="24"/>
    </row>
    <row r="53" spans="1:5" x14ac:dyDescent="0.2">
      <c r="A53" s="20" t="s">
        <v>557</v>
      </c>
      <c r="B53" s="20" t="s">
        <v>555</v>
      </c>
      <c r="C53" s="20" t="s">
        <v>512</v>
      </c>
      <c r="D53" s="20" t="s">
        <v>558</v>
      </c>
      <c r="E53" s="24"/>
    </row>
    <row r="54" spans="1:5" x14ac:dyDescent="0.2">
      <c r="A54" s="20" t="s">
        <v>559</v>
      </c>
      <c r="B54" s="20" t="s">
        <v>555</v>
      </c>
      <c r="C54" s="20" t="s">
        <v>512</v>
      </c>
      <c r="D54" s="20" t="s">
        <v>560</v>
      </c>
      <c r="E54" s="24"/>
    </row>
    <row r="55" spans="1:5" x14ac:dyDescent="0.2">
      <c r="A55" s="20" t="s">
        <v>561</v>
      </c>
      <c r="B55" s="20" t="s">
        <v>555</v>
      </c>
      <c r="C55" s="20" t="s">
        <v>512</v>
      </c>
      <c r="D55" s="20" t="s">
        <v>562</v>
      </c>
      <c r="E55" s="24"/>
    </row>
    <row r="56" spans="1:5" x14ac:dyDescent="0.2">
      <c r="A56" s="20" t="s">
        <v>563</v>
      </c>
      <c r="B56" s="20" t="s">
        <v>564</v>
      </c>
      <c r="C56" s="20" t="s">
        <v>512</v>
      </c>
      <c r="D56" s="20" t="s">
        <v>556</v>
      </c>
      <c r="E56" s="24"/>
    </row>
    <row r="57" spans="1:5" x14ac:dyDescent="0.2">
      <c r="A57" s="20" t="s">
        <v>565</v>
      </c>
      <c r="B57" s="20" t="s">
        <v>564</v>
      </c>
      <c r="C57" s="20" t="s">
        <v>512</v>
      </c>
      <c r="D57" s="20" t="s">
        <v>558</v>
      </c>
      <c r="E57" s="24"/>
    </row>
    <row r="58" spans="1:5" x14ac:dyDescent="0.2">
      <c r="A58" s="20" t="s">
        <v>566</v>
      </c>
      <c r="B58" s="20" t="s">
        <v>564</v>
      </c>
      <c r="C58" s="20" t="s">
        <v>512</v>
      </c>
      <c r="D58" s="20" t="s">
        <v>560</v>
      </c>
      <c r="E58" s="24"/>
    </row>
    <row r="59" spans="1:5" x14ac:dyDescent="0.2">
      <c r="A59" s="20" t="s">
        <v>567</v>
      </c>
      <c r="B59" s="20" t="s">
        <v>564</v>
      </c>
      <c r="C59" s="20" t="s">
        <v>512</v>
      </c>
      <c r="D59" s="20" t="s">
        <v>562</v>
      </c>
      <c r="E59" s="24"/>
    </row>
    <row r="60" spans="1:5" x14ac:dyDescent="0.2">
      <c r="A60" s="20" t="s">
        <v>568</v>
      </c>
      <c r="B60" s="20" t="s">
        <v>569</v>
      </c>
      <c r="C60" s="20" t="s">
        <v>512</v>
      </c>
      <c r="D60" s="20" t="s">
        <v>556</v>
      </c>
      <c r="E60" s="24"/>
    </row>
    <row r="61" spans="1:5" x14ac:dyDescent="0.2">
      <c r="A61" s="20" t="s">
        <v>570</v>
      </c>
      <c r="B61" s="20" t="s">
        <v>569</v>
      </c>
      <c r="C61" s="20" t="s">
        <v>512</v>
      </c>
      <c r="D61" s="20" t="s">
        <v>558</v>
      </c>
      <c r="E61" s="24"/>
    </row>
    <row r="62" spans="1:5" x14ac:dyDescent="0.2">
      <c r="A62" s="20" t="s">
        <v>571</v>
      </c>
      <c r="B62" s="20" t="s">
        <v>569</v>
      </c>
      <c r="C62" s="20" t="s">
        <v>512</v>
      </c>
      <c r="D62" s="20" t="s">
        <v>560</v>
      </c>
      <c r="E62" s="24"/>
    </row>
    <row r="63" spans="1:5" x14ac:dyDescent="0.2">
      <c r="A63" s="20" t="s">
        <v>572</v>
      </c>
      <c r="B63" s="20" t="s">
        <v>569</v>
      </c>
      <c r="C63" s="20" t="s">
        <v>512</v>
      </c>
      <c r="D63" s="20" t="s">
        <v>562</v>
      </c>
      <c r="E63" s="24"/>
    </row>
    <row r="64" spans="1:5" x14ac:dyDescent="0.2">
      <c r="A64" s="20" t="s">
        <v>573</v>
      </c>
      <c r="B64" s="20" t="s">
        <v>574</v>
      </c>
      <c r="C64" s="20" t="s">
        <v>512</v>
      </c>
      <c r="D64" s="20" t="s">
        <v>556</v>
      </c>
      <c r="E64" s="24"/>
    </row>
    <row r="65" spans="1:5" x14ac:dyDescent="0.2">
      <c r="A65" s="20" t="s">
        <v>575</v>
      </c>
      <c r="B65" s="20" t="s">
        <v>574</v>
      </c>
      <c r="C65" s="20" t="s">
        <v>512</v>
      </c>
      <c r="D65" s="20" t="s">
        <v>558</v>
      </c>
      <c r="E65" s="24"/>
    </row>
    <row r="66" spans="1:5" x14ac:dyDescent="0.2">
      <c r="A66" s="20" t="s">
        <v>576</v>
      </c>
      <c r="B66" s="20" t="s">
        <v>574</v>
      </c>
      <c r="C66" s="20" t="s">
        <v>512</v>
      </c>
      <c r="D66" s="20" t="s">
        <v>560</v>
      </c>
      <c r="E66" s="24"/>
    </row>
    <row r="67" spans="1:5" x14ac:dyDescent="0.2">
      <c r="A67" s="20" t="s">
        <v>577</v>
      </c>
      <c r="B67" s="20" t="s">
        <v>574</v>
      </c>
      <c r="C67" s="20" t="s">
        <v>512</v>
      </c>
      <c r="D67" s="20" t="s">
        <v>562</v>
      </c>
      <c r="E67" s="24"/>
    </row>
    <row r="68" spans="1:5" x14ac:dyDescent="0.2">
      <c r="A68" s="20" t="s">
        <v>578</v>
      </c>
      <c r="B68" s="20" t="s">
        <v>579</v>
      </c>
      <c r="C68" s="20" t="s">
        <v>512</v>
      </c>
      <c r="D68" s="20" t="s">
        <v>556</v>
      </c>
      <c r="E68" s="24"/>
    </row>
    <row r="69" spans="1:5" x14ac:dyDescent="0.2">
      <c r="A69" s="20" t="s">
        <v>580</v>
      </c>
      <c r="B69" s="20" t="s">
        <v>579</v>
      </c>
      <c r="C69" s="20" t="s">
        <v>512</v>
      </c>
      <c r="D69" s="20" t="s">
        <v>558</v>
      </c>
      <c r="E69" s="24"/>
    </row>
    <row r="70" spans="1:5" x14ac:dyDescent="0.2">
      <c r="A70" s="20" t="s">
        <v>581</v>
      </c>
      <c r="B70" s="20" t="s">
        <v>579</v>
      </c>
      <c r="C70" s="20" t="s">
        <v>512</v>
      </c>
      <c r="D70" s="20" t="s">
        <v>560</v>
      </c>
      <c r="E70" s="24"/>
    </row>
    <row r="71" spans="1:5" x14ac:dyDescent="0.2">
      <c r="A71" s="20" t="s">
        <v>582</v>
      </c>
      <c r="B71" s="20" t="s">
        <v>579</v>
      </c>
      <c r="C71" s="20" t="s">
        <v>512</v>
      </c>
      <c r="D71" s="20" t="s">
        <v>562</v>
      </c>
      <c r="E71" s="24"/>
    </row>
    <row r="72" spans="1:5" x14ac:dyDescent="0.2">
      <c r="A72" s="20" t="s">
        <v>583</v>
      </c>
      <c r="B72" s="20" t="s">
        <v>584</v>
      </c>
      <c r="C72" s="20" t="s">
        <v>512</v>
      </c>
      <c r="D72" s="20" t="s">
        <v>556</v>
      </c>
      <c r="E72" s="24"/>
    </row>
    <row r="73" spans="1:5" x14ac:dyDescent="0.2">
      <c r="A73" s="20" t="s">
        <v>585</v>
      </c>
      <c r="B73" s="20" t="s">
        <v>584</v>
      </c>
      <c r="C73" s="20" t="s">
        <v>512</v>
      </c>
      <c r="D73" s="20" t="s">
        <v>558</v>
      </c>
      <c r="E73" s="24"/>
    </row>
    <row r="74" spans="1:5" x14ac:dyDescent="0.2">
      <c r="A74" s="20" t="s">
        <v>586</v>
      </c>
      <c r="B74" s="20" t="s">
        <v>584</v>
      </c>
      <c r="C74" s="20" t="s">
        <v>512</v>
      </c>
      <c r="D74" s="20" t="s">
        <v>560</v>
      </c>
      <c r="E74" s="24"/>
    </row>
    <row r="75" spans="1:5" x14ac:dyDescent="0.2">
      <c r="A75" s="20" t="s">
        <v>587</v>
      </c>
      <c r="B75" s="20" t="s">
        <v>584</v>
      </c>
      <c r="C75" s="20" t="s">
        <v>512</v>
      </c>
      <c r="D75" s="20" t="s">
        <v>562</v>
      </c>
      <c r="E75" s="24"/>
    </row>
    <row r="76" spans="1:5" x14ac:dyDescent="0.2">
      <c r="A76" s="20" t="s">
        <v>588</v>
      </c>
      <c r="B76" s="20" t="s">
        <v>589</v>
      </c>
      <c r="C76" s="20" t="s">
        <v>512</v>
      </c>
      <c r="D76" s="20" t="s">
        <v>556</v>
      </c>
      <c r="E76" s="24"/>
    </row>
    <row r="77" spans="1:5" x14ac:dyDescent="0.2">
      <c r="A77" s="20" t="s">
        <v>590</v>
      </c>
      <c r="B77" s="20" t="s">
        <v>589</v>
      </c>
      <c r="C77" s="20" t="s">
        <v>512</v>
      </c>
      <c r="D77" s="20" t="s">
        <v>558</v>
      </c>
      <c r="E77" s="24"/>
    </row>
    <row r="78" spans="1:5" x14ac:dyDescent="0.2">
      <c r="A78" s="20" t="s">
        <v>591</v>
      </c>
      <c r="B78" s="20" t="s">
        <v>589</v>
      </c>
      <c r="C78" s="20" t="s">
        <v>512</v>
      </c>
      <c r="D78" s="20" t="s">
        <v>560</v>
      </c>
      <c r="E78" s="24"/>
    </row>
    <row r="79" spans="1:5" x14ac:dyDescent="0.2">
      <c r="A79" s="20" t="s">
        <v>592</v>
      </c>
      <c r="B79" s="20" t="s">
        <v>589</v>
      </c>
      <c r="C79" s="20" t="s">
        <v>512</v>
      </c>
      <c r="D79" s="20" t="s">
        <v>562</v>
      </c>
      <c r="E79" s="24"/>
    </row>
    <row r="80" spans="1:5" x14ac:dyDescent="0.2">
      <c r="A80" s="20" t="s">
        <v>593</v>
      </c>
      <c r="B80" s="20" t="s">
        <v>594</v>
      </c>
      <c r="C80" s="20" t="s">
        <v>512</v>
      </c>
      <c r="D80" s="20" t="s">
        <v>556</v>
      </c>
      <c r="E80" s="24"/>
    </row>
    <row r="81" spans="1:5" x14ac:dyDescent="0.2">
      <c r="A81" s="20" t="s">
        <v>595</v>
      </c>
      <c r="B81" s="20" t="s">
        <v>594</v>
      </c>
      <c r="C81" s="20" t="s">
        <v>512</v>
      </c>
      <c r="D81" s="20" t="s">
        <v>558</v>
      </c>
      <c r="E81" s="24"/>
    </row>
    <row r="82" spans="1:5" x14ac:dyDescent="0.2">
      <c r="A82" s="20" t="s">
        <v>596</v>
      </c>
      <c r="B82" s="20" t="s">
        <v>594</v>
      </c>
      <c r="C82" s="20" t="s">
        <v>512</v>
      </c>
      <c r="D82" s="20" t="s">
        <v>560</v>
      </c>
      <c r="E82" s="24"/>
    </row>
    <row r="83" spans="1:5" x14ac:dyDescent="0.2">
      <c r="A83" s="20" t="s">
        <v>597</v>
      </c>
      <c r="B83" s="20" t="s">
        <v>594</v>
      </c>
      <c r="C83" s="20" t="s">
        <v>512</v>
      </c>
      <c r="D83" s="20" t="s">
        <v>562</v>
      </c>
      <c r="E83" s="24"/>
    </row>
    <row r="84" spans="1:5" x14ac:dyDescent="0.2">
      <c r="A84" s="20" t="s">
        <v>598</v>
      </c>
      <c r="B84" s="20" t="s">
        <v>599</v>
      </c>
      <c r="C84" s="20" t="s">
        <v>512</v>
      </c>
      <c r="D84" s="20" t="s">
        <v>556</v>
      </c>
      <c r="E84" s="24"/>
    </row>
    <row r="85" spans="1:5" x14ac:dyDescent="0.2">
      <c r="A85" s="20" t="s">
        <v>600</v>
      </c>
      <c r="B85" s="20" t="s">
        <v>599</v>
      </c>
      <c r="C85" s="20" t="s">
        <v>512</v>
      </c>
      <c r="D85" s="20" t="s">
        <v>558</v>
      </c>
      <c r="E85" s="24"/>
    </row>
    <row r="86" spans="1:5" x14ac:dyDescent="0.2">
      <c r="A86" s="20" t="s">
        <v>601</v>
      </c>
      <c r="B86" s="20" t="s">
        <v>599</v>
      </c>
      <c r="C86" s="20" t="s">
        <v>512</v>
      </c>
      <c r="D86" s="20" t="s">
        <v>560</v>
      </c>
      <c r="E86" s="24"/>
    </row>
    <row r="87" spans="1:5" x14ac:dyDescent="0.2">
      <c r="A87" s="20" t="s">
        <v>602</v>
      </c>
      <c r="B87" s="20" t="s">
        <v>599</v>
      </c>
      <c r="C87" s="20" t="s">
        <v>512</v>
      </c>
      <c r="D87" s="20" t="s">
        <v>562</v>
      </c>
      <c r="E87" s="24"/>
    </row>
    <row r="88" spans="1:5" x14ac:dyDescent="0.2">
      <c r="A88" s="20" t="s">
        <v>603</v>
      </c>
      <c r="B88" s="20" t="s">
        <v>604</v>
      </c>
      <c r="C88" s="20" t="s">
        <v>487</v>
      </c>
      <c r="D88" s="20" t="s">
        <v>488</v>
      </c>
      <c r="E88" s="24"/>
    </row>
    <row r="89" spans="1:5" x14ac:dyDescent="0.2">
      <c r="A89" s="20" t="s">
        <v>605</v>
      </c>
      <c r="B89" s="20" t="s">
        <v>604</v>
      </c>
      <c r="C89" s="20" t="s">
        <v>487</v>
      </c>
      <c r="D89" s="20" t="s">
        <v>606</v>
      </c>
      <c r="E89" s="24"/>
    </row>
    <row r="90" spans="1:5" x14ac:dyDescent="0.2">
      <c r="A90" s="20" t="s">
        <v>607</v>
      </c>
      <c r="B90" s="20" t="s">
        <v>604</v>
      </c>
      <c r="C90" s="20" t="s">
        <v>487</v>
      </c>
      <c r="D90" s="20" t="s">
        <v>608</v>
      </c>
      <c r="E90" s="24"/>
    </row>
    <row r="91" spans="1:5" x14ac:dyDescent="0.2">
      <c r="A91" s="25" t="s">
        <v>609</v>
      </c>
      <c r="B91" s="25" t="s">
        <v>604</v>
      </c>
      <c r="C91" s="25" t="s">
        <v>487</v>
      </c>
      <c r="D91" s="25" t="s">
        <v>610</v>
      </c>
      <c r="E91" s="29"/>
    </row>
    <row r="92" spans="1:5" x14ac:dyDescent="0.2">
      <c r="A92" s="43" t="s">
        <v>162</v>
      </c>
      <c r="B92" s="44"/>
      <c r="C92" s="44"/>
      <c r="D92" s="44"/>
      <c r="E92" s="91"/>
    </row>
    <row r="94" spans="1:5" x14ac:dyDescent="0.2">
      <c r="A94" s="43" t="s">
        <v>611</v>
      </c>
      <c r="B94" s="44"/>
      <c r="C94" s="44"/>
      <c r="D94" s="44"/>
      <c r="E94" s="91"/>
    </row>
  </sheetData>
  <sheetProtection algorithmName="SHA-512" hashValue="9TEgOVbHOiVJ46c27k9InyeN/DxJ5Wv/dG9JSCXzJy+U0iQRtnvGKvhQSKtqgpKameVHzWKYwHwId8uuol/O5w==" saltValue="ShBmibkZTAscrcxEd5O6m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F158-60A8-41BB-8B15-88F37ACE99FF}">
  <dimension ref="A1:L1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F.1.10: ",tabeltype," glas")</f>
        <v>Bijlage F.1.10: Invultabel glas</v>
      </c>
    </row>
    <row r="3" spans="1:12" ht="38.25" x14ac:dyDescent="0.2">
      <c r="A3" s="8" t="s">
        <v>465</v>
      </c>
      <c r="B3" s="8" t="s">
        <v>7</v>
      </c>
      <c r="C3" s="8" t="s">
        <v>466</v>
      </c>
      <c r="D3" s="8" t="s">
        <v>27</v>
      </c>
      <c r="E3" s="8" t="s">
        <v>30</v>
      </c>
      <c r="F3" s="8" t="s">
        <v>467</v>
      </c>
      <c r="G3" s="8" t="s">
        <v>468</v>
      </c>
      <c r="H3" s="8" t="s">
        <v>469</v>
      </c>
      <c r="I3" s="8" t="s">
        <v>470</v>
      </c>
      <c r="J3" s="8" t="s">
        <v>471</v>
      </c>
      <c r="K3" s="8" t="s">
        <v>118</v>
      </c>
      <c r="L3" s="8" t="s">
        <v>445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612</v>
      </c>
      <c r="B6" s="15" t="s">
        <v>22</v>
      </c>
      <c r="C6" s="16">
        <f t="shared" ref="C6:C11" si="0">IF(ISBLANK(B6),0,IF(ISERROR(VALUE(B6)),VLOOKUP(B6,dagsoorttabel1,2,FALSE)*dagenperjaar1,VALUE(B6)))</f>
        <v>2</v>
      </c>
      <c r="D6" s="15" t="s">
        <v>613</v>
      </c>
      <c r="E6" s="15" t="s">
        <v>512</v>
      </c>
      <c r="F6" s="103">
        <v>1899.86</v>
      </c>
      <c r="G6" s="19"/>
      <c r="H6" s="104"/>
      <c r="I6" s="19"/>
      <c r="J6" s="33">
        <f t="shared" ref="J6:J11" si="1">IF(ISBLANK(F6),0,F6)*ROUND(I6,2)</f>
        <v>0</v>
      </c>
      <c r="K6" s="33">
        <f t="shared" ref="K6:K11" si="2">C6*J6</f>
        <v>0</v>
      </c>
      <c r="L6" s="33">
        <f t="shared" ref="L6:L12" si="3">K6/12</f>
        <v>0</v>
      </c>
    </row>
    <row r="7" spans="1:12" x14ac:dyDescent="0.2">
      <c r="A7" s="20" t="s">
        <v>614</v>
      </c>
      <c r="B7" s="20" t="s">
        <v>22</v>
      </c>
      <c r="C7" s="21">
        <f t="shared" si="0"/>
        <v>2</v>
      </c>
      <c r="D7" s="20" t="s">
        <v>615</v>
      </c>
      <c r="E7" s="20" t="s">
        <v>512</v>
      </c>
      <c r="F7" s="105">
        <v>1899.86</v>
      </c>
      <c r="G7" s="24"/>
      <c r="H7" s="106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616</v>
      </c>
      <c r="B8" s="20" t="s">
        <v>22</v>
      </c>
      <c r="C8" s="21">
        <f t="shared" si="0"/>
        <v>2</v>
      </c>
      <c r="D8" s="20" t="s">
        <v>617</v>
      </c>
      <c r="E8" s="20" t="s">
        <v>512</v>
      </c>
      <c r="F8" s="105">
        <v>1048.22</v>
      </c>
      <c r="G8" s="24"/>
      <c r="H8" s="106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618</v>
      </c>
      <c r="B9" s="20" t="s">
        <v>22</v>
      </c>
      <c r="C9" s="21">
        <f t="shared" si="0"/>
        <v>2</v>
      </c>
      <c r="D9" s="20" t="s">
        <v>619</v>
      </c>
      <c r="E9" s="20" t="s">
        <v>512</v>
      </c>
      <c r="F9" s="105">
        <v>104.51</v>
      </c>
      <c r="G9" s="24"/>
      <c r="H9" s="106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620</v>
      </c>
      <c r="B10" s="20" t="s">
        <v>22</v>
      </c>
      <c r="C10" s="21">
        <f t="shared" si="0"/>
        <v>2</v>
      </c>
      <c r="D10" s="20" t="s">
        <v>621</v>
      </c>
      <c r="E10" s="20" t="s">
        <v>512</v>
      </c>
      <c r="F10" s="105">
        <v>104.51</v>
      </c>
      <c r="G10" s="24"/>
      <c r="H10" s="106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5" t="s">
        <v>622</v>
      </c>
      <c r="B11" s="25" t="s">
        <v>22</v>
      </c>
      <c r="C11" s="26">
        <f t="shared" si="0"/>
        <v>2</v>
      </c>
      <c r="D11" s="25" t="s">
        <v>623</v>
      </c>
      <c r="E11" s="25" t="s">
        <v>512</v>
      </c>
      <c r="F11" s="107">
        <v>331.3</v>
      </c>
      <c r="G11" s="29"/>
      <c r="H11" s="108"/>
      <c r="I11" s="29"/>
      <c r="J11" s="41">
        <f t="shared" si="1"/>
        <v>0</v>
      </c>
      <c r="K11" s="41">
        <f t="shared" si="2"/>
        <v>0</v>
      </c>
      <c r="L11" s="41">
        <f t="shared" si="3"/>
        <v>0</v>
      </c>
    </row>
    <row r="12" spans="1:12" x14ac:dyDescent="0.2">
      <c r="A12" s="43" t="s">
        <v>162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SUM(K6:K11)</f>
        <v>0</v>
      </c>
      <c r="L12" s="102">
        <f t="shared" si="3"/>
        <v>0</v>
      </c>
    </row>
    <row r="14" spans="1:12" x14ac:dyDescent="0.2">
      <c r="A14" s="43" t="s">
        <v>624</v>
      </c>
      <c r="B14" s="44"/>
      <c r="C14" s="44"/>
      <c r="D14" s="44"/>
      <c r="E14" s="44"/>
      <c r="F14" s="44"/>
      <c r="G14" s="44"/>
      <c r="H14" s="44"/>
      <c r="I14" s="44"/>
      <c r="J14" s="44"/>
      <c r="K14" s="46">
        <f>prijsjaarglas1</f>
        <v>0</v>
      </c>
      <c r="L14" s="102">
        <f>K14/12</f>
        <v>0</v>
      </c>
    </row>
  </sheetData>
  <sheetProtection algorithmName="SHA-512" hashValue="zSv2Ip9k9ULXOH5NqkBCP2gXXRogbMdTV/5EZGzyA8OMRrtbbLUtQ+U76g/wAvd3fYvvE0PvJK88fs6z4iwIbw==" saltValue="jYimW+5xODiOhBmYhAGmu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2CD6-4729-46AF-8BED-22A461E00BBE}">
  <dimension ref="A1:M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F.1.11: ",tabeltype," glas per locatie")</f>
        <v>Bijlage F.1.11: Invultabel glas per locatie</v>
      </c>
    </row>
    <row r="3" spans="1:13" ht="38.25" x14ac:dyDescent="0.2">
      <c r="A3" s="8" t="s">
        <v>465</v>
      </c>
      <c r="B3" s="8" t="s">
        <v>7</v>
      </c>
      <c r="C3" s="8" t="s">
        <v>466</v>
      </c>
      <c r="D3" s="8" t="s">
        <v>422</v>
      </c>
      <c r="E3" s="8" t="s">
        <v>27</v>
      </c>
      <c r="F3" s="8" t="s">
        <v>30</v>
      </c>
      <c r="G3" s="8" t="s">
        <v>467</v>
      </c>
      <c r="H3" s="8" t="s">
        <v>468</v>
      </c>
      <c r="I3" s="8" t="s">
        <v>469</v>
      </c>
      <c r="J3" s="8" t="s">
        <v>470</v>
      </c>
      <c r="K3" s="8" t="s">
        <v>471</v>
      </c>
      <c r="L3" s="8" t="s">
        <v>118</v>
      </c>
      <c r="M3" s="8" t="s">
        <v>445</v>
      </c>
    </row>
    <row r="5" spans="1:13" x14ac:dyDescent="0.2">
      <c r="A5" s="109" t="s">
        <v>174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91"/>
    </row>
    <row r="6" spans="1:13" x14ac:dyDescent="0.2">
      <c r="A6" s="15" t="s">
        <v>612</v>
      </c>
      <c r="B6" s="15" t="s">
        <v>22</v>
      </c>
      <c r="C6" s="16">
        <f>IF(ISBLANK(B6),0,IF(ISERROR(VALUE(B6)),VLOOKUP(B6,dagsoorttabel1,2,FALSE)*dagenperjaar1,VALUE(B6)))</f>
        <v>2</v>
      </c>
      <c r="D6" s="15" t="s">
        <v>431</v>
      </c>
      <c r="E6" s="15" t="s">
        <v>613</v>
      </c>
      <c r="F6" s="15" t="s">
        <v>512</v>
      </c>
      <c r="G6" s="103">
        <v>1001.8599999999999</v>
      </c>
      <c r="H6" s="110">
        <f>Glas!G6</f>
        <v>0</v>
      </c>
      <c r="I6" s="104"/>
      <c r="J6" s="110">
        <f>Glas!I6</f>
        <v>0</v>
      </c>
      <c r="K6" s="33">
        <f>IF(ISBLANK(G6),0,G6)*ROUND(J6,2)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614</v>
      </c>
      <c r="B7" s="20" t="s">
        <v>22</v>
      </c>
      <c r="C7" s="21">
        <f>IF(ISBLANK(B7),0,IF(ISERROR(VALUE(B7)),VLOOKUP(B7,dagsoorttabel1,2,FALSE)*dagenperjaar1,VALUE(B7)))</f>
        <v>2</v>
      </c>
      <c r="D7" s="20" t="s">
        <v>431</v>
      </c>
      <c r="E7" s="20" t="s">
        <v>615</v>
      </c>
      <c r="F7" s="20" t="s">
        <v>512</v>
      </c>
      <c r="G7" s="105">
        <v>1001.8599999999999</v>
      </c>
      <c r="H7" s="111">
        <f>Glas!G7</f>
        <v>0</v>
      </c>
      <c r="I7" s="106"/>
      <c r="J7" s="111">
        <f>Glas!I7</f>
        <v>0</v>
      </c>
      <c r="K7" s="37">
        <f>IF(ISBLANK(G7),0,G7)*ROUND(J7,2)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616</v>
      </c>
      <c r="B8" s="25" t="s">
        <v>22</v>
      </c>
      <c r="C8" s="26">
        <f>IF(ISBLANK(B8),0,IF(ISERROR(VALUE(B8)),VLOOKUP(B8,dagsoorttabel1,2,FALSE)*dagenperjaar1,VALUE(B8)))</f>
        <v>2</v>
      </c>
      <c r="D8" s="25" t="s">
        <v>431</v>
      </c>
      <c r="E8" s="25" t="s">
        <v>617</v>
      </c>
      <c r="F8" s="25" t="s">
        <v>512</v>
      </c>
      <c r="G8" s="107">
        <v>602.12</v>
      </c>
      <c r="H8" s="112">
        <f>Glas!G8</f>
        <v>0</v>
      </c>
      <c r="I8" s="108"/>
      <c r="J8" s="112">
        <f>Glas!I8</f>
        <v>0</v>
      </c>
      <c r="K8" s="41">
        <f>IF(ISBLANK(G8),0,G8)*ROUND(J8,2)</f>
        <v>0</v>
      </c>
      <c r="L8" s="41">
        <f>C8*K8</f>
        <v>0</v>
      </c>
      <c r="M8" s="41">
        <f>L8/12</f>
        <v>0</v>
      </c>
    </row>
    <row r="9" spans="1:13" x14ac:dyDescent="0.2">
      <c r="A9" s="113" t="s">
        <v>625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102">
        <f>L9/12</f>
        <v>0</v>
      </c>
    </row>
    <row r="11" spans="1:13" x14ac:dyDescent="0.2">
      <c r="A11" s="109" t="s">
        <v>335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91"/>
    </row>
    <row r="12" spans="1:13" x14ac:dyDescent="0.2">
      <c r="A12" s="15" t="s">
        <v>612</v>
      </c>
      <c r="B12" s="15" t="s">
        <v>22</v>
      </c>
      <c r="C12" s="16">
        <f t="shared" ref="C12:C17" si="0">IF(ISBLANK(B12),0,IF(ISERROR(VALUE(B12)),VLOOKUP(B12,dagsoorttabel1,2,FALSE)*dagenperjaar1,VALUE(B12)))</f>
        <v>2</v>
      </c>
      <c r="D12" s="15" t="s">
        <v>431</v>
      </c>
      <c r="E12" s="15" t="s">
        <v>613</v>
      </c>
      <c r="F12" s="15" t="s">
        <v>512</v>
      </c>
      <c r="G12" s="103">
        <v>898</v>
      </c>
      <c r="H12" s="110">
        <f>Glas!G6</f>
        <v>0</v>
      </c>
      <c r="I12" s="104"/>
      <c r="J12" s="110">
        <f>Glas!I6</f>
        <v>0</v>
      </c>
      <c r="K12" s="33">
        <f t="shared" ref="K12:K17" si="1">IF(ISBLANK(G12),0,G12)*ROUND(J12,2)</f>
        <v>0</v>
      </c>
      <c r="L12" s="33">
        <f t="shared" ref="L12:L17" si="2">C12*K12</f>
        <v>0</v>
      </c>
      <c r="M12" s="33">
        <f t="shared" ref="M12:M18" si="3">L12/12</f>
        <v>0</v>
      </c>
    </row>
    <row r="13" spans="1:13" x14ac:dyDescent="0.2">
      <c r="A13" s="20" t="s">
        <v>614</v>
      </c>
      <c r="B13" s="20" t="s">
        <v>22</v>
      </c>
      <c r="C13" s="21">
        <f t="shared" si="0"/>
        <v>2</v>
      </c>
      <c r="D13" s="20" t="s">
        <v>431</v>
      </c>
      <c r="E13" s="20" t="s">
        <v>615</v>
      </c>
      <c r="F13" s="20" t="s">
        <v>512</v>
      </c>
      <c r="G13" s="105">
        <v>898</v>
      </c>
      <c r="H13" s="111">
        <f>Glas!G7</f>
        <v>0</v>
      </c>
      <c r="I13" s="106"/>
      <c r="J13" s="111">
        <f>Glas!I7</f>
        <v>0</v>
      </c>
      <c r="K13" s="37">
        <f t="shared" si="1"/>
        <v>0</v>
      </c>
      <c r="L13" s="37">
        <f t="shared" si="2"/>
        <v>0</v>
      </c>
      <c r="M13" s="37">
        <f t="shared" si="3"/>
        <v>0</v>
      </c>
    </row>
    <row r="14" spans="1:13" x14ac:dyDescent="0.2">
      <c r="A14" s="20" t="s">
        <v>616</v>
      </c>
      <c r="B14" s="20" t="s">
        <v>22</v>
      </c>
      <c r="C14" s="21">
        <f t="shared" si="0"/>
        <v>2</v>
      </c>
      <c r="D14" s="20" t="s">
        <v>431</v>
      </c>
      <c r="E14" s="20" t="s">
        <v>617</v>
      </c>
      <c r="F14" s="20" t="s">
        <v>512</v>
      </c>
      <c r="G14" s="105">
        <v>446.1</v>
      </c>
      <c r="H14" s="111">
        <f>Glas!G8</f>
        <v>0</v>
      </c>
      <c r="I14" s="106"/>
      <c r="J14" s="111">
        <f>Glas!I8</f>
        <v>0</v>
      </c>
      <c r="K14" s="37">
        <f t="shared" si="1"/>
        <v>0</v>
      </c>
      <c r="L14" s="37">
        <f t="shared" si="2"/>
        <v>0</v>
      </c>
      <c r="M14" s="37">
        <f t="shared" si="3"/>
        <v>0</v>
      </c>
    </row>
    <row r="15" spans="1:13" x14ac:dyDescent="0.2">
      <c r="A15" s="20" t="s">
        <v>618</v>
      </c>
      <c r="B15" s="20" t="s">
        <v>22</v>
      </c>
      <c r="C15" s="21">
        <f t="shared" si="0"/>
        <v>2</v>
      </c>
      <c r="D15" s="20" t="s">
        <v>431</v>
      </c>
      <c r="E15" s="20" t="s">
        <v>619</v>
      </c>
      <c r="F15" s="20" t="s">
        <v>512</v>
      </c>
      <c r="G15" s="105">
        <v>104.51</v>
      </c>
      <c r="H15" s="111">
        <f>Glas!G9</f>
        <v>0</v>
      </c>
      <c r="I15" s="106"/>
      <c r="J15" s="111">
        <f>Glas!I9</f>
        <v>0</v>
      </c>
      <c r="K15" s="37">
        <f t="shared" si="1"/>
        <v>0</v>
      </c>
      <c r="L15" s="37">
        <f t="shared" si="2"/>
        <v>0</v>
      </c>
      <c r="M15" s="37">
        <f t="shared" si="3"/>
        <v>0</v>
      </c>
    </row>
    <row r="16" spans="1:13" x14ac:dyDescent="0.2">
      <c r="A16" s="20" t="s">
        <v>620</v>
      </c>
      <c r="B16" s="20" t="s">
        <v>22</v>
      </c>
      <c r="C16" s="21">
        <f t="shared" si="0"/>
        <v>2</v>
      </c>
      <c r="D16" s="20" t="s">
        <v>431</v>
      </c>
      <c r="E16" s="20" t="s">
        <v>621</v>
      </c>
      <c r="F16" s="20" t="s">
        <v>512</v>
      </c>
      <c r="G16" s="105">
        <v>104.51</v>
      </c>
      <c r="H16" s="111">
        <f>Glas!G10</f>
        <v>0</v>
      </c>
      <c r="I16" s="106"/>
      <c r="J16" s="111">
        <f>Glas!I10</f>
        <v>0</v>
      </c>
      <c r="K16" s="37">
        <f t="shared" si="1"/>
        <v>0</v>
      </c>
      <c r="L16" s="37">
        <f t="shared" si="2"/>
        <v>0</v>
      </c>
      <c r="M16" s="37">
        <f t="shared" si="3"/>
        <v>0</v>
      </c>
    </row>
    <row r="17" spans="1:13" x14ac:dyDescent="0.2">
      <c r="A17" s="25" t="s">
        <v>622</v>
      </c>
      <c r="B17" s="25" t="s">
        <v>22</v>
      </c>
      <c r="C17" s="26">
        <f t="shared" si="0"/>
        <v>2</v>
      </c>
      <c r="D17" s="25" t="s">
        <v>431</v>
      </c>
      <c r="E17" s="25" t="s">
        <v>623</v>
      </c>
      <c r="F17" s="25" t="s">
        <v>512</v>
      </c>
      <c r="G17" s="107">
        <v>331.3</v>
      </c>
      <c r="H17" s="112">
        <f>Glas!G11</f>
        <v>0</v>
      </c>
      <c r="I17" s="108"/>
      <c r="J17" s="112">
        <f>Glas!I11</f>
        <v>0</v>
      </c>
      <c r="K17" s="41">
        <f t="shared" si="1"/>
        <v>0</v>
      </c>
      <c r="L17" s="41">
        <f t="shared" si="2"/>
        <v>0</v>
      </c>
      <c r="M17" s="41">
        <f t="shared" si="3"/>
        <v>0</v>
      </c>
    </row>
    <row r="18" spans="1:13" x14ac:dyDescent="0.2">
      <c r="A18" s="113" t="s">
        <v>626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SUM(K12:K17)</f>
        <v>0</v>
      </c>
      <c r="L18" s="46">
        <f>SUM(L12:L17)</f>
        <v>0</v>
      </c>
      <c r="M18" s="102">
        <f t="shared" si="3"/>
        <v>0</v>
      </c>
    </row>
  </sheetData>
  <sheetProtection algorithmName="SHA-512" hashValue="OxpI1E3je2LHZmFQbOQHx9d0A9KR04y22ErCbknqkSSLfZxgnKwBiiRSijhdXtmgPvdWefrBz66TfBTLJwTTgw==" saltValue="QLbOd7ZvKmOBksNjgQoFq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88C3-AF55-4B7C-8A6F-96FC43671121}">
  <dimension ref="A1:E19"/>
  <sheetViews>
    <sheetView workbookViewId="0">
      <selection activeCell="E14" sqref="E14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F.1.12: ",tabeltype," totaalblad schoonmaakwerk")</f>
        <v>Bijlage F.1.12: Invultabel totaalblad schoonmaakwerk</v>
      </c>
    </row>
    <row r="3" spans="1:5" ht="25.5" x14ac:dyDescent="0.2">
      <c r="A3" s="8" t="s">
        <v>627</v>
      </c>
      <c r="B3" s="8" t="s">
        <v>628</v>
      </c>
      <c r="C3" s="8" t="s">
        <v>629</v>
      </c>
      <c r="D3" s="8" t="s">
        <v>630</v>
      </c>
      <c r="E3" s="8" t="s">
        <v>631</v>
      </c>
    </row>
    <row r="4" spans="1:5" x14ac:dyDescent="0.2">
      <c r="A4" s="88" t="s">
        <v>632</v>
      </c>
      <c r="B4" s="30">
        <f>urenjaartotaaloverzicht</f>
        <v>0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2">
      <c r="A5" s="89" t="s">
        <v>633</v>
      </c>
      <c r="B5" s="94"/>
      <c r="C5" s="94"/>
      <c r="D5" s="37">
        <f>prijsjaaradditioneel</f>
        <v>0</v>
      </c>
      <c r="E5" s="37">
        <f>D5*1.21</f>
        <v>0</v>
      </c>
    </row>
    <row r="6" spans="1:5" ht="25.5" x14ac:dyDescent="0.2">
      <c r="A6" s="89" t="s">
        <v>634</v>
      </c>
      <c r="B6" s="94"/>
      <c r="C6" s="94"/>
      <c r="D6" s="37">
        <f>prijsjaarafroep</f>
        <v>0</v>
      </c>
      <c r="E6" s="37">
        <f>D6*1.21</f>
        <v>0</v>
      </c>
    </row>
    <row r="7" spans="1:5" x14ac:dyDescent="0.2">
      <c r="A7" s="90" t="s">
        <v>635</v>
      </c>
      <c r="B7" s="114"/>
      <c r="C7" s="114"/>
      <c r="D7" s="41">
        <f>prijsjaarglas</f>
        <v>0</v>
      </c>
      <c r="E7" s="41">
        <f>D7*1.21</f>
        <v>0</v>
      </c>
    </row>
    <row r="9" spans="1:5" x14ac:dyDescent="0.2">
      <c r="A9" s="8" t="s">
        <v>636</v>
      </c>
      <c r="B9" s="45">
        <f>SUM(B4:B7)</f>
        <v>0</v>
      </c>
      <c r="C9" s="45">
        <f>SUM(C4:C7)</f>
        <v>0</v>
      </c>
      <c r="D9" s="46">
        <f>SUM(D4:D7)</f>
        <v>0</v>
      </c>
      <c r="E9" s="46">
        <f>D9*1.21</f>
        <v>0</v>
      </c>
    </row>
    <row r="17" spans="1:5" ht="15" x14ac:dyDescent="0.25">
      <c r="A17" s="115" t="s">
        <v>637</v>
      </c>
      <c r="B17" s="116"/>
      <c r="C17" s="116"/>
      <c r="D17" s="116"/>
      <c r="E17" s="117">
        <f>D4</f>
        <v>0</v>
      </c>
    </row>
    <row r="18" spans="1:5" ht="15" x14ac:dyDescent="0.25">
      <c r="A18" s="116"/>
      <c r="B18" s="116"/>
      <c r="C18" s="116"/>
      <c r="D18" s="116"/>
      <c r="E18" s="116"/>
    </row>
    <row r="19" spans="1:5" ht="15" x14ac:dyDescent="0.25">
      <c r="A19" s="115" t="s">
        <v>638</v>
      </c>
      <c r="B19" s="116"/>
      <c r="C19" s="116"/>
      <c r="D19" s="116"/>
      <c r="E19" s="117">
        <f>D5+D6+D7</f>
        <v>0</v>
      </c>
    </row>
  </sheetData>
  <sheetProtection algorithmName="SHA-512" hashValue="Gok+ZQvFfKwMOLmvSlib+PUqIMV0GrwCsSuoEgafz+zIVbo9BsTShBMwOSmmtPk01C0a93bBeVitf4vPJ3zmgQ==" saltValue="uArtHWskZ+omyzX+0IZzC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5573-C2E5-4E47-8EC7-701FA9F8A6D9}">
  <dimension ref="A1:H4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F.1.1: ",tabeltype," categorienormen")</f>
        <v>Bijlage F.1.1: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40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1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34</v>
      </c>
      <c r="C12" s="20">
        <v>1</v>
      </c>
      <c r="D12" s="20" t="s">
        <v>48</v>
      </c>
      <c r="E12" s="22"/>
      <c r="F12" s="23"/>
      <c r="G12" s="20" t="s">
        <v>36</v>
      </c>
      <c r="H12" s="24"/>
    </row>
    <row r="13" spans="1:8" x14ac:dyDescent="0.2">
      <c r="A13" s="20" t="s">
        <v>49</v>
      </c>
      <c r="B13" s="21" t="s">
        <v>34</v>
      </c>
      <c r="C13" s="20">
        <v>40</v>
      </c>
      <c r="D13" s="20" t="s">
        <v>50</v>
      </c>
      <c r="E13" s="22"/>
      <c r="F13" s="23"/>
      <c r="G13" s="20" t="s">
        <v>36</v>
      </c>
      <c r="H13" s="24"/>
    </row>
    <row r="14" spans="1:8" x14ac:dyDescent="0.2">
      <c r="A14" s="20" t="s">
        <v>51</v>
      </c>
      <c r="B14" s="21" t="s">
        <v>34</v>
      </c>
      <c r="C14" s="20">
        <v>1</v>
      </c>
      <c r="D14" s="20" t="s">
        <v>52</v>
      </c>
      <c r="E14" s="22"/>
      <c r="F14" s="23"/>
      <c r="G14" s="20" t="s">
        <v>36</v>
      </c>
      <c r="H14" s="24"/>
    </row>
    <row r="15" spans="1:8" x14ac:dyDescent="0.2">
      <c r="A15" s="20" t="s">
        <v>53</v>
      </c>
      <c r="B15" s="21" t="s">
        <v>34</v>
      </c>
      <c r="C15" s="20">
        <v>40</v>
      </c>
      <c r="D15" s="20" t="s">
        <v>54</v>
      </c>
      <c r="E15" s="22"/>
      <c r="F15" s="23"/>
      <c r="G15" s="20" t="s">
        <v>36</v>
      </c>
      <c r="H15" s="24"/>
    </row>
    <row r="16" spans="1:8" x14ac:dyDescent="0.2">
      <c r="A16" s="20" t="s">
        <v>55</v>
      </c>
      <c r="B16" s="21" t="s">
        <v>56</v>
      </c>
      <c r="C16" s="20">
        <v>1</v>
      </c>
      <c r="D16" s="20" t="s">
        <v>57</v>
      </c>
      <c r="E16" s="22"/>
      <c r="F16" s="23"/>
      <c r="G16" s="20" t="s">
        <v>36</v>
      </c>
      <c r="H16" s="24"/>
    </row>
    <row r="17" spans="1:8" x14ac:dyDescent="0.2">
      <c r="A17" s="20" t="s">
        <v>58</v>
      </c>
      <c r="B17" s="21" t="s">
        <v>56</v>
      </c>
      <c r="C17" s="20">
        <v>40</v>
      </c>
      <c r="D17" s="20" t="s">
        <v>59</v>
      </c>
      <c r="E17" s="22"/>
      <c r="F17" s="23"/>
      <c r="G17" s="20" t="s">
        <v>36</v>
      </c>
      <c r="H17" s="24"/>
    </row>
    <row r="18" spans="1:8" x14ac:dyDescent="0.2">
      <c r="A18" s="20" t="s">
        <v>60</v>
      </c>
      <c r="B18" s="21" t="s">
        <v>61</v>
      </c>
      <c r="C18" s="20">
        <v>1</v>
      </c>
      <c r="D18" s="20" t="s">
        <v>62</v>
      </c>
      <c r="E18" s="22"/>
      <c r="F18" s="23"/>
      <c r="G18" s="20" t="s">
        <v>36</v>
      </c>
      <c r="H18" s="24"/>
    </row>
    <row r="19" spans="1:8" x14ac:dyDescent="0.2">
      <c r="A19" s="20" t="s">
        <v>63</v>
      </c>
      <c r="B19" s="21" t="s">
        <v>61</v>
      </c>
      <c r="C19" s="20">
        <v>40</v>
      </c>
      <c r="D19" s="20" t="s">
        <v>64</v>
      </c>
      <c r="E19" s="22"/>
      <c r="F19" s="23"/>
      <c r="G19" s="20" t="s">
        <v>36</v>
      </c>
      <c r="H19" s="24"/>
    </row>
    <row r="20" spans="1:8" x14ac:dyDescent="0.2">
      <c r="A20" s="20" t="s">
        <v>65</v>
      </c>
      <c r="B20" s="21" t="s">
        <v>66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66</v>
      </c>
      <c r="C21" s="20">
        <v>40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66</v>
      </c>
      <c r="C22" s="20">
        <v>1</v>
      </c>
      <c r="D22" s="20" t="s">
        <v>71</v>
      </c>
      <c r="E22" s="22"/>
      <c r="F22" s="23"/>
      <c r="G22" s="20" t="s">
        <v>36</v>
      </c>
      <c r="H22" s="24"/>
    </row>
    <row r="23" spans="1:8" x14ac:dyDescent="0.2">
      <c r="A23" s="20" t="s">
        <v>72</v>
      </c>
      <c r="B23" s="21" t="s">
        <v>66</v>
      </c>
      <c r="C23" s="20">
        <v>40</v>
      </c>
      <c r="D23" s="20" t="s">
        <v>73</v>
      </c>
      <c r="E23" s="22"/>
      <c r="F23" s="23"/>
      <c r="G23" s="20" t="s">
        <v>36</v>
      </c>
      <c r="H23" s="24"/>
    </row>
    <row r="24" spans="1:8" x14ac:dyDescent="0.2">
      <c r="A24" s="20" t="s">
        <v>74</v>
      </c>
      <c r="B24" s="21" t="s">
        <v>75</v>
      </c>
      <c r="C24" s="20">
        <v>1</v>
      </c>
      <c r="D24" s="20" t="s">
        <v>76</v>
      </c>
      <c r="E24" s="22"/>
      <c r="F24" s="23"/>
      <c r="G24" s="20" t="s">
        <v>36</v>
      </c>
      <c r="H24" s="24"/>
    </row>
    <row r="25" spans="1:8" x14ac:dyDescent="0.2">
      <c r="A25" s="20" t="s">
        <v>77</v>
      </c>
      <c r="B25" s="21" t="s">
        <v>75</v>
      </c>
      <c r="C25" s="20">
        <v>40</v>
      </c>
      <c r="D25" s="20" t="s">
        <v>78</v>
      </c>
      <c r="E25" s="22"/>
      <c r="F25" s="23"/>
      <c r="G25" s="20" t="s">
        <v>36</v>
      </c>
      <c r="H25" s="24"/>
    </row>
    <row r="26" spans="1:8" x14ac:dyDescent="0.2">
      <c r="A26" s="20" t="s">
        <v>79</v>
      </c>
      <c r="B26" s="21" t="s">
        <v>75</v>
      </c>
      <c r="C26" s="20">
        <v>1</v>
      </c>
      <c r="D26" s="20" t="s">
        <v>80</v>
      </c>
      <c r="E26" s="22"/>
      <c r="F26" s="23"/>
      <c r="G26" s="20" t="s">
        <v>36</v>
      </c>
      <c r="H26" s="24"/>
    </row>
    <row r="27" spans="1:8" x14ac:dyDescent="0.2">
      <c r="A27" s="20" t="s">
        <v>81</v>
      </c>
      <c r="B27" s="21" t="s">
        <v>75</v>
      </c>
      <c r="C27" s="20">
        <v>40</v>
      </c>
      <c r="D27" s="20" t="s">
        <v>82</v>
      </c>
      <c r="E27" s="22"/>
      <c r="F27" s="23"/>
      <c r="G27" s="20" t="s">
        <v>36</v>
      </c>
      <c r="H27" s="24"/>
    </row>
    <row r="28" spans="1:8" x14ac:dyDescent="0.2">
      <c r="A28" s="20" t="s">
        <v>83</v>
      </c>
      <c r="B28" s="21" t="s">
        <v>75</v>
      </c>
      <c r="C28" s="20">
        <v>1</v>
      </c>
      <c r="D28" s="20" t="s">
        <v>84</v>
      </c>
      <c r="E28" s="22"/>
      <c r="F28" s="23"/>
      <c r="G28" s="20" t="s">
        <v>36</v>
      </c>
      <c r="H28" s="24"/>
    </row>
    <row r="29" spans="1:8" x14ac:dyDescent="0.2">
      <c r="A29" s="20" t="s">
        <v>85</v>
      </c>
      <c r="B29" s="21" t="s">
        <v>75</v>
      </c>
      <c r="C29" s="20">
        <v>40</v>
      </c>
      <c r="D29" s="20" t="s">
        <v>86</v>
      </c>
      <c r="E29" s="22"/>
      <c r="F29" s="23"/>
      <c r="G29" s="20" t="s">
        <v>36</v>
      </c>
      <c r="H29" s="24"/>
    </row>
    <row r="30" spans="1:8" x14ac:dyDescent="0.2">
      <c r="A30" s="20" t="s">
        <v>87</v>
      </c>
      <c r="B30" s="21" t="s">
        <v>75</v>
      </c>
      <c r="C30" s="20">
        <v>1</v>
      </c>
      <c r="D30" s="20" t="s">
        <v>88</v>
      </c>
      <c r="E30" s="22"/>
      <c r="F30" s="23"/>
      <c r="G30" s="20" t="s">
        <v>36</v>
      </c>
      <c r="H30" s="24"/>
    </row>
    <row r="31" spans="1:8" x14ac:dyDescent="0.2">
      <c r="A31" s="20" t="s">
        <v>89</v>
      </c>
      <c r="B31" s="21" t="s">
        <v>75</v>
      </c>
      <c r="C31" s="20">
        <v>40</v>
      </c>
      <c r="D31" s="20" t="s">
        <v>90</v>
      </c>
      <c r="E31" s="22"/>
      <c r="F31" s="23"/>
      <c r="G31" s="20" t="s">
        <v>36</v>
      </c>
      <c r="H31" s="24"/>
    </row>
    <row r="32" spans="1:8" x14ac:dyDescent="0.2">
      <c r="A32" s="20" t="s">
        <v>91</v>
      </c>
      <c r="B32" s="21" t="s">
        <v>75</v>
      </c>
      <c r="C32" s="20">
        <v>1</v>
      </c>
      <c r="D32" s="20" t="s">
        <v>92</v>
      </c>
      <c r="E32" s="22"/>
      <c r="F32" s="23"/>
      <c r="G32" s="20" t="s">
        <v>36</v>
      </c>
      <c r="H32" s="24"/>
    </row>
    <row r="33" spans="1:8" x14ac:dyDescent="0.2">
      <c r="A33" s="20" t="s">
        <v>93</v>
      </c>
      <c r="B33" s="21" t="s">
        <v>75</v>
      </c>
      <c r="C33" s="20">
        <v>40</v>
      </c>
      <c r="D33" s="20" t="s">
        <v>94</v>
      </c>
      <c r="E33" s="22"/>
      <c r="F33" s="23"/>
      <c r="G33" s="20" t="s">
        <v>36</v>
      </c>
      <c r="H33" s="24"/>
    </row>
    <row r="34" spans="1:8" x14ac:dyDescent="0.2">
      <c r="A34" s="20" t="s">
        <v>95</v>
      </c>
      <c r="B34" s="21" t="s">
        <v>75</v>
      </c>
      <c r="C34" s="20">
        <v>1</v>
      </c>
      <c r="D34" s="20" t="s">
        <v>96</v>
      </c>
      <c r="E34" s="22"/>
      <c r="F34" s="23"/>
      <c r="G34" s="20" t="s">
        <v>36</v>
      </c>
      <c r="H34" s="24"/>
    </row>
    <row r="35" spans="1:8" x14ac:dyDescent="0.2">
      <c r="A35" s="20" t="s">
        <v>97</v>
      </c>
      <c r="B35" s="21" t="s">
        <v>75</v>
      </c>
      <c r="C35" s="20">
        <v>40</v>
      </c>
      <c r="D35" s="20" t="s">
        <v>98</v>
      </c>
      <c r="E35" s="22"/>
      <c r="F35" s="23"/>
      <c r="G35" s="20" t="s">
        <v>36</v>
      </c>
      <c r="H35" s="24"/>
    </row>
    <row r="36" spans="1:8" x14ac:dyDescent="0.2">
      <c r="A36" s="20" t="s">
        <v>99</v>
      </c>
      <c r="B36" s="21" t="s">
        <v>75</v>
      </c>
      <c r="C36" s="20">
        <v>1</v>
      </c>
      <c r="D36" s="20" t="s">
        <v>100</v>
      </c>
      <c r="E36" s="22"/>
      <c r="F36" s="23"/>
      <c r="G36" s="20" t="s">
        <v>36</v>
      </c>
      <c r="H36" s="24"/>
    </row>
    <row r="37" spans="1:8" x14ac:dyDescent="0.2">
      <c r="A37" s="20" t="s">
        <v>101</v>
      </c>
      <c r="B37" s="21" t="s">
        <v>75</v>
      </c>
      <c r="C37" s="20">
        <v>40</v>
      </c>
      <c r="D37" s="20" t="s">
        <v>102</v>
      </c>
      <c r="E37" s="22"/>
      <c r="F37" s="23"/>
      <c r="G37" s="20" t="s">
        <v>36</v>
      </c>
      <c r="H37" s="24"/>
    </row>
    <row r="38" spans="1:8" x14ac:dyDescent="0.2">
      <c r="A38" s="20" t="s">
        <v>103</v>
      </c>
      <c r="B38" s="21" t="s">
        <v>75</v>
      </c>
      <c r="C38" s="20">
        <v>1</v>
      </c>
      <c r="D38" s="20" t="s">
        <v>104</v>
      </c>
      <c r="E38" s="22"/>
      <c r="F38" s="23"/>
      <c r="G38" s="20" t="s">
        <v>36</v>
      </c>
      <c r="H38" s="24"/>
    </row>
    <row r="39" spans="1:8" x14ac:dyDescent="0.2">
      <c r="A39" s="20" t="s">
        <v>105</v>
      </c>
      <c r="B39" s="21" t="s">
        <v>75</v>
      </c>
      <c r="C39" s="20">
        <v>40</v>
      </c>
      <c r="D39" s="20" t="s">
        <v>106</v>
      </c>
      <c r="E39" s="22"/>
      <c r="F39" s="23"/>
      <c r="G39" s="20" t="s">
        <v>36</v>
      </c>
      <c r="H39" s="24"/>
    </row>
    <row r="40" spans="1:8" x14ac:dyDescent="0.2">
      <c r="A40" s="20" t="s">
        <v>107</v>
      </c>
      <c r="B40" s="21" t="s">
        <v>75</v>
      </c>
      <c r="C40" s="20">
        <v>1</v>
      </c>
      <c r="D40" s="20" t="s">
        <v>108</v>
      </c>
      <c r="E40" s="22"/>
      <c r="F40" s="23"/>
      <c r="G40" s="20" t="s">
        <v>36</v>
      </c>
      <c r="H40" s="24"/>
    </row>
    <row r="41" spans="1:8" x14ac:dyDescent="0.2">
      <c r="A41" s="25" t="s">
        <v>109</v>
      </c>
      <c r="B41" s="26" t="s">
        <v>75</v>
      </c>
      <c r="C41" s="25">
        <v>40</v>
      </c>
      <c r="D41" s="25" t="s">
        <v>110</v>
      </c>
      <c r="E41" s="27"/>
      <c r="F41" s="28"/>
      <c r="G41" s="25" t="s">
        <v>36</v>
      </c>
      <c r="H41" s="29"/>
    </row>
  </sheetData>
  <sheetProtection algorithmName="SHA-512" hashValue="bMnmT/wybYfy/bdC7Ab0NqcX4IKICvJySiFHieCtHCGHyRsFWetU1zQfJJsh3cv6O25ovJLS/WaVmoDpheZVWg==" saltValue="lUx456MTI0pBWqtZWDSqi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56CB-CAE7-4BDD-9B23-6F5A454FFD64}">
  <dimension ref="A1:N3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F.1.2: ",tabeltype," regulier werk")</f>
        <v>Bijlage F.1.2: Invultabel regulier werk</v>
      </c>
    </row>
    <row r="3" spans="1:14" ht="38.25" x14ac:dyDescent="0.2">
      <c r="A3" s="8" t="s">
        <v>111</v>
      </c>
      <c r="B3" s="8" t="s">
        <v>7</v>
      </c>
      <c r="C3" s="8" t="s">
        <v>112</v>
      </c>
      <c r="D3" s="8" t="s">
        <v>27</v>
      </c>
      <c r="E3" s="8" t="s">
        <v>113</v>
      </c>
      <c r="F3" s="8" t="s">
        <v>114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115</v>
      </c>
      <c r="L3" s="8" t="s">
        <v>116</v>
      </c>
      <c r="M3" s="8" t="s">
        <v>117</v>
      </c>
      <c r="N3" s="8" t="s">
        <v>118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119</v>
      </c>
      <c r="B6" s="15" t="s">
        <v>11</v>
      </c>
      <c r="C6" s="15" t="s">
        <v>120</v>
      </c>
      <c r="D6" s="15" t="s">
        <v>121</v>
      </c>
      <c r="E6" s="30">
        <v>85.19</v>
      </c>
      <c r="F6" s="30">
        <f t="shared" ref="F6:F31" si="0">E6*VLOOKUP(B6,dagsoorttabel1,2,FALSE)</f>
        <v>65.530769230769238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36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31" si="1">IF(OR(ISBLANK(G6),G6=0),0,F6/ROUND(G6,4))</f>
        <v>0</v>
      </c>
      <c r="L6" s="33">
        <f t="shared" ref="L6:L31" si="2">ROUND(J6,2)*K6</f>
        <v>0</v>
      </c>
      <c r="M6" s="30">
        <f t="shared" ref="M6:M31" si="3">K6*dagenperjaar1</f>
        <v>0</v>
      </c>
      <c r="N6" s="33">
        <f t="shared" ref="N6:N31" si="4">M6*ROUND(J6,2)</f>
        <v>0</v>
      </c>
    </row>
    <row r="7" spans="1:14" x14ac:dyDescent="0.2">
      <c r="A7" s="20" t="s">
        <v>119</v>
      </c>
      <c r="B7" s="20" t="s">
        <v>16</v>
      </c>
      <c r="C7" s="20" t="s">
        <v>120</v>
      </c>
      <c r="D7" s="20" t="s">
        <v>121</v>
      </c>
      <c r="E7" s="34">
        <v>152.39999999999998</v>
      </c>
      <c r="F7" s="34">
        <f t="shared" si="0"/>
        <v>23.446153846153845</v>
      </c>
      <c r="G7" s="35">
        <f>catpn_1_BHV_40</f>
        <v>0</v>
      </c>
      <c r="H7" s="36">
        <f>catdw_1_BHV_40</f>
        <v>0</v>
      </c>
      <c r="I7" s="20" t="s">
        <v>36</v>
      </c>
      <c r="J7" s="37">
        <f>cattf_1_BHV_40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122</v>
      </c>
      <c r="B8" s="20" t="s">
        <v>11</v>
      </c>
      <c r="C8" s="20" t="s">
        <v>120</v>
      </c>
      <c r="D8" s="20" t="s">
        <v>121</v>
      </c>
      <c r="E8" s="34">
        <v>127.56</v>
      </c>
      <c r="F8" s="34">
        <f t="shared" si="0"/>
        <v>98.123076923076937</v>
      </c>
      <c r="G8" s="35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36">
        <f>IF(AND(catpn_1_BZB_1&gt;0,catpn_1_BZV_40&gt;0),(catdw_1_BZB_1*((dagenperjaar1*VLOOKUP(B8,dagsoorttabel1,2,FALSE))-catfd_1_BZV_40)/catpn_1_BZB_1+catdw_1_BZV_40*catfd_1_BZV_40/catpn_1_BZV_40)/(((dagenperjaar1*VLOOKUP(B8,dagsoorttabel1,2,FALSE))-catfd_1_BZV_40)/catpn_1_BZB_1+catfd_1_BZV_40/catpn_1_BZV_40),0)</f>
        <v>0</v>
      </c>
      <c r="I8" s="20" t="s">
        <v>36</v>
      </c>
      <c r="J8" s="37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122</v>
      </c>
      <c r="B9" s="20" t="s">
        <v>16</v>
      </c>
      <c r="C9" s="20" t="s">
        <v>120</v>
      </c>
      <c r="D9" s="20" t="s">
        <v>123</v>
      </c>
      <c r="E9" s="34">
        <v>333.64</v>
      </c>
      <c r="F9" s="34">
        <f t="shared" si="0"/>
        <v>51.329230769230769</v>
      </c>
      <c r="G9" s="35">
        <f>catpn_1_BZV_40</f>
        <v>0</v>
      </c>
      <c r="H9" s="36">
        <f>catdw_1_BZV_40</f>
        <v>0</v>
      </c>
      <c r="I9" s="20" t="s">
        <v>36</v>
      </c>
      <c r="J9" s="37">
        <f>cattf_1_BZV_40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124</v>
      </c>
      <c r="B10" s="20" t="s">
        <v>11</v>
      </c>
      <c r="C10" s="20" t="s">
        <v>120</v>
      </c>
      <c r="D10" s="20" t="s">
        <v>125</v>
      </c>
      <c r="E10" s="34">
        <v>47.57</v>
      </c>
      <c r="F10" s="34">
        <f t="shared" si="0"/>
        <v>36.592307692307692</v>
      </c>
      <c r="G10" s="35">
        <f>IF(AND(catpn_1_EZB_1&gt;0,catpn_1_EZV_40&gt;0),(dagenperjaar1*VLOOKUP(B10,dagsoorttabel1,2,FALSE))/(((dagenperjaar1*VLOOKUP(B10,dagsoorttabel1,2,FALSE))-catfd_1_EZV_40)/catpn_1_EZB_1+catfd_1_EZV_40/catpn_1_EZV_40),0)</f>
        <v>0</v>
      </c>
      <c r="H10" s="36">
        <f>IF(AND(catpn_1_EZB_1&gt;0,catpn_1_EZV_40&gt;0),(catdw_1_EZB_1*((dagenperjaar1*VLOOKUP(B10,dagsoorttabel1,2,FALSE))-catfd_1_EZV_40)/catpn_1_EZB_1+catdw_1_EZV_40*catfd_1_EZV_40/catpn_1_EZV_40)/(((dagenperjaar1*VLOOKUP(B10,dagsoorttabel1,2,FALSE))-catfd_1_EZV_40)/catpn_1_EZB_1+catfd_1_EZV_40/catpn_1_EZV_40),0)</f>
        <v>0</v>
      </c>
      <c r="I10" s="20" t="s">
        <v>36</v>
      </c>
      <c r="J10" s="37">
        <f>IF(AND(catpn_1_EZB_1&gt;0,catpn_1_EZV_40&gt;0),(cattf_1_EZB_1*((dagenperjaar1*VLOOKUP(B10,dagsoorttabel1,2,FALSE))-catfd_1_EZV_40)/catpn_1_EZB_1+cattf_1_EZV_40*catfd_1_EZV_40/catpn_1_EZV_40)/(((dagenperjaar1*VLOOKUP(B10,dagsoorttabel1,2,FALSE))-catfd_1_EZV_40)/catpn_1_EZB_1+catfd_1_EZV_40/catpn_1_EZ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126</v>
      </c>
      <c r="B11" s="20" t="s">
        <v>11</v>
      </c>
      <c r="C11" s="20" t="s">
        <v>120</v>
      </c>
      <c r="D11" s="20" t="s">
        <v>127</v>
      </c>
      <c r="E11" s="34">
        <v>752.68</v>
      </c>
      <c r="F11" s="34">
        <f t="shared" si="0"/>
        <v>578.98461538461538</v>
      </c>
      <c r="G11" s="35">
        <f>IF(AND(catpn_1_GHB_1&gt;0,catpn_1_GHV_40&gt;0),(dagenperjaar1*VLOOKUP(B11,dagsoorttabel1,2,FALSE))/(((dagenperjaar1*VLOOKUP(B11,dagsoorttabel1,2,FALSE))-catfd_1_GHV_40)/catpn_1_GHB_1+catfd_1_GHV_40/catpn_1_GHV_40),0)</f>
        <v>0</v>
      </c>
      <c r="H11" s="36">
        <f>IF(AND(catpn_1_GHB_1&gt;0,catpn_1_GHV_40&gt;0),(catdw_1_GHB_1*((dagenperjaar1*VLOOKUP(B11,dagsoorttabel1,2,FALSE))-catfd_1_GHV_40)/catpn_1_GHB_1+catdw_1_GHV_40*catfd_1_GHV_40/catpn_1_GHV_40)/(((dagenperjaar1*VLOOKUP(B11,dagsoorttabel1,2,FALSE))-catfd_1_GHV_40)/catpn_1_GHB_1+catfd_1_GHV_40/catpn_1_GHV_40),0)</f>
        <v>0</v>
      </c>
      <c r="I11" s="20" t="s">
        <v>36</v>
      </c>
      <c r="J11" s="37">
        <f>IF(AND(catpn_1_GHB_1&gt;0,catpn_1_GHV_40&gt;0),(cattf_1_GHB_1*((dagenperjaar1*VLOOKUP(B11,dagsoorttabel1,2,FALSE))-catfd_1_GHV_40)/catpn_1_GHB_1+cattf_1_GHV_40*catfd_1_GHV_40/catpn_1_GHV_40)/(((dagenperjaar1*VLOOKUP(B11,dagsoorttabel1,2,FALSE))-catfd_1_GHV_40)/catpn_1_GHB_1+catfd_1_GHV_40/catpn_1_G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126</v>
      </c>
      <c r="B12" s="20" t="s">
        <v>16</v>
      </c>
      <c r="C12" s="20" t="s">
        <v>120</v>
      </c>
      <c r="D12" s="20" t="s">
        <v>127</v>
      </c>
      <c r="E12" s="34">
        <v>78.69</v>
      </c>
      <c r="F12" s="34">
        <f t="shared" si="0"/>
        <v>12.106153846153846</v>
      </c>
      <c r="G12" s="35">
        <f>catpn_1_GHV_40</f>
        <v>0</v>
      </c>
      <c r="H12" s="36">
        <f>catdw_1_GHV_40</f>
        <v>0</v>
      </c>
      <c r="I12" s="20" t="s">
        <v>36</v>
      </c>
      <c r="J12" s="37">
        <f>cattf_1_GHV_40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128</v>
      </c>
      <c r="B13" s="20" t="s">
        <v>11</v>
      </c>
      <c r="C13" s="20" t="s">
        <v>120</v>
      </c>
      <c r="D13" s="20" t="s">
        <v>129</v>
      </c>
      <c r="E13" s="34">
        <v>3.1</v>
      </c>
      <c r="F13" s="34">
        <f t="shared" si="0"/>
        <v>2.384615384615385</v>
      </c>
      <c r="G13" s="35">
        <f>IF(AND(catpn_1_IHB_1&gt;0,catpn_1_IHV_40&gt;0),(dagenperjaar1*VLOOKUP(B13,dagsoorttabel1,2,FALSE))/(((dagenperjaar1*VLOOKUP(B13,dagsoorttabel1,2,FALSE))-catfd_1_IHV_40)/catpn_1_IHB_1+catfd_1_IHV_40/catpn_1_IHV_40),0)</f>
        <v>0</v>
      </c>
      <c r="H13" s="36">
        <f>IF(AND(catpn_1_IHB_1&gt;0,catpn_1_IHV_40&gt;0),(catdw_1_IHB_1*((dagenperjaar1*VLOOKUP(B13,dagsoorttabel1,2,FALSE))-catfd_1_IHV_40)/catpn_1_IHB_1+catdw_1_IHV_40*catfd_1_IHV_40/catpn_1_IHV_40)/(((dagenperjaar1*VLOOKUP(B13,dagsoorttabel1,2,FALSE))-catfd_1_IHV_40)/catpn_1_IHB_1+catfd_1_IHV_40/catpn_1_IHV_40),0)</f>
        <v>0</v>
      </c>
      <c r="I13" s="20" t="s">
        <v>36</v>
      </c>
      <c r="J13" s="37">
        <f>IF(AND(catpn_1_IHB_1&gt;0,catpn_1_IHV_40&gt;0),(cattf_1_IHB_1*((dagenperjaar1*VLOOKUP(B13,dagsoorttabel1,2,FALSE))-catfd_1_IHV_40)/catpn_1_IHB_1+cattf_1_IHV_40*catfd_1_IHV_40/catpn_1_IHV_40)/(((dagenperjaar1*VLOOKUP(B13,dagsoorttabel1,2,FALSE))-catfd_1_IHV_40)/catpn_1_IHB_1+catfd_1_IHV_40/catpn_1_I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130</v>
      </c>
      <c r="B14" s="20" t="s">
        <v>11</v>
      </c>
      <c r="C14" s="20" t="s">
        <v>120</v>
      </c>
      <c r="D14" s="20" t="s">
        <v>131</v>
      </c>
      <c r="E14" s="34">
        <v>30.98</v>
      </c>
      <c r="F14" s="34">
        <f t="shared" si="0"/>
        <v>23.830769230769231</v>
      </c>
      <c r="G14" s="35">
        <f>IF(AND(catpn_1_KHB_1&gt;0,catpn_1_KHV_40&gt;0),(dagenperjaar1*VLOOKUP(B14,dagsoorttabel1,2,FALSE))/(((dagenperjaar1*VLOOKUP(B14,dagsoorttabel1,2,FALSE))-catfd_1_KHV_40)/catpn_1_KHB_1+catfd_1_KHV_40/catpn_1_KHV_40),0)</f>
        <v>0</v>
      </c>
      <c r="H14" s="36">
        <f>IF(AND(catpn_1_KHB_1&gt;0,catpn_1_KHV_40&gt;0),(catdw_1_KHB_1*((dagenperjaar1*VLOOKUP(B14,dagsoorttabel1,2,FALSE))-catfd_1_KHV_40)/catpn_1_KHB_1+catdw_1_KHV_40*catfd_1_KHV_40/catpn_1_KHV_40)/(((dagenperjaar1*VLOOKUP(B14,dagsoorttabel1,2,FALSE))-catfd_1_KHV_40)/catpn_1_KHB_1+catfd_1_KHV_40/catpn_1_KHV_40),0)</f>
        <v>0</v>
      </c>
      <c r="I14" s="20" t="s">
        <v>36</v>
      </c>
      <c r="J14" s="37">
        <f>IF(AND(catpn_1_KHB_1&gt;0,catpn_1_KHV_40&gt;0),(cattf_1_KHB_1*((dagenperjaar1*VLOOKUP(B14,dagsoorttabel1,2,FALSE))-catfd_1_KHV_40)/catpn_1_KHB_1+cattf_1_KHV_40*catfd_1_KHV_40/catpn_1_KHV_40)/(((dagenperjaar1*VLOOKUP(B14,dagsoorttabel1,2,FALSE))-catfd_1_KHV_40)/catpn_1_KHB_1+catfd_1_KHV_40/catpn_1_K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132</v>
      </c>
      <c r="B15" s="20" t="s">
        <v>12</v>
      </c>
      <c r="C15" s="20" t="s">
        <v>120</v>
      </c>
      <c r="D15" s="20" t="s">
        <v>133</v>
      </c>
      <c r="E15" s="34">
        <v>2270.4199999999996</v>
      </c>
      <c r="F15" s="34">
        <f t="shared" si="0"/>
        <v>1397.1815384615384</v>
      </c>
      <c r="G15" s="35">
        <f>IF(AND(catpn_1_LHB_1&gt;0,catpn_1_LHV_40&gt;0),(dagenperjaar1*VLOOKUP(B15,dagsoorttabel1,2,FALSE))/(((dagenperjaar1*VLOOKUP(B15,dagsoorttabel1,2,FALSE))-catfd_1_LHV_40)/catpn_1_LHB_1+catfd_1_LHV_40/catpn_1_LHV_40),0)</f>
        <v>0</v>
      </c>
      <c r="H15" s="36">
        <f>IF(AND(catpn_1_LHB_1&gt;0,catpn_1_LHV_40&gt;0),(catdw_1_LHB_1*((dagenperjaar1*VLOOKUP(B15,dagsoorttabel1,2,FALSE))-catfd_1_LHV_40)/catpn_1_LHB_1+catdw_1_LHV_40*catfd_1_LHV_40/catpn_1_LHV_40)/(((dagenperjaar1*VLOOKUP(B15,dagsoorttabel1,2,FALSE))-catfd_1_LHV_40)/catpn_1_LHB_1+catfd_1_LHV_40/catpn_1_LHV_40),0)</f>
        <v>0</v>
      </c>
      <c r="I15" s="20" t="s">
        <v>36</v>
      </c>
      <c r="J15" s="37">
        <f>IF(AND(catpn_1_LHB_1&gt;0,catpn_1_LHV_40&gt;0),(cattf_1_LHB_1*((dagenperjaar1*VLOOKUP(B15,dagsoorttabel1,2,FALSE))-catfd_1_LHV_40)/catpn_1_LHB_1+cattf_1_LHV_40*catfd_1_LHV_40/catpn_1_LHV_40)/(((dagenperjaar1*VLOOKUP(B15,dagsoorttabel1,2,FALSE))-catfd_1_LHV_40)/catpn_1_LHB_1+catfd_1_LHV_40/catpn_1_L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134</v>
      </c>
      <c r="B16" s="20" t="s">
        <v>12</v>
      </c>
      <c r="C16" s="20" t="s">
        <v>120</v>
      </c>
      <c r="D16" s="20" t="s">
        <v>135</v>
      </c>
      <c r="E16" s="34">
        <v>561.94000000000005</v>
      </c>
      <c r="F16" s="34">
        <f t="shared" si="0"/>
        <v>345.80923076923079</v>
      </c>
      <c r="G16" s="35">
        <f>IF(AND(catpn_1_LZB_1&gt;0,catpn_1_LZV_40&gt;0),(dagenperjaar1*VLOOKUP(B16,dagsoorttabel1,2,FALSE))/(((dagenperjaar1*VLOOKUP(B16,dagsoorttabel1,2,FALSE))-catfd_1_LZV_40)/catpn_1_LZB_1+catfd_1_LZV_40/catpn_1_LZV_40),0)</f>
        <v>0</v>
      </c>
      <c r="H16" s="36">
        <f>IF(AND(catpn_1_LZB_1&gt;0,catpn_1_LZV_40&gt;0),(catdw_1_LZB_1*((dagenperjaar1*VLOOKUP(B16,dagsoorttabel1,2,FALSE))-catfd_1_LZV_40)/catpn_1_LZB_1+catdw_1_LZV_40*catfd_1_LZV_40/catpn_1_LZV_40)/(((dagenperjaar1*VLOOKUP(B16,dagsoorttabel1,2,FALSE))-catfd_1_LZV_40)/catpn_1_LZB_1+catfd_1_LZV_40/catpn_1_LZV_40),0)</f>
        <v>0</v>
      </c>
      <c r="I16" s="20" t="s">
        <v>36</v>
      </c>
      <c r="J16" s="37">
        <f>IF(AND(catpn_1_LZB_1&gt;0,catpn_1_LZV_40&gt;0),(cattf_1_LZB_1*((dagenperjaar1*VLOOKUP(B16,dagsoorttabel1,2,FALSE))-catfd_1_LZV_40)/catpn_1_LZB_1+cattf_1_LZV_40*catfd_1_LZV_40/catpn_1_LZV_40)/(((dagenperjaar1*VLOOKUP(B16,dagsoorttabel1,2,FALSE))-catfd_1_LZV_40)/catpn_1_LZB_1+catfd_1_LZV_40/catpn_1_L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134</v>
      </c>
      <c r="B17" s="20" t="s">
        <v>11</v>
      </c>
      <c r="C17" s="20" t="s">
        <v>120</v>
      </c>
      <c r="D17" s="20" t="s">
        <v>135</v>
      </c>
      <c r="E17" s="34">
        <v>178.17</v>
      </c>
      <c r="F17" s="34">
        <f t="shared" si="0"/>
        <v>137.05384615384614</v>
      </c>
      <c r="G17" s="35">
        <f>IF(AND(catpn_1_LZB_1&gt;0,catpn_1_LZV_40&gt;0),(dagenperjaar1*VLOOKUP(B17,dagsoorttabel1,2,FALSE))/(((dagenperjaar1*VLOOKUP(B17,dagsoorttabel1,2,FALSE))-catfd_1_LZV_40)/catpn_1_LZB_1+catfd_1_LZV_40/catpn_1_LZV_40),0)</f>
        <v>0</v>
      </c>
      <c r="H17" s="36">
        <f>IF(AND(catpn_1_LZB_1&gt;0,catpn_1_LZV_40&gt;0),(catdw_1_LZB_1*((dagenperjaar1*VLOOKUP(B17,dagsoorttabel1,2,FALSE))-catfd_1_LZV_40)/catpn_1_LZB_1+catdw_1_LZV_40*catfd_1_LZV_40/catpn_1_LZV_40)/(((dagenperjaar1*VLOOKUP(B17,dagsoorttabel1,2,FALSE))-catfd_1_LZV_40)/catpn_1_LZB_1+catfd_1_LZV_40/catpn_1_LZV_40),0)</f>
        <v>0</v>
      </c>
      <c r="I17" s="20" t="s">
        <v>36</v>
      </c>
      <c r="J17" s="37">
        <f>IF(AND(catpn_1_LZB_1&gt;0,catpn_1_LZV_40&gt;0),(cattf_1_LZB_1*((dagenperjaar1*VLOOKUP(B17,dagsoorttabel1,2,FALSE))-catfd_1_LZV_40)/catpn_1_LZB_1+cattf_1_LZV_40*catfd_1_LZV_40/catpn_1_LZV_40)/(((dagenperjaar1*VLOOKUP(B17,dagsoorttabel1,2,FALSE))-catfd_1_LZV_40)/catpn_1_LZB_1+catfd_1_LZV_40/catpn_1_LZ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136</v>
      </c>
      <c r="B18" s="20" t="s">
        <v>11</v>
      </c>
      <c r="C18" s="20" t="s">
        <v>120</v>
      </c>
      <c r="D18" s="20" t="s">
        <v>137</v>
      </c>
      <c r="E18" s="34">
        <v>217.73000000000002</v>
      </c>
      <c r="F18" s="34">
        <f t="shared" si="0"/>
        <v>167.48461538461541</v>
      </c>
      <c r="G18" s="35">
        <f>IF(AND(catpn_1_MHB_1&gt;0,catpn_1_MHV_40&gt;0),(dagenperjaar1*VLOOKUP(B18,dagsoorttabel1,2,FALSE))/(((dagenperjaar1*VLOOKUP(B18,dagsoorttabel1,2,FALSE))-catfd_1_MHV_40)/catpn_1_MHB_1+catfd_1_MHV_40/catpn_1_MHV_40),0)</f>
        <v>0</v>
      </c>
      <c r="H18" s="36">
        <f>IF(AND(catpn_1_MHB_1&gt;0,catpn_1_MHV_40&gt;0),(catdw_1_MHB_1*((dagenperjaar1*VLOOKUP(B18,dagsoorttabel1,2,FALSE))-catfd_1_MHV_40)/catpn_1_MHB_1+catdw_1_MHV_40*catfd_1_MHV_40/catpn_1_MHV_40)/(((dagenperjaar1*VLOOKUP(B18,dagsoorttabel1,2,FALSE))-catfd_1_MHV_40)/catpn_1_MHB_1+catfd_1_MHV_40/catpn_1_MHV_40),0)</f>
        <v>0</v>
      </c>
      <c r="I18" s="20" t="s">
        <v>36</v>
      </c>
      <c r="J18" s="37">
        <f>IF(AND(catpn_1_MHB_1&gt;0,catpn_1_MHV_40&gt;0),(cattf_1_MHB_1*((dagenperjaar1*VLOOKUP(B18,dagsoorttabel1,2,FALSE))-catfd_1_MHV_40)/catpn_1_MHB_1+cattf_1_MHV_40*catfd_1_MHV_40/catpn_1_MHV_40)/(((dagenperjaar1*VLOOKUP(B18,dagsoorttabel1,2,FALSE))-catfd_1_MHV_40)/catpn_1_MHB_1+catfd_1_MHV_40/catpn_1_M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138</v>
      </c>
      <c r="B19" s="20" t="s">
        <v>11</v>
      </c>
      <c r="C19" s="20" t="s">
        <v>120</v>
      </c>
      <c r="D19" s="20" t="s">
        <v>139</v>
      </c>
      <c r="E19" s="34">
        <v>841.92000000000007</v>
      </c>
      <c r="F19" s="34">
        <f t="shared" si="0"/>
        <v>647.63076923076937</v>
      </c>
      <c r="G19" s="35">
        <f>IF(AND(catpn_1_PHB_1&gt;0,catpn_1_PHV_40&gt;0),(dagenperjaar1*VLOOKUP(B19,dagsoorttabel1,2,FALSE))/(((dagenperjaar1*VLOOKUP(B19,dagsoorttabel1,2,FALSE))-catfd_1_PHV_40)/catpn_1_PHB_1+catfd_1_PHV_40/catpn_1_PHV_40),0)</f>
        <v>0</v>
      </c>
      <c r="H19" s="36">
        <f>IF(AND(catpn_1_PHB_1&gt;0,catpn_1_PHV_40&gt;0),(catdw_1_PHB_1*((dagenperjaar1*VLOOKUP(B19,dagsoorttabel1,2,FALSE))-catfd_1_PHV_40)/catpn_1_PHB_1+catdw_1_PHV_40*catfd_1_PHV_40/catpn_1_PHV_40)/(((dagenperjaar1*VLOOKUP(B19,dagsoorttabel1,2,FALSE))-catfd_1_PHV_40)/catpn_1_PHB_1+catfd_1_PHV_40/catpn_1_PHV_40),0)</f>
        <v>0</v>
      </c>
      <c r="I19" s="20" t="s">
        <v>36</v>
      </c>
      <c r="J19" s="37">
        <f>IF(AND(catpn_1_PHB_1&gt;0,catpn_1_PHV_40&gt;0),(cattf_1_PHB_1*((dagenperjaar1*VLOOKUP(B19,dagsoorttabel1,2,FALSE))-catfd_1_PHV_40)/catpn_1_PHB_1+cattf_1_PHV_40*catfd_1_PHV_40/catpn_1_PHV_40)/(((dagenperjaar1*VLOOKUP(B19,dagsoorttabel1,2,FALSE))-catfd_1_PHV_40)/catpn_1_PHB_1+catfd_1_PHV_40/catpn_1_P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140</v>
      </c>
      <c r="B20" s="20" t="s">
        <v>11</v>
      </c>
      <c r="C20" s="20" t="s">
        <v>120</v>
      </c>
      <c r="D20" s="20" t="s">
        <v>141</v>
      </c>
      <c r="E20" s="34">
        <v>332.23</v>
      </c>
      <c r="F20" s="34">
        <f t="shared" si="0"/>
        <v>255.56153846153848</v>
      </c>
      <c r="G20" s="35">
        <f>IF(AND(catpn_1_PMHB_1&gt;0,catpn_1_PMHV_40&gt;0),(dagenperjaar1*VLOOKUP(B20,dagsoorttabel1,2,FALSE))/(((dagenperjaar1*VLOOKUP(B20,dagsoorttabel1,2,FALSE))-catfd_1_PMHV_40)/catpn_1_PMHB_1+catfd_1_PMHV_40/catpn_1_PMHV_40),0)</f>
        <v>0</v>
      </c>
      <c r="H20" s="36">
        <f>IF(AND(catpn_1_PMHB_1&gt;0,catpn_1_PMHV_40&gt;0),(catdw_1_PMHB_1*((dagenperjaar1*VLOOKUP(B20,dagsoorttabel1,2,FALSE))-catfd_1_PMHV_40)/catpn_1_PMHB_1+catdw_1_PMHV_40*catfd_1_PMHV_40/catpn_1_PMHV_40)/(((dagenperjaar1*VLOOKUP(B20,dagsoorttabel1,2,FALSE))-catfd_1_PMHV_40)/catpn_1_PMHB_1+catfd_1_PMHV_40/catpn_1_PMHV_40),0)</f>
        <v>0</v>
      </c>
      <c r="I20" s="20" t="s">
        <v>36</v>
      </c>
      <c r="J20" s="37">
        <f>IF(AND(catpn_1_PMHB_1&gt;0,catpn_1_PMHV_40&gt;0),(cattf_1_PMHB_1*((dagenperjaar1*VLOOKUP(B20,dagsoorttabel1,2,FALSE))-catfd_1_PMHV_40)/catpn_1_PMHB_1+cattf_1_PMHV_40*catfd_1_PMHV_40/catpn_1_PMHV_40)/(((dagenperjaar1*VLOOKUP(B20,dagsoorttabel1,2,FALSE))-catfd_1_PMHV_40)/catpn_1_PMHB_1+catfd_1_PMHV_40/catpn_1_PM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142</v>
      </c>
      <c r="B21" s="20" t="s">
        <v>11</v>
      </c>
      <c r="C21" s="20" t="s">
        <v>120</v>
      </c>
      <c r="D21" s="20" t="s">
        <v>143</v>
      </c>
      <c r="E21" s="34">
        <v>710.92000000000007</v>
      </c>
      <c r="F21" s="34">
        <f t="shared" si="0"/>
        <v>546.86153846153854</v>
      </c>
      <c r="G21" s="35">
        <f>IF(AND(catpn_1_PUHB_1&gt;0,catpn_1_PUHV_40&gt;0),(dagenperjaar1*VLOOKUP(B21,dagsoorttabel1,2,FALSE))/(((dagenperjaar1*VLOOKUP(B21,dagsoorttabel1,2,FALSE))-catfd_1_PUHV_40)/catpn_1_PUHB_1+catfd_1_PUHV_40/catpn_1_PUHV_40),0)</f>
        <v>0</v>
      </c>
      <c r="H21" s="36">
        <f>IF(AND(catpn_1_PUHB_1&gt;0,catpn_1_PUHV_40&gt;0),(catdw_1_PUHB_1*((dagenperjaar1*VLOOKUP(B21,dagsoorttabel1,2,FALSE))-catfd_1_PUHV_40)/catpn_1_PUHB_1+catdw_1_PUHV_40*catfd_1_PUHV_40/catpn_1_PUHV_40)/(((dagenperjaar1*VLOOKUP(B21,dagsoorttabel1,2,FALSE))-catfd_1_PUHV_40)/catpn_1_PUHB_1+catfd_1_PUHV_40/catpn_1_PUHV_40),0)</f>
        <v>0</v>
      </c>
      <c r="I21" s="20" t="s">
        <v>36</v>
      </c>
      <c r="J21" s="37">
        <f>IF(AND(catpn_1_PUHB_1&gt;0,catpn_1_PUHV_40&gt;0),(cattf_1_PUHB_1*((dagenperjaar1*VLOOKUP(B21,dagsoorttabel1,2,FALSE))-catfd_1_PUHV_40)/catpn_1_PUHB_1+cattf_1_PUHV_40*catfd_1_PUHV_40/catpn_1_PUHV_40)/(((dagenperjaar1*VLOOKUP(B21,dagsoorttabel1,2,FALSE))-catfd_1_PUHV_40)/catpn_1_PUHB_1+catfd_1_PUHV_40/catpn_1_PU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144</v>
      </c>
      <c r="B22" s="20" t="s">
        <v>11</v>
      </c>
      <c r="C22" s="20" t="s">
        <v>120</v>
      </c>
      <c r="D22" s="20" t="s">
        <v>145</v>
      </c>
      <c r="E22" s="34">
        <v>140.19</v>
      </c>
      <c r="F22" s="34">
        <f t="shared" si="0"/>
        <v>107.83846153846154</v>
      </c>
      <c r="G22" s="35">
        <f>IF(AND(catpn_1_RZB_1&gt;0,catpn_1_RZV_40&gt;0),(dagenperjaar1*VLOOKUP(B22,dagsoorttabel1,2,FALSE))/(((dagenperjaar1*VLOOKUP(B22,dagsoorttabel1,2,FALSE))-catfd_1_RZV_40)/catpn_1_RZB_1+catfd_1_RZV_40/catpn_1_RZV_40),0)</f>
        <v>0</v>
      </c>
      <c r="H22" s="36">
        <f>IF(AND(catpn_1_RZB_1&gt;0,catpn_1_RZV_40&gt;0),(catdw_1_RZB_1*((dagenperjaar1*VLOOKUP(B22,dagsoorttabel1,2,FALSE))-catfd_1_RZV_40)/catpn_1_RZB_1+catdw_1_RZV_40*catfd_1_RZV_40/catpn_1_RZV_40)/(((dagenperjaar1*VLOOKUP(B22,dagsoorttabel1,2,FALSE))-catfd_1_RZV_40)/catpn_1_RZB_1+catfd_1_RZV_40/catpn_1_RZV_40),0)</f>
        <v>0</v>
      </c>
      <c r="I22" s="20" t="s">
        <v>36</v>
      </c>
      <c r="J22" s="37">
        <f>IF(AND(catpn_1_RZB_1&gt;0,catpn_1_RZV_40&gt;0),(cattf_1_RZB_1*((dagenperjaar1*VLOOKUP(B22,dagsoorttabel1,2,FALSE))-catfd_1_RZV_40)/catpn_1_RZB_1+cattf_1_RZV_40*catfd_1_RZV_40/catpn_1_RZV_40)/(((dagenperjaar1*VLOOKUP(B22,dagsoorttabel1,2,FALSE))-catfd_1_RZV_40)/catpn_1_RZB_1+catfd_1_RZV_40/catpn_1_RZV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146</v>
      </c>
      <c r="B23" s="20" t="s">
        <v>11</v>
      </c>
      <c r="C23" s="20" t="s">
        <v>120</v>
      </c>
      <c r="D23" s="20" t="s">
        <v>147</v>
      </c>
      <c r="E23" s="34">
        <v>317.65999999999997</v>
      </c>
      <c r="F23" s="34">
        <f t="shared" si="0"/>
        <v>244.35384615384615</v>
      </c>
      <c r="G23" s="35">
        <f>IF(AND(catpn_1_SHB_1&gt;0,catpn_1_SHV_40&gt;0),(dagenperjaar1*VLOOKUP(B23,dagsoorttabel1,2,FALSE))/(((dagenperjaar1*VLOOKUP(B23,dagsoorttabel1,2,FALSE))-catfd_1_SHV_40)/catpn_1_SHB_1+catfd_1_SHV_40/catpn_1_SHV_40),0)</f>
        <v>0</v>
      </c>
      <c r="H23" s="36">
        <f>IF(AND(catpn_1_SHB_1&gt;0,catpn_1_SHV_40&gt;0),(catdw_1_SHB_1*((dagenperjaar1*VLOOKUP(B23,dagsoorttabel1,2,FALSE))-catfd_1_SHV_40)/catpn_1_SHB_1+catdw_1_SHV_40*catfd_1_SHV_40/catpn_1_SHV_40)/(((dagenperjaar1*VLOOKUP(B23,dagsoorttabel1,2,FALSE))-catfd_1_SHV_40)/catpn_1_SHB_1+catfd_1_SHV_40/catpn_1_SHV_40),0)</f>
        <v>0</v>
      </c>
      <c r="I23" s="20" t="s">
        <v>36</v>
      </c>
      <c r="J23" s="37">
        <f>IF(AND(catpn_1_SHB_1&gt;0,catpn_1_SHV_40&gt;0),(cattf_1_SHB_1*((dagenperjaar1*VLOOKUP(B23,dagsoorttabel1,2,FALSE))-catfd_1_SHV_40)/catpn_1_SHB_1+cattf_1_SHV_40*catfd_1_SHV_40/catpn_1_SHV_40)/(((dagenperjaar1*VLOOKUP(B23,dagsoorttabel1,2,FALSE))-catfd_1_SHV_40)/catpn_1_SHB_1+catfd_1_SHV_40/catpn_1_S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148</v>
      </c>
      <c r="B24" s="20" t="s">
        <v>11</v>
      </c>
      <c r="C24" s="20" t="s">
        <v>120</v>
      </c>
      <c r="D24" s="20" t="s">
        <v>149</v>
      </c>
      <c r="E24" s="34">
        <v>58.08</v>
      </c>
      <c r="F24" s="34">
        <f t="shared" si="0"/>
        <v>44.676923076923082</v>
      </c>
      <c r="G24" s="35">
        <f>catpn_1_SHB_1</f>
        <v>0</v>
      </c>
      <c r="H24" s="36">
        <f>catdw_1_SHB_1</f>
        <v>0</v>
      </c>
      <c r="I24" s="20" t="s">
        <v>36</v>
      </c>
      <c r="J24" s="37">
        <f>cattf_1_SHB_1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150</v>
      </c>
      <c r="B25" s="20" t="s">
        <v>11</v>
      </c>
      <c r="C25" s="20" t="s">
        <v>120</v>
      </c>
      <c r="D25" s="20" t="s">
        <v>151</v>
      </c>
      <c r="E25" s="34">
        <v>263.85999999999996</v>
      </c>
      <c r="F25" s="34">
        <f t="shared" si="0"/>
        <v>202.96923076923073</v>
      </c>
      <c r="G25" s="35">
        <f>IF(AND(catpn_1_THB_1&gt;0,catpn_1_THV_40&gt;0),(dagenperjaar1*VLOOKUP(B25,dagsoorttabel1,2,FALSE))/(((dagenperjaar1*VLOOKUP(B25,dagsoorttabel1,2,FALSE))-catfd_1_THV_40)/catpn_1_THB_1+catfd_1_THV_40/catpn_1_THV_40),0)</f>
        <v>0</v>
      </c>
      <c r="H25" s="36">
        <f>IF(AND(catpn_1_THB_1&gt;0,catpn_1_THV_40&gt;0),(catdw_1_THB_1*((dagenperjaar1*VLOOKUP(B25,dagsoorttabel1,2,FALSE))-catfd_1_THV_40)/catpn_1_THB_1+catdw_1_THV_40*catfd_1_THV_40/catpn_1_THV_40)/(((dagenperjaar1*VLOOKUP(B25,dagsoorttabel1,2,FALSE))-catfd_1_THV_40)/catpn_1_THB_1+catfd_1_THV_40/catpn_1_THV_40),0)</f>
        <v>0</v>
      </c>
      <c r="I25" s="20" t="s">
        <v>36</v>
      </c>
      <c r="J25" s="37">
        <f>IF(AND(catpn_1_THB_1&gt;0,catpn_1_THV_40&gt;0),(cattf_1_THB_1*((dagenperjaar1*VLOOKUP(B25,dagsoorttabel1,2,FALSE))-catfd_1_THV_40)/catpn_1_THB_1+cattf_1_THV_40*catfd_1_THV_40/catpn_1_THV_40)/(((dagenperjaar1*VLOOKUP(B25,dagsoorttabel1,2,FALSE))-catfd_1_THV_40)/catpn_1_THB_1+catfd_1_THV_40/catpn_1_THV_40)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152</v>
      </c>
      <c r="B26" s="20" t="s">
        <v>11</v>
      </c>
      <c r="C26" s="20" t="s">
        <v>120</v>
      </c>
      <c r="D26" s="20" t="s">
        <v>153</v>
      </c>
      <c r="E26" s="34">
        <v>28.29</v>
      </c>
      <c r="F26" s="34">
        <f t="shared" si="0"/>
        <v>21.761538461538461</v>
      </c>
      <c r="G26" s="35">
        <f>IF(AND(catpn_1_TZB_1&gt;0,catpn_1_TZV_40&gt;0),(dagenperjaar1*VLOOKUP(B26,dagsoorttabel1,2,FALSE))/(((dagenperjaar1*VLOOKUP(B26,dagsoorttabel1,2,FALSE))-catfd_1_TZV_40)/catpn_1_TZB_1+catfd_1_TZV_40/catpn_1_TZV_40),0)</f>
        <v>0</v>
      </c>
      <c r="H26" s="36">
        <f>IF(AND(catpn_1_TZB_1&gt;0,catpn_1_TZV_40&gt;0),(catdw_1_TZB_1*((dagenperjaar1*VLOOKUP(B26,dagsoorttabel1,2,FALSE))-catfd_1_TZV_40)/catpn_1_TZB_1+catdw_1_TZV_40*catfd_1_TZV_40/catpn_1_TZV_40)/(((dagenperjaar1*VLOOKUP(B26,dagsoorttabel1,2,FALSE))-catfd_1_TZV_40)/catpn_1_TZB_1+catfd_1_TZV_40/catpn_1_TZV_40),0)</f>
        <v>0</v>
      </c>
      <c r="I26" s="20" t="s">
        <v>36</v>
      </c>
      <c r="J26" s="37">
        <f>IF(AND(catpn_1_TZB_1&gt;0,catpn_1_TZV_40&gt;0),(cattf_1_TZB_1*((dagenperjaar1*VLOOKUP(B26,dagsoorttabel1,2,FALSE))-catfd_1_TZV_40)/catpn_1_TZB_1+cattf_1_TZV_40*catfd_1_TZV_40/catpn_1_TZV_40)/(((dagenperjaar1*VLOOKUP(B26,dagsoorttabel1,2,FALSE))-catfd_1_TZV_40)/catpn_1_TZB_1+catfd_1_TZV_40/catpn_1_TZ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154</v>
      </c>
      <c r="B27" s="20" t="s">
        <v>11</v>
      </c>
      <c r="C27" s="20" t="s">
        <v>120</v>
      </c>
      <c r="D27" s="20" t="s">
        <v>155</v>
      </c>
      <c r="E27" s="34">
        <v>2601.3000000000002</v>
      </c>
      <c r="F27" s="34">
        <f t="shared" si="0"/>
        <v>2001.0000000000002</v>
      </c>
      <c r="G27" s="35">
        <f>IF(AND(catpn_1_VHB_1&gt;0,catpn_1_VHV_40&gt;0),(dagenperjaar1*VLOOKUP(B27,dagsoorttabel1,2,FALSE))/(((dagenperjaar1*VLOOKUP(B27,dagsoorttabel1,2,FALSE))-catfd_1_VHV_40)/catpn_1_VHB_1+catfd_1_VHV_40/catpn_1_VHV_40),0)</f>
        <v>0</v>
      </c>
      <c r="H27" s="36">
        <f>IF(AND(catpn_1_VHB_1&gt;0,catpn_1_VHV_40&gt;0),(catdw_1_VHB_1*((dagenperjaar1*VLOOKUP(B27,dagsoorttabel1,2,FALSE))-catfd_1_VHV_40)/catpn_1_VHB_1+catdw_1_VHV_40*catfd_1_VHV_40/catpn_1_VHV_40)/(((dagenperjaar1*VLOOKUP(B27,dagsoorttabel1,2,FALSE))-catfd_1_VHV_40)/catpn_1_VHB_1+catfd_1_VHV_40/catpn_1_VHV_40),0)</f>
        <v>0</v>
      </c>
      <c r="I27" s="20" t="s">
        <v>36</v>
      </c>
      <c r="J27" s="37">
        <f>IF(AND(catpn_1_VHB_1&gt;0,catpn_1_VHV_40&gt;0),(cattf_1_VHB_1*((dagenperjaar1*VLOOKUP(B27,dagsoorttabel1,2,FALSE))-catfd_1_VHV_40)/catpn_1_VHB_1+cattf_1_VHV_40*catfd_1_VHV_40/catpn_1_VHV_40)/(((dagenperjaar1*VLOOKUP(B27,dagsoorttabel1,2,FALSE))-catfd_1_VHV_40)/catpn_1_VHB_1+catfd_1_VHV_40/catpn_1_VH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156</v>
      </c>
      <c r="B28" s="20" t="s">
        <v>11</v>
      </c>
      <c r="C28" s="20" t="s">
        <v>120</v>
      </c>
      <c r="D28" s="20" t="s">
        <v>157</v>
      </c>
      <c r="E28" s="34">
        <v>24.85</v>
      </c>
      <c r="F28" s="34">
        <f t="shared" si="0"/>
        <v>19.115384615384617</v>
      </c>
      <c r="G28" s="35">
        <f>IF(AND(catpn_1_VZB_1&gt;0,catpn_1_VZV_40&gt;0),(dagenperjaar1*VLOOKUP(B28,dagsoorttabel1,2,FALSE))/(((dagenperjaar1*VLOOKUP(B28,dagsoorttabel1,2,FALSE))-catfd_1_VZV_40)/catpn_1_VZB_1+catfd_1_VZV_40/catpn_1_VZV_40),0)</f>
        <v>0</v>
      </c>
      <c r="H28" s="36">
        <f>IF(AND(catpn_1_VZB_1&gt;0,catpn_1_VZV_40&gt;0),(catdw_1_VZB_1*((dagenperjaar1*VLOOKUP(B28,dagsoorttabel1,2,FALSE))-catfd_1_VZV_40)/catpn_1_VZB_1+catdw_1_VZV_40*catfd_1_VZV_40/catpn_1_VZV_40)/(((dagenperjaar1*VLOOKUP(B28,dagsoorttabel1,2,FALSE))-catfd_1_VZV_40)/catpn_1_VZB_1+catfd_1_VZV_40/catpn_1_VZV_40),0)</f>
        <v>0</v>
      </c>
      <c r="I28" s="20" t="s">
        <v>36</v>
      </c>
      <c r="J28" s="37">
        <f>IF(AND(catpn_1_VZB_1&gt;0,catpn_1_VZV_40&gt;0),(cattf_1_VZB_1*((dagenperjaar1*VLOOKUP(B28,dagsoorttabel1,2,FALSE))-catfd_1_VZV_40)/catpn_1_VZB_1+cattf_1_VZV_40*catfd_1_VZV_40/catpn_1_VZV_40)/(((dagenperjaar1*VLOOKUP(B28,dagsoorttabel1,2,FALSE))-catfd_1_VZV_40)/catpn_1_VZB_1+catfd_1_VZV_40/catpn_1_VZV_40)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158</v>
      </c>
      <c r="B29" s="20" t="s">
        <v>23</v>
      </c>
      <c r="C29" s="20" t="s">
        <v>120</v>
      </c>
      <c r="D29" s="20" t="s">
        <v>159</v>
      </c>
      <c r="E29" s="34">
        <v>753.06</v>
      </c>
      <c r="F29" s="34">
        <f t="shared" si="0"/>
        <v>2.8963846153846156</v>
      </c>
      <c r="G29" s="38"/>
      <c r="H29" s="23"/>
      <c r="I29" s="20" t="s">
        <v>36</v>
      </c>
      <c r="J29" s="24"/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158</v>
      </c>
      <c r="B30" s="20" t="s">
        <v>20</v>
      </c>
      <c r="C30" s="20" t="s">
        <v>120</v>
      </c>
      <c r="D30" s="20" t="s">
        <v>159</v>
      </c>
      <c r="E30" s="34">
        <v>428.77</v>
      </c>
      <c r="F30" s="34">
        <f t="shared" si="0"/>
        <v>6.5964615384615382</v>
      </c>
      <c r="G30" s="38"/>
      <c r="H30" s="23"/>
      <c r="I30" s="20" t="s">
        <v>36</v>
      </c>
      <c r="J30" s="24"/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5" t="s">
        <v>160</v>
      </c>
      <c r="B31" s="25" t="s">
        <v>12</v>
      </c>
      <c r="C31" s="25" t="s">
        <v>120</v>
      </c>
      <c r="D31" s="25" t="s">
        <v>161</v>
      </c>
      <c r="E31" s="39">
        <v>486.04000000000008</v>
      </c>
      <c r="F31" s="39">
        <f t="shared" si="0"/>
        <v>299.10153846153855</v>
      </c>
      <c r="G31" s="40"/>
      <c r="H31" s="28"/>
      <c r="I31" s="25" t="s">
        <v>36</v>
      </c>
      <c r="J31" s="29"/>
      <c r="K31" s="39">
        <f t="shared" si="1"/>
        <v>0</v>
      </c>
      <c r="L31" s="41">
        <f t="shared" si="2"/>
        <v>0</v>
      </c>
      <c r="M31" s="39">
        <f t="shared" si="3"/>
        <v>0</v>
      </c>
      <c r="N31" s="41">
        <f t="shared" si="4"/>
        <v>0</v>
      </c>
    </row>
    <row r="32" spans="1:14" x14ac:dyDescent="0.2">
      <c r="A32" s="43" t="s">
        <v>162</v>
      </c>
      <c r="B32" s="44"/>
      <c r="C32" s="44"/>
      <c r="D32" s="44"/>
      <c r="E32" s="44"/>
      <c r="F32" s="44"/>
      <c r="G32" s="44"/>
      <c r="H32" s="44"/>
      <c r="I32" s="44"/>
      <c r="J32" s="44"/>
      <c r="K32" s="45">
        <f>SUM(K6:K31)</f>
        <v>0</v>
      </c>
      <c r="L32" s="46">
        <f>SUM(L6:L31)</f>
        <v>0</v>
      </c>
      <c r="M32" s="45">
        <f>SUM(M6:M31)</f>
        <v>0</v>
      </c>
      <c r="N32" s="47">
        <f>SUM(N6:N31)</f>
        <v>0</v>
      </c>
    </row>
    <row r="33" spans="1:14" x14ac:dyDescent="0.2">
      <c r="A33" s="48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9"/>
    </row>
    <row r="34" spans="1:14" x14ac:dyDescent="0.2">
      <c r="A34" s="43" t="s">
        <v>163</v>
      </c>
      <c r="B34" s="44"/>
      <c r="C34" s="44"/>
      <c r="D34" s="44"/>
      <c r="E34" s="44"/>
      <c r="F34" s="44"/>
      <c r="G34" s="44"/>
      <c r="H34" s="44"/>
      <c r="I34" s="44"/>
      <c r="J34" s="46">
        <f>IF(urenjaar1&gt;0,SUMIF(M6:M31,"&gt;0",N6:N31)/urenjaar1,0)</f>
        <v>0</v>
      </c>
      <c r="K34" s="44"/>
      <c r="L34" s="44"/>
      <c r="M34" s="44"/>
      <c r="N34" s="49"/>
    </row>
    <row r="35" spans="1:14" x14ac:dyDescent="0.2">
      <c r="A35" s="48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9"/>
    </row>
    <row r="37" spans="1:14" x14ac:dyDescent="0.2">
      <c r="A37" s="43" t="s">
        <v>164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5">
        <f>urenjaar1</f>
        <v>0</v>
      </c>
      <c r="N37" s="46">
        <f>prijsjaar1</f>
        <v>0</v>
      </c>
    </row>
  </sheetData>
  <sheetProtection algorithmName="SHA-512" hashValue="YBcvYjPe0eYrvyWzeUz4ZqG3sA3177yqbU39rHdVmZE1Yf2YNpdRd6Hd7C1KBLHqymiAu77VXv0R9gyScvw7xQ==" saltValue="3NnL/gS0iFjYpHozYRMl+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6396-AB6F-4798-98A8-F66D5597436A}">
  <dimension ref="A1:U26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F.1.3: ",tabeltype," ruimten werkdag")</f>
        <v>Bijlage F.1.3: Invultabel ruimten werkdag</v>
      </c>
    </row>
    <row r="3" spans="1:21" ht="38.25" x14ac:dyDescent="0.2">
      <c r="A3" s="50" t="s">
        <v>165</v>
      </c>
      <c r="B3" s="8" t="s">
        <v>166</v>
      </c>
      <c r="C3" s="8" t="s">
        <v>167</v>
      </c>
      <c r="D3" s="8" t="s">
        <v>168</v>
      </c>
      <c r="E3" s="8" t="s">
        <v>169</v>
      </c>
      <c r="F3" s="8" t="s">
        <v>170</v>
      </c>
      <c r="G3" s="8" t="s">
        <v>111</v>
      </c>
      <c r="H3" s="8" t="s">
        <v>7</v>
      </c>
      <c r="I3" s="8" t="s">
        <v>171</v>
      </c>
      <c r="J3" s="8" t="s">
        <v>172</v>
      </c>
      <c r="K3" s="8" t="s">
        <v>113</v>
      </c>
      <c r="L3" s="8" t="s">
        <v>114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115</v>
      </c>
      <c r="R3" s="8" t="s">
        <v>173</v>
      </c>
      <c r="S3" s="8" t="s">
        <v>116</v>
      </c>
      <c r="T3" s="8" t="s">
        <v>117</v>
      </c>
      <c r="U3" s="51" t="s">
        <v>118</v>
      </c>
    </row>
    <row r="4" spans="1:21" x14ac:dyDescent="0.2">
      <c r="A4" s="52" t="s">
        <v>174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175</v>
      </c>
      <c r="B5" s="54" t="s">
        <v>176</v>
      </c>
      <c r="C5" s="54" t="s">
        <v>177</v>
      </c>
      <c r="D5" s="54" t="s">
        <v>178</v>
      </c>
      <c r="E5" s="55" t="s">
        <v>179</v>
      </c>
      <c r="F5" s="54" t="s">
        <v>180</v>
      </c>
      <c r="G5" s="54" t="s">
        <v>150</v>
      </c>
      <c r="H5" s="54" t="s">
        <v>11</v>
      </c>
      <c r="I5" s="54" t="s">
        <v>120</v>
      </c>
      <c r="J5" s="54"/>
      <c r="K5" s="56">
        <v>10.34</v>
      </c>
      <c r="L5" s="56">
        <f t="shared" ref="L5:L36" si="0">K5*VLOOKUP(H5,dagsoorttabel1,2,FALSE)</f>
        <v>7.953846153846154</v>
      </c>
      <c r="M5" s="57">
        <f>prodnorm27</f>
        <v>0</v>
      </c>
      <c r="N5" s="58">
        <f>dagwerk27</f>
        <v>0</v>
      </c>
      <c r="O5" s="54" t="s">
        <v>36</v>
      </c>
      <c r="P5" s="59">
        <f>uurtarief27</f>
        <v>0</v>
      </c>
      <c r="Q5" s="56" t="e">
        <f t="shared" ref="Q5:Q36" si="1">IF(ISBLANK(M5),0,L5/ROUND(M5,4))</f>
        <v>#DIV/0!</v>
      </c>
      <c r="R5" s="56" t="e">
        <f t="shared" ref="R5:R36" si="2">IF(ISBLANK(M5),0,Q5*ROUND(N5,2))</f>
        <v>#DIV/0!</v>
      </c>
      <c r="S5" s="59" t="e">
        <f t="shared" ref="S5:S36" si="3">ROUND(P5,2)*Q5</f>
        <v>#DIV/0!</v>
      </c>
      <c r="T5" s="56" t="e">
        <f t="shared" ref="T5:T36" si="4">Q5*dagenperjaar1</f>
        <v>#DIV/0!</v>
      </c>
      <c r="U5" s="60" t="e">
        <f t="shared" ref="U5:U36" si="5">T5*ROUND(P5,2)</f>
        <v>#DIV/0!</v>
      </c>
    </row>
    <row r="6" spans="1:21" x14ac:dyDescent="0.2">
      <c r="A6" s="61" t="s">
        <v>175</v>
      </c>
      <c r="B6" s="62" t="s">
        <v>176</v>
      </c>
      <c r="C6" s="62" t="s">
        <v>177</v>
      </c>
      <c r="D6" s="62" t="s">
        <v>181</v>
      </c>
      <c r="E6" s="63" t="s">
        <v>182</v>
      </c>
      <c r="F6" s="62" t="s">
        <v>183</v>
      </c>
      <c r="G6" s="62" t="s">
        <v>156</v>
      </c>
      <c r="H6" s="62" t="s">
        <v>11</v>
      </c>
      <c r="I6" s="62" t="s">
        <v>120</v>
      </c>
      <c r="J6" s="62"/>
      <c r="K6" s="64">
        <v>2.57</v>
      </c>
      <c r="L6" s="64">
        <f t="shared" si="0"/>
        <v>1.976923076923077</v>
      </c>
      <c r="M6" s="65">
        <f>prodnorm30</f>
        <v>0</v>
      </c>
      <c r="N6" s="66">
        <f>dagwerk30</f>
        <v>0</v>
      </c>
      <c r="O6" s="62" t="s">
        <v>36</v>
      </c>
      <c r="P6" s="67">
        <f>uurtarief30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175</v>
      </c>
      <c r="B7" s="62" t="s">
        <v>176</v>
      </c>
      <c r="C7" s="62" t="s">
        <v>184</v>
      </c>
      <c r="D7" s="62" t="s">
        <v>185</v>
      </c>
      <c r="E7" s="63" t="s">
        <v>186</v>
      </c>
      <c r="F7" s="62" t="s">
        <v>187</v>
      </c>
      <c r="G7" s="62" t="s">
        <v>124</v>
      </c>
      <c r="H7" s="62" t="s">
        <v>11</v>
      </c>
      <c r="I7" s="62" t="s">
        <v>120</v>
      </c>
      <c r="J7" s="62"/>
      <c r="K7" s="64">
        <v>9.6999999999999993</v>
      </c>
      <c r="L7" s="64">
        <f t="shared" si="0"/>
        <v>7.4615384615384617</v>
      </c>
      <c r="M7" s="65">
        <f>prodnorm12</f>
        <v>0</v>
      </c>
      <c r="N7" s="66">
        <f>dagwerk12</f>
        <v>0</v>
      </c>
      <c r="O7" s="62" t="s">
        <v>36</v>
      </c>
      <c r="P7" s="67">
        <f>uurtarief12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175</v>
      </c>
      <c r="B8" s="62" t="s">
        <v>176</v>
      </c>
      <c r="C8" s="62" t="s">
        <v>184</v>
      </c>
      <c r="D8" s="62" t="s">
        <v>188</v>
      </c>
      <c r="E8" s="63" t="s">
        <v>189</v>
      </c>
      <c r="F8" s="62" t="s">
        <v>190</v>
      </c>
      <c r="G8" s="62" t="s">
        <v>154</v>
      </c>
      <c r="H8" s="62" t="s">
        <v>11</v>
      </c>
      <c r="I8" s="62" t="s">
        <v>120</v>
      </c>
      <c r="J8" s="62"/>
      <c r="K8" s="64">
        <v>323.42999999999995</v>
      </c>
      <c r="L8" s="64">
        <f t="shared" si="0"/>
        <v>248.79230769230767</v>
      </c>
      <c r="M8" s="65">
        <f>prodnorm29</f>
        <v>0</v>
      </c>
      <c r="N8" s="66">
        <f>dagwerk29</f>
        <v>0</v>
      </c>
      <c r="O8" s="62" t="s">
        <v>36</v>
      </c>
      <c r="P8" s="67">
        <f>uurtarief29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175</v>
      </c>
      <c r="B9" s="62" t="s">
        <v>176</v>
      </c>
      <c r="C9" s="62" t="s">
        <v>184</v>
      </c>
      <c r="D9" s="62" t="s">
        <v>191</v>
      </c>
      <c r="E9" s="63" t="s">
        <v>192</v>
      </c>
      <c r="F9" s="62" t="s">
        <v>193</v>
      </c>
      <c r="G9" s="62" t="s">
        <v>119</v>
      </c>
      <c r="H9" s="62" t="s">
        <v>16</v>
      </c>
      <c r="I9" s="62" t="s">
        <v>120</v>
      </c>
      <c r="J9" s="62"/>
      <c r="K9" s="64">
        <v>40.700000000000003</v>
      </c>
      <c r="L9" s="64">
        <f t="shared" si="0"/>
        <v>6.2615384615384624</v>
      </c>
      <c r="M9" s="65">
        <f>prodnorm9</f>
        <v>0</v>
      </c>
      <c r="N9" s="66">
        <f>dagwerk9</f>
        <v>0</v>
      </c>
      <c r="O9" s="62" t="s">
        <v>36</v>
      </c>
      <c r="P9" s="67">
        <f>uurtarief9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175</v>
      </c>
      <c r="B10" s="62" t="s">
        <v>176</v>
      </c>
      <c r="C10" s="62" t="s">
        <v>184</v>
      </c>
      <c r="D10" s="62" t="s">
        <v>191</v>
      </c>
      <c r="E10" s="63" t="s">
        <v>192</v>
      </c>
      <c r="F10" s="62" t="s">
        <v>193</v>
      </c>
      <c r="G10" s="62" t="s">
        <v>160</v>
      </c>
      <c r="H10" s="62" t="s">
        <v>12</v>
      </c>
      <c r="I10" s="62" t="s">
        <v>120</v>
      </c>
      <c r="J10" s="62"/>
      <c r="K10" s="64">
        <v>40.700000000000003</v>
      </c>
      <c r="L10" s="64">
        <f t="shared" si="0"/>
        <v>25.04615384615385</v>
      </c>
      <c r="M10" s="65">
        <f>prodnorm33</f>
        <v>0</v>
      </c>
      <c r="N10" s="66">
        <f>dagwerk33</f>
        <v>0</v>
      </c>
      <c r="O10" s="62" t="s">
        <v>36</v>
      </c>
      <c r="P10" s="67">
        <f>uurtarief33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175</v>
      </c>
      <c r="B11" s="62" t="s">
        <v>176</v>
      </c>
      <c r="C11" s="62" t="s">
        <v>184</v>
      </c>
      <c r="D11" s="62" t="s">
        <v>194</v>
      </c>
      <c r="E11" s="63" t="s">
        <v>195</v>
      </c>
      <c r="F11" s="62" t="s">
        <v>190</v>
      </c>
      <c r="G11" s="62" t="s">
        <v>150</v>
      </c>
      <c r="H11" s="62" t="s">
        <v>11</v>
      </c>
      <c r="I11" s="62" t="s">
        <v>120</v>
      </c>
      <c r="J11" s="62"/>
      <c r="K11" s="64">
        <v>9.42</v>
      </c>
      <c r="L11" s="64">
        <f t="shared" si="0"/>
        <v>7.2461538461538462</v>
      </c>
      <c r="M11" s="65">
        <f>prodnorm27</f>
        <v>0</v>
      </c>
      <c r="N11" s="66">
        <f>dagwerk27</f>
        <v>0</v>
      </c>
      <c r="O11" s="62" t="s">
        <v>36</v>
      </c>
      <c r="P11" s="67">
        <f>uurtarief27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175</v>
      </c>
      <c r="B12" s="62" t="s">
        <v>176</v>
      </c>
      <c r="C12" s="62" t="s">
        <v>184</v>
      </c>
      <c r="D12" s="62" t="s">
        <v>196</v>
      </c>
      <c r="E12" s="63" t="s">
        <v>195</v>
      </c>
      <c r="F12" s="62" t="s">
        <v>183</v>
      </c>
      <c r="G12" s="62" t="s">
        <v>152</v>
      </c>
      <c r="H12" s="62" t="s">
        <v>11</v>
      </c>
      <c r="I12" s="62" t="s">
        <v>120</v>
      </c>
      <c r="J12" s="62"/>
      <c r="K12" s="64">
        <v>9.1</v>
      </c>
      <c r="L12" s="64">
        <f t="shared" si="0"/>
        <v>7</v>
      </c>
      <c r="M12" s="65">
        <f>prodnorm28</f>
        <v>0</v>
      </c>
      <c r="N12" s="66">
        <f>dagwerk28</f>
        <v>0</v>
      </c>
      <c r="O12" s="62" t="s">
        <v>36</v>
      </c>
      <c r="P12" s="67">
        <f>uurtarief28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175</v>
      </c>
      <c r="B13" s="62" t="s">
        <v>176</v>
      </c>
      <c r="C13" s="62" t="s">
        <v>184</v>
      </c>
      <c r="D13" s="62" t="s">
        <v>197</v>
      </c>
      <c r="E13" s="63" t="s">
        <v>179</v>
      </c>
      <c r="F13" s="62" t="s">
        <v>180</v>
      </c>
      <c r="G13" s="62" t="s">
        <v>150</v>
      </c>
      <c r="H13" s="62" t="s">
        <v>11</v>
      </c>
      <c r="I13" s="62" t="s">
        <v>120</v>
      </c>
      <c r="J13" s="62"/>
      <c r="K13" s="64">
        <v>8.5</v>
      </c>
      <c r="L13" s="64">
        <f t="shared" si="0"/>
        <v>6.5384615384615392</v>
      </c>
      <c r="M13" s="65">
        <f>prodnorm27</f>
        <v>0</v>
      </c>
      <c r="N13" s="66">
        <f>dagwerk27</f>
        <v>0</v>
      </c>
      <c r="O13" s="62" t="s">
        <v>36</v>
      </c>
      <c r="P13" s="67">
        <f>uurtarief27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175</v>
      </c>
      <c r="B14" s="62" t="s">
        <v>176</v>
      </c>
      <c r="C14" s="62" t="s">
        <v>184</v>
      </c>
      <c r="D14" s="62" t="s">
        <v>198</v>
      </c>
      <c r="E14" s="63" t="s">
        <v>179</v>
      </c>
      <c r="F14" s="62" t="s">
        <v>190</v>
      </c>
      <c r="G14" s="62" t="s">
        <v>150</v>
      </c>
      <c r="H14" s="62" t="s">
        <v>11</v>
      </c>
      <c r="I14" s="62" t="s">
        <v>120</v>
      </c>
      <c r="J14" s="62"/>
      <c r="K14" s="64">
        <v>2.79</v>
      </c>
      <c r="L14" s="64">
        <f t="shared" si="0"/>
        <v>2.1461538461538461</v>
      </c>
      <c r="M14" s="65">
        <f>prodnorm27</f>
        <v>0</v>
      </c>
      <c r="N14" s="66">
        <f>dagwerk27</f>
        <v>0</v>
      </c>
      <c r="O14" s="62" t="s">
        <v>36</v>
      </c>
      <c r="P14" s="67">
        <f>uurtarief27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175</v>
      </c>
      <c r="B15" s="62" t="s">
        <v>176</v>
      </c>
      <c r="C15" s="62" t="s">
        <v>184</v>
      </c>
      <c r="D15" s="62" t="s">
        <v>199</v>
      </c>
      <c r="E15" s="63" t="s">
        <v>200</v>
      </c>
      <c r="F15" s="62" t="s">
        <v>190</v>
      </c>
      <c r="G15" s="62" t="s">
        <v>128</v>
      </c>
      <c r="H15" s="62" t="s">
        <v>11</v>
      </c>
      <c r="I15" s="62" t="s">
        <v>120</v>
      </c>
      <c r="J15" s="62"/>
      <c r="K15" s="64">
        <v>1.55</v>
      </c>
      <c r="L15" s="64">
        <f t="shared" si="0"/>
        <v>1.1923076923076925</v>
      </c>
      <c r="M15" s="65">
        <f>prodnorm15</f>
        <v>0</v>
      </c>
      <c r="N15" s="66">
        <f>dagwerk15</f>
        <v>0</v>
      </c>
      <c r="O15" s="62" t="s">
        <v>36</v>
      </c>
      <c r="P15" s="67">
        <f>uurtarief15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175</v>
      </c>
      <c r="B16" s="62" t="s">
        <v>176</v>
      </c>
      <c r="C16" s="62" t="s">
        <v>184</v>
      </c>
      <c r="D16" s="62" t="s">
        <v>201</v>
      </c>
      <c r="E16" s="63" t="s">
        <v>202</v>
      </c>
      <c r="F16" s="62" t="s">
        <v>203</v>
      </c>
      <c r="G16" s="62" t="s">
        <v>146</v>
      </c>
      <c r="H16" s="62" t="s">
        <v>11</v>
      </c>
      <c r="I16" s="62" t="s">
        <v>120</v>
      </c>
      <c r="J16" s="62"/>
      <c r="K16" s="64">
        <v>6.13</v>
      </c>
      <c r="L16" s="64">
        <f t="shared" si="0"/>
        <v>4.7153846153846155</v>
      </c>
      <c r="M16" s="65">
        <f>prodnorm25</f>
        <v>0</v>
      </c>
      <c r="N16" s="66">
        <f>dagwerk25</f>
        <v>0</v>
      </c>
      <c r="O16" s="62" t="s">
        <v>36</v>
      </c>
      <c r="P16" s="67">
        <f>uurtarief25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175</v>
      </c>
      <c r="B17" s="62" t="s">
        <v>176</v>
      </c>
      <c r="C17" s="62" t="s">
        <v>184</v>
      </c>
      <c r="D17" s="62" t="s">
        <v>201</v>
      </c>
      <c r="E17" s="63" t="s">
        <v>202</v>
      </c>
      <c r="F17" s="62" t="s">
        <v>203</v>
      </c>
      <c r="G17" s="62" t="s">
        <v>148</v>
      </c>
      <c r="H17" s="62" t="s">
        <v>11</v>
      </c>
      <c r="I17" s="62" t="s">
        <v>120</v>
      </c>
      <c r="J17" s="62"/>
      <c r="K17" s="64">
        <v>6.13</v>
      </c>
      <c r="L17" s="64">
        <f t="shared" si="0"/>
        <v>4.7153846153846155</v>
      </c>
      <c r="M17" s="65">
        <f>prodnorm26</f>
        <v>0</v>
      </c>
      <c r="N17" s="66">
        <f>dagwerk26</f>
        <v>0</v>
      </c>
      <c r="O17" s="62" t="s">
        <v>36</v>
      </c>
      <c r="P17" s="67">
        <f>uurtarief26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175</v>
      </c>
      <c r="B18" s="62" t="s">
        <v>176</v>
      </c>
      <c r="C18" s="62" t="s">
        <v>184</v>
      </c>
      <c r="D18" s="62" t="s">
        <v>204</v>
      </c>
      <c r="E18" s="63" t="s">
        <v>202</v>
      </c>
      <c r="F18" s="62" t="s">
        <v>203</v>
      </c>
      <c r="G18" s="62" t="s">
        <v>146</v>
      </c>
      <c r="H18" s="62" t="s">
        <v>11</v>
      </c>
      <c r="I18" s="62" t="s">
        <v>120</v>
      </c>
      <c r="J18" s="62"/>
      <c r="K18" s="64">
        <v>5.4</v>
      </c>
      <c r="L18" s="64">
        <f t="shared" si="0"/>
        <v>4.1538461538461542</v>
      </c>
      <c r="M18" s="65">
        <f>prodnorm25</f>
        <v>0</v>
      </c>
      <c r="N18" s="66">
        <f>dagwerk25</f>
        <v>0</v>
      </c>
      <c r="O18" s="62" t="s">
        <v>36</v>
      </c>
      <c r="P18" s="67">
        <f>uurtarief25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175</v>
      </c>
      <c r="B19" s="62" t="s">
        <v>176</v>
      </c>
      <c r="C19" s="62" t="s">
        <v>184</v>
      </c>
      <c r="D19" s="62" t="s">
        <v>204</v>
      </c>
      <c r="E19" s="63" t="s">
        <v>202</v>
      </c>
      <c r="F19" s="62" t="s">
        <v>203</v>
      </c>
      <c r="G19" s="62" t="s">
        <v>148</v>
      </c>
      <c r="H19" s="62" t="s">
        <v>11</v>
      </c>
      <c r="I19" s="62" t="s">
        <v>120</v>
      </c>
      <c r="J19" s="62"/>
      <c r="K19" s="64">
        <v>5.4</v>
      </c>
      <c r="L19" s="64">
        <f t="shared" si="0"/>
        <v>4.1538461538461542</v>
      </c>
      <c r="M19" s="65">
        <f>prodnorm26</f>
        <v>0</v>
      </c>
      <c r="N19" s="66">
        <f>dagwerk26</f>
        <v>0</v>
      </c>
      <c r="O19" s="62" t="s">
        <v>36</v>
      </c>
      <c r="P19" s="67">
        <f>uurtarief26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175</v>
      </c>
      <c r="B20" s="62" t="s">
        <v>176</v>
      </c>
      <c r="C20" s="62" t="s">
        <v>184</v>
      </c>
      <c r="D20" s="62" t="s">
        <v>205</v>
      </c>
      <c r="E20" s="63" t="s">
        <v>206</v>
      </c>
      <c r="F20" s="62" t="s">
        <v>190</v>
      </c>
      <c r="G20" s="62" t="s">
        <v>158</v>
      </c>
      <c r="H20" s="62" t="s">
        <v>20</v>
      </c>
      <c r="I20" s="62" t="s">
        <v>120</v>
      </c>
      <c r="J20" s="62"/>
      <c r="K20" s="64">
        <v>22.99</v>
      </c>
      <c r="L20" s="64">
        <f t="shared" si="0"/>
        <v>0.35369230769230769</v>
      </c>
      <c r="M20" s="65">
        <f>prodnorm32</f>
        <v>0</v>
      </c>
      <c r="N20" s="66">
        <f>dagwerk32</f>
        <v>0</v>
      </c>
      <c r="O20" s="62" t="s">
        <v>36</v>
      </c>
      <c r="P20" s="67">
        <f>uurtarief32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175</v>
      </c>
      <c r="B21" s="62" t="s">
        <v>176</v>
      </c>
      <c r="C21" s="62" t="s">
        <v>184</v>
      </c>
      <c r="D21" s="62" t="s">
        <v>207</v>
      </c>
      <c r="E21" s="63" t="s">
        <v>208</v>
      </c>
      <c r="F21" s="62" t="s">
        <v>190</v>
      </c>
      <c r="G21" s="62" t="s">
        <v>158</v>
      </c>
      <c r="H21" s="62" t="s">
        <v>20</v>
      </c>
      <c r="I21" s="62" t="s">
        <v>120</v>
      </c>
      <c r="J21" s="62"/>
      <c r="K21" s="64">
        <v>405.78</v>
      </c>
      <c r="L21" s="64">
        <f t="shared" si="0"/>
        <v>6.2427692307692304</v>
      </c>
      <c r="M21" s="65">
        <f>prodnorm32</f>
        <v>0</v>
      </c>
      <c r="N21" s="66">
        <f>dagwerk32</f>
        <v>0</v>
      </c>
      <c r="O21" s="62" t="s">
        <v>36</v>
      </c>
      <c r="P21" s="67">
        <f>uurtarief32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175</v>
      </c>
      <c r="B22" s="62" t="s">
        <v>176</v>
      </c>
      <c r="C22" s="62" t="s">
        <v>184</v>
      </c>
      <c r="D22" s="62" t="s">
        <v>209</v>
      </c>
      <c r="E22" s="63" t="s">
        <v>186</v>
      </c>
      <c r="F22" s="62" t="s">
        <v>187</v>
      </c>
      <c r="G22" s="62" t="s">
        <v>124</v>
      </c>
      <c r="H22" s="62" t="s">
        <v>11</v>
      </c>
      <c r="I22" s="62" t="s">
        <v>120</v>
      </c>
      <c r="J22" s="62"/>
      <c r="K22" s="64">
        <v>4.4700000000000006</v>
      </c>
      <c r="L22" s="64">
        <f t="shared" si="0"/>
        <v>3.4384615384615391</v>
      </c>
      <c r="M22" s="65">
        <f>prodnorm12</f>
        <v>0</v>
      </c>
      <c r="N22" s="66">
        <f>dagwerk12</f>
        <v>0</v>
      </c>
      <c r="O22" s="62" t="s">
        <v>36</v>
      </c>
      <c r="P22" s="67">
        <f>uurtarief12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175</v>
      </c>
      <c r="B23" s="62" t="s">
        <v>176</v>
      </c>
      <c r="C23" s="62" t="s">
        <v>184</v>
      </c>
      <c r="D23" s="62" t="s">
        <v>210</v>
      </c>
      <c r="E23" s="63" t="s">
        <v>179</v>
      </c>
      <c r="F23" s="62" t="s">
        <v>180</v>
      </c>
      <c r="G23" s="62" t="s">
        <v>150</v>
      </c>
      <c r="H23" s="62" t="s">
        <v>11</v>
      </c>
      <c r="I23" s="62" t="s">
        <v>120</v>
      </c>
      <c r="J23" s="62"/>
      <c r="K23" s="64">
        <v>14.370000000000001</v>
      </c>
      <c r="L23" s="64">
        <f t="shared" si="0"/>
        <v>11.053846153846155</v>
      </c>
      <c r="M23" s="65">
        <f>prodnorm27</f>
        <v>0</v>
      </c>
      <c r="N23" s="66">
        <f>dagwerk27</f>
        <v>0</v>
      </c>
      <c r="O23" s="62" t="s">
        <v>36</v>
      </c>
      <c r="P23" s="67">
        <f>uurtarief27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175</v>
      </c>
      <c r="B24" s="62" t="s">
        <v>176</v>
      </c>
      <c r="C24" s="62" t="s">
        <v>184</v>
      </c>
      <c r="D24" s="62" t="s">
        <v>211</v>
      </c>
      <c r="E24" s="63" t="s">
        <v>189</v>
      </c>
      <c r="F24" s="62" t="s">
        <v>190</v>
      </c>
      <c r="G24" s="62" t="s">
        <v>154</v>
      </c>
      <c r="H24" s="62" t="s">
        <v>11</v>
      </c>
      <c r="I24" s="62" t="s">
        <v>120</v>
      </c>
      <c r="J24" s="62"/>
      <c r="K24" s="64">
        <v>24.64</v>
      </c>
      <c r="L24" s="64">
        <f t="shared" si="0"/>
        <v>18.953846153846154</v>
      </c>
      <c r="M24" s="65">
        <f>prodnorm29</f>
        <v>0</v>
      </c>
      <c r="N24" s="66">
        <f>dagwerk29</f>
        <v>0</v>
      </c>
      <c r="O24" s="62" t="s">
        <v>36</v>
      </c>
      <c r="P24" s="67">
        <f>uurtarief29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175</v>
      </c>
      <c r="B25" s="62" t="s">
        <v>176</v>
      </c>
      <c r="C25" s="62" t="s">
        <v>184</v>
      </c>
      <c r="D25" s="62" t="s">
        <v>212</v>
      </c>
      <c r="E25" s="63" t="s">
        <v>213</v>
      </c>
      <c r="F25" s="62" t="s">
        <v>190</v>
      </c>
      <c r="G25" s="62" t="s">
        <v>154</v>
      </c>
      <c r="H25" s="62" t="s">
        <v>11</v>
      </c>
      <c r="I25" s="62" t="s">
        <v>120</v>
      </c>
      <c r="J25" s="62"/>
      <c r="K25" s="64">
        <v>64.760000000000005</v>
      </c>
      <c r="L25" s="64">
        <f t="shared" si="0"/>
        <v>49.815384615384623</v>
      </c>
      <c r="M25" s="65">
        <f>prodnorm29</f>
        <v>0</v>
      </c>
      <c r="N25" s="66">
        <f>dagwerk29</f>
        <v>0</v>
      </c>
      <c r="O25" s="62" t="s">
        <v>36</v>
      </c>
      <c r="P25" s="67">
        <f>uurtarief29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175</v>
      </c>
      <c r="B26" s="62" t="s">
        <v>176</v>
      </c>
      <c r="C26" s="62" t="s">
        <v>184</v>
      </c>
      <c r="D26" s="62" t="s">
        <v>214</v>
      </c>
      <c r="E26" s="63" t="s">
        <v>202</v>
      </c>
      <c r="F26" s="62" t="s">
        <v>203</v>
      </c>
      <c r="G26" s="62" t="s">
        <v>146</v>
      </c>
      <c r="H26" s="62" t="s">
        <v>11</v>
      </c>
      <c r="I26" s="62" t="s">
        <v>120</v>
      </c>
      <c r="J26" s="62"/>
      <c r="K26" s="64">
        <v>15.54</v>
      </c>
      <c r="L26" s="64">
        <f t="shared" si="0"/>
        <v>11.953846153846154</v>
      </c>
      <c r="M26" s="65">
        <f>prodnorm25</f>
        <v>0</v>
      </c>
      <c r="N26" s="66">
        <f>dagwerk25</f>
        <v>0</v>
      </c>
      <c r="O26" s="62" t="s">
        <v>36</v>
      </c>
      <c r="P26" s="67">
        <f>uurtarief25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175</v>
      </c>
      <c r="B27" s="62" t="s">
        <v>176</v>
      </c>
      <c r="C27" s="62" t="s">
        <v>184</v>
      </c>
      <c r="D27" s="62" t="s">
        <v>214</v>
      </c>
      <c r="E27" s="63" t="s">
        <v>202</v>
      </c>
      <c r="F27" s="62" t="s">
        <v>203</v>
      </c>
      <c r="G27" s="62" t="s">
        <v>148</v>
      </c>
      <c r="H27" s="62" t="s">
        <v>11</v>
      </c>
      <c r="I27" s="62" t="s">
        <v>120</v>
      </c>
      <c r="J27" s="62"/>
      <c r="K27" s="64">
        <v>15.54</v>
      </c>
      <c r="L27" s="64">
        <f t="shared" si="0"/>
        <v>11.953846153846154</v>
      </c>
      <c r="M27" s="65">
        <f>prodnorm26</f>
        <v>0</v>
      </c>
      <c r="N27" s="66">
        <f>dagwerk26</f>
        <v>0</v>
      </c>
      <c r="O27" s="62" t="s">
        <v>36</v>
      </c>
      <c r="P27" s="67">
        <f>uurtarief26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175</v>
      </c>
      <c r="B28" s="62" t="s">
        <v>176</v>
      </c>
      <c r="C28" s="62" t="s">
        <v>184</v>
      </c>
      <c r="D28" s="62" t="s">
        <v>215</v>
      </c>
      <c r="E28" s="63" t="s">
        <v>202</v>
      </c>
      <c r="F28" s="62" t="s">
        <v>203</v>
      </c>
      <c r="G28" s="62" t="s">
        <v>146</v>
      </c>
      <c r="H28" s="62" t="s">
        <v>11</v>
      </c>
      <c r="I28" s="62" t="s">
        <v>120</v>
      </c>
      <c r="J28" s="62"/>
      <c r="K28" s="64">
        <v>13.91</v>
      </c>
      <c r="L28" s="64">
        <f t="shared" si="0"/>
        <v>10.700000000000001</v>
      </c>
      <c r="M28" s="65">
        <f>prodnorm25</f>
        <v>0</v>
      </c>
      <c r="N28" s="66">
        <f>dagwerk25</f>
        <v>0</v>
      </c>
      <c r="O28" s="62" t="s">
        <v>36</v>
      </c>
      <c r="P28" s="67">
        <f>uurtarief25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175</v>
      </c>
      <c r="B29" s="62" t="s">
        <v>176</v>
      </c>
      <c r="C29" s="62" t="s">
        <v>184</v>
      </c>
      <c r="D29" s="62" t="s">
        <v>215</v>
      </c>
      <c r="E29" s="63" t="s">
        <v>202</v>
      </c>
      <c r="F29" s="62" t="s">
        <v>203</v>
      </c>
      <c r="G29" s="62" t="s">
        <v>148</v>
      </c>
      <c r="H29" s="62" t="s">
        <v>11</v>
      </c>
      <c r="I29" s="62" t="s">
        <v>120</v>
      </c>
      <c r="J29" s="62"/>
      <c r="K29" s="64">
        <v>13.91</v>
      </c>
      <c r="L29" s="64">
        <f t="shared" si="0"/>
        <v>10.700000000000001</v>
      </c>
      <c r="M29" s="65">
        <f>prodnorm26</f>
        <v>0</v>
      </c>
      <c r="N29" s="66">
        <f>dagwerk26</f>
        <v>0</v>
      </c>
      <c r="O29" s="62" t="s">
        <v>36</v>
      </c>
      <c r="P29" s="67">
        <f>uurtarief26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175</v>
      </c>
      <c r="B30" s="62" t="s">
        <v>176</v>
      </c>
      <c r="C30" s="62" t="s">
        <v>184</v>
      </c>
      <c r="D30" s="62" t="s">
        <v>216</v>
      </c>
      <c r="E30" s="63" t="s">
        <v>189</v>
      </c>
      <c r="F30" s="62" t="s">
        <v>190</v>
      </c>
      <c r="G30" s="62" t="s">
        <v>154</v>
      </c>
      <c r="H30" s="62" t="s">
        <v>11</v>
      </c>
      <c r="I30" s="62" t="s">
        <v>120</v>
      </c>
      <c r="J30" s="62"/>
      <c r="K30" s="64">
        <v>41.7</v>
      </c>
      <c r="L30" s="64">
        <f t="shared" si="0"/>
        <v>32.07692307692308</v>
      </c>
      <c r="M30" s="65">
        <f>prodnorm29</f>
        <v>0</v>
      </c>
      <c r="N30" s="66">
        <f>dagwerk29</f>
        <v>0</v>
      </c>
      <c r="O30" s="62" t="s">
        <v>36</v>
      </c>
      <c r="P30" s="67">
        <f>uurtarief29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175</v>
      </c>
      <c r="B31" s="62" t="s">
        <v>176</v>
      </c>
      <c r="C31" s="62" t="s">
        <v>184</v>
      </c>
      <c r="D31" s="62" t="s">
        <v>217</v>
      </c>
      <c r="E31" s="63" t="s">
        <v>218</v>
      </c>
      <c r="F31" s="62" t="s">
        <v>190</v>
      </c>
      <c r="G31" s="62" t="s">
        <v>132</v>
      </c>
      <c r="H31" s="62" t="s">
        <v>12</v>
      </c>
      <c r="I31" s="62" t="s">
        <v>120</v>
      </c>
      <c r="J31" s="62"/>
      <c r="K31" s="64">
        <v>97.61</v>
      </c>
      <c r="L31" s="64">
        <f t="shared" si="0"/>
        <v>60.067692307692312</v>
      </c>
      <c r="M31" s="65">
        <f>prodnorm17</f>
        <v>0</v>
      </c>
      <c r="N31" s="66">
        <f>dagwerk17</f>
        <v>0</v>
      </c>
      <c r="O31" s="62" t="s">
        <v>36</v>
      </c>
      <c r="P31" s="67">
        <f>uurtarief17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175</v>
      </c>
      <c r="B32" s="62" t="s">
        <v>176</v>
      </c>
      <c r="C32" s="62" t="s">
        <v>184</v>
      </c>
      <c r="D32" s="62" t="s">
        <v>219</v>
      </c>
      <c r="E32" s="63" t="s">
        <v>218</v>
      </c>
      <c r="F32" s="62" t="s">
        <v>190</v>
      </c>
      <c r="G32" s="62" t="s">
        <v>132</v>
      </c>
      <c r="H32" s="62" t="s">
        <v>12</v>
      </c>
      <c r="I32" s="62" t="s">
        <v>120</v>
      </c>
      <c r="J32" s="62"/>
      <c r="K32" s="64">
        <v>55.51</v>
      </c>
      <c r="L32" s="64">
        <f t="shared" si="0"/>
        <v>34.160000000000004</v>
      </c>
      <c r="M32" s="65">
        <f>prodnorm17</f>
        <v>0</v>
      </c>
      <c r="N32" s="66">
        <f>dagwerk17</f>
        <v>0</v>
      </c>
      <c r="O32" s="62" t="s">
        <v>36</v>
      </c>
      <c r="P32" s="67">
        <f>uurtarief17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175</v>
      </c>
      <c r="B33" s="62" t="s">
        <v>176</v>
      </c>
      <c r="C33" s="62" t="s">
        <v>184</v>
      </c>
      <c r="D33" s="62" t="s">
        <v>220</v>
      </c>
      <c r="E33" s="63" t="s">
        <v>202</v>
      </c>
      <c r="F33" s="62" t="s">
        <v>203</v>
      </c>
      <c r="G33" s="62" t="s">
        <v>146</v>
      </c>
      <c r="H33" s="62" t="s">
        <v>11</v>
      </c>
      <c r="I33" s="62" t="s">
        <v>120</v>
      </c>
      <c r="J33" s="62"/>
      <c r="K33" s="64">
        <v>4.1599999999999993</v>
      </c>
      <c r="L33" s="64">
        <f t="shared" si="0"/>
        <v>3.1999999999999997</v>
      </c>
      <c r="M33" s="65">
        <f>prodnorm25</f>
        <v>0</v>
      </c>
      <c r="N33" s="66">
        <f>dagwerk25</f>
        <v>0</v>
      </c>
      <c r="O33" s="62" t="s">
        <v>36</v>
      </c>
      <c r="P33" s="67">
        <f>uurtarief25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175</v>
      </c>
      <c r="B34" s="62" t="s">
        <v>176</v>
      </c>
      <c r="C34" s="62" t="s">
        <v>184</v>
      </c>
      <c r="D34" s="62" t="s">
        <v>220</v>
      </c>
      <c r="E34" s="63" t="s">
        <v>202</v>
      </c>
      <c r="F34" s="62" t="s">
        <v>203</v>
      </c>
      <c r="G34" s="62" t="s">
        <v>148</v>
      </c>
      <c r="H34" s="62" t="s">
        <v>11</v>
      </c>
      <c r="I34" s="62" t="s">
        <v>120</v>
      </c>
      <c r="J34" s="62"/>
      <c r="K34" s="64">
        <v>4.1599999999999993</v>
      </c>
      <c r="L34" s="64">
        <f t="shared" si="0"/>
        <v>3.1999999999999997</v>
      </c>
      <c r="M34" s="65">
        <f>prodnorm26</f>
        <v>0</v>
      </c>
      <c r="N34" s="66">
        <f>dagwerk26</f>
        <v>0</v>
      </c>
      <c r="O34" s="62" t="s">
        <v>36</v>
      </c>
      <c r="P34" s="67">
        <f>uurtarief26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175</v>
      </c>
      <c r="B35" s="62" t="s">
        <v>176</v>
      </c>
      <c r="C35" s="62" t="s">
        <v>184</v>
      </c>
      <c r="D35" s="62" t="s">
        <v>221</v>
      </c>
      <c r="E35" s="63" t="s">
        <v>202</v>
      </c>
      <c r="F35" s="62" t="s">
        <v>203</v>
      </c>
      <c r="G35" s="62" t="s">
        <v>146</v>
      </c>
      <c r="H35" s="62" t="s">
        <v>11</v>
      </c>
      <c r="I35" s="62" t="s">
        <v>120</v>
      </c>
      <c r="J35" s="62"/>
      <c r="K35" s="64">
        <v>2.08</v>
      </c>
      <c r="L35" s="64">
        <f t="shared" si="0"/>
        <v>1.6</v>
      </c>
      <c r="M35" s="65">
        <f>prodnorm25</f>
        <v>0</v>
      </c>
      <c r="N35" s="66">
        <f>dagwerk25</f>
        <v>0</v>
      </c>
      <c r="O35" s="62" t="s">
        <v>36</v>
      </c>
      <c r="P35" s="67">
        <f>uurtarief25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175</v>
      </c>
      <c r="B36" s="62" t="s">
        <v>176</v>
      </c>
      <c r="C36" s="62" t="s">
        <v>184</v>
      </c>
      <c r="D36" s="62" t="s">
        <v>221</v>
      </c>
      <c r="E36" s="63" t="s">
        <v>202</v>
      </c>
      <c r="F36" s="62" t="s">
        <v>203</v>
      </c>
      <c r="G36" s="62" t="s">
        <v>148</v>
      </c>
      <c r="H36" s="62" t="s">
        <v>11</v>
      </c>
      <c r="I36" s="62" t="s">
        <v>120</v>
      </c>
      <c r="J36" s="62"/>
      <c r="K36" s="64">
        <v>2.08</v>
      </c>
      <c r="L36" s="64">
        <f t="shared" si="0"/>
        <v>1.6</v>
      </c>
      <c r="M36" s="65">
        <f>prodnorm26</f>
        <v>0</v>
      </c>
      <c r="N36" s="66">
        <f>dagwerk26</f>
        <v>0</v>
      </c>
      <c r="O36" s="62" t="s">
        <v>36</v>
      </c>
      <c r="P36" s="67">
        <f>uurtarief26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175</v>
      </c>
      <c r="B37" s="62" t="s">
        <v>176</v>
      </c>
      <c r="C37" s="62" t="s">
        <v>184</v>
      </c>
      <c r="D37" s="62" t="s">
        <v>222</v>
      </c>
      <c r="E37" s="63" t="s">
        <v>202</v>
      </c>
      <c r="F37" s="62" t="s">
        <v>203</v>
      </c>
      <c r="G37" s="62" t="s">
        <v>146</v>
      </c>
      <c r="H37" s="62" t="s">
        <v>11</v>
      </c>
      <c r="I37" s="62" t="s">
        <v>120</v>
      </c>
      <c r="J37" s="62"/>
      <c r="K37" s="64">
        <v>2.08</v>
      </c>
      <c r="L37" s="64">
        <f t="shared" ref="L37:L68" si="6">K37*VLOOKUP(H37,dagsoorttabel1,2,FALSE)</f>
        <v>1.6</v>
      </c>
      <c r="M37" s="65">
        <f>prodnorm25</f>
        <v>0</v>
      </c>
      <c r="N37" s="66">
        <f>dagwerk25</f>
        <v>0</v>
      </c>
      <c r="O37" s="62" t="s">
        <v>36</v>
      </c>
      <c r="P37" s="67">
        <f>uurtarief25</f>
        <v>0</v>
      </c>
      <c r="Q37" s="64" t="e">
        <f t="shared" ref="Q37:Q68" si="7">IF(ISBLANK(M37),0,L37/ROUND(M37,4))</f>
        <v>#DIV/0!</v>
      </c>
      <c r="R37" s="64" t="e">
        <f t="shared" ref="R37:R68" si="8">IF(ISBLANK(M37),0,Q37*ROUND(N37,2))</f>
        <v>#DIV/0!</v>
      </c>
      <c r="S37" s="67" t="e">
        <f t="shared" ref="S37:S68" si="9">ROUND(P37,2)*Q37</f>
        <v>#DIV/0!</v>
      </c>
      <c r="T37" s="64" t="e">
        <f t="shared" ref="T37:T68" si="10">Q37*dagenperjaar1</f>
        <v>#DIV/0!</v>
      </c>
      <c r="U37" s="68" t="e">
        <f t="shared" ref="U37:U68" si="11">T37*ROUND(P37,2)</f>
        <v>#DIV/0!</v>
      </c>
    </row>
    <row r="38" spans="1:21" x14ac:dyDescent="0.2">
      <c r="A38" s="61" t="s">
        <v>175</v>
      </c>
      <c r="B38" s="62" t="s">
        <v>176</v>
      </c>
      <c r="C38" s="62" t="s">
        <v>184</v>
      </c>
      <c r="D38" s="62" t="s">
        <v>222</v>
      </c>
      <c r="E38" s="63" t="s">
        <v>202</v>
      </c>
      <c r="F38" s="62" t="s">
        <v>203</v>
      </c>
      <c r="G38" s="62" t="s">
        <v>148</v>
      </c>
      <c r="H38" s="62" t="s">
        <v>11</v>
      </c>
      <c r="I38" s="62" t="s">
        <v>120</v>
      </c>
      <c r="J38" s="62"/>
      <c r="K38" s="64">
        <v>2.08</v>
      </c>
      <c r="L38" s="64">
        <f t="shared" si="6"/>
        <v>1.6</v>
      </c>
      <c r="M38" s="65">
        <f>prodnorm26</f>
        <v>0</v>
      </c>
      <c r="N38" s="66">
        <f>dagwerk26</f>
        <v>0</v>
      </c>
      <c r="O38" s="62" t="s">
        <v>36</v>
      </c>
      <c r="P38" s="67">
        <f>uurtarief26</f>
        <v>0</v>
      </c>
      <c r="Q38" s="64" t="e">
        <f t="shared" si="7"/>
        <v>#DIV/0!</v>
      </c>
      <c r="R38" s="64" t="e">
        <f t="shared" si="8"/>
        <v>#DIV/0!</v>
      </c>
      <c r="S38" s="67" t="e">
        <f t="shared" si="9"/>
        <v>#DIV/0!</v>
      </c>
      <c r="T38" s="64" t="e">
        <f t="shared" si="10"/>
        <v>#DIV/0!</v>
      </c>
      <c r="U38" s="68" t="e">
        <f t="shared" si="11"/>
        <v>#DIV/0!</v>
      </c>
    </row>
    <row r="39" spans="1:21" x14ac:dyDescent="0.2">
      <c r="A39" s="61" t="s">
        <v>175</v>
      </c>
      <c r="B39" s="62" t="s">
        <v>176</v>
      </c>
      <c r="C39" s="62" t="s">
        <v>184</v>
      </c>
      <c r="D39" s="62" t="s">
        <v>223</v>
      </c>
      <c r="E39" s="63" t="s">
        <v>218</v>
      </c>
      <c r="F39" s="62" t="s">
        <v>190</v>
      </c>
      <c r="G39" s="62" t="s">
        <v>132</v>
      </c>
      <c r="H39" s="62" t="s">
        <v>12</v>
      </c>
      <c r="I39" s="62" t="s">
        <v>120</v>
      </c>
      <c r="J39" s="62"/>
      <c r="K39" s="64">
        <v>55.51</v>
      </c>
      <c r="L39" s="64">
        <f t="shared" si="6"/>
        <v>34.160000000000004</v>
      </c>
      <c r="M39" s="65">
        <f>prodnorm17</f>
        <v>0</v>
      </c>
      <c r="N39" s="66">
        <f>dagwerk17</f>
        <v>0</v>
      </c>
      <c r="O39" s="62" t="s">
        <v>36</v>
      </c>
      <c r="P39" s="67">
        <f>uurtarief17</f>
        <v>0</v>
      </c>
      <c r="Q39" s="64" t="e">
        <f t="shared" si="7"/>
        <v>#DIV/0!</v>
      </c>
      <c r="R39" s="64" t="e">
        <f t="shared" si="8"/>
        <v>#DIV/0!</v>
      </c>
      <c r="S39" s="67" t="e">
        <f t="shared" si="9"/>
        <v>#DIV/0!</v>
      </c>
      <c r="T39" s="64" t="e">
        <f t="shared" si="10"/>
        <v>#DIV/0!</v>
      </c>
      <c r="U39" s="68" t="e">
        <f t="shared" si="11"/>
        <v>#DIV/0!</v>
      </c>
    </row>
    <row r="40" spans="1:21" x14ac:dyDescent="0.2">
      <c r="A40" s="61" t="s">
        <v>175</v>
      </c>
      <c r="B40" s="62" t="s">
        <v>176</v>
      </c>
      <c r="C40" s="62" t="s">
        <v>184</v>
      </c>
      <c r="D40" s="62" t="s">
        <v>224</v>
      </c>
      <c r="E40" s="63" t="s">
        <v>225</v>
      </c>
      <c r="F40" s="62" t="s">
        <v>183</v>
      </c>
      <c r="G40" s="62" t="s">
        <v>122</v>
      </c>
      <c r="H40" s="62" t="s">
        <v>16</v>
      </c>
      <c r="I40" s="62" t="s">
        <v>120</v>
      </c>
      <c r="J40" s="62"/>
      <c r="K40" s="64">
        <v>19.32</v>
      </c>
      <c r="L40" s="64">
        <f t="shared" si="6"/>
        <v>2.9723076923076923</v>
      </c>
      <c r="M40" s="65">
        <f>prodnorm11</f>
        <v>0</v>
      </c>
      <c r="N40" s="66">
        <f>dagwerk11</f>
        <v>0</v>
      </c>
      <c r="O40" s="62" t="s">
        <v>36</v>
      </c>
      <c r="P40" s="67">
        <f>uurtarief11</f>
        <v>0</v>
      </c>
      <c r="Q40" s="64" t="e">
        <f t="shared" si="7"/>
        <v>#DIV/0!</v>
      </c>
      <c r="R40" s="64" t="e">
        <f t="shared" si="8"/>
        <v>#DIV/0!</v>
      </c>
      <c r="S40" s="67" t="e">
        <f t="shared" si="9"/>
        <v>#DIV/0!</v>
      </c>
      <c r="T40" s="64" t="e">
        <f t="shared" si="10"/>
        <v>#DIV/0!</v>
      </c>
      <c r="U40" s="68" t="e">
        <f t="shared" si="11"/>
        <v>#DIV/0!</v>
      </c>
    </row>
    <row r="41" spans="1:21" x14ac:dyDescent="0.2">
      <c r="A41" s="61" t="s">
        <v>175</v>
      </c>
      <c r="B41" s="62" t="s">
        <v>176</v>
      </c>
      <c r="C41" s="62" t="s">
        <v>184</v>
      </c>
      <c r="D41" s="62" t="s">
        <v>224</v>
      </c>
      <c r="E41" s="63" t="s">
        <v>225</v>
      </c>
      <c r="F41" s="62" t="s">
        <v>183</v>
      </c>
      <c r="G41" s="62" t="s">
        <v>160</v>
      </c>
      <c r="H41" s="62" t="s">
        <v>12</v>
      </c>
      <c r="I41" s="62" t="s">
        <v>120</v>
      </c>
      <c r="J41" s="62"/>
      <c r="K41" s="64">
        <v>19.32</v>
      </c>
      <c r="L41" s="64">
        <f t="shared" si="6"/>
        <v>11.889230769230769</v>
      </c>
      <c r="M41" s="65">
        <f>prodnorm33</f>
        <v>0</v>
      </c>
      <c r="N41" s="66">
        <f>dagwerk33</f>
        <v>0</v>
      </c>
      <c r="O41" s="62" t="s">
        <v>36</v>
      </c>
      <c r="P41" s="67">
        <f>uurtarief33</f>
        <v>0</v>
      </c>
      <c r="Q41" s="64" t="e">
        <f t="shared" si="7"/>
        <v>#DIV/0!</v>
      </c>
      <c r="R41" s="64" t="e">
        <f t="shared" si="8"/>
        <v>#DIV/0!</v>
      </c>
      <c r="S41" s="67" t="e">
        <f t="shared" si="9"/>
        <v>#DIV/0!</v>
      </c>
      <c r="T41" s="64" t="e">
        <f t="shared" si="10"/>
        <v>#DIV/0!</v>
      </c>
      <c r="U41" s="68" t="e">
        <f t="shared" si="11"/>
        <v>#DIV/0!</v>
      </c>
    </row>
    <row r="42" spans="1:21" x14ac:dyDescent="0.2">
      <c r="A42" s="61" t="s">
        <v>175</v>
      </c>
      <c r="B42" s="62" t="s">
        <v>176</v>
      </c>
      <c r="C42" s="62" t="s">
        <v>184</v>
      </c>
      <c r="D42" s="62" t="s">
        <v>226</v>
      </c>
      <c r="E42" s="63" t="s">
        <v>189</v>
      </c>
      <c r="F42" s="62" t="s">
        <v>190</v>
      </c>
      <c r="G42" s="62" t="s">
        <v>154</v>
      </c>
      <c r="H42" s="62" t="s">
        <v>11</v>
      </c>
      <c r="I42" s="62" t="s">
        <v>120</v>
      </c>
      <c r="J42" s="62"/>
      <c r="K42" s="64">
        <v>25.04</v>
      </c>
      <c r="L42" s="64">
        <f t="shared" si="6"/>
        <v>19.261538461538461</v>
      </c>
      <c r="M42" s="65">
        <f>prodnorm29</f>
        <v>0</v>
      </c>
      <c r="N42" s="66">
        <f>dagwerk29</f>
        <v>0</v>
      </c>
      <c r="O42" s="62" t="s">
        <v>36</v>
      </c>
      <c r="P42" s="67">
        <f>uurtarief29</f>
        <v>0</v>
      </c>
      <c r="Q42" s="64" t="e">
        <f t="shared" si="7"/>
        <v>#DIV/0!</v>
      </c>
      <c r="R42" s="64" t="e">
        <f t="shared" si="8"/>
        <v>#DIV/0!</v>
      </c>
      <c r="S42" s="67" t="e">
        <f t="shared" si="9"/>
        <v>#DIV/0!</v>
      </c>
      <c r="T42" s="64" t="e">
        <f t="shared" si="10"/>
        <v>#DIV/0!</v>
      </c>
      <c r="U42" s="68" t="e">
        <f t="shared" si="11"/>
        <v>#DIV/0!</v>
      </c>
    </row>
    <row r="43" spans="1:21" x14ac:dyDescent="0.2">
      <c r="A43" s="61" t="s">
        <v>175</v>
      </c>
      <c r="B43" s="62" t="s">
        <v>176</v>
      </c>
      <c r="C43" s="62" t="s">
        <v>184</v>
      </c>
      <c r="D43" s="62" t="s">
        <v>227</v>
      </c>
      <c r="E43" s="63" t="s">
        <v>225</v>
      </c>
      <c r="F43" s="62" t="s">
        <v>183</v>
      </c>
      <c r="G43" s="62" t="s">
        <v>122</v>
      </c>
      <c r="H43" s="62" t="s">
        <v>16</v>
      </c>
      <c r="I43" s="62" t="s">
        <v>120</v>
      </c>
      <c r="J43" s="62"/>
      <c r="K43" s="64">
        <v>17.68</v>
      </c>
      <c r="L43" s="64">
        <f t="shared" si="6"/>
        <v>2.72</v>
      </c>
      <c r="M43" s="65">
        <f>prodnorm11</f>
        <v>0</v>
      </c>
      <c r="N43" s="66">
        <f>dagwerk11</f>
        <v>0</v>
      </c>
      <c r="O43" s="62" t="s">
        <v>36</v>
      </c>
      <c r="P43" s="67">
        <f>uurtarief11</f>
        <v>0</v>
      </c>
      <c r="Q43" s="64" t="e">
        <f t="shared" si="7"/>
        <v>#DIV/0!</v>
      </c>
      <c r="R43" s="64" t="e">
        <f t="shared" si="8"/>
        <v>#DIV/0!</v>
      </c>
      <c r="S43" s="67" t="e">
        <f t="shared" si="9"/>
        <v>#DIV/0!</v>
      </c>
      <c r="T43" s="64" t="e">
        <f t="shared" si="10"/>
        <v>#DIV/0!</v>
      </c>
      <c r="U43" s="68" t="e">
        <f t="shared" si="11"/>
        <v>#DIV/0!</v>
      </c>
    </row>
    <row r="44" spans="1:21" x14ac:dyDescent="0.2">
      <c r="A44" s="61" t="s">
        <v>175</v>
      </c>
      <c r="B44" s="62" t="s">
        <v>176</v>
      </c>
      <c r="C44" s="62" t="s">
        <v>184</v>
      </c>
      <c r="D44" s="62" t="s">
        <v>227</v>
      </c>
      <c r="E44" s="63" t="s">
        <v>225</v>
      </c>
      <c r="F44" s="62" t="s">
        <v>183</v>
      </c>
      <c r="G44" s="62" t="s">
        <v>160</v>
      </c>
      <c r="H44" s="62" t="s">
        <v>12</v>
      </c>
      <c r="I44" s="62" t="s">
        <v>120</v>
      </c>
      <c r="J44" s="62"/>
      <c r="K44" s="64">
        <v>17.68</v>
      </c>
      <c r="L44" s="64">
        <f t="shared" si="6"/>
        <v>10.88</v>
      </c>
      <c r="M44" s="65">
        <f>prodnorm33</f>
        <v>0</v>
      </c>
      <c r="N44" s="66">
        <f>dagwerk33</f>
        <v>0</v>
      </c>
      <c r="O44" s="62" t="s">
        <v>36</v>
      </c>
      <c r="P44" s="67">
        <f>uurtarief33</f>
        <v>0</v>
      </c>
      <c r="Q44" s="64" t="e">
        <f t="shared" si="7"/>
        <v>#DIV/0!</v>
      </c>
      <c r="R44" s="64" t="e">
        <f t="shared" si="8"/>
        <v>#DIV/0!</v>
      </c>
      <c r="S44" s="67" t="e">
        <f t="shared" si="9"/>
        <v>#DIV/0!</v>
      </c>
      <c r="T44" s="64" t="e">
        <f t="shared" si="10"/>
        <v>#DIV/0!</v>
      </c>
      <c r="U44" s="68" t="e">
        <f t="shared" si="11"/>
        <v>#DIV/0!</v>
      </c>
    </row>
    <row r="45" spans="1:21" x14ac:dyDescent="0.2">
      <c r="A45" s="61" t="s">
        <v>175</v>
      </c>
      <c r="B45" s="62" t="s">
        <v>176</v>
      </c>
      <c r="C45" s="62" t="s">
        <v>184</v>
      </c>
      <c r="D45" s="62" t="s">
        <v>228</v>
      </c>
      <c r="E45" s="63" t="s">
        <v>189</v>
      </c>
      <c r="F45" s="62" t="s">
        <v>190</v>
      </c>
      <c r="G45" s="62" t="s">
        <v>154</v>
      </c>
      <c r="H45" s="62" t="s">
        <v>11</v>
      </c>
      <c r="I45" s="62" t="s">
        <v>120</v>
      </c>
      <c r="J45" s="62"/>
      <c r="K45" s="64">
        <v>14</v>
      </c>
      <c r="L45" s="64">
        <f t="shared" si="6"/>
        <v>10.76923076923077</v>
      </c>
      <c r="M45" s="65">
        <f>prodnorm29</f>
        <v>0</v>
      </c>
      <c r="N45" s="66">
        <f>dagwerk29</f>
        <v>0</v>
      </c>
      <c r="O45" s="62" t="s">
        <v>36</v>
      </c>
      <c r="P45" s="67">
        <f>uurtarief29</f>
        <v>0</v>
      </c>
      <c r="Q45" s="64" t="e">
        <f t="shared" si="7"/>
        <v>#DIV/0!</v>
      </c>
      <c r="R45" s="64" t="e">
        <f t="shared" si="8"/>
        <v>#DIV/0!</v>
      </c>
      <c r="S45" s="67" t="e">
        <f t="shared" si="9"/>
        <v>#DIV/0!</v>
      </c>
      <c r="T45" s="64" t="e">
        <f t="shared" si="10"/>
        <v>#DIV/0!</v>
      </c>
      <c r="U45" s="68" t="e">
        <f t="shared" si="11"/>
        <v>#DIV/0!</v>
      </c>
    </row>
    <row r="46" spans="1:21" x14ac:dyDescent="0.2">
      <c r="A46" s="61" t="s">
        <v>175</v>
      </c>
      <c r="B46" s="62" t="s">
        <v>176</v>
      </c>
      <c r="C46" s="62" t="s">
        <v>184</v>
      </c>
      <c r="D46" s="62" t="s">
        <v>229</v>
      </c>
      <c r="E46" s="63" t="s">
        <v>179</v>
      </c>
      <c r="F46" s="62" t="s">
        <v>180</v>
      </c>
      <c r="G46" s="62" t="s">
        <v>150</v>
      </c>
      <c r="H46" s="62" t="s">
        <v>11</v>
      </c>
      <c r="I46" s="62" t="s">
        <v>120</v>
      </c>
      <c r="J46" s="62"/>
      <c r="K46" s="64">
        <v>11.69</v>
      </c>
      <c r="L46" s="64">
        <f t="shared" si="6"/>
        <v>8.9923076923076923</v>
      </c>
      <c r="M46" s="65">
        <f>prodnorm27</f>
        <v>0</v>
      </c>
      <c r="N46" s="66">
        <f>dagwerk27</f>
        <v>0</v>
      </c>
      <c r="O46" s="62" t="s">
        <v>36</v>
      </c>
      <c r="P46" s="67">
        <f>uurtarief27</f>
        <v>0</v>
      </c>
      <c r="Q46" s="64" t="e">
        <f t="shared" si="7"/>
        <v>#DIV/0!</v>
      </c>
      <c r="R46" s="64" t="e">
        <f t="shared" si="8"/>
        <v>#DIV/0!</v>
      </c>
      <c r="S46" s="67" t="e">
        <f t="shared" si="9"/>
        <v>#DIV/0!</v>
      </c>
      <c r="T46" s="64" t="e">
        <f t="shared" si="10"/>
        <v>#DIV/0!</v>
      </c>
      <c r="U46" s="68" t="e">
        <f t="shared" si="11"/>
        <v>#DIV/0!</v>
      </c>
    </row>
    <row r="47" spans="1:21" x14ac:dyDescent="0.2">
      <c r="A47" s="61" t="s">
        <v>175</v>
      </c>
      <c r="B47" s="62" t="s">
        <v>176</v>
      </c>
      <c r="C47" s="62" t="s">
        <v>184</v>
      </c>
      <c r="D47" s="62" t="s">
        <v>230</v>
      </c>
      <c r="E47" s="63" t="s">
        <v>189</v>
      </c>
      <c r="F47" s="62" t="s">
        <v>190</v>
      </c>
      <c r="G47" s="62" t="s">
        <v>154</v>
      </c>
      <c r="H47" s="62" t="s">
        <v>11</v>
      </c>
      <c r="I47" s="62" t="s">
        <v>120</v>
      </c>
      <c r="J47" s="62"/>
      <c r="K47" s="64">
        <v>40</v>
      </c>
      <c r="L47" s="64">
        <f t="shared" si="6"/>
        <v>30.76923076923077</v>
      </c>
      <c r="M47" s="65">
        <f>prodnorm29</f>
        <v>0</v>
      </c>
      <c r="N47" s="66">
        <f>dagwerk29</f>
        <v>0</v>
      </c>
      <c r="O47" s="62" t="s">
        <v>36</v>
      </c>
      <c r="P47" s="67">
        <f>uurtarief29</f>
        <v>0</v>
      </c>
      <c r="Q47" s="64" t="e">
        <f t="shared" si="7"/>
        <v>#DIV/0!</v>
      </c>
      <c r="R47" s="64" t="e">
        <f t="shared" si="8"/>
        <v>#DIV/0!</v>
      </c>
      <c r="S47" s="67" t="e">
        <f t="shared" si="9"/>
        <v>#DIV/0!</v>
      </c>
      <c r="T47" s="64" t="e">
        <f t="shared" si="10"/>
        <v>#DIV/0!</v>
      </c>
      <c r="U47" s="68" t="e">
        <f t="shared" si="11"/>
        <v>#DIV/0!</v>
      </c>
    </row>
    <row r="48" spans="1:21" x14ac:dyDescent="0.2">
      <c r="A48" s="61" t="s">
        <v>175</v>
      </c>
      <c r="B48" s="62" t="s">
        <v>176</v>
      </c>
      <c r="C48" s="62" t="s">
        <v>184</v>
      </c>
      <c r="D48" s="62" t="s">
        <v>231</v>
      </c>
      <c r="E48" s="63" t="s">
        <v>232</v>
      </c>
      <c r="F48" s="62" t="s">
        <v>183</v>
      </c>
      <c r="G48" s="62" t="s">
        <v>122</v>
      </c>
      <c r="H48" s="62" t="s">
        <v>16</v>
      </c>
      <c r="I48" s="62" t="s">
        <v>120</v>
      </c>
      <c r="J48" s="62"/>
      <c r="K48" s="64">
        <v>31.12</v>
      </c>
      <c r="L48" s="64">
        <f t="shared" si="6"/>
        <v>4.7876923076923079</v>
      </c>
      <c r="M48" s="65">
        <f>prodnorm11</f>
        <v>0</v>
      </c>
      <c r="N48" s="66">
        <f>dagwerk11</f>
        <v>0</v>
      </c>
      <c r="O48" s="62" t="s">
        <v>36</v>
      </c>
      <c r="P48" s="67">
        <f>uurtarief11</f>
        <v>0</v>
      </c>
      <c r="Q48" s="64" t="e">
        <f t="shared" si="7"/>
        <v>#DIV/0!</v>
      </c>
      <c r="R48" s="64" t="e">
        <f t="shared" si="8"/>
        <v>#DIV/0!</v>
      </c>
      <c r="S48" s="67" t="e">
        <f t="shared" si="9"/>
        <v>#DIV/0!</v>
      </c>
      <c r="T48" s="64" t="e">
        <f t="shared" si="10"/>
        <v>#DIV/0!</v>
      </c>
      <c r="U48" s="68" t="e">
        <f t="shared" si="11"/>
        <v>#DIV/0!</v>
      </c>
    </row>
    <row r="49" spans="1:21" x14ac:dyDescent="0.2">
      <c r="A49" s="61" t="s">
        <v>175</v>
      </c>
      <c r="B49" s="62" t="s">
        <v>176</v>
      </c>
      <c r="C49" s="62" t="s">
        <v>184</v>
      </c>
      <c r="D49" s="62" t="s">
        <v>231</v>
      </c>
      <c r="E49" s="63" t="s">
        <v>232</v>
      </c>
      <c r="F49" s="62" t="s">
        <v>183</v>
      </c>
      <c r="G49" s="62" t="s">
        <v>160</v>
      </c>
      <c r="H49" s="62" t="s">
        <v>12</v>
      </c>
      <c r="I49" s="62" t="s">
        <v>120</v>
      </c>
      <c r="J49" s="62"/>
      <c r="K49" s="64">
        <v>31.12</v>
      </c>
      <c r="L49" s="64">
        <f t="shared" si="6"/>
        <v>19.150769230769232</v>
      </c>
      <c r="M49" s="65">
        <f>prodnorm33</f>
        <v>0</v>
      </c>
      <c r="N49" s="66">
        <f>dagwerk33</f>
        <v>0</v>
      </c>
      <c r="O49" s="62" t="s">
        <v>36</v>
      </c>
      <c r="P49" s="67">
        <f>uurtarief33</f>
        <v>0</v>
      </c>
      <c r="Q49" s="64" t="e">
        <f t="shared" si="7"/>
        <v>#DIV/0!</v>
      </c>
      <c r="R49" s="64" t="e">
        <f t="shared" si="8"/>
        <v>#DIV/0!</v>
      </c>
      <c r="S49" s="67" t="e">
        <f t="shared" si="9"/>
        <v>#DIV/0!</v>
      </c>
      <c r="T49" s="64" t="e">
        <f t="shared" si="10"/>
        <v>#DIV/0!</v>
      </c>
      <c r="U49" s="68" t="e">
        <f t="shared" si="11"/>
        <v>#DIV/0!</v>
      </c>
    </row>
    <row r="50" spans="1:21" x14ac:dyDescent="0.2">
      <c r="A50" s="61" t="s">
        <v>175</v>
      </c>
      <c r="B50" s="62" t="s">
        <v>176</v>
      </c>
      <c r="C50" s="62" t="s">
        <v>184</v>
      </c>
      <c r="D50" s="62" t="s">
        <v>233</v>
      </c>
      <c r="E50" s="63" t="s">
        <v>234</v>
      </c>
      <c r="F50" s="62" t="s">
        <v>183</v>
      </c>
      <c r="G50" s="62" t="s">
        <v>122</v>
      </c>
      <c r="H50" s="62" t="s">
        <v>16</v>
      </c>
      <c r="I50" s="62" t="s">
        <v>120</v>
      </c>
      <c r="J50" s="62"/>
      <c r="K50" s="64">
        <v>48.290000000000006</v>
      </c>
      <c r="L50" s="64">
        <f t="shared" si="6"/>
        <v>7.4292307692307702</v>
      </c>
      <c r="M50" s="65">
        <f>prodnorm11</f>
        <v>0</v>
      </c>
      <c r="N50" s="66">
        <f>dagwerk11</f>
        <v>0</v>
      </c>
      <c r="O50" s="62" t="s">
        <v>36</v>
      </c>
      <c r="P50" s="67">
        <f>uurtarief11</f>
        <v>0</v>
      </c>
      <c r="Q50" s="64" t="e">
        <f t="shared" si="7"/>
        <v>#DIV/0!</v>
      </c>
      <c r="R50" s="64" t="e">
        <f t="shared" si="8"/>
        <v>#DIV/0!</v>
      </c>
      <c r="S50" s="67" t="e">
        <f t="shared" si="9"/>
        <v>#DIV/0!</v>
      </c>
      <c r="T50" s="64" t="e">
        <f t="shared" si="10"/>
        <v>#DIV/0!</v>
      </c>
      <c r="U50" s="68" t="e">
        <f t="shared" si="11"/>
        <v>#DIV/0!</v>
      </c>
    </row>
    <row r="51" spans="1:21" x14ac:dyDescent="0.2">
      <c r="A51" s="61" t="s">
        <v>175</v>
      </c>
      <c r="B51" s="62" t="s">
        <v>176</v>
      </c>
      <c r="C51" s="62" t="s">
        <v>184</v>
      </c>
      <c r="D51" s="62" t="s">
        <v>233</v>
      </c>
      <c r="E51" s="63" t="s">
        <v>234</v>
      </c>
      <c r="F51" s="62" t="s">
        <v>183</v>
      </c>
      <c r="G51" s="62" t="s">
        <v>160</v>
      </c>
      <c r="H51" s="62" t="s">
        <v>12</v>
      </c>
      <c r="I51" s="62" t="s">
        <v>120</v>
      </c>
      <c r="J51" s="62"/>
      <c r="K51" s="64">
        <v>48.290000000000006</v>
      </c>
      <c r="L51" s="64">
        <f t="shared" si="6"/>
        <v>29.716923076923081</v>
      </c>
      <c r="M51" s="65">
        <f>prodnorm33</f>
        <v>0</v>
      </c>
      <c r="N51" s="66">
        <f>dagwerk33</f>
        <v>0</v>
      </c>
      <c r="O51" s="62" t="s">
        <v>36</v>
      </c>
      <c r="P51" s="67">
        <f>uurtarief33</f>
        <v>0</v>
      </c>
      <c r="Q51" s="64" t="e">
        <f t="shared" si="7"/>
        <v>#DIV/0!</v>
      </c>
      <c r="R51" s="64" t="e">
        <f t="shared" si="8"/>
        <v>#DIV/0!</v>
      </c>
      <c r="S51" s="67" t="e">
        <f t="shared" si="9"/>
        <v>#DIV/0!</v>
      </c>
      <c r="T51" s="64" t="e">
        <f t="shared" si="10"/>
        <v>#DIV/0!</v>
      </c>
      <c r="U51" s="68" t="e">
        <f t="shared" si="11"/>
        <v>#DIV/0!</v>
      </c>
    </row>
    <row r="52" spans="1:21" x14ac:dyDescent="0.2">
      <c r="A52" s="61" t="s">
        <v>175</v>
      </c>
      <c r="B52" s="62" t="s">
        <v>176</v>
      </c>
      <c r="C52" s="62" t="s">
        <v>184</v>
      </c>
      <c r="D52" s="62" t="s">
        <v>235</v>
      </c>
      <c r="E52" s="63" t="s">
        <v>236</v>
      </c>
      <c r="F52" s="62" t="s">
        <v>183</v>
      </c>
      <c r="G52" s="62" t="s">
        <v>144</v>
      </c>
      <c r="H52" s="62" t="s">
        <v>11</v>
      </c>
      <c r="I52" s="62" t="s">
        <v>120</v>
      </c>
      <c r="J52" s="62"/>
      <c r="K52" s="64">
        <v>131.41</v>
      </c>
      <c r="L52" s="64">
        <f t="shared" si="6"/>
        <v>101.08461538461539</v>
      </c>
      <c r="M52" s="65">
        <f>prodnorm24</f>
        <v>0</v>
      </c>
      <c r="N52" s="66">
        <f>dagwerk24</f>
        <v>0</v>
      </c>
      <c r="O52" s="62" t="s">
        <v>36</v>
      </c>
      <c r="P52" s="67">
        <f>uurtarief24</f>
        <v>0</v>
      </c>
      <c r="Q52" s="64" t="e">
        <f t="shared" si="7"/>
        <v>#DIV/0!</v>
      </c>
      <c r="R52" s="64" t="e">
        <f t="shared" si="8"/>
        <v>#DIV/0!</v>
      </c>
      <c r="S52" s="67" t="e">
        <f t="shared" si="9"/>
        <v>#DIV/0!</v>
      </c>
      <c r="T52" s="64" t="e">
        <f t="shared" si="10"/>
        <v>#DIV/0!</v>
      </c>
      <c r="U52" s="68" t="e">
        <f t="shared" si="11"/>
        <v>#DIV/0!</v>
      </c>
    </row>
    <row r="53" spans="1:21" x14ac:dyDescent="0.2">
      <c r="A53" s="61" t="s">
        <v>175</v>
      </c>
      <c r="B53" s="62" t="s">
        <v>176</v>
      </c>
      <c r="C53" s="62" t="s">
        <v>184</v>
      </c>
      <c r="D53" s="62" t="s">
        <v>237</v>
      </c>
      <c r="E53" s="63" t="s">
        <v>189</v>
      </c>
      <c r="F53" s="62" t="s">
        <v>183</v>
      </c>
      <c r="G53" s="62" t="s">
        <v>156</v>
      </c>
      <c r="H53" s="62" t="s">
        <v>11</v>
      </c>
      <c r="I53" s="62" t="s">
        <v>120</v>
      </c>
      <c r="J53" s="62"/>
      <c r="K53" s="64">
        <v>10.68</v>
      </c>
      <c r="L53" s="64">
        <f t="shared" si="6"/>
        <v>8.2153846153846164</v>
      </c>
      <c r="M53" s="65">
        <f>prodnorm30</f>
        <v>0</v>
      </c>
      <c r="N53" s="66">
        <f>dagwerk30</f>
        <v>0</v>
      </c>
      <c r="O53" s="62" t="s">
        <v>36</v>
      </c>
      <c r="P53" s="67">
        <f>uurtarief30</f>
        <v>0</v>
      </c>
      <c r="Q53" s="64" t="e">
        <f t="shared" si="7"/>
        <v>#DIV/0!</v>
      </c>
      <c r="R53" s="64" t="e">
        <f t="shared" si="8"/>
        <v>#DIV/0!</v>
      </c>
      <c r="S53" s="67" t="e">
        <f t="shared" si="9"/>
        <v>#DIV/0!</v>
      </c>
      <c r="T53" s="64" t="e">
        <f t="shared" si="10"/>
        <v>#DIV/0!</v>
      </c>
      <c r="U53" s="68" t="e">
        <f t="shared" si="11"/>
        <v>#DIV/0!</v>
      </c>
    </row>
    <row r="54" spans="1:21" x14ac:dyDescent="0.2">
      <c r="A54" s="61" t="s">
        <v>175</v>
      </c>
      <c r="B54" s="62" t="s">
        <v>176</v>
      </c>
      <c r="C54" s="62" t="s">
        <v>184</v>
      </c>
      <c r="D54" s="62" t="s">
        <v>238</v>
      </c>
      <c r="E54" s="63" t="s">
        <v>202</v>
      </c>
      <c r="F54" s="62" t="s">
        <v>203</v>
      </c>
      <c r="G54" s="62" t="s">
        <v>146</v>
      </c>
      <c r="H54" s="62" t="s">
        <v>11</v>
      </c>
      <c r="I54" s="62" t="s">
        <v>120</v>
      </c>
      <c r="J54" s="62"/>
      <c r="K54" s="64">
        <v>4.3499999999999996</v>
      </c>
      <c r="L54" s="64">
        <f t="shared" si="6"/>
        <v>3.3461538461538463</v>
      </c>
      <c r="M54" s="65">
        <f>prodnorm25</f>
        <v>0</v>
      </c>
      <c r="N54" s="66">
        <f>dagwerk25</f>
        <v>0</v>
      </c>
      <c r="O54" s="62" t="s">
        <v>36</v>
      </c>
      <c r="P54" s="67">
        <f>uurtarief25</f>
        <v>0</v>
      </c>
      <c r="Q54" s="64" t="e">
        <f t="shared" si="7"/>
        <v>#DIV/0!</v>
      </c>
      <c r="R54" s="64" t="e">
        <f t="shared" si="8"/>
        <v>#DIV/0!</v>
      </c>
      <c r="S54" s="67" t="e">
        <f t="shared" si="9"/>
        <v>#DIV/0!</v>
      </c>
      <c r="T54" s="64" t="e">
        <f t="shared" si="10"/>
        <v>#DIV/0!</v>
      </c>
      <c r="U54" s="68" t="e">
        <f t="shared" si="11"/>
        <v>#DIV/0!</v>
      </c>
    </row>
    <row r="55" spans="1:21" x14ac:dyDescent="0.2">
      <c r="A55" s="61" t="s">
        <v>175</v>
      </c>
      <c r="B55" s="62" t="s">
        <v>176</v>
      </c>
      <c r="C55" s="62" t="s">
        <v>184</v>
      </c>
      <c r="D55" s="62" t="s">
        <v>238</v>
      </c>
      <c r="E55" s="63" t="s">
        <v>202</v>
      </c>
      <c r="F55" s="62" t="s">
        <v>203</v>
      </c>
      <c r="G55" s="62" t="s">
        <v>148</v>
      </c>
      <c r="H55" s="62" t="s">
        <v>11</v>
      </c>
      <c r="I55" s="62" t="s">
        <v>120</v>
      </c>
      <c r="J55" s="62"/>
      <c r="K55" s="64">
        <v>4.3499999999999996</v>
      </c>
      <c r="L55" s="64">
        <f t="shared" si="6"/>
        <v>3.3461538461538463</v>
      </c>
      <c r="M55" s="65">
        <f>prodnorm26</f>
        <v>0</v>
      </c>
      <c r="N55" s="66">
        <f>dagwerk26</f>
        <v>0</v>
      </c>
      <c r="O55" s="62" t="s">
        <v>36</v>
      </c>
      <c r="P55" s="67">
        <f>uurtarief26</f>
        <v>0</v>
      </c>
      <c r="Q55" s="64" t="e">
        <f t="shared" si="7"/>
        <v>#DIV/0!</v>
      </c>
      <c r="R55" s="64" t="e">
        <f t="shared" si="8"/>
        <v>#DIV/0!</v>
      </c>
      <c r="S55" s="67" t="e">
        <f t="shared" si="9"/>
        <v>#DIV/0!</v>
      </c>
      <c r="T55" s="64" t="e">
        <f t="shared" si="10"/>
        <v>#DIV/0!</v>
      </c>
      <c r="U55" s="68" t="e">
        <f t="shared" si="11"/>
        <v>#DIV/0!</v>
      </c>
    </row>
    <row r="56" spans="1:21" x14ac:dyDescent="0.2">
      <c r="A56" s="61" t="s">
        <v>175</v>
      </c>
      <c r="B56" s="62" t="s">
        <v>176</v>
      </c>
      <c r="C56" s="62" t="s">
        <v>184</v>
      </c>
      <c r="D56" s="62" t="s">
        <v>239</v>
      </c>
      <c r="E56" s="63" t="s">
        <v>202</v>
      </c>
      <c r="F56" s="62" t="s">
        <v>203</v>
      </c>
      <c r="G56" s="62" t="s">
        <v>146</v>
      </c>
      <c r="H56" s="62" t="s">
        <v>11</v>
      </c>
      <c r="I56" s="62" t="s">
        <v>120</v>
      </c>
      <c r="J56" s="62"/>
      <c r="K56" s="64">
        <v>4.4300000000000006</v>
      </c>
      <c r="L56" s="64">
        <f t="shared" si="6"/>
        <v>3.4076923076923085</v>
      </c>
      <c r="M56" s="65">
        <f>prodnorm25</f>
        <v>0</v>
      </c>
      <c r="N56" s="66">
        <f>dagwerk25</f>
        <v>0</v>
      </c>
      <c r="O56" s="62" t="s">
        <v>36</v>
      </c>
      <c r="P56" s="67">
        <f>uurtarief25</f>
        <v>0</v>
      </c>
      <c r="Q56" s="64" t="e">
        <f t="shared" si="7"/>
        <v>#DIV/0!</v>
      </c>
      <c r="R56" s="64" t="e">
        <f t="shared" si="8"/>
        <v>#DIV/0!</v>
      </c>
      <c r="S56" s="67" t="e">
        <f t="shared" si="9"/>
        <v>#DIV/0!</v>
      </c>
      <c r="T56" s="64" t="e">
        <f t="shared" si="10"/>
        <v>#DIV/0!</v>
      </c>
      <c r="U56" s="68" t="e">
        <f t="shared" si="11"/>
        <v>#DIV/0!</v>
      </c>
    </row>
    <row r="57" spans="1:21" x14ac:dyDescent="0.2">
      <c r="A57" s="61" t="s">
        <v>175</v>
      </c>
      <c r="B57" s="62" t="s">
        <v>176</v>
      </c>
      <c r="C57" s="62" t="s">
        <v>184</v>
      </c>
      <c r="D57" s="62" t="s">
        <v>239</v>
      </c>
      <c r="E57" s="63" t="s">
        <v>202</v>
      </c>
      <c r="F57" s="62" t="s">
        <v>203</v>
      </c>
      <c r="G57" s="62" t="s">
        <v>148</v>
      </c>
      <c r="H57" s="62" t="s">
        <v>11</v>
      </c>
      <c r="I57" s="62" t="s">
        <v>120</v>
      </c>
      <c r="J57" s="62"/>
      <c r="K57" s="64">
        <v>4.4300000000000006</v>
      </c>
      <c r="L57" s="64">
        <f t="shared" si="6"/>
        <v>3.4076923076923085</v>
      </c>
      <c r="M57" s="65">
        <f>prodnorm26</f>
        <v>0</v>
      </c>
      <c r="N57" s="66">
        <f>dagwerk26</f>
        <v>0</v>
      </c>
      <c r="O57" s="62" t="s">
        <v>36</v>
      </c>
      <c r="P57" s="67">
        <f>uurtarief26</f>
        <v>0</v>
      </c>
      <c r="Q57" s="64" t="e">
        <f t="shared" si="7"/>
        <v>#DIV/0!</v>
      </c>
      <c r="R57" s="64" t="e">
        <f t="shared" si="8"/>
        <v>#DIV/0!</v>
      </c>
      <c r="S57" s="67" t="e">
        <f t="shared" si="9"/>
        <v>#DIV/0!</v>
      </c>
      <c r="T57" s="64" t="e">
        <f t="shared" si="10"/>
        <v>#DIV/0!</v>
      </c>
      <c r="U57" s="68" t="e">
        <f t="shared" si="11"/>
        <v>#DIV/0!</v>
      </c>
    </row>
    <row r="58" spans="1:21" x14ac:dyDescent="0.2">
      <c r="A58" s="61" t="s">
        <v>175</v>
      </c>
      <c r="B58" s="62" t="s">
        <v>176</v>
      </c>
      <c r="C58" s="62" t="s">
        <v>184</v>
      </c>
      <c r="D58" s="62" t="s">
        <v>240</v>
      </c>
      <c r="E58" s="63" t="s">
        <v>206</v>
      </c>
      <c r="F58" s="62" t="s">
        <v>203</v>
      </c>
      <c r="G58" s="62" t="s">
        <v>138</v>
      </c>
      <c r="H58" s="62" t="s">
        <v>11</v>
      </c>
      <c r="I58" s="62" t="s">
        <v>120</v>
      </c>
      <c r="J58" s="62"/>
      <c r="K58" s="64">
        <v>10.49</v>
      </c>
      <c r="L58" s="64">
        <f t="shared" si="6"/>
        <v>8.069230769230769</v>
      </c>
      <c r="M58" s="65">
        <f>prodnorm21</f>
        <v>0</v>
      </c>
      <c r="N58" s="66">
        <f>dagwerk21</f>
        <v>0</v>
      </c>
      <c r="O58" s="62" t="s">
        <v>36</v>
      </c>
      <c r="P58" s="67">
        <f>uurtarief21</f>
        <v>0</v>
      </c>
      <c r="Q58" s="64" t="e">
        <f t="shared" si="7"/>
        <v>#DIV/0!</v>
      </c>
      <c r="R58" s="64" t="e">
        <f t="shared" si="8"/>
        <v>#DIV/0!</v>
      </c>
      <c r="S58" s="67" t="e">
        <f t="shared" si="9"/>
        <v>#DIV/0!</v>
      </c>
      <c r="T58" s="64" t="e">
        <f t="shared" si="10"/>
        <v>#DIV/0!</v>
      </c>
      <c r="U58" s="68" t="e">
        <f t="shared" si="11"/>
        <v>#DIV/0!</v>
      </c>
    </row>
    <row r="59" spans="1:21" x14ac:dyDescent="0.2">
      <c r="A59" s="61" t="s">
        <v>175</v>
      </c>
      <c r="B59" s="62" t="s">
        <v>176</v>
      </c>
      <c r="C59" s="62" t="s">
        <v>184</v>
      </c>
      <c r="D59" s="62" t="s">
        <v>241</v>
      </c>
      <c r="E59" s="63" t="s">
        <v>179</v>
      </c>
      <c r="F59" s="62" t="s">
        <v>180</v>
      </c>
      <c r="G59" s="62" t="s">
        <v>150</v>
      </c>
      <c r="H59" s="62" t="s">
        <v>11</v>
      </c>
      <c r="I59" s="62" t="s">
        <v>120</v>
      </c>
      <c r="J59" s="62"/>
      <c r="K59" s="64">
        <v>8.5</v>
      </c>
      <c r="L59" s="64">
        <f t="shared" si="6"/>
        <v>6.5384615384615392</v>
      </c>
      <c r="M59" s="65">
        <f>prodnorm27</f>
        <v>0</v>
      </c>
      <c r="N59" s="66">
        <f>dagwerk27</f>
        <v>0</v>
      </c>
      <c r="O59" s="62" t="s">
        <v>36</v>
      </c>
      <c r="P59" s="67">
        <f>uurtarief27</f>
        <v>0</v>
      </c>
      <c r="Q59" s="64" t="e">
        <f t="shared" si="7"/>
        <v>#DIV/0!</v>
      </c>
      <c r="R59" s="64" t="e">
        <f t="shared" si="8"/>
        <v>#DIV/0!</v>
      </c>
      <c r="S59" s="67" t="e">
        <f t="shared" si="9"/>
        <v>#DIV/0!</v>
      </c>
      <c r="T59" s="64" t="e">
        <f t="shared" si="10"/>
        <v>#DIV/0!</v>
      </c>
      <c r="U59" s="68" t="e">
        <f t="shared" si="11"/>
        <v>#DIV/0!</v>
      </c>
    </row>
    <row r="60" spans="1:21" x14ac:dyDescent="0.2">
      <c r="A60" s="61" t="s">
        <v>175</v>
      </c>
      <c r="B60" s="62" t="s">
        <v>176</v>
      </c>
      <c r="C60" s="62" t="s">
        <v>184</v>
      </c>
      <c r="D60" s="62" t="s">
        <v>242</v>
      </c>
      <c r="E60" s="63" t="s">
        <v>189</v>
      </c>
      <c r="F60" s="62" t="s">
        <v>183</v>
      </c>
      <c r="G60" s="62" t="s">
        <v>156</v>
      </c>
      <c r="H60" s="62" t="s">
        <v>11</v>
      </c>
      <c r="I60" s="62" t="s">
        <v>120</v>
      </c>
      <c r="J60" s="62"/>
      <c r="K60" s="64">
        <v>5.13</v>
      </c>
      <c r="L60" s="64">
        <f t="shared" si="6"/>
        <v>3.9461538461538463</v>
      </c>
      <c r="M60" s="65">
        <f>prodnorm30</f>
        <v>0</v>
      </c>
      <c r="N60" s="66">
        <f>dagwerk30</f>
        <v>0</v>
      </c>
      <c r="O60" s="62" t="s">
        <v>36</v>
      </c>
      <c r="P60" s="67">
        <f>uurtarief30</f>
        <v>0</v>
      </c>
      <c r="Q60" s="64" t="e">
        <f t="shared" si="7"/>
        <v>#DIV/0!</v>
      </c>
      <c r="R60" s="64" t="e">
        <f t="shared" si="8"/>
        <v>#DIV/0!</v>
      </c>
      <c r="S60" s="67" t="e">
        <f t="shared" si="9"/>
        <v>#DIV/0!</v>
      </c>
      <c r="T60" s="64" t="e">
        <f t="shared" si="10"/>
        <v>#DIV/0!</v>
      </c>
      <c r="U60" s="68" t="e">
        <f t="shared" si="11"/>
        <v>#DIV/0!</v>
      </c>
    </row>
    <row r="61" spans="1:21" x14ac:dyDescent="0.2">
      <c r="A61" s="61" t="s">
        <v>175</v>
      </c>
      <c r="B61" s="62" t="s">
        <v>176</v>
      </c>
      <c r="C61" s="62" t="s">
        <v>184</v>
      </c>
      <c r="D61" s="62" t="s">
        <v>243</v>
      </c>
      <c r="E61" s="63" t="s">
        <v>244</v>
      </c>
      <c r="F61" s="62" t="s">
        <v>183</v>
      </c>
      <c r="G61" s="62" t="s">
        <v>122</v>
      </c>
      <c r="H61" s="62" t="s">
        <v>16</v>
      </c>
      <c r="I61" s="62" t="s">
        <v>120</v>
      </c>
      <c r="J61" s="62"/>
      <c r="K61" s="64">
        <v>33.96</v>
      </c>
      <c r="L61" s="64">
        <f t="shared" si="6"/>
        <v>5.2246153846153849</v>
      </c>
      <c r="M61" s="65">
        <f>prodnorm11</f>
        <v>0</v>
      </c>
      <c r="N61" s="66">
        <f>dagwerk11</f>
        <v>0</v>
      </c>
      <c r="O61" s="62" t="s">
        <v>36</v>
      </c>
      <c r="P61" s="67">
        <f>uurtarief11</f>
        <v>0</v>
      </c>
      <c r="Q61" s="64" t="e">
        <f t="shared" si="7"/>
        <v>#DIV/0!</v>
      </c>
      <c r="R61" s="64" t="e">
        <f t="shared" si="8"/>
        <v>#DIV/0!</v>
      </c>
      <c r="S61" s="67" t="e">
        <f t="shared" si="9"/>
        <v>#DIV/0!</v>
      </c>
      <c r="T61" s="64" t="e">
        <f t="shared" si="10"/>
        <v>#DIV/0!</v>
      </c>
      <c r="U61" s="68" t="e">
        <f t="shared" si="11"/>
        <v>#DIV/0!</v>
      </c>
    </row>
    <row r="62" spans="1:21" x14ac:dyDescent="0.2">
      <c r="A62" s="61" t="s">
        <v>175</v>
      </c>
      <c r="B62" s="62" t="s">
        <v>176</v>
      </c>
      <c r="C62" s="62" t="s">
        <v>184</v>
      </c>
      <c r="D62" s="62" t="s">
        <v>243</v>
      </c>
      <c r="E62" s="63" t="s">
        <v>244</v>
      </c>
      <c r="F62" s="62" t="s">
        <v>183</v>
      </c>
      <c r="G62" s="62" t="s">
        <v>160</v>
      </c>
      <c r="H62" s="62" t="s">
        <v>12</v>
      </c>
      <c r="I62" s="62" t="s">
        <v>120</v>
      </c>
      <c r="J62" s="62"/>
      <c r="K62" s="64">
        <v>33.96</v>
      </c>
      <c r="L62" s="64">
        <f t="shared" si="6"/>
        <v>20.89846153846154</v>
      </c>
      <c r="M62" s="65">
        <f>prodnorm33</f>
        <v>0</v>
      </c>
      <c r="N62" s="66">
        <f>dagwerk33</f>
        <v>0</v>
      </c>
      <c r="O62" s="62" t="s">
        <v>36</v>
      </c>
      <c r="P62" s="67">
        <f>uurtarief33</f>
        <v>0</v>
      </c>
      <c r="Q62" s="64" t="e">
        <f t="shared" si="7"/>
        <v>#DIV/0!</v>
      </c>
      <c r="R62" s="64" t="e">
        <f t="shared" si="8"/>
        <v>#DIV/0!</v>
      </c>
      <c r="S62" s="67" t="e">
        <f t="shared" si="9"/>
        <v>#DIV/0!</v>
      </c>
      <c r="T62" s="64" t="e">
        <f t="shared" si="10"/>
        <v>#DIV/0!</v>
      </c>
      <c r="U62" s="68" t="e">
        <f t="shared" si="11"/>
        <v>#DIV/0!</v>
      </c>
    </row>
    <row r="63" spans="1:21" x14ac:dyDescent="0.2">
      <c r="A63" s="61" t="s">
        <v>175</v>
      </c>
      <c r="B63" s="62" t="s">
        <v>176</v>
      </c>
      <c r="C63" s="62" t="s">
        <v>184</v>
      </c>
      <c r="D63" s="62" t="s">
        <v>245</v>
      </c>
      <c r="E63" s="63" t="s">
        <v>246</v>
      </c>
      <c r="F63" s="62" t="s">
        <v>183</v>
      </c>
      <c r="G63" s="62" t="s">
        <v>134</v>
      </c>
      <c r="H63" s="62" t="s">
        <v>12</v>
      </c>
      <c r="I63" s="62" t="s">
        <v>120</v>
      </c>
      <c r="J63" s="62"/>
      <c r="K63" s="64">
        <v>100.76</v>
      </c>
      <c r="L63" s="64">
        <f t="shared" si="6"/>
        <v>62.00615384615385</v>
      </c>
      <c r="M63" s="65">
        <f>prodnorm18</f>
        <v>0</v>
      </c>
      <c r="N63" s="66">
        <f>dagwerk18</f>
        <v>0</v>
      </c>
      <c r="O63" s="62" t="s">
        <v>36</v>
      </c>
      <c r="P63" s="67">
        <f>uurtarief18</f>
        <v>0</v>
      </c>
      <c r="Q63" s="64" t="e">
        <f t="shared" si="7"/>
        <v>#DIV/0!</v>
      </c>
      <c r="R63" s="64" t="e">
        <f t="shared" si="8"/>
        <v>#DIV/0!</v>
      </c>
      <c r="S63" s="67" t="e">
        <f t="shared" si="9"/>
        <v>#DIV/0!</v>
      </c>
      <c r="T63" s="64" t="e">
        <f t="shared" si="10"/>
        <v>#DIV/0!</v>
      </c>
      <c r="U63" s="68" t="e">
        <f t="shared" si="11"/>
        <v>#DIV/0!</v>
      </c>
    </row>
    <row r="64" spans="1:21" x14ac:dyDescent="0.2">
      <c r="A64" s="61" t="s">
        <v>175</v>
      </c>
      <c r="B64" s="62" t="s">
        <v>176</v>
      </c>
      <c r="C64" s="62" t="s">
        <v>184</v>
      </c>
      <c r="D64" s="62" t="s">
        <v>247</v>
      </c>
      <c r="E64" s="63" t="s">
        <v>195</v>
      </c>
      <c r="F64" s="62" t="s">
        <v>190</v>
      </c>
      <c r="G64" s="62" t="s">
        <v>150</v>
      </c>
      <c r="H64" s="62" t="s">
        <v>11</v>
      </c>
      <c r="I64" s="62" t="s">
        <v>120</v>
      </c>
      <c r="J64" s="62"/>
      <c r="K64" s="64">
        <v>15.08</v>
      </c>
      <c r="L64" s="64">
        <f t="shared" si="6"/>
        <v>11.600000000000001</v>
      </c>
      <c r="M64" s="65">
        <f>prodnorm27</f>
        <v>0</v>
      </c>
      <c r="N64" s="66">
        <f>dagwerk27</f>
        <v>0</v>
      </c>
      <c r="O64" s="62" t="s">
        <v>36</v>
      </c>
      <c r="P64" s="67">
        <f>uurtarief27</f>
        <v>0</v>
      </c>
      <c r="Q64" s="64" t="e">
        <f t="shared" si="7"/>
        <v>#DIV/0!</v>
      </c>
      <c r="R64" s="64" t="e">
        <f t="shared" si="8"/>
        <v>#DIV/0!</v>
      </c>
      <c r="S64" s="67" t="e">
        <f t="shared" si="9"/>
        <v>#DIV/0!</v>
      </c>
      <c r="T64" s="64" t="e">
        <f t="shared" si="10"/>
        <v>#DIV/0!</v>
      </c>
      <c r="U64" s="68" t="e">
        <f t="shared" si="11"/>
        <v>#DIV/0!</v>
      </c>
    </row>
    <row r="65" spans="1:21" x14ac:dyDescent="0.2">
      <c r="A65" s="61" t="s">
        <v>175</v>
      </c>
      <c r="B65" s="62" t="s">
        <v>176</v>
      </c>
      <c r="C65" s="62" t="s">
        <v>184</v>
      </c>
      <c r="D65" s="62" t="s">
        <v>248</v>
      </c>
      <c r="E65" s="63" t="s">
        <v>195</v>
      </c>
      <c r="F65" s="62" t="s">
        <v>183</v>
      </c>
      <c r="G65" s="62" t="s">
        <v>152</v>
      </c>
      <c r="H65" s="62" t="s">
        <v>11</v>
      </c>
      <c r="I65" s="62" t="s">
        <v>120</v>
      </c>
      <c r="J65" s="62"/>
      <c r="K65" s="64">
        <v>6.35</v>
      </c>
      <c r="L65" s="64">
        <f t="shared" si="6"/>
        <v>4.884615384615385</v>
      </c>
      <c r="M65" s="65">
        <f>prodnorm28</f>
        <v>0</v>
      </c>
      <c r="N65" s="66">
        <f>dagwerk28</f>
        <v>0</v>
      </c>
      <c r="O65" s="62" t="s">
        <v>36</v>
      </c>
      <c r="P65" s="67">
        <f>uurtarief28</f>
        <v>0</v>
      </c>
      <c r="Q65" s="64" t="e">
        <f t="shared" si="7"/>
        <v>#DIV/0!</v>
      </c>
      <c r="R65" s="64" t="e">
        <f t="shared" si="8"/>
        <v>#DIV/0!</v>
      </c>
      <c r="S65" s="67" t="e">
        <f t="shared" si="9"/>
        <v>#DIV/0!</v>
      </c>
      <c r="T65" s="64" t="e">
        <f t="shared" si="10"/>
        <v>#DIV/0!</v>
      </c>
      <c r="U65" s="68" t="e">
        <f t="shared" si="11"/>
        <v>#DIV/0!</v>
      </c>
    </row>
    <row r="66" spans="1:21" x14ac:dyDescent="0.2">
      <c r="A66" s="61" t="s">
        <v>175</v>
      </c>
      <c r="B66" s="62" t="s">
        <v>176</v>
      </c>
      <c r="C66" s="62" t="s">
        <v>184</v>
      </c>
      <c r="D66" s="62" t="s">
        <v>249</v>
      </c>
      <c r="E66" s="63" t="s">
        <v>179</v>
      </c>
      <c r="F66" s="62" t="s">
        <v>250</v>
      </c>
      <c r="G66" s="62" t="s">
        <v>150</v>
      </c>
      <c r="H66" s="62" t="s">
        <v>11</v>
      </c>
      <c r="I66" s="62" t="s">
        <v>120</v>
      </c>
      <c r="J66" s="62"/>
      <c r="K66" s="64">
        <v>18.04</v>
      </c>
      <c r="L66" s="64">
        <f t="shared" si="6"/>
        <v>13.876923076923077</v>
      </c>
      <c r="M66" s="65">
        <f>prodnorm27</f>
        <v>0</v>
      </c>
      <c r="N66" s="66">
        <f>dagwerk27</f>
        <v>0</v>
      </c>
      <c r="O66" s="62" t="s">
        <v>36</v>
      </c>
      <c r="P66" s="67">
        <f>uurtarief27</f>
        <v>0</v>
      </c>
      <c r="Q66" s="64" t="e">
        <f t="shared" si="7"/>
        <v>#DIV/0!</v>
      </c>
      <c r="R66" s="64" t="e">
        <f t="shared" si="8"/>
        <v>#DIV/0!</v>
      </c>
      <c r="S66" s="67" t="e">
        <f t="shared" si="9"/>
        <v>#DIV/0!</v>
      </c>
      <c r="T66" s="64" t="e">
        <f t="shared" si="10"/>
        <v>#DIV/0!</v>
      </c>
      <c r="U66" s="68" t="e">
        <f t="shared" si="11"/>
        <v>#DIV/0!</v>
      </c>
    </row>
    <row r="67" spans="1:21" x14ac:dyDescent="0.2">
      <c r="A67" s="61" t="s">
        <v>175</v>
      </c>
      <c r="B67" s="62" t="s">
        <v>176</v>
      </c>
      <c r="C67" s="62" t="s">
        <v>184</v>
      </c>
      <c r="D67" s="62" t="s">
        <v>251</v>
      </c>
      <c r="E67" s="63" t="s">
        <v>246</v>
      </c>
      <c r="F67" s="62" t="s">
        <v>183</v>
      </c>
      <c r="G67" s="62" t="s">
        <v>134</v>
      </c>
      <c r="H67" s="62" t="s">
        <v>12</v>
      </c>
      <c r="I67" s="62" t="s">
        <v>120</v>
      </c>
      <c r="J67" s="62"/>
      <c r="K67" s="64">
        <v>154.92000000000002</v>
      </c>
      <c r="L67" s="64">
        <f t="shared" si="6"/>
        <v>95.335384615384626</v>
      </c>
      <c r="M67" s="65">
        <f>prodnorm18</f>
        <v>0</v>
      </c>
      <c r="N67" s="66">
        <f>dagwerk18</f>
        <v>0</v>
      </c>
      <c r="O67" s="62" t="s">
        <v>36</v>
      </c>
      <c r="P67" s="67">
        <f>uurtarief18</f>
        <v>0</v>
      </c>
      <c r="Q67" s="64" t="e">
        <f t="shared" si="7"/>
        <v>#DIV/0!</v>
      </c>
      <c r="R67" s="64" t="e">
        <f t="shared" si="8"/>
        <v>#DIV/0!</v>
      </c>
      <c r="S67" s="67" t="e">
        <f t="shared" si="9"/>
        <v>#DIV/0!</v>
      </c>
      <c r="T67" s="64" t="e">
        <f t="shared" si="10"/>
        <v>#DIV/0!</v>
      </c>
      <c r="U67" s="68" t="e">
        <f t="shared" si="11"/>
        <v>#DIV/0!</v>
      </c>
    </row>
    <row r="68" spans="1:21" x14ac:dyDescent="0.2">
      <c r="A68" s="61" t="s">
        <v>175</v>
      </c>
      <c r="B68" s="62" t="s">
        <v>176</v>
      </c>
      <c r="C68" s="62" t="s">
        <v>184</v>
      </c>
      <c r="D68" s="62" t="s">
        <v>252</v>
      </c>
      <c r="E68" s="63" t="s">
        <v>218</v>
      </c>
      <c r="F68" s="62" t="s">
        <v>190</v>
      </c>
      <c r="G68" s="62" t="s">
        <v>132</v>
      </c>
      <c r="H68" s="62" t="s">
        <v>12</v>
      </c>
      <c r="I68" s="62" t="s">
        <v>120</v>
      </c>
      <c r="J68" s="62"/>
      <c r="K68" s="64">
        <v>51.64</v>
      </c>
      <c r="L68" s="64">
        <f t="shared" si="6"/>
        <v>31.778461538461542</v>
      </c>
      <c r="M68" s="65">
        <f>prodnorm17</f>
        <v>0</v>
      </c>
      <c r="N68" s="66">
        <f>dagwerk17</f>
        <v>0</v>
      </c>
      <c r="O68" s="62" t="s">
        <v>36</v>
      </c>
      <c r="P68" s="67">
        <f>uurtarief17</f>
        <v>0</v>
      </c>
      <c r="Q68" s="64" t="e">
        <f t="shared" si="7"/>
        <v>#DIV/0!</v>
      </c>
      <c r="R68" s="64" t="e">
        <f t="shared" si="8"/>
        <v>#DIV/0!</v>
      </c>
      <c r="S68" s="67" t="e">
        <f t="shared" si="9"/>
        <v>#DIV/0!</v>
      </c>
      <c r="T68" s="64" t="e">
        <f t="shared" si="10"/>
        <v>#DIV/0!</v>
      </c>
      <c r="U68" s="68" t="e">
        <f t="shared" si="11"/>
        <v>#DIV/0!</v>
      </c>
    </row>
    <row r="69" spans="1:21" x14ac:dyDescent="0.2">
      <c r="A69" s="61" t="s">
        <v>175</v>
      </c>
      <c r="B69" s="62" t="s">
        <v>176</v>
      </c>
      <c r="C69" s="62" t="s">
        <v>184</v>
      </c>
      <c r="D69" s="62" t="s">
        <v>253</v>
      </c>
      <c r="E69" s="63" t="s">
        <v>213</v>
      </c>
      <c r="F69" s="62" t="s">
        <v>190</v>
      </c>
      <c r="G69" s="62" t="s">
        <v>154</v>
      </c>
      <c r="H69" s="62" t="s">
        <v>11</v>
      </c>
      <c r="I69" s="62" t="s">
        <v>120</v>
      </c>
      <c r="J69" s="62"/>
      <c r="K69" s="64">
        <v>78.960000000000008</v>
      </c>
      <c r="L69" s="64">
        <f t="shared" ref="L69:L100" si="12">K69*VLOOKUP(H69,dagsoorttabel1,2,FALSE)</f>
        <v>60.73846153846155</v>
      </c>
      <c r="M69" s="65">
        <f>prodnorm29</f>
        <v>0</v>
      </c>
      <c r="N69" s="66">
        <f>dagwerk29</f>
        <v>0</v>
      </c>
      <c r="O69" s="62" t="s">
        <v>36</v>
      </c>
      <c r="P69" s="67">
        <f>uurtarief29</f>
        <v>0</v>
      </c>
      <c r="Q69" s="64" t="e">
        <f t="shared" ref="Q69:Q100" si="13">IF(ISBLANK(M69),0,L69/ROUND(M69,4))</f>
        <v>#DIV/0!</v>
      </c>
      <c r="R69" s="64" t="e">
        <f t="shared" ref="R69:R100" si="14">IF(ISBLANK(M69),0,Q69*ROUND(N69,2))</f>
        <v>#DIV/0!</v>
      </c>
      <c r="S69" s="67" t="e">
        <f t="shared" ref="S69:S100" si="15">ROUND(P69,2)*Q69</f>
        <v>#DIV/0!</v>
      </c>
      <c r="T69" s="64" t="e">
        <f t="shared" ref="T69:T100" si="16">Q69*dagenperjaar1</f>
        <v>#DIV/0!</v>
      </c>
      <c r="U69" s="68" t="e">
        <f t="shared" ref="U69:U100" si="17">T69*ROUND(P69,2)</f>
        <v>#DIV/0!</v>
      </c>
    </row>
    <row r="70" spans="1:21" x14ac:dyDescent="0.2">
      <c r="A70" s="61" t="s">
        <v>175</v>
      </c>
      <c r="B70" s="62" t="s">
        <v>176</v>
      </c>
      <c r="C70" s="62" t="s">
        <v>254</v>
      </c>
      <c r="D70" s="62" t="s">
        <v>255</v>
      </c>
      <c r="E70" s="63" t="s">
        <v>189</v>
      </c>
      <c r="F70" s="62" t="s">
        <v>190</v>
      </c>
      <c r="G70" s="62" t="s">
        <v>154</v>
      </c>
      <c r="H70" s="62" t="s">
        <v>11</v>
      </c>
      <c r="I70" s="62" t="s">
        <v>120</v>
      </c>
      <c r="J70" s="62"/>
      <c r="K70" s="64">
        <v>31.4</v>
      </c>
      <c r="L70" s="64">
        <f t="shared" si="12"/>
        <v>24.153846153846153</v>
      </c>
      <c r="M70" s="65">
        <f>prodnorm29</f>
        <v>0</v>
      </c>
      <c r="N70" s="66">
        <f>dagwerk29</f>
        <v>0</v>
      </c>
      <c r="O70" s="62" t="s">
        <v>36</v>
      </c>
      <c r="P70" s="67">
        <f>uurtarief29</f>
        <v>0</v>
      </c>
      <c r="Q70" s="64" t="e">
        <f t="shared" si="13"/>
        <v>#DIV/0!</v>
      </c>
      <c r="R70" s="64" t="e">
        <f t="shared" si="14"/>
        <v>#DIV/0!</v>
      </c>
      <c r="S70" s="67" t="e">
        <f t="shared" si="15"/>
        <v>#DIV/0!</v>
      </c>
      <c r="T70" s="64" t="e">
        <f t="shared" si="16"/>
        <v>#DIV/0!</v>
      </c>
      <c r="U70" s="68" t="e">
        <f t="shared" si="17"/>
        <v>#DIV/0!</v>
      </c>
    </row>
    <row r="71" spans="1:21" x14ac:dyDescent="0.2">
      <c r="A71" s="61" t="s">
        <v>175</v>
      </c>
      <c r="B71" s="62" t="s">
        <v>176</v>
      </c>
      <c r="C71" s="62" t="s">
        <v>254</v>
      </c>
      <c r="D71" s="62" t="s">
        <v>256</v>
      </c>
      <c r="E71" s="63" t="s">
        <v>225</v>
      </c>
      <c r="F71" s="62" t="s">
        <v>190</v>
      </c>
      <c r="G71" s="62" t="s">
        <v>119</v>
      </c>
      <c r="H71" s="62" t="s">
        <v>16</v>
      </c>
      <c r="I71" s="62" t="s">
        <v>120</v>
      </c>
      <c r="J71" s="62"/>
      <c r="K71" s="64">
        <v>9.7199999999999989</v>
      </c>
      <c r="L71" s="64">
        <f t="shared" si="12"/>
        <v>1.4953846153846153</v>
      </c>
      <c r="M71" s="65">
        <f>prodnorm9</f>
        <v>0</v>
      </c>
      <c r="N71" s="66">
        <f>dagwerk9</f>
        <v>0</v>
      </c>
      <c r="O71" s="62" t="s">
        <v>36</v>
      </c>
      <c r="P71" s="67">
        <f>uurtarief9</f>
        <v>0</v>
      </c>
      <c r="Q71" s="64" t="e">
        <f t="shared" si="13"/>
        <v>#DIV/0!</v>
      </c>
      <c r="R71" s="64" t="e">
        <f t="shared" si="14"/>
        <v>#DIV/0!</v>
      </c>
      <c r="S71" s="67" t="e">
        <f t="shared" si="15"/>
        <v>#DIV/0!</v>
      </c>
      <c r="T71" s="64" t="e">
        <f t="shared" si="16"/>
        <v>#DIV/0!</v>
      </c>
      <c r="U71" s="68" t="e">
        <f t="shared" si="17"/>
        <v>#DIV/0!</v>
      </c>
    </row>
    <row r="72" spans="1:21" x14ac:dyDescent="0.2">
      <c r="A72" s="61" t="s">
        <v>175</v>
      </c>
      <c r="B72" s="62" t="s">
        <v>176</v>
      </c>
      <c r="C72" s="62" t="s">
        <v>254</v>
      </c>
      <c r="D72" s="62" t="s">
        <v>256</v>
      </c>
      <c r="E72" s="63" t="s">
        <v>225</v>
      </c>
      <c r="F72" s="62" t="s">
        <v>190</v>
      </c>
      <c r="G72" s="62" t="s">
        <v>160</v>
      </c>
      <c r="H72" s="62" t="s">
        <v>12</v>
      </c>
      <c r="I72" s="62" t="s">
        <v>120</v>
      </c>
      <c r="J72" s="62"/>
      <c r="K72" s="64">
        <v>9.7199999999999989</v>
      </c>
      <c r="L72" s="64">
        <f t="shared" si="12"/>
        <v>5.9815384615384612</v>
      </c>
      <c r="M72" s="65">
        <f>prodnorm33</f>
        <v>0</v>
      </c>
      <c r="N72" s="66">
        <f>dagwerk33</f>
        <v>0</v>
      </c>
      <c r="O72" s="62" t="s">
        <v>36</v>
      </c>
      <c r="P72" s="67">
        <f>uurtarief33</f>
        <v>0</v>
      </c>
      <c r="Q72" s="64" t="e">
        <f t="shared" si="13"/>
        <v>#DIV/0!</v>
      </c>
      <c r="R72" s="64" t="e">
        <f t="shared" si="14"/>
        <v>#DIV/0!</v>
      </c>
      <c r="S72" s="67" t="e">
        <f t="shared" si="15"/>
        <v>#DIV/0!</v>
      </c>
      <c r="T72" s="64" t="e">
        <f t="shared" si="16"/>
        <v>#DIV/0!</v>
      </c>
      <c r="U72" s="68" t="e">
        <f t="shared" si="17"/>
        <v>#DIV/0!</v>
      </c>
    </row>
    <row r="73" spans="1:21" x14ac:dyDescent="0.2">
      <c r="A73" s="61" t="s">
        <v>175</v>
      </c>
      <c r="B73" s="62" t="s">
        <v>176</v>
      </c>
      <c r="C73" s="62" t="s">
        <v>254</v>
      </c>
      <c r="D73" s="62" t="s">
        <v>257</v>
      </c>
      <c r="E73" s="63" t="s">
        <v>218</v>
      </c>
      <c r="F73" s="62" t="s">
        <v>190</v>
      </c>
      <c r="G73" s="62" t="s">
        <v>132</v>
      </c>
      <c r="H73" s="62" t="s">
        <v>12</v>
      </c>
      <c r="I73" s="62" t="s">
        <v>120</v>
      </c>
      <c r="J73" s="62"/>
      <c r="K73" s="64">
        <v>61.07</v>
      </c>
      <c r="L73" s="64">
        <f t="shared" si="12"/>
        <v>37.581538461538464</v>
      </c>
      <c r="M73" s="65">
        <f>prodnorm17</f>
        <v>0</v>
      </c>
      <c r="N73" s="66">
        <f>dagwerk17</f>
        <v>0</v>
      </c>
      <c r="O73" s="62" t="s">
        <v>36</v>
      </c>
      <c r="P73" s="67">
        <f>uurtarief17</f>
        <v>0</v>
      </c>
      <c r="Q73" s="64" t="e">
        <f t="shared" si="13"/>
        <v>#DIV/0!</v>
      </c>
      <c r="R73" s="64" t="e">
        <f t="shared" si="14"/>
        <v>#DIV/0!</v>
      </c>
      <c r="S73" s="67" t="e">
        <f t="shared" si="15"/>
        <v>#DIV/0!</v>
      </c>
      <c r="T73" s="64" t="e">
        <f t="shared" si="16"/>
        <v>#DIV/0!</v>
      </c>
      <c r="U73" s="68" t="e">
        <f t="shared" si="17"/>
        <v>#DIV/0!</v>
      </c>
    </row>
    <row r="74" spans="1:21" x14ac:dyDescent="0.2">
      <c r="A74" s="61" t="s">
        <v>175</v>
      </c>
      <c r="B74" s="62" t="s">
        <v>176</v>
      </c>
      <c r="C74" s="62" t="s">
        <v>254</v>
      </c>
      <c r="D74" s="62" t="s">
        <v>258</v>
      </c>
      <c r="E74" s="63" t="s">
        <v>218</v>
      </c>
      <c r="F74" s="62" t="s">
        <v>190</v>
      </c>
      <c r="G74" s="62" t="s">
        <v>132</v>
      </c>
      <c r="H74" s="62" t="s">
        <v>12</v>
      </c>
      <c r="I74" s="62" t="s">
        <v>120</v>
      </c>
      <c r="J74" s="62"/>
      <c r="K74" s="64">
        <v>62.93</v>
      </c>
      <c r="L74" s="64">
        <f t="shared" si="12"/>
        <v>38.726153846153849</v>
      </c>
      <c r="M74" s="65">
        <f>prodnorm17</f>
        <v>0</v>
      </c>
      <c r="N74" s="66">
        <f>dagwerk17</f>
        <v>0</v>
      </c>
      <c r="O74" s="62" t="s">
        <v>36</v>
      </c>
      <c r="P74" s="67">
        <f>uurtarief17</f>
        <v>0</v>
      </c>
      <c r="Q74" s="64" t="e">
        <f t="shared" si="13"/>
        <v>#DIV/0!</v>
      </c>
      <c r="R74" s="64" t="e">
        <f t="shared" si="14"/>
        <v>#DIV/0!</v>
      </c>
      <c r="S74" s="67" t="e">
        <f t="shared" si="15"/>
        <v>#DIV/0!</v>
      </c>
      <c r="T74" s="64" t="e">
        <f t="shared" si="16"/>
        <v>#DIV/0!</v>
      </c>
      <c r="U74" s="68" t="e">
        <f t="shared" si="17"/>
        <v>#DIV/0!</v>
      </c>
    </row>
    <row r="75" spans="1:21" x14ac:dyDescent="0.2">
      <c r="A75" s="61" t="s">
        <v>175</v>
      </c>
      <c r="B75" s="62" t="s">
        <v>176</v>
      </c>
      <c r="C75" s="62" t="s">
        <v>254</v>
      </c>
      <c r="D75" s="62" t="s">
        <v>259</v>
      </c>
      <c r="E75" s="63" t="s">
        <v>189</v>
      </c>
      <c r="F75" s="62" t="s">
        <v>190</v>
      </c>
      <c r="G75" s="62" t="s">
        <v>154</v>
      </c>
      <c r="H75" s="62" t="s">
        <v>11</v>
      </c>
      <c r="I75" s="62" t="s">
        <v>120</v>
      </c>
      <c r="J75" s="62"/>
      <c r="K75" s="64">
        <v>34.949999999999996</v>
      </c>
      <c r="L75" s="64">
        <f t="shared" si="12"/>
        <v>26.884615384615383</v>
      </c>
      <c r="M75" s="65">
        <f>prodnorm29</f>
        <v>0</v>
      </c>
      <c r="N75" s="66">
        <f>dagwerk29</f>
        <v>0</v>
      </c>
      <c r="O75" s="62" t="s">
        <v>36</v>
      </c>
      <c r="P75" s="67">
        <f>uurtarief29</f>
        <v>0</v>
      </c>
      <c r="Q75" s="64" t="e">
        <f t="shared" si="13"/>
        <v>#DIV/0!</v>
      </c>
      <c r="R75" s="64" t="e">
        <f t="shared" si="14"/>
        <v>#DIV/0!</v>
      </c>
      <c r="S75" s="67" t="e">
        <f t="shared" si="15"/>
        <v>#DIV/0!</v>
      </c>
      <c r="T75" s="64" t="e">
        <f t="shared" si="16"/>
        <v>#DIV/0!</v>
      </c>
      <c r="U75" s="68" t="e">
        <f t="shared" si="17"/>
        <v>#DIV/0!</v>
      </c>
    </row>
    <row r="76" spans="1:21" x14ac:dyDescent="0.2">
      <c r="A76" s="61" t="s">
        <v>175</v>
      </c>
      <c r="B76" s="62" t="s">
        <v>176</v>
      </c>
      <c r="C76" s="62" t="s">
        <v>254</v>
      </c>
      <c r="D76" s="62" t="s">
        <v>260</v>
      </c>
      <c r="E76" s="63" t="s">
        <v>218</v>
      </c>
      <c r="F76" s="62" t="s">
        <v>190</v>
      </c>
      <c r="G76" s="62" t="s">
        <v>132</v>
      </c>
      <c r="H76" s="62" t="s">
        <v>12</v>
      </c>
      <c r="I76" s="62" t="s">
        <v>120</v>
      </c>
      <c r="J76" s="62"/>
      <c r="K76" s="64">
        <v>53.1</v>
      </c>
      <c r="L76" s="64">
        <f t="shared" si="12"/>
        <v>32.676923076923082</v>
      </c>
      <c r="M76" s="65">
        <f>prodnorm17</f>
        <v>0</v>
      </c>
      <c r="N76" s="66">
        <f>dagwerk17</f>
        <v>0</v>
      </c>
      <c r="O76" s="62" t="s">
        <v>36</v>
      </c>
      <c r="P76" s="67">
        <f>uurtarief17</f>
        <v>0</v>
      </c>
      <c r="Q76" s="64" t="e">
        <f t="shared" si="13"/>
        <v>#DIV/0!</v>
      </c>
      <c r="R76" s="64" t="e">
        <f t="shared" si="14"/>
        <v>#DIV/0!</v>
      </c>
      <c r="S76" s="67" t="e">
        <f t="shared" si="15"/>
        <v>#DIV/0!</v>
      </c>
      <c r="T76" s="64" t="e">
        <f t="shared" si="16"/>
        <v>#DIV/0!</v>
      </c>
      <c r="U76" s="68" t="e">
        <f t="shared" si="17"/>
        <v>#DIV/0!</v>
      </c>
    </row>
    <row r="77" spans="1:21" x14ac:dyDescent="0.2">
      <c r="A77" s="61" t="s">
        <v>175</v>
      </c>
      <c r="B77" s="62" t="s">
        <v>176</v>
      </c>
      <c r="C77" s="62" t="s">
        <v>254</v>
      </c>
      <c r="D77" s="62" t="s">
        <v>261</v>
      </c>
      <c r="E77" s="63" t="s">
        <v>262</v>
      </c>
      <c r="F77" s="62" t="s">
        <v>190</v>
      </c>
      <c r="G77" s="62" t="s">
        <v>136</v>
      </c>
      <c r="H77" s="62" t="s">
        <v>11</v>
      </c>
      <c r="I77" s="62" t="s">
        <v>120</v>
      </c>
      <c r="J77" s="62"/>
      <c r="K77" s="64">
        <v>66.349999999999994</v>
      </c>
      <c r="L77" s="64">
        <f t="shared" si="12"/>
        <v>51.03846153846154</v>
      </c>
      <c r="M77" s="65">
        <f>prodnorm20</f>
        <v>0</v>
      </c>
      <c r="N77" s="66">
        <f>dagwerk20</f>
        <v>0</v>
      </c>
      <c r="O77" s="62" t="s">
        <v>36</v>
      </c>
      <c r="P77" s="67">
        <f>uurtarief20</f>
        <v>0</v>
      </c>
      <c r="Q77" s="64" t="e">
        <f t="shared" si="13"/>
        <v>#DIV/0!</v>
      </c>
      <c r="R77" s="64" t="e">
        <f t="shared" si="14"/>
        <v>#DIV/0!</v>
      </c>
      <c r="S77" s="67" t="e">
        <f t="shared" si="15"/>
        <v>#DIV/0!</v>
      </c>
      <c r="T77" s="64" t="e">
        <f t="shared" si="16"/>
        <v>#DIV/0!</v>
      </c>
      <c r="U77" s="68" t="e">
        <f t="shared" si="17"/>
        <v>#DIV/0!</v>
      </c>
    </row>
    <row r="78" spans="1:21" x14ac:dyDescent="0.2">
      <c r="A78" s="61" t="s">
        <v>175</v>
      </c>
      <c r="B78" s="62" t="s">
        <v>176</v>
      </c>
      <c r="C78" s="62" t="s">
        <v>254</v>
      </c>
      <c r="D78" s="62" t="s">
        <v>263</v>
      </c>
      <c r="E78" s="63" t="s">
        <v>225</v>
      </c>
      <c r="F78" s="62" t="s">
        <v>190</v>
      </c>
      <c r="G78" s="62" t="s">
        <v>119</v>
      </c>
      <c r="H78" s="62" t="s">
        <v>16</v>
      </c>
      <c r="I78" s="62" t="s">
        <v>120</v>
      </c>
      <c r="J78" s="62"/>
      <c r="K78" s="64">
        <v>12.9</v>
      </c>
      <c r="L78" s="64">
        <f t="shared" si="12"/>
        <v>1.9846153846153847</v>
      </c>
      <c r="M78" s="65">
        <f>prodnorm9</f>
        <v>0</v>
      </c>
      <c r="N78" s="66">
        <f>dagwerk9</f>
        <v>0</v>
      </c>
      <c r="O78" s="62" t="s">
        <v>36</v>
      </c>
      <c r="P78" s="67">
        <f>uurtarief9</f>
        <v>0</v>
      </c>
      <c r="Q78" s="64" t="e">
        <f t="shared" si="13"/>
        <v>#DIV/0!</v>
      </c>
      <c r="R78" s="64" t="e">
        <f t="shared" si="14"/>
        <v>#DIV/0!</v>
      </c>
      <c r="S78" s="67" t="e">
        <f t="shared" si="15"/>
        <v>#DIV/0!</v>
      </c>
      <c r="T78" s="64" t="e">
        <f t="shared" si="16"/>
        <v>#DIV/0!</v>
      </c>
      <c r="U78" s="68" t="e">
        <f t="shared" si="17"/>
        <v>#DIV/0!</v>
      </c>
    </row>
    <row r="79" spans="1:21" x14ac:dyDescent="0.2">
      <c r="A79" s="61" t="s">
        <v>175</v>
      </c>
      <c r="B79" s="62" t="s">
        <v>176</v>
      </c>
      <c r="C79" s="62" t="s">
        <v>254</v>
      </c>
      <c r="D79" s="62" t="s">
        <v>263</v>
      </c>
      <c r="E79" s="63" t="s">
        <v>225</v>
      </c>
      <c r="F79" s="62" t="s">
        <v>190</v>
      </c>
      <c r="G79" s="62" t="s">
        <v>160</v>
      </c>
      <c r="H79" s="62" t="s">
        <v>12</v>
      </c>
      <c r="I79" s="62" t="s">
        <v>120</v>
      </c>
      <c r="J79" s="62"/>
      <c r="K79" s="64">
        <v>12.9</v>
      </c>
      <c r="L79" s="64">
        <f t="shared" si="12"/>
        <v>7.9384615384615387</v>
      </c>
      <c r="M79" s="65">
        <f>prodnorm33</f>
        <v>0</v>
      </c>
      <c r="N79" s="66">
        <f>dagwerk33</f>
        <v>0</v>
      </c>
      <c r="O79" s="62" t="s">
        <v>36</v>
      </c>
      <c r="P79" s="67">
        <f>uurtarief33</f>
        <v>0</v>
      </c>
      <c r="Q79" s="64" t="e">
        <f t="shared" si="13"/>
        <v>#DIV/0!</v>
      </c>
      <c r="R79" s="64" t="e">
        <f t="shared" si="14"/>
        <v>#DIV/0!</v>
      </c>
      <c r="S79" s="67" t="e">
        <f t="shared" si="15"/>
        <v>#DIV/0!</v>
      </c>
      <c r="T79" s="64" t="e">
        <f t="shared" si="16"/>
        <v>#DIV/0!</v>
      </c>
      <c r="U79" s="68" t="e">
        <f t="shared" si="17"/>
        <v>#DIV/0!</v>
      </c>
    </row>
    <row r="80" spans="1:21" x14ac:dyDescent="0.2">
      <c r="A80" s="61" t="s">
        <v>175</v>
      </c>
      <c r="B80" s="62" t="s">
        <v>176</v>
      </c>
      <c r="C80" s="62" t="s">
        <v>254</v>
      </c>
      <c r="D80" s="62" t="s">
        <v>264</v>
      </c>
      <c r="E80" s="63" t="s">
        <v>262</v>
      </c>
      <c r="F80" s="62" t="s">
        <v>190</v>
      </c>
      <c r="G80" s="62" t="s">
        <v>132</v>
      </c>
      <c r="H80" s="62" t="s">
        <v>12</v>
      </c>
      <c r="I80" s="62" t="s">
        <v>120</v>
      </c>
      <c r="J80" s="62"/>
      <c r="K80" s="64">
        <v>53.1</v>
      </c>
      <c r="L80" s="64">
        <f t="shared" si="12"/>
        <v>32.676923076923082</v>
      </c>
      <c r="M80" s="65">
        <f>prodnorm17</f>
        <v>0</v>
      </c>
      <c r="N80" s="66">
        <f>dagwerk17</f>
        <v>0</v>
      </c>
      <c r="O80" s="62" t="s">
        <v>36</v>
      </c>
      <c r="P80" s="67">
        <f>uurtarief17</f>
        <v>0</v>
      </c>
      <c r="Q80" s="64" t="e">
        <f t="shared" si="13"/>
        <v>#DIV/0!</v>
      </c>
      <c r="R80" s="64" t="e">
        <f t="shared" si="14"/>
        <v>#DIV/0!</v>
      </c>
      <c r="S80" s="67" t="e">
        <f t="shared" si="15"/>
        <v>#DIV/0!</v>
      </c>
      <c r="T80" s="64" t="e">
        <f t="shared" si="16"/>
        <v>#DIV/0!</v>
      </c>
      <c r="U80" s="68" t="e">
        <f t="shared" si="17"/>
        <v>#DIV/0!</v>
      </c>
    </row>
    <row r="81" spans="1:21" x14ac:dyDescent="0.2">
      <c r="A81" s="61" t="s">
        <v>175</v>
      </c>
      <c r="B81" s="62" t="s">
        <v>176</v>
      </c>
      <c r="C81" s="62" t="s">
        <v>254</v>
      </c>
      <c r="D81" s="62" t="s">
        <v>265</v>
      </c>
      <c r="E81" s="63" t="s">
        <v>189</v>
      </c>
      <c r="F81" s="62" t="s">
        <v>190</v>
      </c>
      <c r="G81" s="62" t="s">
        <v>154</v>
      </c>
      <c r="H81" s="62" t="s">
        <v>11</v>
      </c>
      <c r="I81" s="62" t="s">
        <v>120</v>
      </c>
      <c r="J81" s="62"/>
      <c r="K81" s="64">
        <v>31.1</v>
      </c>
      <c r="L81" s="64">
        <f t="shared" si="12"/>
        <v>23.923076923076927</v>
      </c>
      <c r="M81" s="65">
        <f>prodnorm29</f>
        <v>0</v>
      </c>
      <c r="N81" s="66">
        <f>dagwerk29</f>
        <v>0</v>
      </c>
      <c r="O81" s="62" t="s">
        <v>36</v>
      </c>
      <c r="P81" s="67">
        <f>uurtarief29</f>
        <v>0</v>
      </c>
      <c r="Q81" s="64" t="e">
        <f t="shared" si="13"/>
        <v>#DIV/0!</v>
      </c>
      <c r="R81" s="64" t="e">
        <f t="shared" si="14"/>
        <v>#DIV/0!</v>
      </c>
      <c r="S81" s="67" t="e">
        <f t="shared" si="15"/>
        <v>#DIV/0!</v>
      </c>
      <c r="T81" s="64" t="e">
        <f t="shared" si="16"/>
        <v>#DIV/0!</v>
      </c>
      <c r="U81" s="68" t="e">
        <f t="shared" si="17"/>
        <v>#DIV/0!</v>
      </c>
    </row>
    <row r="82" spans="1:21" x14ac:dyDescent="0.2">
      <c r="A82" s="61" t="s">
        <v>175</v>
      </c>
      <c r="B82" s="62" t="s">
        <v>176</v>
      </c>
      <c r="C82" s="62" t="s">
        <v>254</v>
      </c>
      <c r="D82" s="62" t="s">
        <v>266</v>
      </c>
      <c r="E82" s="63" t="s">
        <v>225</v>
      </c>
      <c r="F82" s="62" t="s">
        <v>183</v>
      </c>
      <c r="G82" s="62" t="s">
        <v>122</v>
      </c>
      <c r="H82" s="62" t="s">
        <v>16</v>
      </c>
      <c r="I82" s="62" t="s">
        <v>120</v>
      </c>
      <c r="J82" s="62"/>
      <c r="K82" s="64">
        <v>21.7</v>
      </c>
      <c r="L82" s="64">
        <f t="shared" si="12"/>
        <v>3.3384615384615386</v>
      </c>
      <c r="M82" s="65">
        <f>prodnorm11</f>
        <v>0</v>
      </c>
      <c r="N82" s="66">
        <f>dagwerk11</f>
        <v>0</v>
      </c>
      <c r="O82" s="62" t="s">
        <v>36</v>
      </c>
      <c r="P82" s="67">
        <f>uurtarief11</f>
        <v>0</v>
      </c>
      <c r="Q82" s="64" t="e">
        <f t="shared" si="13"/>
        <v>#DIV/0!</v>
      </c>
      <c r="R82" s="64" t="e">
        <f t="shared" si="14"/>
        <v>#DIV/0!</v>
      </c>
      <c r="S82" s="67" t="e">
        <f t="shared" si="15"/>
        <v>#DIV/0!</v>
      </c>
      <c r="T82" s="64" t="e">
        <f t="shared" si="16"/>
        <v>#DIV/0!</v>
      </c>
      <c r="U82" s="68" t="e">
        <f t="shared" si="17"/>
        <v>#DIV/0!</v>
      </c>
    </row>
    <row r="83" spans="1:21" x14ac:dyDescent="0.2">
      <c r="A83" s="61" t="s">
        <v>175</v>
      </c>
      <c r="B83" s="62" t="s">
        <v>176</v>
      </c>
      <c r="C83" s="62" t="s">
        <v>254</v>
      </c>
      <c r="D83" s="62" t="s">
        <v>266</v>
      </c>
      <c r="E83" s="63" t="s">
        <v>225</v>
      </c>
      <c r="F83" s="62" t="s">
        <v>183</v>
      </c>
      <c r="G83" s="62" t="s">
        <v>160</v>
      </c>
      <c r="H83" s="62" t="s">
        <v>12</v>
      </c>
      <c r="I83" s="62" t="s">
        <v>120</v>
      </c>
      <c r="J83" s="62"/>
      <c r="K83" s="64">
        <v>21.7</v>
      </c>
      <c r="L83" s="64">
        <f t="shared" si="12"/>
        <v>13.353846153846154</v>
      </c>
      <c r="M83" s="65">
        <f>prodnorm33</f>
        <v>0</v>
      </c>
      <c r="N83" s="66">
        <f>dagwerk33</f>
        <v>0</v>
      </c>
      <c r="O83" s="62" t="s">
        <v>36</v>
      </c>
      <c r="P83" s="67">
        <f>uurtarief33</f>
        <v>0</v>
      </c>
      <c r="Q83" s="64" t="e">
        <f t="shared" si="13"/>
        <v>#DIV/0!</v>
      </c>
      <c r="R83" s="64" t="e">
        <f t="shared" si="14"/>
        <v>#DIV/0!</v>
      </c>
      <c r="S83" s="67" t="e">
        <f t="shared" si="15"/>
        <v>#DIV/0!</v>
      </c>
      <c r="T83" s="64" t="e">
        <f t="shared" si="16"/>
        <v>#DIV/0!</v>
      </c>
      <c r="U83" s="68" t="e">
        <f t="shared" si="17"/>
        <v>#DIV/0!</v>
      </c>
    </row>
    <row r="84" spans="1:21" x14ac:dyDescent="0.2">
      <c r="A84" s="61" t="s">
        <v>175</v>
      </c>
      <c r="B84" s="62" t="s">
        <v>176</v>
      </c>
      <c r="C84" s="62" t="s">
        <v>254</v>
      </c>
      <c r="D84" s="62" t="s">
        <v>267</v>
      </c>
      <c r="E84" s="63" t="s">
        <v>189</v>
      </c>
      <c r="F84" s="62" t="s">
        <v>190</v>
      </c>
      <c r="G84" s="62" t="s">
        <v>154</v>
      </c>
      <c r="H84" s="62" t="s">
        <v>11</v>
      </c>
      <c r="I84" s="62" t="s">
        <v>120</v>
      </c>
      <c r="J84" s="62"/>
      <c r="K84" s="64">
        <v>7.28</v>
      </c>
      <c r="L84" s="64">
        <f t="shared" si="12"/>
        <v>5.6000000000000005</v>
      </c>
      <c r="M84" s="65">
        <f>prodnorm29</f>
        <v>0</v>
      </c>
      <c r="N84" s="66">
        <f>dagwerk29</f>
        <v>0</v>
      </c>
      <c r="O84" s="62" t="s">
        <v>36</v>
      </c>
      <c r="P84" s="67">
        <f>uurtarief29</f>
        <v>0</v>
      </c>
      <c r="Q84" s="64" t="e">
        <f t="shared" si="13"/>
        <v>#DIV/0!</v>
      </c>
      <c r="R84" s="64" t="e">
        <f t="shared" si="14"/>
        <v>#DIV/0!</v>
      </c>
      <c r="S84" s="67" t="e">
        <f t="shared" si="15"/>
        <v>#DIV/0!</v>
      </c>
      <c r="T84" s="64" t="e">
        <f t="shared" si="16"/>
        <v>#DIV/0!</v>
      </c>
      <c r="U84" s="68" t="e">
        <f t="shared" si="17"/>
        <v>#DIV/0!</v>
      </c>
    </row>
    <row r="85" spans="1:21" x14ac:dyDescent="0.2">
      <c r="A85" s="61" t="s">
        <v>175</v>
      </c>
      <c r="B85" s="62" t="s">
        <v>176</v>
      </c>
      <c r="C85" s="62" t="s">
        <v>254</v>
      </c>
      <c r="D85" s="62" t="s">
        <v>268</v>
      </c>
      <c r="E85" s="63" t="s">
        <v>189</v>
      </c>
      <c r="F85" s="62" t="s">
        <v>190</v>
      </c>
      <c r="G85" s="62" t="s">
        <v>154</v>
      </c>
      <c r="H85" s="62" t="s">
        <v>11</v>
      </c>
      <c r="I85" s="62" t="s">
        <v>120</v>
      </c>
      <c r="J85" s="62"/>
      <c r="K85" s="64">
        <v>59.339999999999996</v>
      </c>
      <c r="L85" s="64">
        <f t="shared" si="12"/>
        <v>45.646153846153844</v>
      </c>
      <c r="M85" s="65">
        <f>prodnorm29</f>
        <v>0</v>
      </c>
      <c r="N85" s="66">
        <f>dagwerk29</f>
        <v>0</v>
      </c>
      <c r="O85" s="62" t="s">
        <v>36</v>
      </c>
      <c r="P85" s="67">
        <f>uurtarief29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5"/>
        <v>#DIV/0!</v>
      </c>
      <c r="T85" s="64" t="e">
        <f t="shared" si="16"/>
        <v>#DIV/0!</v>
      </c>
      <c r="U85" s="68" t="e">
        <f t="shared" si="17"/>
        <v>#DIV/0!</v>
      </c>
    </row>
    <row r="86" spans="1:21" x14ac:dyDescent="0.2">
      <c r="A86" s="61" t="s">
        <v>175</v>
      </c>
      <c r="B86" s="62" t="s">
        <v>176</v>
      </c>
      <c r="C86" s="62" t="s">
        <v>254</v>
      </c>
      <c r="D86" s="62" t="s">
        <v>269</v>
      </c>
      <c r="E86" s="63" t="s">
        <v>225</v>
      </c>
      <c r="F86" s="62" t="s">
        <v>183</v>
      </c>
      <c r="G86" s="62" t="s">
        <v>122</v>
      </c>
      <c r="H86" s="62" t="s">
        <v>16</v>
      </c>
      <c r="I86" s="62" t="s">
        <v>120</v>
      </c>
      <c r="J86" s="62"/>
      <c r="K86" s="64">
        <v>21.419999999999998</v>
      </c>
      <c r="L86" s="64">
        <f t="shared" si="12"/>
        <v>3.2953846153846151</v>
      </c>
      <c r="M86" s="65">
        <f>prodnorm11</f>
        <v>0</v>
      </c>
      <c r="N86" s="66">
        <f>dagwerk11</f>
        <v>0</v>
      </c>
      <c r="O86" s="62" t="s">
        <v>36</v>
      </c>
      <c r="P86" s="67">
        <f>uurtarief11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5"/>
        <v>#DIV/0!</v>
      </c>
      <c r="T86" s="64" t="e">
        <f t="shared" si="16"/>
        <v>#DIV/0!</v>
      </c>
      <c r="U86" s="68" t="e">
        <f t="shared" si="17"/>
        <v>#DIV/0!</v>
      </c>
    </row>
    <row r="87" spans="1:21" x14ac:dyDescent="0.2">
      <c r="A87" s="61" t="s">
        <v>175</v>
      </c>
      <c r="B87" s="62" t="s">
        <v>176</v>
      </c>
      <c r="C87" s="62" t="s">
        <v>254</v>
      </c>
      <c r="D87" s="62" t="s">
        <v>269</v>
      </c>
      <c r="E87" s="63" t="s">
        <v>225</v>
      </c>
      <c r="F87" s="62" t="s">
        <v>183</v>
      </c>
      <c r="G87" s="62" t="s">
        <v>160</v>
      </c>
      <c r="H87" s="62" t="s">
        <v>12</v>
      </c>
      <c r="I87" s="62" t="s">
        <v>120</v>
      </c>
      <c r="J87" s="62"/>
      <c r="K87" s="64">
        <v>21.419999999999998</v>
      </c>
      <c r="L87" s="64">
        <f t="shared" si="12"/>
        <v>13.181538461538461</v>
      </c>
      <c r="M87" s="65">
        <f>prodnorm33</f>
        <v>0</v>
      </c>
      <c r="N87" s="66">
        <f>dagwerk33</f>
        <v>0</v>
      </c>
      <c r="O87" s="62" t="s">
        <v>36</v>
      </c>
      <c r="P87" s="67">
        <f>uurtarief33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5"/>
        <v>#DIV/0!</v>
      </c>
      <c r="T87" s="64" t="e">
        <f t="shared" si="16"/>
        <v>#DIV/0!</v>
      </c>
      <c r="U87" s="68" t="e">
        <f t="shared" si="17"/>
        <v>#DIV/0!</v>
      </c>
    </row>
    <row r="88" spans="1:21" x14ac:dyDescent="0.2">
      <c r="A88" s="61" t="s">
        <v>175</v>
      </c>
      <c r="B88" s="62" t="s">
        <v>176</v>
      </c>
      <c r="C88" s="62" t="s">
        <v>254</v>
      </c>
      <c r="D88" s="62" t="s">
        <v>270</v>
      </c>
      <c r="E88" s="63" t="s">
        <v>225</v>
      </c>
      <c r="F88" s="62" t="s">
        <v>183</v>
      </c>
      <c r="G88" s="62" t="s">
        <v>122</v>
      </c>
      <c r="H88" s="62" t="s">
        <v>16</v>
      </c>
      <c r="I88" s="62" t="s">
        <v>120</v>
      </c>
      <c r="J88" s="62"/>
      <c r="K88" s="64">
        <v>21.419999999999998</v>
      </c>
      <c r="L88" s="64">
        <f t="shared" si="12"/>
        <v>3.2953846153846151</v>
      </c>
      <c r="M88" s="65">
        <f>prodnorm11</f>
        <v>0</v>
      </c>
      <c r="N88" s="66">
        <f>dagwerk11</f>
        <v>0</v>
      </c>
      <c r="O88" s="62" t="s">
        <v>36</v>
      </c>
      <c r="P88" s="67">
        <f>uurtarief11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5"/>
        <v>#DIV/0!</v>
      </c>
      <c r="T88" s="64" t="e">
        <f t="shared" si="16"/>
        <v>#DIV/0!</v>
      </c>
      <c r="U88" s="68" t="e">
        <f t="shared" si="17"/>
        <v>#DIV/0!</v>
      </c>
    </row>
    <row r="89" spans="1:21" x14ac:dyDescent="0.2">
      <c r="A89" s="61" t="s">
        <v>175</v>
      </c>
      <c r="B89" s="62" t="s">
        <v>176</v>
      </c>
      <c r="C89" s="62" t="s">
        <v>254</v>
      </c>
      <c r="D89" s="62" t="s">
        <v>270</v>
      </c>
      <c r="E89" s="63" t="s">
        <v>225</v>
      </c>
      <c r="F89" s="62" t="s">
        <v>183</v>
      </c>
      <c r="G89" s="62" t="s">
        <v>160</v>
      </c>
      <c r="H89" s="62" t="s">
        <v>12</v>
      </c>
      <c r="I89" s="62" t="s">
        <v>120</v>
      </c>
      <c r="J89" s="62"/>
      <c r="K89" s="64">
        <v>21.419999999999998</v>
      </c>
      <c r="L89" s="64">
        <f t="shared" si="12"/>
        <v>13.181538461538461</v>
      </c>
      <c r="M89" s="65">
        <f>prodnorm33</f>
        <v>0</v>
      </c>
      <c r="N89" s="66">
        <f>dagwerk33</f>
        <v>0</v>
      </c>
      <c r="O89" s="62" t="s">
        <v>36</v>
      </c>
      <c r="P89" s="67">
        <f>uurtarief33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5"/>
        <v>#DIV/0!</v>
      </c>
      <c r="T89" s="64" t="e">
        <f t="shared" si="16"/>
        <v>#DIV/0!</v>
      </c>
      <c r="U89" s="68" t="e">
        <f t="shared" si="17"/>
        <v>#DIV/0!</v>
      </c>
    </row>
    <row r="90" spans="1:21" x14ac:dyDescent="0.2">
      <c r="A90" s="61" t="s">
        <v>175</v>
      </c>
      <c r="B90" s="62" t="s">
        <v>176</v>
      </c>
      <c r="C90" s="62" t="s">
        <v>254</v>
      </c>
      <c r="D90" s="62" t="s">
        <v>271</v>
      </c>
      <c r="E90" s="63" t="s">
        <v>225</v>
      </c>
      <c r="F90" s="62" t="s">
        <v>183</v>
      </c>
      <c r="G90" s="62" t="s">
        <v>122</v>
      </c>
      <c r="H90" s="62" t="s">
        <v>16</v>
      </c>
      <c r="I90" s="62" t="s">
        <v>120</v>
      </c>
      <c r="J90" s="62"/>
      <c r="K90" s="64">
        <v>21.419999999999998</v>
      </c>
      <c r="L90" s="64">
        <f t="shared" si="12"/>
        <v>3.2953846153846151</v>
      </c>
      <c r="M90" s="65">
        <f>prodnorm11</f>
        <v>0</v>
      </c>
      <c r="N90" s="66">
        <f>dagwerk11</f>
        <v>0</v>
      </c>
      <c r="O90" s="62" t="s">
        <v>36</v>
      </c>
      <c r="P90" s="67">
        <f>uurtarief11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5"/>
        <v>#DIV/0!</v>
      </c>
      <c r="T90" s="64" t="e">
        <f t="shared" si="16"/>
        <v>#DIV/0!</v>
      </c>
      <c r="U90" s="68" t="e">
        <f t="shared" si="17"/>
        <v>#DIV/0!</v>
      </c>
    </row>
    <row r="91" spans="1:21" x14ac:dyDescent="0.2">
      <c r="A91" s="61" t="s">
        <v>175</v>
      </c>
      <c r="B91" s="62" t="s">
        <v>176</v>
      </c>
      <c r="C91" s="62" t="s">
        <v>254</v>
      </c>
      <c r="D91" s="62" t="s">
        <v>271</v>
      </c>
      <c r="E91" s="63" t="s">
        <v>225</v>
      </c>
      <c r="F91" s="62" t="s">
        <v>183</v>
      </c>
      <c r="G91" s="62" t="s">
        <v>160</v>
      </c>
      <c r="H91" s="62" t="s">
        <v>12</v>
      </c>
      <c r="I91" s="62" t="s">
        <v>120</v>
      </c>
      <c r="J91" s="62"/>
      <c r="K91" s="64">
        <v>21.419999999999998</v>
      </c>
      <c r="L91" s="64">
        <f t="shared" si="12"/>
        <v>13.181538461538461</v>
      </c>
      <c r="M91" s="65">
        <f>prodnorm33</f>
        <v>0</v>
      </c>
      <c r="N91" s="66">
        <f>dagwerk33</f>
        <v>0</v>
      </c>
      <c r="O91" s="62" t="s">
        <v>36</v>
      </c>
      <c r="P91" s="67">
        <f>uurtarief33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5"/>
        <v>#DIV/0!</v>
      </c>
      <c r="T91" s="64" t="e">
        <f t="shared" si="16"/>
        <v>#DIV/0!</v>
      </c>
      <c r="U91" s="68" t="e">
        <f t="shared" si="17"/>
        <v>#DIV/0!</v>
      </c>
    </row>
    <row r="92" spans="1:21" x14ac:dyDescent="0.2">
      <c r="A92" s="61" t="s">
        <v>175</v>
      </c>
      <c r="B92" s="62" t="s">
        <v>176</v>
      </c>
      <c r="C92" s="62" t="s">
        <v>254</v>
      </c>
      <c r="D92" s="62" t="s">
        <v>272</v>
      </c>
      <c r="E92" s="63" t="s">
        <v>218</v>
      </c>
      <c r="F92" s="62" t="s">
        <v>190</v>
      </c>
      <c r="G92" s="62" t="s">
        <v>132</v>
      </c>
      <c r="H92" s="62" t="s">
        <v>12</v>
      </c>
      <c r="I92" s="62" t="s">
        <v>120</v>
      </c>
      <c r="J92" s="62"/>
      <c r="K92" s="64">
        <v>48.48</v>
      </c>
      <c r="L92" s="64">
        <f t="shared" si="12"/>
        <v>29.833846153846153</v>
      </c>
      <c r="M92" s="65">
        <f>prodnorm17</f>
        <v>0</v>
      </c>
      <c r="N92" s="66">
        <f>dagwerk17</f>
        <v>0</v>
      </c>
      <c r="O92" s="62" t="s">
        <v>36</v>
      </c>
      <c r="P92" s="67">
        <f>uurtarief17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5"/>
        <v>#DIV/0!</v>
      </c>
      <c r="T92" s="64" t="e">
        <f t="shared" si="16"/>
        <v>#DIV/0!</v>
      </c>
      <c r="U92" s="68" t="e">
        <f t="shared" si="17"/>
        <v>#DIV/0!</v>
      </c>
    </row>
    <row r="93" spans="1:21" x14ac:dyDescent="0.2">
      <c r="A93" s="61" t="s">
        <v>175</v>
      </c>
      <c r="B93" s="62" t="s">
        <v>176</v>
      </c>
      <c r="C93" s="62" t="s">
        <v>254</v>
      </c>
      <c r="D93" s="62" t="s">
        <v>273</v>
      </c>
      <c r="E93" s="63" t="s">
        <v>218</v>
      </c>
      <c r="F93" s="62" t="s">
        <v>190</v>
      </c>
      <c r="G93" s="62" t="s">
        <v>132</v>
      </c>
      <c r="H93" s="62" t="s">
        <v>12</v>
      </c>
      <c r="I93" s="62" t="s">
        <v>120</v>
      </c>
      <c r="J93" s="62"/>
      <c r="K93" s="64">
        <v>48.48</v>
      </c>
      <c r="L93" s="64">
        <f t="shared" si="12"/>
        <v>29.833846153846153</v>
      </c>
      <c r="M93" s="65">
        <f>prodnorm17</f>
        <v>0</v>
      </c>
      <c r="N93" s="66">
        <f>dagwerk17</f>
        <v>0</v>
      </c>
      <c r="O93" s="62" t="s">
        <v>36</v>
      </c>
      <c r="P93" s="67">
        <f>uurtarief17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5"/>
        <v>#DIV/0!</v>
      </c>
      <c r="T93" s="64" t="e">
        <f t="shared" si="16"/>
        <v>#DIV/0!</v>
      </c>
      <c r="U93" s="68" t="e">
        <f t="shared" si="17"/>
        <v>#DIV/0!</v>
      </c>
    </row>
    <row r="94" spans="1:21" x14ac:dyDescent="0.2">
      <c r="A94" s="61" t="s">
        <v>175</v>
      </c>
      <c r="B94" s="62" t="s">
        <v>176</v>
      </c>
      <c r="C94" s="62" t="s">
        <v>254</v>
      </c>
      <c r="D94" s="62" t="s">
        <v>274</v>
      </c>
      <c r="E94" s="63" t="s">
        <v>218</v>
      </c>
      <c r="F94" s="62" t="s">
        <v>190</v>
      </c>
      <c r="G94" s="62" t="s">
        <v>132</v>
      </c>
      <c r="H94" s="62" t="s">
        <v>12</v>
      </c>
      <c r="I94" s="62" t="s">
        <v>120</v>
      </c>
      <c r="J94" s="62"/>
      <c r="K94" s="64">
        <v>53</v>
      </c>
      <c r="L94" s="64">
        <f t="shared" si="12"/>
        <v>32.61538461538462</v>
      </c>
      <c r="M94" s="65">
        <f>prodnorm17</f>
        <v>0</v>
      </c>
      <c r="N94" s="66">
        <f>dagwerk17</f>
        <v>0</v>
      </c>
      <c r="O94" s="62" t="s">
        <v>36</v>
      </c>
      <c r="P94" s="67">
        <f>uurtarief17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5"/>
        <v>#DIV/0!</v>
      </c>
      <c r="T94" s="64" t="e">
        <f t="shared" si="16"/>
        <v>#DIV/0!</v>
      </c>
      <c r="U94" s="68" t="e">
        <f t="shared" si="17"/>
        <v>#DIV/0!</v>
      </c>
    </row>
    <row r="95" spans="1:21" x14ac:dyDescent="0.2">
      <c r="A95" s="61" t="s">
        <v>175</v>
      </c>
      <c r="B95" s="62" t="s">
        <v>176</v>
      </c>
      <c r="C95" s="62" t="s">
        <v>254</v>
      </c>
      <c r="D95" s="62" t="s">
        <v>275</v>
      </c>
      <c r="E95" s="63" t="s">
        <v>189</v>
      </c>
      <c r="F95" s="62" t="s">
        <v>190</v>
      </c>
      <c r="G95" s="62" t="s">
        <v>154</v>
      </c>
      <c r="H95" s="62" t="s">
        <v>11</v>
      </c>
      <c r="I95" s="62" t="s">
        <v>120</v>
      </c>
      <c r="J95" s="62"/>
      <c r="K95" s="64">
        <v>19.71</v>
      </c>
      <c r="L95" s="64">
        <f t="shared" si="12"/>
        <v>15.161538461538463</v>
      </c>
      <c r="M95" s="65">
        <f>prodnorm29</f>
        <v>0</v>
      </c>
      <c r="N95" s="66">
        <f>dagwerk29</f>
        <v>0</v>
      </c>
      <c r="O95" s="62" t="s">
        <v>36</v>
      </c>
      <c r="P95" s="67">
        <f>uurtarief29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5"/>
        <v>#DIV/0!</v>
      </c>
      <c r="T95" s="64" t="e">
        <f t="shared" si="16"/>
        <v>#DIV/0!</v>
      </c>
      <c r="U95" s="68" t="e">
        <f t="shared" si="17"/>
        <v>#DIV/0!</v>
      </c>
    </row>
    <row r="96" spans="1:21" x14ac:dyDescent="0.2">
      <c r="A96" s="61" t="s">
        <v>175</v>
      </c>
      <c r="B96" s="62" t="s">
        <v>176</v>
      </c>
      <c r="C96" s="62" t="s">
        <v>254</v>
      </c>
      <c r="D96" s="62" t="s">
        <v>276</v>
      </c>
      <c r="E96" s="63" t="s">
        <v>225</v>
      </c>
      <c r="F96" s="62" t="s">
        <v>190</v>
      </c>
      <c r="G96" s="62" t="s">
        <v>119</v>
      </c>
      <c r="H96" s="62" t="s">
        <v>16</v>
      </c>
      <c r="I96" s="62" t="s">
        <v>120</v>
      </c>
      <c r="J96" s="62"/>
      <c r="K96" s="64">
        <v>9.44</v>
      </c>
      <c r="L96" s="64">
        <f t="shared" si="12"/>
        <v>1.4523076923076923</v>
      </c>
      <c r="M96" s="65">
        <f>prodnorm9</f>
        <v>0</v>
      </c>
      <c r="N96" s="66">
        <f>dagwerk9</f>
        <v>0</v>
      </c>
      <c r="O96" s="62" t="s">
        <v>36</v>
      </c>
      <c r="P96" s="67">
        <f>uurtarief9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5"/>
        <v>#DIV/0!</v>
      </c>
      <c r="T96" s="64" t="e">
        <f t="shared" si="16"/>
        <v>#DIV/0!</v>
      </c>
      <c r="U96" s="68" t="e">
        <f t="shared" si="17"/>
        <v>#DIV/0!</v>
      </c>
    </row>
    <row r="97" spans="1:21" x14ac:dyDescent="0.2">
      <c r="A97" s="61" t="s">
        <v>175</v>
      </c>
      <c r="B97" s="62" t="s">
        <v>176</v>
      </c>
      <c r="C97" s="62" t="s">
        <v>254</v>
      </c>
      <c r="D97" s="62" t="s">
        <v>276</v>
      </c>
      <c r="E97" s="63" t="s">
        <v>225</v>
      </c>
      <c r="F97" s="62" t="s">
        <v>190</v>
      </c>
      <c r="G97" s="62" t="s">
        <v>160</v>
      </c>
      <c r="H97" s="62" t="s">
        <v>12</v>
      </c>
      <c r="I97" s="62" t="s">
        <v>120</v>
      </c>
      <c r="J97" s="62"/>
      <c r="K97" s="64">
        <v>9.44</v>
      </c>
      <c r="L97" s="64">
        <f t="shared" si="12"/>
        <v>5.8092307692307692</v>
      </c>
      <c r="M97" s="65">
        <f>prodnorm33</f>
        <v>0</v>
      </c>
      <c r="N97" s="66">
        <f>dagwerk33</f>
        <v>0</v>
      </c>
      <c r="O97" s="62" t="s">
        <v>36</v>
      </c>
      <c r="P97" s="67">
        <f>uurtarief33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5"/>
        <v>#DIV/0!</v>
      </c>
      <c r="T97" s="64" t="e">
        <f t="shared" si="16"/>
        <v>#DIV/0!</v>
      </c>
      <c r="U97" s="68" t="e">
        <f t="shared" si="17"/>
        <v>#DIV/0!</v>
      </c>
    </row>
    <row r="98" spans="1:21" x14ac:dyDescent="0.2">
      <c r="A98" s="61" t="s">
        <v>175</v>
      </c>
      <c r="B98" s="62" t="s">
        <v>176</v>
      </c>
      <c r="C98" s="62" t="s">
        <v>254</v>
      </c>
      <c r="D98" s="62" t="s">
        <v>277</v>
      </c>
      <c r="E98" s="63" t="s">
        <v>218</v>
      </c>
      <c r="F98" s="62" t="s">
        <v>190</v>
      </c>
      <c r="G98" s="62" t="s">
        <v>132</v>
      </c>
      <c r="H98" s="62" t="s">
        <v>12</v>
      </c>
      <c r="I98" s="62" t="s">
        <v>120</v>
      </c>
      <c r="J98" s="62"/>
      <c r="K98" s="64">
        <v>52.32</v>
      </c>
      <c r="L98" s="64">
        <f t="shared" si="12"/>
        <v>32.196923076923078</v>
      </c>
      <c r="M98" s="65">
        <f>prodnorm17</f>
        <v>0</v>
      </c>
      <c r="N98" s="66">
        <f>dagwerk17</f>
        <v>0</v>
      </c>
      <c r="O98" s="62" t="s">
        <v>36</v>
      </c>
      <c r="P98" s="67">
        <f>uurtarief17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5"/>
        <v>#DIV/0!</v>
      </c>
      <c r="T98" s="64" t="e">
        <f t="shared" si="16"/>
        <v>#DIV/0!</v>
      </c>
      <c r="U98" s="68" t="e">
        <f t="shared" si="17"/>
        <v>#DIV/0!</v>
      </c>
    </row>
    <row r="99" spans="1:21" x14ac:dyDescent="0.2">
      <c r="A99" s="61" t="s">
        <v>175</v>
      </c>
      <c r="B99" s="62" t="s">
        <v>176</v>
      </c>
      <c r="C99" s="62" t="s">
        <v>254</v>
      </c>
      <c r="D99" s="62" t="s">
        <v>278</v>
      </c>
      <c r="E99" s="63" t="s">
        <v>218</v>
      </c>
      <c r="F99" s="62" t="s">
        <v>190</v>
      </c>
      <c r="G99" s="62" t="s">
        <v>132</v>
      </c>
      <c r="H99" s="62" t="s">
        <v>12</v>
      </c>
      <c r="I99" s="62" t="s">
        <v>120</v>
      </c>
      <c r="J99" s="62"/>
      <c r="K99" s="64">
        <v>43.339999999999996</v>
      </c>
      <c r="L99" s="64">
        <f t="shared" si="12"/>
        <v>26.670769230769231</v>
      </c>
      <c r="M99" s="65">
        <f>prodnorm17</f>
        <v>0</v>
      </c>
      <c r="N99" s="66">
        <f>dagwerk17</f>
        <v>0</v>
      </c>
      <c r="O99" s="62" t="s">
        <v>36</v>
      </c>
      <c r="P99" s="67">
        <f>uurtarief17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5"/>
        <v>#DIV/0!</v>
      </c>
      <c r="T99" s="64" t="e">
        <f t="shared" si="16"/>
        <v>#DIV/0!</v>
      </c>
      <c r="U99" s="68" t="e">
        <f t="shared" si="17"/>
        <v>#DIV/0!</v>
      </c>
    </row>
    <row r="100" spans="1:21" x14ac:dyDescent="0.2">
      <c r="A100" s="61" t="s">
        <v>175</v>
      </c>
      <c r="B100" s="62" t="s">
        <v>176</v>
      </c>
      <c r="C100" s="62" t="s">
        <v>254</v>
      </c>
      <c r="D100" s="62" t="s">
        <v>279</v>
      </c>
      <c r="E100" s="63" t="s">
        <v>202</v>
      </c>
      <c r="F100" s="62" t="s">
        <v>203</v>
      </c>
      <c r="G100" s="62" t="s">
        <v>146</v>
      </c>
      <c r="H100" s="62" t="s">
        <v>11</v>
      </c>
      <c r="I100" s="62" t="s">
        <v>120</v>
      </c>
      <c r="J100" s="62"/>
      <c r="K100" s="64">
        <v>7.1</v>
      </c>
      <c r="L100" s="64">
        <f t="shared" si="12"/>
        <v>5.4615384615384617</v>
      </c>
      <c r="M100" s="65">
        <f>prodnorm25</f>
        <v>0</v>
      </c>
      <c r="N100" s="66">
        <f>dagwerk25</f>
        <v>0</v>
      </c>
      <c r="O100" s="62" t="s">
        <v>36</v>
      </c>
      <c r="P100" s="67">
        <f>uurtarief25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5"/>
        <v>#DIV/0!</v>
      </c>
      <c r="T100" s="64" t="e">
        <f t="shared" si="16"/>
        <v>#DIV/0!</v>
      </c>
      <c r="U100" s="68" t="e">
        <f t="shared" si="17"/>
        <v>#DIV/0!</v>
      </c>
    </row>
    <row r="101" spans="1:21" x14ac:dyDescent="0.2">
      <c r="A101" s="61" t="s">
        <v>175</v>
      </c>
      <c r="B101" s="62" t="s">
        <v>176</v>
      </c>
      <c r="C101" s="62" t="s">
        <v>254</v>
      </c>
      <c r="D101" s="62" t="s">
        <v>280</v>
      </c>
      <c r="E101" s="63" t="s">
        <v>202</v>
      </c>
      <c r="F101" s="62" t="s">
        <v>203</v>
      </c>
      <c r="G101" s="62" t="s">
        <v>146</v>
      </c>
      <c r="H101" s="62" t="s">
        <v>11</v>
      </c>
      <c r="I101" s="62" t="s">
        <v>120</v>
      </c>
      <c r="J101" s="62"/>
      <c r="K101" s="64">
        <v>5.92</v>
      </c>
      <c r="L101" s="64">
        <f t="shared" ref="L101:L132" si="18">K101*VLOOKUP(H101,dagsoorttabel1,2,FALSE)</f>
        <v>4.5538461538461537</v>
      </c>
      <c r="M101" s="65">
        <f>prodnorm25</f>
        <v>0</v>
      </c>
      <c r="N101" s="66">
        <f>dagwerk25</f>
        <v>0</v>
      </c>
      <c r="O101" s="62" t="s">
        <v>36</v>
      </c>
      <c r="P101" s="67">
        <f>uurtarief25</f>
        <v>0</v>
      </c>
      <c r="Q101" s="64" t="e">
        <f t="shared" ref="Q101:Q132" si="19">IF(ISBLANK(M101),0,L101/ROUND(M101,4))</f>
        <v>#DIV/0!</v>
      </c>
      <c r="R101" s="64" t="e">
        <f t="shared" ref="R101:R132" si="20">IF(ISBLANK(M101),0,Q101*ROUND(N101,2))</f>
        <v>#DIV/0!</v>
      </c>
      <c r="S101" s="67" t="e">
        <f t="shared" ref="S101:S132" si="21">ROUND(P101,2)*Q101</f>
        <v>#DIV/0!</v>
      </c>
      <c r="T101" s="64" t="e">
        <f t="shared" ref="T101:T132" si="22">Q101*dagenperjaar1</f>
        <v>#DIV/0!</v>
      </c>
      <c r="U101" s="68" t="e">
        <f t="shared" ref="U101:U132" si="23">T101*ROUND(P101,2)</f>
        <v>#DIV/0!</v>
      </c>
    </row>
    <row r="102" spans="1:21" x14ac:dyDescent="0.2">
      <c r="A102" s="61" t="s">
        <v>175</v>
      </c>
      <c r="B102" s="62" t="s">
        <v>176</v>
      </c>
      <c r="C102" s="62" t="s">
        <v>254</v>
      </c>
      <c r="D102" s="62" t="s">
        <v>281</v>
      </c>
      <c r="E102" s="63" t="s">
        <v>189</v>
      </c>
      <c r="F102" s="62" t="s">
        <v>190</v>
      </c>
      <c r="G102" s="62" t="s">
        <v>154</v>
      </c>
      <c r="H102" s="62" t="s">
        <v>11</v>
      </c>
      <c r="I102" s="62" t="s">
        <v>120</v>
      </c>
      <c r="J102" s="62"/>
      <c r="K102" s="64">
        <v>274.5</v>
      </c>
      <c r="L102" s="64">
        <f t="shared" si="18"/>
        <v>211.15384615384616</v>
      </c>
      <c r="M102" s="65">
        <f>prodnorm29</f>
        <v>0</v>
      </c>
      <c r="N102" s="66">
        <f>dagwerk29</f>
        <v>0</v>
      </c>
      <c r="O102" s="62" t="s">
        <v>36</v>
      </c>
      <c r="P102" s="67">
        <f>uurtarief29</f>
        <v>0</v>
      </c>
      <c r="Q102" s="64" t="e">
        <f t="shared" si="19"/>
        <v>#DIV/0!</v>
      </c>
      <c r="R102" s="64" t="e">
        <f t="shared" si="20"/>
        <v>#DIV/0!</v>
      </c>
      <c r="S102" s="67" t="e">
        <f t="shared" si="21"/>
        <v>#DIV/0!</v>
      </c>
      <c r="T102" s="64" t="e">
        <f t="shared" si="22"/>
        <v>#DIV/0!</v>
      </c>
      <c r="U102" s="68" t="e">
        <f t="shared" si="23"/>
        <v>#DIV/0!</v>
      </c>
    </row>
    <row r="103" spans="1:21" x14ac:dyDescent="0.2">
      <c r="A103" s="61" t="s">
        <v>175</v>
      </c>
      <c r="B103" s="62" t="s">
        <v>176</v>
      </c>
      <c r="C103" s="62" t="s">
        <v>254</v>
      </c>
      <c r="D103" s="62" t="s">
        <v>282</v>
      </c>
      <c r="E103" s="63" t="s">
        <v>218</v>
      </c>
      <c r="F103" s="62" t="s">
        <v>190</v>
      </c>
      <c r="G103" s="62" t="s">
        <v>132</v>
      </c>
      <c r="H103" s="62" t="s">
        <v>12</v>
      </c>
      <c r="I103" s="62" t="s">
        <v>120</v>
      </c>
      <c r="J103" s="62"/>
      <c r="K103" s="64">
        <v>44.720000000000006</v>
      </c>
      <c r="L103" s="64">
        <f t="shared" si="18"/>
        <v>27.520000000000007</v>
      </c>
      <c r="M103" s="65">
        <f>prodnorm17</f>
        <v>0</v>
      </c>
      <c r="N103" s="66">
        <f>dagwerk17</f>
        <v>0</v>
      </c>
      <c r="O103" s="62" t="s">
        <v>36</v>
      </c>
      <c r="P103" s="67">
        <f>uurtarief17</f>
        <v>0</v>
      </c>
      <c r="Q103" s="64" t="e">
        <f t="shared" si="19"/>
        <v>#DIV/0!</v>
      </c>
      <c r="R103" s="64" t="e">
        <f t="shared" si="20"/>
        <v>#DIV/0!</v>
      </c>
      <c r="S103" s="67" t="e">
        <f t="shared" si="21"/>
        <v>#DIV/0!</v>
      </c>
      <c r="T103" s="64" t="e">
        <f t="shared" si="22"/>
        <v>#DIV/0!</v>
      </c>
      <c r="U103" s="68" t="e">
        <f t="shared" si="23"/>
        <v>#DIV/0!</v>
      </c>
    </row>
    <row r="104" spans="1:21" x14ac:dyDescent="0.2">
      <c r="A104" s="61" t="s">
        <v>175</v>
      </c>
      <c r="B104" s="62" t="s">
        <v>176</v>
      </c>
      <c r="C104" s="62" t="s">
        <v>254</v>
      </c>
      <c r="D104" s="62" t="s">
        <v>283</v>
      </c>
      <c r="E104" s="63" t="s">
        <v>195</v>
      </c>
      <c r="F104" s="62" t="s">
        <v>190</v>
      </c>
      <c r="G104" s="62" t="s">
        <v>150</v>
      </c>
      <c r="H104" s="62" t="s">
        <v>11</v>
      </c>
      <c r="I104" s="62" t="s">
        <v>120</v>
      </c>
      <c r="J104" s="62"/>
      <c r="K104" s="64">
        <v>6.41</v>
      </c>
      <c r="L104" s="64">
        <f t="shared" si="18"/>
        <v>4.930769230769231</v>
      </c>
      <c r="M104" s="65">
        <f>prodnorm27</f>
        <v>0</v>
      </c>
      <c r="N104" s="66">
        <f>dagwerk27</f>
        <v>0</v>
      </c>
      <c r="O104" s="62" t="s">
        <v>36</v>
      </c>
      <c r="P104" s="67">
        <f>uurtarief27</f>
        <v>0</v>
      </c>
      <c r="Q104" s="64" t="e">
        <f t="shared" si="19"/>
        <v>#DIV/0!</v>
      </c>
      <c r="R104" s="64" t="e">
        <f t="shared" si="20"/>
        <v>#DIV/0!</v>
      </c>
      <c r="S104" s="67" t="e">
        <f t="shared" si="21"/>
        <v>#DIV/0!</v>
      </c>
      <c r="T104" s="64" t="e">
        <f t="shared" si="22"/>
        <v>#DIV/0!</v>
      </c>
      <c r="U104" s="68" t="e">
        <f t="shared" si="23"/>
        <v>#DIV/0!</v>
      </c>
    </row>
    <row r="105" spans="1:21" x14ac:dyDescent="0.2">
      <c r="A105" s="61" t="s">
        <v>175</v>
      </c>
      <c r="B105" s="62" t="s">
        <v>176</v>
      </c>
      <c r="C105" s="62" t="s">
        <v>254</v>
      </c>
      <c r="D105" s="62" t="s">
        <v>284</v>
      </c>
      <c r="E105" s="63" t="s">
        <v>179</v>
      </c>
      <c r="F105" s="62" t="s">
        <v>250</v>
      </c>
      <c r="G105" s="62" t="s">
        <v>150</v>
      </c>
      <c r="H105" s="62" t="s">
        <v>11</v>
      </c>
      <c r="I105" s="62" t="s">
        <v>120</v>
      </c>
      <c r="J105" s="62"/>
      <c r="K105" s="64">
        <v>18.04</v>
      </c>
      <c r="L105" s="64">
        <f t="shared" si="18"/>
        <v>13.876923076923077</v>
      </c>
      <c r="M105" s="65">
        <f>prodnorm27</f>
        <v>0</v>
      </c>
      <c r="N105" s="66">
        <f>dagwerk27</f>
        <v>0</v>
      </c>
      <c r="O105" s="62" t="s">
        <v>36</v>
      </c>
      <c r="P105" s="67">
        <f>uurtarief27</f>
        <v>0</v>
      </c>
      <c r="Q105" s="64" t="e">
        <f t="shared" si="19"/>
        <v>#DIV/0!</v>
      </c>
      <c r="R105" s="64" t="e">
        <f t="shared" si="20"/>
        <v>#DIV/0!</v>
      </c>
      <c r="S105" s="67" t="e">
        <f t="shared" si="21"/>
        <v>#DIV/0!</v>
      </c>
      <c r="T105" s="64" t="e">
        <f t="shared" si="22"/>
        <v>#DIV/0!</v>
      </c>
      <c r="U105" s="68" t="e">
        <f t="shared" si="23"/>
        <v>#DIV/0!</v>
      </c>
    </row>
    <row r="106" spans="1:21" x14ac:dyDescent="0.2">
      <c r="A106" s="61" t="s">
        <v>175</v>
      </c>
      <c r="B106" s="62" t="s">
        <v>176</v>
      </c>
      <c r="C106" s="62" t="s">
        <v>254</v>
      </c>
      <c r="D106" s="62" t="s">
        <v>285</v>
      </c>
      <c r="E106" s="63" t="s">
        <v>218</v>
      </c>
      <c r="F106" s="62" t="s">
        <v>190</v>
      </c>
      <c r="G106" s="62" t="s">
        <v>132</v>
      </c>
      <c r="H106" s="62" t="s">
        <v>12</v>
      </c>
      <c r="I106" s="62" t="s">
        <v>120</v>
      </c>
      <c r="J106" s="62"/>
      <c r="K106" s="64">
        <v>53.53</v>
      </c>
      <c r="L106" s="64">
        <f t="shared" si="18"/>
        <v>32.941538461538464</v>
      </c>
      <c r="M106" s="65">
        <f t="shared" ref="M106:M112" si="24">prodnorm17</f>
        <v>0</v>
      </c>
      <c r="N106" s="66">
        <f t="shared" ref="N106:N112" si="25">dagwerk17</f>
        <v>0</v>
      </c>
      <c r="O106" s="62" t="s">
        <v>36</v>
      </c>
      <c r="P106" s="67">
        <f t="shared" ref="P106:P112" si="26">uurtarief17</f>
        <v>0</v>
      </c>
      <c r="Q106" s="64" t="e">
        <f t="shared" si="19"/>
        <v>#DIV/0!</v>
      </c>
      <c r="R106" s="64" t="e">
        <f t="shared" si="20"/>
        <v>#DIV/0!</v>
      </c>
      <c r="S106" s="67" t="e">
        <f t="shared" si="21"/>
        <v>#DIV/0!</v>
      </c>
      <c r="T106" s="64" t="e">
        <f t="shared" si="22"/>
        <v>#DIV/0!</v>
      </c>
      <c r="U106" s="68" t="e">
        <f t="shared" si="23"/>
        <v>#DIV/0!</v>
      </c>
    </row>
    <row r="107" spans="1:21" x14ac:dyDescent="0.2">
      <c r="A107" s="61" t="s">
        <v>175</v>
      </c>
      <c r="B107" s="62" t="s">
        <v>176</v>
      </c>
      <c r="C107" s="62" t="s">
        <v>254</v>
      </c>
      <c r="D107" s="62" t="s">
        <v>286</v>
      </c>
      <c r="E107" s="63" t="s">
        <v>218</v>
      </c>
      <c r="F107" s="62" t="s">
        <v>190</v>
      </c>
      <c r="G107" s="62" t="s">
        <v>132</v>
      </c>
      <c r="H107" s="62" t="s">
        <v>12</v>
      </c>
      <c r="I107" s="62" t="s">
        <v>120</v>
      </c>
      <c r="J107" s="62"/>
      <c r="K107" s="64">
        <v>53.53</v>
      </c>
      <c r="L107" s="64">
        <f t="shared" si="18"/>
        <v>32.941538461538464</v>
      </c>
      <c r="M107" s="65">
        <f t="shared" si="24"/>
        <v>0</v>
      </c>
      <c r="N107" s="66">
        <f t="shared" si="25"/>
        <v>0</v>
      </c>
      <c r="O107" s="62" t="s">
        <v>36</v>
      </c>
      <c r="P107" s="67">
        <f t="shared" si="26"/>
        <v>0</v>
      </c>
      <c r="Q107" s="64" t="e">
        <f t="shared" si="19"/>
        <v>#DIV/0!</v>
      </c>
      <c r="R107" s="64" t="e">
        <f t="shared" si="20"/>
        <v>#DIV/0!</v>
      </c>
      <c r="S107" s="67" t="e">
        <f t="shared" si="21"/>
        <v>#DIV/0!</v>
      </c>
      <c r="T107" s="64" t="e">
        <f t="shared" si="22"/>
        <v>#DIV/0!</v>
      </c>
      <c r="U107" s="68" t="e">
        <f t="shared" si="23"/>
        <v>#DIV/0!</v>
      </c>
    </row>
    <row r="108" spans="1:21" x14ac:dyDescent="0.2">
      <c r="A108" s="61" t="s">
        <v>175</v>
      </c>
      <c r="B108" s="62" t="s">
        <v>176</v>
      </c>
      <c r="C108" s="62" t="s">
        <v>254</v>
      </c>
      <c r="D108" s="62" t="s">
        <v>287</v>
      </c>
      <c r="E108" s="63" t="s">
        <v>218</v>
      </c>
      <c r="F108" s="62" t="s">
        <v>190</v>
      </c>
      <c r="G108" s="62" t="s">
        <v>132</v>
      </c>
      <c r="H108" s="62" t="s">
        <v>12</v>
      </c>
      <c r="I108" s="62" t="s">
        <v>120</v>
      </c>
      <c r="J108" s="62"/>
      <c r="K108" s="64">
        <v>53.53</v>
      </c>
      <c r="L108" s="64">
        <f t="shared" si="18"/>
        <v>32.941538461538464</v>
      </c>
      <c r="M108" s="65">
        <f t="shared" si="24"/>
        <v>0</v>
      </c>
      <c r="N108" s="66">
        <f t="shared" si="25"/>
        <v>0</v>
      </c>
      <c r="O108" s="62" t="s">
        <v>36</v>
      </c>
      <c r="P108" s="67">
        <f t="shared" si="26"/>
        <v>0</v>
      </c>
      <c r="Q108" s="64" t="e">
        <f t="shared" si="19"/>
        <v>#DIV/0!</v>
      </c>
      <c r="R108" s="64" t="e">
        <f t="shared" si="20"/>
        <v>#DIV/0!</v>
      </c>
      <c r="S108" s="67" t="e">
        <f t="shared" si="21"/>
        <v>#DIV/0!</v>
      </c>
      <c r="T108" s="64" t="e">
        <f t="shared" si="22"/>
        <v>#DIV/0!</v>
      </c>
      <c r="U108" s="68" t="e">
        <f t="shared" si="23"/>
        <v>#DIV/0!</v>
      </c>
    </row>
    <row r="109" spans="1:21" x14ac:dyDescent="0.2">
      <c r="A109" s="61" t="s">
        <v>175</v>
      </c>
      <c r="B109" s="62" t="s">
        <v>176</v>
      </c>
      <c r="C109" s="62" t="s">
        <v>254</v>
      </c>
      <c r="D109" s="62" t="s">
        <v>288</v>
      </c>
      <c r="E109" s="63" t="s">
        <v>218</v>
      </c>
      <c r="F109" s="62" t="s">
        <v>190</v>
      </c>
      <c r="G109" s="62" t="s">
        <v>132</v>
      </c>
      <c r="H109" s="62" t="s">
        <v>12</v>
      </c>
      <c r="I109" s="62" t="s">
        <v>120</v>
      </c>
      <c r="J109" s="62"/>
      <c r="K109" s="64">
        <v>53.53</v>
      </c>
      <c r="L109" s="64">
        <f t="shared" si="18"/>
        <v>32.941538461538464</v>
      </c>
      <c r="M109" s="65">
        <f t="shared" si="24"/>
        <v>0</v>
      </c>
      <c r="N109" s="66">
        <f t="shared" si="25"/>
        <v>0</v>
      </c>
      <c r="O109" s="62" t="s">
        <v>36</v>
      </c>
      <c r="P109" s="67">
        <f t="shared" si="26"/>
        <v>0</v>
      </c>
      <c r="Q109" s="64" t="e">
        <f t="shared" si="19"/>
        <v>#DIV/0!</v>
      </c>
      <c r="R109" s="64" t="e">
        <f t="shared" si="20"/>
        <v>#DIV/0!</v>
      </c>
      <c r="S109" s="67" t="e">
        <f t="shared" si="21"/>
        <v>#DIV/0!</v>
      </c>
      <c r="T109" s="64" t="e">
        <f t="shared" si="22"/>
        <v>#DIV/0!</v>
      </c>
      <c r="U109" s="68" t="e">
        <f t="shared" si="23"/>
        <v>#DIV/0!</v>
      </c>
    </row>
    <row r="110" spans="1:21" x14ac:dyDescent="0.2">
      <c r="A110" s="61" t="s">
        <v>175</v>
      </c>
      <c r="B110" s="62" t="s">
        <v>176</v>
      </c>
      <c r="C110" s="62" t="s">
        <v>254</v>
      </c>
      <c r="D110" s="62" t="s">
        <v>289</v>
      </c>
      <c r="E110" s="63" t="s">
        <v>218</v>
      </c>
      <c r="F110" s="62" t="s">
        <v>190</v>
      </c>
      <c r="G110" s="62" t="s">
        <v>132</v>
      </c>
      <c r="H110" s="62" t="s">
        <v>12</v>
      </c>
      <c r="I110" s="62" t="s">
        <v>120</v>
      </c>
      <c r="J110" s="62"/>
      <c r="K110" s="64">
        <v>53.53</v>
      </c>
      <c r="L110" s="64">
        <f t="shared" si="18"/>
        <v>32.941538461538464</v>
      </c>
      <c r="M110" s="65">
        <f t="shared" si="24"/>
        <v>0</v>
      </c>
      <c r="N110" s="66">
        <f t="shared" si="25"/>
        <v>0</v>
      </c>
      <c r="O110" s="62" t="s">
        <v>36</v>
      </c>
      <c r="P110" s="67">
        <f t="shared" si="26"/>
        <v>0</v>
      </c>
      <c r="Q110" s="64" t="e">
        <f t="shared" si="19"/>
        <v>#DIV/0!</v>
      </c>
      <c r="R110" s="64" t="e">
        <f t="shared" si="20"/>
        <v>#DIV/0!</v>
      </c>
      <c r="S110" s="67" t="e">
        <f t="shared" si="21"/>
        <v>#DIV/0!</v>
      </c>
      <c r="T110" s="64" t="e">
        <f t="shared" si="22"/>
        <v>#DIV/0!</v>
      </c>
      <c r="U110" s="68" t="e">
        <f t="shared" si="23"/>
        <v>#DIV/0!</v>
      </c>
    </row>
    <row r="111" spans="1:21" x14ac:dyDescent="0.2">
      <c r="A111" s="61" t="s">
        <v>175</v>
      </c>
      <c r="B111" s="62" t="s">
        <v>176</v>
      </c>
      <c r="C111" s="62" t="s">
        <v>254</v>
      </c>
      <c r="D111" s="62" t="s">
        <v>290</v>
      </c>
      <c r="E111" s="63" t="s">
        <v>218</v>
      </c>
      <c r="F111" s="62" t="s">
        <v>190</v>
      </c>
      <c r="G111" s="62" t="s">
        <v>132</v>
      </c>
      <c r="H111" s="62" t="s">
        <v>12</v>
      </c>
      <c r="I111" s="62" t="s">
        <v>120</v>
      </c>
      <c r="J111" s="62"/>
      <c r="K111" s="64">
        <v>53.53</v>
      </c>
      <c r="L111" s="64">
        <f t="shared" si="18"/>
        <v>32.941538461538464</v>
      </c>
      <c r="M111" s="65">
        <f t="shared" si="24"/>
        <v>0</v>
      </c>
      <c r="N111" s="66">
        <f t="shared" si="25"/>
        <v>0</v>
      </c>
      <c r="O111" s="62" t="s">
        <v>36</v>
      </c>
      <c r="P111" s="67">
        <f t="shared" si="26"/>
        <v>0</v>
      </c>
      <c r="Q111" s="64" t="e">
        <f t="shared" si="19"/>
        <v>#DIV/0!</v>
      </c>
      <c r="R111" s="64" t="e">
        <f t="shared" si="20"/>
        <v>#DIV/0!</v>
      </c>
      <c r="S111" s="67" t="e">
        <f t="shared" si="21"/>
        <v>#DIV/0!</v>
      </c>
      <c r="T111" s="64" t="e">
        <f t="shared" si="22"/>
        <v>#DIV/0!</v>
      </c>
      <c r="U111" s="68" t="e">
        <f t="shared" si="23"/>
        <v>#DIV/0!</v>
      </c>
    </row>
    <row r="112" spans="1:21" x14ac:dyDescent="0.2">
      <c r="A112" s="61" t="s">
        <v>175</v>
      </c>
      <c r="B112" s="62" t="s">
        <v>176</v>
      </c>
      <c r="C112" s="62" t="s">
        <v>254</v>
      </c>
      <c r="D112" s="62" t="s">
        <v>291</v>
      </c>
      <c r="E112" s="63" t="s">
        <v>218</v>
      </c>
      <c r="F112" s="62" t="s">
        <v>190</v>
      </c>
      <c r="G112" s="62" t="s">
        <v>132</v>
      </c>
      <c r="H112" s="62" t="s">
        <v>12</v>
      </c>
      <c r="I112" s="62" t="s">
        <v>120</v>
      </c>
      <c r="J112" s="62"/>
      <c r="K112" s="64">
        <v>53.53</v>
      </c>
      <c r="L112" s="64">
        <f t="shared" si="18"/>
        <v>32.941538461538464</v>
      </c>
      <c r="M112" s="65">
        <f t="shared" si="24"/>
        <v>0</v>
      </c>
      <c r="N112" s="66">
        <f t="shared" si="25"/>
        <v>0</v>
      </c>
      <c r="O112" s="62" t="s">
        <v>36</v>
      </c>
      <c r="P112" s="67">
        <f t="shared" si="26"/>
        <v>0</v>
      </c>
      <c r="Q112" s="64" t="e">
        <f t="shared" si="19"/>
        <v>#DIV/0!</v>
      </c>
      <c r="R112" s="64" t="e">
        <f t="shared" si="20"/>
        <v>#DIV/0!</v>
      </c>
      <c r="S112" s="67" t="e">
        <f t="shared" si="21"/>
        <v>#DIV/0!</v>
      </c>
      <c r="T112" s="64" t="e">
        <f t="shared" si="22"/>
        <v>#DIV/0!</v>
      </c>
      <c r="U112" s="68" t="e">
        <f t="shared" si="23"/>
        <v>#DIV/0!</v>
      </c>
    </row>
    <row r="113" spans="1:21" x14ac:dyDescent="0.2">
      <c r="A113" s="61" t="s">
        <v>175</v>
      </c>
      <c r="B113" s="62" t="s">
        <v>176</v>
      </c>
      <c r="C113" s="62" t="s">
        <v>254</v>
      </c>
      <c r="D113" s="62" t="s">
        <v>292</v>
      </c>
      <c r="E113" s="63" t="s">
        <v>195</v>
      </c>
      <c r="F113" s="62" t="s">
        <v>190</v>
      </c>
      <c r="G113" s="62" t="s">
        <v>150</v>
      </c>
      <c r="H113" s="62" t="s">
        <v>11</v>
      </c>
      <c r="I113" s="62" t="s">
        <v>120</v>
      </c>
      <c r="J113" s="62"/>
      <c r="K113" s="64">
        <v>7.81</v>
      </c>
      <c r="L113" s="64">
        <f t="shared" si="18"/>
        <v>6.0076923076923077</v>
      </c>
      <c r="M113" s="65">
        <f>prodnorm27</f>
        <v>0</v>
      </c>
      <c r="N113" s="66">
        <f>dagwerk27</f>
        <v>0</v>
      </c>
      <c r="O113" s="62" t="s">
        <v>36</v>
      </c>
      <c r="P113" s="67">
        <f>uurtarief27</f>
        <v>0</v>
      </c>
      <c r="Q113" s="64" t="e">
        <f t="shared" si="19"/>
        <v>#DIV/0!</v>
      </c>
      <c r="R113" s="64" t="e">
        <f t="shared" si="20"/>
        <v>#DIV/0!</v>
      </c>
      <c r="S113" s="67" t="e">
        <f t="shared" si="21"/>
        <v>#DIV/0!</v>
      </c>
      <c r="T113" s="64" t="e">
        <f t="shared" si="22"/>
        <v>#DIV/0!</v>
      </c>
      <c r="U113" s="68" t="e">
        <f t="shared" si="23"/>
        <v>#DIV/0!</v>
      </c>
    </row>
    <row r="114" spans="1:21" x14ac:dyDescent="0.2">
      <c r="A114" s="61" t="s">
        <v>175</v>
      </c>
      <c r="B114" s="62" t="s">
        <v>176</v>
      </c>
      <c r="C114" s="62" t="s">
        <v>254</v>
      </c>
      <c r="D114" s="62" t="s">
        <v>293</v>
      </c>
      <c r="E114" s="63" t="s">
        <v>179</v>
      </c>
      <c r="F114" s="62" t="s">
        <v>180</v>
      </c>
      <c r="G114" s="62" t="s">
        <v>150</v>
      </c>
      <c r="H114" s="62" t="s">
        <v>11</v>
      </c>
      <c r="I114" s="62" t="s">
        <v>120</v>
      </c>
      <c r="J114" s="62"/>
      <c r="K114" s="64">
        <v>8.5</v>
      </c>
      <c r="L114" s="64">
        <f t="shared" si="18"/>
        <v>6.5384615384615392</v>
      </c>
      <c r="M114" s="65">
        <f>prodnorm27</f>
        <v>0</v>
      </c>
      <c r="N114" s="66">
        <f>dagwerk27</f>
        <v>0</v>
      </c>
      <c r="O114" s="62" t="s">
        <v>36</v>
      </c>
      <c r="P114" s="67">
        <f>uurtarief27</f>
        <v>0</v>
      </c>
      <c r="Q114" s="64" t="e">
        <f t="shared" si="19"/>
        <v>#DIV/0!</v>
      </c>
      <c r="R114" s="64" t="e">
        <f t="shared" si="20"/>
        <v>#DIV/0!</v>
      </c>
      <c r="S114" s="67" t="e">
        <f t="shared" si="21"/>
        <v>#DIV/0!</v>
      </c>
      <c r="T114" s="64" t="e">
        <f t="shared" si="22"/>
        <v>#DIV/0!</v>
      </c>
      <c r="U114" s="68" t="e">
        <f t="shared" si="23"/>
        <v>#DIV/0!</v>
      </c>
    </row>
    <row r="115" spans="1:21" x14ac:dyDescent="0.2">
      <c r="A115" s="61" t="s">
        <v>175</v>
      </c>
      <c r="B115" s="62" t="s">
        <v>176</v>
      </c>
      <c r="C115" s="62" t="s">
        <v>254</v>
      </c>
      <c r="D115" s="62" t="s">
        <v>294</v>
      </c>
      <c r="E115" s="63" t="s">
        <v>179</v>
      </c>
      <c r="F115" s="62" t="s">
        <v>190</v>
      </c>
      <c r="G115" s="62" t="s">
        <v>150</v>
      </c>
      <c r="H115" s="62" t="s">
        <v>11</v>
      </c>
      <c r="I115" s="62" t="s">
        <v>120</v>
      </c>
      <c r="J115" s="62"/>
      <c r="K115" s="64">
        <v>2.67</v>
      </c>
      <c r="L115" s="64">
        <f t="shared" si="18"/>
        <v>2.0538461538461541</v>
      </c>
      <c r="M115" s="65">
        <f>prodnorm27</f>
        <v>0</v>
      </c>
      <c r="N115" s="66">
        <f>dagwerk27</f>
        <v>0</v>
      </c>
      <c r="O115" s="62" t="s">
        <v>36</v>
      </c>
      <c r="P115" s="67">
        <f>uurtarief27</f>
        <v>0</v>
      </c>
      <c r="Q115" s="64" t="e">
        <f t="shared" si="19"/>
        <v>#DIV/0!</v>
      </c>
      <c r="R115" s="64" t="e">
        <f t="shared" si="20"/>
        <v>#DIV/0!</v>
      </c>
      <c r="S115" s="67" t="e">
        <f t="shared" si="21"/>
        <v>#DIV/0!</v>
      </c>
      <c r="T115" s="64" t="e">
        <f t="shared" si="22"/>
        <v>#DIV/0!</v>
      </c>
      <c r="U115" s="68" t="e">
        <f t="shared" si="23"/>
        <v>#DIV/0!</v>
      </c>
    </row>
    <row r="116" spans="1:21" x14ac:dyDescent="0.2">
      <c r="A116" s="61" t="s">
        <v>175</v>
      </c>
      <c r="B116" s="62" t="s">
        <v>176</v>
      </c>
      <c r="C116" s="62" t="s">
        <v>254</v>
      </c>
      <c r="D116" s="62" t="s">
        <v>295</v>
      </c>
      <c r="E116" s="63" t="s">
        <v>189</v>
      </c>
      <c r="F116" s="62" t="s">
        <v>190</v>
      </c>
      <c r="G116" s="62" t="s">
        <v>154</v>
      </c>
      <c r="H116" s="62" t="s">
        <v>11</v>
      </c>
      <c r="I116" s="62" t="s">
        <v>120</v>
      </c>
      <c r="J116" s="62"/>
      <c r="K116" s="64">
        <v>2.34</v>
      </c>
      <c r="L116" s="64">
        <f t="shared" si="18"/>
        <v>1.8</v>
      </c>
      <c r="M116" s="65">
        <f>prodnorm29</f>
        <v>0</v>
      </c>
      <c r="N116" s="66">
        <f>dagwerk29</f>
        <v>0</v>
      </c>
      <c r="O116" s="62" t="s">
        <v>36</v>
      </c>
      <c r="P116" s="67">
        <f>uurtarief29</f>
        <v>0</v>
      </c>
      <c r="Q116" s="64" t="e">
        <f t="shared" si="19"/>
        <v>#DIV/0!</v>
      </c>
      <c r="R116" s="64" t="e">
        <f t="shared" si="20"/>
        <v>#DIV/0!</v>
      </c>
      <c r="S116" s="67" t="e">
        <f t="shared" si="21"/>
        <v>#DIV/0!</v>
      </c>
      <c r="T116" s="64" t="e">
        <f t="shared" si="22"/>
        <v>#DIV/0!</v>
      </c>
      <c r="U116" s="68" t="e">
        <f t="shared" si="23"/>
        <v>#DIV/0!</v>
      </c>
    </row>
    <row r="117" spans="1:21" x14ac:dyDescent="0.2">
      <c r="A117" s="61" t="s">
        <v>175</v>
      </c>
      <c r="B117" s="62" t="s">
        <v>176</v>
      </c>
      <c r="C117" s="62" t="s">
        <v>254</v>
      </c>
      <c r="D117" s="62" t="s">
        <v>296</v>
      </c>
      <c r="E117" s="63" t="s">
        <v>202</v>
      </c>
      <c r="F117" s="62" t="s">
        <v>203</v>
      </c>
      <c r="G117" s="62" t="s">
        <v>146</v>
      </c>
      <c r="H117" s="62" t="s">
        <v>11</v>
      </c>
      <c r="I117" s="62" t="s">
        <v>120</v>
      </c>
      <c r="J117" s="62"/>
      <c r="K117" s="64">
        <v>6.13</v>
      </c>
      <c r="L117" s="64">
        <f t="shared" si="18"/>
        <v>4.7153846153846155</v>
      </c>
      <c r="M117" s="65">
        <f>prodnorm25</f>
        <v>0</v>
      </c>
      <c r="N117" s="66">
        <f>dagwerk25</f>
        <v>0</v>
      </c>
      <c r="O117" s="62" t="s">
        <v>36</v>
      </c>
      <c r="P117" s="67">
        <f>uurtarief25</f>
        <v>0</v>
      </c>
      <c r="Q117" s="64" t="e">
        <f t="shared" si="19"/>
        <v>#DIV/0!</v>
      </c>
      <c r="R117" s="64" t="e">
        <f t="shared" si="20"/>
        <v>#DIV/0!</v>
      </c>
      <c r="S117" s="67" t="e">
        <f t="shared" si="21"/>
        <v>#DIV/0!</v>
      </c>
      <c r="T117" s="64" t="e">
        <f t="shared" si="22"/>
        <v>#DIV/0!</v>
      </c>
      <c r="U117" s="68" t="e">
        <f t="shared" si="23"/>
        <v>#DIV/0!</v>
      </c>
    </row>
    <row r="118" spans="1:21" x14ac:dyDescent="0.2">
      <c r="A118" s="61" t="s">
        <v>175</v>
      </c>
      <c r="B118" s="62" t="s">
        <v>176</v>
      </c>
      <c r="C118" s="62" t="s">
        <v>254</v>
      </c>
      <c r="D118" s="62" t="s">
        <v>297</v>
      </c>
      <c r="E118" s="63" t="s">
        <v>202</v>
      </c>
      <c r="F118" s="62" t="s">
        <v>203</v>
      </c>
      <c r="G118" s="62" t="s">
        <v>146</v>
      </c>
      <c r="H118" s="62" t="s">
        <v>11</v>
      </c>
      <c r="I118" s="62" t="s">
        <v>120</v>
      </c>
      <c r="J118" s="62"/>
      <c r="K118" s="64">
        <v>5.4</v>
      </c>
      <c r="L118" s="64">
        <f t="shared" si="18"/>
        <v>4.1538461538461542</v>
      </c>
      <c r="M118" s="65">
        <f>prodnorm25</f>
        <v>0</v>
      </c>
      <c r="N118" s="66">
        <f>dagwerk25</f>
        <v>0</v>
      </c>
      <c r="O118" s="62" t="s">
        <v>36</v>
      </c>
      <c r="P118" s="67">
        <f>uurtarief25</f>
        <v>0</v>
      </c>
      <c r="Q118" s="64" t="e">
        <f t="shared" si="19"/>
        <v>#DIV/0!</v>
      </c>
      <c r="R118" s="64" t="e">
        <f t="shared" si="20"/>
        <v>#DIV/0!</v>
      </c>
      <c r="S118" s="67" t="e">
        <f t="shared" si="21"/>
        <v>#DIV/0!</v>
      </c>
      <c r="T118" s="64" t="e">
        <f t="shared" si="22"/>
        <v>#DIV/0!</v>
      </c>
      <c r="U118" s="68" t="e">
        <f t="shared" si="23"/>
        <v>#DIV/0!</v>
      </c>
    </row>
    <row r="119" spans="1:21" x14ac:dyDescent="0.2">
      <c r="A119" s="61" t="s">
        <v>175</v>
      </c>
      <c r="B119" s="62" t="s">
        <v>176</v>
      </c>
      <c r="C119" s="62" t="s">
        <v>254</v>
      </c>
      <c r="D119" s="62" t="s">
        <v>298</v>
      </c>
      <c r="E119" s="63" t="s">
        <v>299</v>
      </c>
      <c r="F119" s="62" t="s">
        <v>190</v>
      </c>
      <c r="G119" s="62" t="s">
        <v>136</v>
      </c>
      <c r="H119" s="62" t="s">
        <v>11</v>
      </c>
      <c r="I119" s="62" t="s">
        <v>120</v>
      </c>
      <c r="J119" s="62"/>
      <c r="K119" s="64">
        <v>151.38000000000002</v>
      </c>
      <c r="L119" s="64">
        <f t="shared" si="18"/>
        <v>116.44615384615388</v>
      </c>
      <c r="M119" s="65">
        <f>prodnorm20</f>
        <v>0</v>
      </c>
      <c r="N119" s="66">
        <f>dagwerk20</f>
        <v>0</v>
      </c>
      <c r="O119" s="62" t="s">
        <v>36</v>
      </c>
      <c r="P119" s="67">
        <f>uurtarief20</f>
        <v>0</v>
      </c>
      <c r="Q119" s="64" t="e">
        <f t="shared" si="19"/>
        <v>#DIV/0!</v>
      </c>
      <c r="R119" s="64" t="e">
        <f t="shared" si="20"/>
        <v>#DIV/0!</v>
      </c>
      <c r="S119" s="67" t="e">
        <f t="shared" si="21"/>
        <v>#DIV/0!</v>
      </c>
      <c r="T119" s="64" t="e">
        <f t="shared" si="22"/>
        <v>#DIV/0!</v>
      </c>
      <c r="U119" s="68" t="e">
        <f t="shared" si="23"/>
        <v>#DIV/0!</v>
      </c>
    </row>
    <row r="120" spans="1:21" x14ac:dyDescent="0.2">
      <c r="A120" s="61" t="s">
        <v>175</v>
      </c>
      <c r="B120" s="62" t="s">
        <v>176</v>
      </c>
      <c r="C120" s="62" t="s">
        <v>254</v>
      </c>
      <c r="D120" s="62" t="s">
        <v>300</v>
      </c>
      <c r="E120" s="63" t="s">
        <v>179</v>
      </c>
      <c r="F120" s="62" t="s">
        <v>180</v>
      </c>
      <c r="G120" s="62" t="s">
        <v>150</v>
      </c>
      <c r="H120" s="62" t="s">
        <v>11</v>
      </c>
      <c r="I120" s="62" t="s">
        <v>120</v>
      </c>
      <c r="J120" s="62"/>
      <c r="K120" s="64">
        <v>14.370000000000001</v>
      </c>
      <c r="L120" s="64">
        <f t="shared" si="18"/>
        <v>11.053846153846155</v>
      </c>
      <c r="M120" s="65">
        <f>prodnorm27</f>
        <v>0</v>
      </c>
      <c r="N120" s="66">
        <f>dagwerk27</f>
        <v>0</v>
      </c>
      <c r="O120" s="62" t="s">
        <v>36</v>
      </c>
      <c r="P120" s="67">
        <f>uurtarief27</f>
        <v>0</v>
      </c>
      <c r="Q120" s="64" t="e">
        <f t="shared" si="19"/>
        <v>#DIV/0!</v>
      </c>
      <c r="R120" s="64" t="e">
        <f t="shared" si="20"/>
        <v>#DIV/0!</v>
      </c>
      <c r="S120" s="67" t="e">
        <f t="shared" si="21"/>
        <v>#DIV/0!</v>
      </c>
      <c r="T120" s="64" t="e">
        <f t="shared" si="22"/>
        <v>#DIV/0!</v>
      </c>
      <c r="U120" s="68" t="e">
        <f t="shared" si="23"/>
        <v>#DIV/0!</v>
      </c>
    </row>
    <row r="121" spans="1:21" x14ac:dyDescent="0.2">
      <c r="A121" s="61" t="s">
        <v>175</v>
      </c>
      <c r="B121" s="62" t="s">
        <v>176</v>
      </c>
      <c r="C121" s="62" t="s">
        <v>301</v>
      </c>
      <c r="D121" s="62" t="s">
        <v>302</v>
      </c>
      <c r="E121" s="63" t="s">
        <v>189</v>
      </c>
      <c r="F121" s="62" t="s">
        <v>190</v>
      </c>
      <c r="G121" s="62" t="s">
        <v>154</v>
      </c>
      <c r="H121" s="62" t="s">
        <v>11</v>
      </c>
      <c r="I121" s="62" t="s">
        <v>120</v>
      </c>
      <c r="J121" s="62"/>
      <c r="K121" s="64">
        <v>130.66</v>
      </c>
      <c r="L121" s="64">
        <f t="shared" si="18"/>
        <v>100.50769230769231</v>
      </c>
      <c r="M121" s="65">
        <f>prodnorm29</f>
        <v>0</v>
      </c>
      <c r="N121" s="66">
        <f>dagwerk29</f>
        <v>0</v>
      </c>
      <c r="O121" s="62" t="s">
        <v>36</v>
      </c>
      <c r="P121" s="67">
        <f>uurtarief29</f>
        <v>0</v>
      </c>
      <c r="Q121" s="64" t="e">
        <f t="shared" si="19"/>
        <v>#DIV/0!</v>
      </c>
      <c r="R121" s="64" t="e">
        <f t="shared" si="20"/>
        <v>#DIV/0!</v>
      </c>
      <c r="S121" s="67" t="e">
        <f t="shared" si="21"/>
        <v>#DIV/0!</v>
      </c>
      <c r="T121" s="64" t="e">
        <f t="shared" si="22"/>
        <v>#DIV/0!</v>
      </c>
      <c r="U121" s="68" t="e">
        <f t="shared" si="23"/>
        <v>#DIV/0!</v>
      </c>
    </row>
    <row r="122" spans="1:21" x14ac:dyDescent="0.2">
      <c r="A122" s="61" t="s">
        <v>175</v>
      </c>
      <c r="B122" s="62" t="s">
        <v>176</v>
      </c>
      <c r="C122" s="62" t="s">
        <v>301</v>
      </c>
      <c r="D122" s="62" t="s">
        <v>303</v>
      </c>
      <c r="E122" s="63" t="s">
        <v>189</v>
      </c>
      <c r="F122" s="62" t="s">
        <v>190</v>
      </c>
      <c r="G122" s="62" t="s">
        <v>154</v>
      </c>
      <c r="H122" s="62" t="s">
        <v>11</v>
      </c>
      <c r="I122" s="62" t="s">
        <v>120</v>
      </c>
      <c r="J122" s="62"/>
      <c r="K122" s="64">
        <v>82.6</v>
      </c>
      <c r="L122" s="64">
        <f t="shared" si="18"/>
        <v>63.53846153846154</v>
      </c>
      <c r="M122" s="65">
        <f>prodnorm29</f>
        <v>0</v>
      </c>
      <c r="N122" s="66">
        <f>dagwerk29</f>
        <v>0</v>
      </c>
      <c r="O122" s="62" t="s">
        <v>36</v>
      </c>
      <c r="P122" s="67">
        <f>uurtarief29</f>
        <v>0</v>
      </c>
      <c r="Q122" s="64" t="e">
        <f t="shared" si="19"/>
        <v>#DIV/0!</v>
      </c>
      <c r="R122" s="64" t="e">
        <f t="shared" si="20"/>
        <v>#DIV/0!</v>
      </c>
      <c r="S122" s="67" t="e">
        <f t="shared" si="21"/>
        <v>#DIV/0!</v>
      </c>
      <c r="T122" s="64" t="e">
        <f t="shared" si="22"/>
        <v>#DIV/0!</v>
      </c>
      <c r="U122" s="68" t="e">
        <f t="shared" si="23"/>
        <v>#DIV/0!</v>
      </c>
    </row>
    <row r="123" spans="1:21" x14ac:dyDescent="0.2">
      <c r="A123" s="61" t="s">
        <v>175</v>
      </c>
      <c r="B123" s="62" t="s">
        <v>176</v>
      </c>
      <c r="C123" s="62" t="s">
        <v>301</v>
      </c>
      <c r="D123" s="62" t="s">
        <v>304</v>
      </c>
      <c r="E123" s="63" t="s">
        <v>305</v>
      </c>
      <c r="F123" s="62" t="s">
        <v>190</v>
      </c>
      <c r="G123" s="62" t="s">
        <v>154</v>
      </c>
      <c r="H123" s="62" t="s">
        <v>11</v>
      </c>
      <c r="I123" s="62" t="s">
        <v>120</v>
      </c>
      <c r="J123" s="62"/>
      <c r="K123" s="64">
        <v>68.3</v>
      </c>
      <c r="L123" s="64">
        <f t="shared" si="18"/>
        <v>52.53846153846154</v>
      </c>
      <c r="M123" s="65">
        <f>prodnorm29</f>
        <v>0</v>
      </c>
      <c r="N123" s="66">
        <f>dagwerk29</f>
        <v>0</v>
      </c>
      <c r="O123" s="62" t="s">
        <v>36</v>
      </c>
      <c r="P123" s="67">
        <f>uurtarief29</f>
        <v>0</v>
      </c>
      <c r="Q123" s="64" t="e">
        <f t="shared" si="19"/>
        <v>#DIV/0!</v>
      </c>
      <c r="R123" s="64" t="e">
        <f t="shared" si="20"/>
        <v>#DIV/0!</v>
      </c>
      <c r="S123" s="67" t="e">
        <f t="shared" si="21"/>
        <v>#DIV/0!</v>
      </c>
      <c r="T123" s="64" t="e">
        <f t="shared" si="22"/>
        <v>#DIV/0!</v>
      </c>
      <c r="U123" s="68" t="e">
        <f t="shared" si="23"/>
        <v>#DIV/0!</v>
      </c>
    </row>
    <row r="124" spans="1:21" x14ac:dyDescent="0.2">
      <c r="A124" s="61" t="s">
        <v>175</v>
      </c>
      <c r="B124" s="62" t="s">
        <v>176</v>
      </c>
      <c r="C124" s="62" t="s">
        <v>301</v>
      </c>
      <c r="D124" s="62" t="s">
        <v>306</v>
      </c>
      <c r="E124" s="63" t="s">
        <v>202</v>
      </c>
      <c r="F124" s="62" t="s">
        <v>203</v>
      </c>
      <c r="G124" s="62" t="s">
        <v>146</v>
      </c>
      <c r="H124" s="62" t="s">
        <v>11</v>
      </c>
      <c r="I124" s="62" t="s">
        <v>120</v>
      </c>
      <c r="J124" s="62"/>
      <c r="K124" s="64">
        <v>6.08</v>
      </c>
      <c r="L124" s="64">
        <f t="shared" si="18"/>
        <v>4.6769230769230772</v>
      </c>
      <c r="M124" s="65">
        <f>prodnorm25</f>
        <v>0</v>
      </c>
      <c r="N124" s="66">
        <f>dagwerk25</f>
        <v>0</v>
      </c>
      <c r="O124" s="62" t="s">
        <v>36</v>
      </c>
      <c r="P124" s="67">
        <f>uurtarief25</f>
        <v>0</v>
      </c>
      <c r="Q124" s="64" t="e">
        <f t="shared" si="19"/>
        <v>#DIV/0!</v>
      </c>
      <c r="R124" s="64" t="e">
        <f t="shared" si="20"/>
        <v>#DIV/0!</v>
      </c>
      <c r="S124" s="67" t="e">
        <f t="shared" si="21"/>
        <v>#DIV/0!</v>
      </c>
      <c r="T124" s="64" t="e">
        <f t="shared" si="22"/>
        <v>#DIV/0!</v>
      </c>
      <c r="U124" s="68" t="e">
        <f t="shared" si="23"/>
        <v>#DIV/0!</v>
      </c>
    </row>
    <row r="125" spans="1:21" x14ac:dyDescent="0.2">
      <c r="A125" s="61" t="s">
        <v>175</v>
      </c>
      <c r="B125" s="62" t="s">
        <v>176</v>
      </c>
      <c r="C125" s="62" t="s">
        <v>301</v>
      </c>
      <c r="D125" s="62" t="s">
        <v>307</v>
      </c>
      <c r="E125" s="63" t="s">
        <v>202</v>
      </c>
      <c r="F125" s="62" t="s">
        <v>203</v>
      </c>
      <c r="G125" s="62" t="s">
        <v>146</v>
      </c>
      <c r="H125" s="62" t="s">
        <v>11</v>
      </c>
      <c r="I125" s="62" t="s">
        <v>120</v>
      </c>
      <c r="J125" s="62"/>
      <c r="K125" s="64">
        <v>5.05</v>
      </c>
      <c r="L125" s="64">
        <f t="shared" si="18"/>
        <v>3.8846153846153846</v>
      </c>
      <c r="M125" s="65">
        <f>prodnorm25</f>
        <v>0</v>
      </c>
      <c r="N125" s="66">
        <f>dagwerk25</f>
        <v>0</v>
      </c>
      <c r="O125" s="62" t="s">
        <v>36</v>
      </c>
      <c r="P125" s="67">
        <f>uurtarief25</f>
        <v>0</v>
      </c>
      <c r="Q125" s="64" t="e">
        <f t="shared" si="19"/>
        <v>#DIV/0!</v>
      </c>
      <c r="R125" s="64" t="e">
        <f t="shared" si="20"/>
        <v>#DIV/0!</v>
      </c>
      <c r="S125" s="67" t="e">
        <f t="shared" si="21"/>
        <v>#DIV/0!</v>
      </c>
      <c r="T125" s="64" t="e">
        <f t="shared" si="22"/>
        <v>#DIV/0!</v>
      </c>
      <c r="U125" s="68" t="e">
        <f t="shared" si="23"/>
        <v>#DIV/0!</v>
      </c>
    </row>
    <row r="126" spans="1:21" x14ac:dyDescent="0.2">
      <c r="A126" s="61" t="s">
        <v>175</v>
      </c>
      <c r="B126" s="62" t="s">
        <v>176</v>
      </c>
      <c r="C126" s="62" t="s">
        <v>301</v>
      </c>
      <c r="D126" s="62" t="s">
        <v>308</v>
      </c>
      <c r="E126" s="63" t="s">
        <v>225</v>
      </c>
      <c r="F126" s="62" t="s">
        <v>183</v>
      </c>
      <c r="G126" s="62" t="s">
        <v>122</v>
      </c>
      <c r="H126" s="62" t="s">
        <v>16</v>
      </c>
      <c r="I126" s="62" t="s">
        <v>120</v>
      </c>
      <c r="J126" s="62"/>
      <c r="K126" s="64">
        <v>20.64</v>
      </c>
      <c r="L126" s="64">
        <f t="shared" si="18"/>
        <v>3.1753846153846155</v>
      </c>
      <c r="M126" s="65">
        <f>prodnorm11</f>
        <v>0</v>
      </c>
      <c r="N126" s="66">
        <f>dagwerk11</f>
        <v>0</v>
      </c>
      <c r="O126" s="62" t="s">
        <v>36</v>
      </c>
      <c r="P126" s="67">
        <f>uurtarief11</f>
        <v>0</v>
      </c>
      <c r="Q126" s="64" t="e">
        <f t="shared" si="19"/>
        <v>#DIV/0!</v>
      </c>
      <c r="R126" s="64" t="e">
        <f t="shared" si="20"/>
        <v>#DIV/0!</v>
      </c>
      <c r="S126" s="67" t="e">
        <f t="shared" si="21"/>
        <v>#DIV/0!</v>
      </c>
      <c r="T126" s="64" t="e">
        <f t="shared" si="22"/>
        <v>#DIV/0!</v>
      </c>
      <c r="U126" s="68" t="e">
        <f t="shared" si="23"/>
        <v>#DIV/0!</v>
      </c>
    </row>
    <row r="127" spans="1:21" x14ac:dyDescent="0.2">
      <c r="A127" s="61" t="s">
        <v>175</v>
      </c>
      <c r="B127" s="62" t="s">
        <v>176</v>
      </c>
      <c r="C127" s="62" t="s">
        <v>301</v>
      </c>
      <c r="D127" s="62" t="s">
        <v>308</v>
      </c>
      <c r="E127" s="63" t="s">
        <v>225</v>
      </c>
      <c r="F127" s="62" t="s">
        <v>183</v>
      </c>
      <c r="G127" s="62" t="s">
        <v>160</v>
      </c>
      <c r="H127" s="62" t="s">
        <v>12</v>
      </c>
      <c r="I127" s="62" t="s">
        <v>120</v>
      </c>
      <c r="J127" s="62"/>
      <c r="K127" s="64">
        <v>20.64</v>
      </c>
      <c r="L127" s="64">
        <f t="shared" si="18"/>
        <v>12.701538461538462</v>
      </c>
      <c r="M127" s="65">
        <f>prodnorm33</f>
        <v>0</v>
      </c>
      <c r="N127" s="66">
        <f>dagwerk33</f>
        <v>0</v>
      </c>
      <c r="O127" s="62" t="s">
        <v>36</v>
      </c>
      <c r="P127" s="67">
        <f>uurtarief33</f>
        <v>0</v>
      </c>
      <c r="Q127" s="64" t="e">
        <f t="shared" si="19"/>
        <v>#DIV/0!</v>
      </c>
      <c r="R127" s="64" t="e">
        <f t="shared" si="20"/>
        <v>#DIV/0!</v>
      </c>
      <c r="S127" s="67" t="e">
        <f t="shared" si="21"/>
        <v>#DIV/0!</v>
      </c>
      <c r="T127" s="64" t="e">
        <f t="shared" si="22"/>
        <v>#DIV/0!</v>
      </c>
      <c r="U127" s="68" t="e">
        <f t="shared" si="23"/>
        <v>#DIV/0!</v>
      </c>
    </row>
    <row r="128" spans="1:21" x14ac:dyDescent="0.2">
      <c r="A128" s="61" t="s">
        <v>175</v>
      </c>
      <c r="B128" s="62" t="s">
        <v>176</v>
      </c>
      <c r="C128" s="62" t="s">
        <v>301</v>
      </c>
      <c r="D128" s="62" t="s">
        <v>309</v>
      </c>
      <c r="E128" s="63" t="s">
        <v>218</v>
      </c>
      <c r="F128" s="62" t="s">
        <v>190</v>
      </c>
      <c r="G128" s="62" t="s">
        <v>132</v>
      </c>
      <c r="H128" s="62" t="s">
        <v>12</v>
      </c>
      <c r="I128" s="62" t="s">
        <v>120</v>
      </c>
      <c r="J128" s="62"/>
      <c r="K128" s="64">
        <v>48.36</v>
      </c>
      <c r="L128" s="64">
        <f t="shared" si="18"/>
        <v>29.76</v>
      </c>
      <c r="M128" s="65">
        <f>prodnorm17</f>
        <v>0</v>
      </c>
      <c r="N128" s="66">
        <f>dagwerk17</f>
        <v>0</v>
      </c>
      <c r="O128" s="62" t="s">
        <v>36</v>
      </c>
      <c r="P128" s="67">
        <f>uurtarief17</f>
        <v>0</v>
      </c>
      <c r="Q128" s="64" t="e">
        <f t="shared" si="19"/>
        <v>#DIV/0!</v>
      </c>
      <c r="R128" s="64" t="e">
        <f t="shared" si="20"/>
        <v>#DIV/0!</v>
      </c>
      <c r="S128" s="67" t="e">
        <f t="shared" si="21"/>
        <v>#DIV/0!</v>
      </c>
      <c r="T128" s="64" t="e">
        <f t="shared" si="22"/>
        <v>#DIV/0!</v>
      </c>
      <c r="U128" s="68" t="e">
        <f t="shared" si="23"/>
        <v>#DIV/0!</v>
      </c>
    </row>
    <row r="129" spans="1:21" x14ac:dyDescent="0.2">
      <c r="A129" s="61" t="s">
        <v>175</v>
      </c>
      <c r="B129" s="62" t="s">
        <v>176</v>
      </c>
      <c r="C129" s="62" t="s">
        <v>301</v>
      </c>
      <c r="D129" s="62" t="s">
        <v>310</v>
      </c>
      <c r="E129" s="63" t="s">
        <v>195</v>
      </c>
      <c r="F129" s="62" t="s">
        <v>190</v>
      </c>
      <c r="G129" s="62" t="s">
        <v>150</v>
      </c>
      <c r="H129" s="62" t="s">
        <v>11</v>
      </c>
      <c r="I129" s="62" t="s">
        <v>120</v>
      </c>
      <c r="J129" s="62"/>
      <c r="K129" s="64">
        <v>6.41</v>
      </c>
      <c r="L129" s="64">
        <f t="shared" si="18"/>
        <v>4.930769230769231</v>
      </c>
      <c r="M129" s="65">
        <f>prodnorm27</f>
        <v>0</v>
      </c>
      <c r="N129" s="66">
        <f>dagwerk27</f>
        <v>0</v>
      </c>
      <c r="O129" s="62" t="s">
        <v>36</v>
      </c>
      <c r="P129" s="67">
        <f>uurtarief27</f>
        <v>0</v>
      </c>
      <c r="Q129" s="64" t="e">
        <f t="shared" si="19"/>
        <v>#DIV/0!</v>
      </c>
      <c r="R129" s="64" t="e">
        <f t="shared" si="20"/>
        <v>#DIV/0!</v>
      </c>
      <c r="S129" s="67" t="e">
        <f t="shared" si="21"/>
        <v>#DIV/0!</v>
      </c>
      <c r="T129" s="64" t="e">
        <f t="shared" si="22"/>
        <v>#DIV/0!</v>
      </c>
      <c r="U129" s="68" t="e">
        <f t="shared" si="23"/>
        <v>#DIV/0!</v>
      </c>
    </row>
    <row r="130" spans="1:21" x14ac:dyDescent="0.2">
      <c r="A130" s="61" t="s">
        <v>175</v>
      </c>
      <c r="B130" s="62" t="s">
        <v>176</v>
      </c>
      <c r="C130" s="62" t="s">
        <v>301</v>
      </c>
      <c r="D130" s="62" t="s">
        <v>311</v>
      </c>
      <c r="E130" s="63" t="s">
        <v>312</v>
      </c>
      <c r="F130" s="62" t="s">
        <v>190</v>
      </c>
      <c r="G130" s="62" t="s">
        <v>142</v>
      </c>
      <c r="H130" s="62" t="s">
        <v>11</v>
      </c>
      <c r="I130" s="62" t="s">
        <v>120</v>
      </c>
      <c r="J130" s="62"/>
      <c r="K130" s="64">
        <v>80.31</v>
      </c>
      <c r="L130" s="64">
        <f t="shared" si="18"/>
        <v>61.776923076923083</v>
      </c>
      <c r="M130" s="65">
        <f>prodnorm23</f>
        <v>0</v>
      </c>
      <c r="N130" s="66">
        <f>dagwerk23</f>
        <v>0</v>
      </c>
      <c r="O130" s="62" t="s">
        <v>36</v>
      </c>
      <c r="P130" s="67">
        <f>uurtarief23</f>
        <v>0</v>
      </c>
      <c r="Q130" s="64" t="e">
        <f t="shared" si="19"/>
        <v>#DIV/0!</v>
      </c>
      <c r="R130" s="64" t="e">
        <f t="shared" si="20"/>
        <v>#DIV/0!</v>
      </c>
      <c r="S130" s="67" t="e">
        <f t="shared" si="21"/>
        <v>#DIV/0!</v>
      </c>
      <c r="T130" s="64" t="e">
        <f t="shared" si="22"/>
        <v>#DIV/0!</v>
      </c>
      <c r="U130" s="68" t="e">
        <f t="shared" si="23"/>
        <v>#DIV/0!</v>
      </c>
    </row>
    <row r="131" spans="1:21" x14ac:dyDescent="0.2">
      <c r="A131" s="61" t="s">
        <v>175</v>
      </c>
      <c r="B131" s="62" t="s">
        <v>176</v>
      </c>
      <c r="C131" s="62" t="s">
        <v>301</v>
      </c>
      <c r="D131" s="62" t="s">
        <v>313</v>
      </c>
      <c r="E131" s="63" t="s">
        <v>314</v>
      </c>
      <c r="F131" s="62" t="s">
        <v>190</v>
      </c>
      <c r="G131" s="62" t="s">
        <v>119</v>
      </c>
      <c r="H131" s="62" t="s">
        <v>16</v>
      </c>
      <c r="I131" s="62" t="s">
        <v>120</v>
      </c>
      <c r="J131" s="62"/>
      <c r="K131" s="64">
        <v>25.77</v>
      </c>
      <c r="L131" s="64">
        <f t="shared" si="18"/>
        <v>3.9646153846153847</v>
      </c>
      <c r="M131" s="65">
        <f>prodnorm9</f>
        <v>0</v>
      </c>
      <c r="N131" s="66">
        <f>dagwerk9</f>
        <v>0</v>
      </c>
      <c r="O131" s="62" t="s">
        <v>36</v>
      </c>
      <c r="P131" s="67">
        <f>uurtarief9</f>
        <v>0</v>
      </c>
      <c r="Q131" s="64" t="e">
        <f t="shared" si="19"/>
        <v>#DIV/0!</v>
      </c>
      <c r="R131" s="64" t="e">
        <f t="shared" si="20"/>
        <v>#DIV/0!</v>
      </c>
      <c r="S131" s="67" t="e">
        <f t="shared" si="21"/>
        <v>#DIV/0!</v>
      </c>
      <c r="T131" s="64" t="e">
        <f t="shared" si="22"/>
        <v>#DIV/0!</v>
      </c>
      <c r="U131" s="68" t="e">
        <f t="shared" si="23"/>
        <v>#DIV/0!</v>
      </c>
    </row>
    <row r="132" spans="1:21" x14ac:dyDescent="0.2">
      <c r="A132" s="61" t="s">
        <v>175</v>
      </c>
      <c r="B132" s="62" t="s">
        <v>176</v>
      </c>
      <c r="C132" s="62" t="s">
        <v>301</v>
      </c>
      <c r="D132" s="62" t="s">
        <v>313</v>
      </c>
      <c r="E132" s="63" t="s">
        <v>314</v>
      </c>
      <c r="F132" s="62" t="s">
        <v>190</v>
      </c>
      <c r="G132" s="62" t="s">
        <v>160</v>
      </c>
      <c r="H132" s="62" t="s">
        <v>12</v>
      </c>
      <c r="I132" s="62" t="s">
        <v>120</v>
      </c>
      <c r="J132" s="62"/>
      <c r="K132" s="64">
        <v>25.77</v>
      </c>
      <c r="L132" s="64">
        <f t="shared" si="18"/>
        <v>15.858461538461539</v>
      </c>
      <c r="M132" s="65">
        <f>prodnorm33</f>
        <v>0</v>
      </c>
      <c r="N132" s="66">
        <f>dagwerk33</f>
        <v>0</v>
      </c>
      <c r="O132" s="62" t="s">
        <v>36</v>
      </c>
      <c r="P132" s="67">
        <f>uurtarief33</f>
        <v>0</v>
      </c>
      <c r="Q132" s="64" t="e">
        <f t="shared" si="19"/>
        <v>#DIV/0!</v>
      </c>
      <c r="R132" s="64" t="e">
        <f t="shared" si="20"/>
        <v>#DIV/0!</v>
      </c>
      <c r="S132" s="67" t="e">
        <f t="shared" si="21"/>
        <v>#DIV/0!</v>
      </c>
      <c r="T132" s="64" t="e">
        <f t="shared" si="22"/>
        <v>#DIV/0!</v>
      </c>
      <c r="U132" s="68" t="e">
        <f t="shared" si="23"/>
        <v>#DIV/0!</v>
      </c>
    </row>
    <row r="133" spans="1:21" x14ac:dyDescent="0.2">
      <c r="A133" s="61" t="s">
        <v>175</v>
      </c>
      <c r="B133" s="62" t="s">
        <v>176</v>
      </c>
      <c r="C133" s="62" t="s">
        <v>301</v>
      </c>
      <c r="D133" s="62" t="s">
        <v>315</v>
      </c>
      <c r="E133" s="63" t="s">
        <v>312</v>
      </c>
      <c r="F133" s="62" t="s">
        <v>190</v>
      </c>
      <c r="G133" s="62" t="s">
        <v>142</v>
      </c>
      <c r="H133" s="62" t="s">
        <v>11</v>
      </c>
      <c r="I133" s="62" t="s">
        <v>120</v>
      </c>
      <c r="J133" s="62"/>
      <c r="K133" s="64">
        <v>80.31</v>
      </c>
      <c r="L133" s="64">
        <f t="shared" ref="L133:L164" si="27">K133*VLOOKUP(H133,dagsoorttabel1,2,FALSE)</f>
        <v>61.776923076923083</v>
      </c>
      <c r="M133" s="65">
        <f>prodnorm23</f>
        <v>0</v>
      </c>
      <c r="N133" s="66">
        <f>dagwerk23</f>
        <v>0</v>
      </c>
      <c r="O133" s="62" t="s">
        <v>36</v>
      </c>
      <c r="P133" s="67">
        <f>uurtarief23</f>
        <v>0</v>
      </c>
      <c r="Q133" s="64" t="e">
        <f t="shared" ref="Q133:Q156" si="28">IF(ISBLANK(M133),0,L133/ROUND(M133,4))</f>
        <v>#DIV/0!</v>
      </c>
      <c r="R133" s="64" t="e">
        <f t="shared" ref="R133:R164" si="29">IF(ISBLANK(M133),0,Q133*ROUND(N133,2))</f>
        <v>#DIV/0!</v>
      </c>
      <c r="S133" s="67" t="e">
        <f t="shared" ref="S133:S156" si="30">ROUND(P133,2)*Q133</f>
        <v>#DIV/0!</v>
      </c>
      <c r="T133" s="64" t="e">
        <f t="shared" ref="T133:T156" si="31">Q133*dagenperjaar1</f>
        <v>#DIV/0!</v>
      </c>
      <c r="U133" s="68" t="e">
        <f t="shared" ref="U133:U164" si="32">T133*ROUND(P133,2)</f>
        <v>#DIV/0!</v>
      </c>
    </row>
    <row r="134" spans="1:21" x14ac:dyDescent="0.2">
      <c r="A134" s="61" t="s">
        <v>175</v>
      </c>
      <c r="B134" s="62" t="s">
        <v>176</v>
      </c>
      <c r="C134" s="62" t="s">
        <v>301</v>
      </c>
      <c r="D134" s="62" t="s">
        <v>316</v>
      </c>
      <c r="E134" s="63" t="s">
        <v>225</v>
      </c>
      <c r="F134" s="62" t="s">
        <v>183</v>
      </c>
      <c r="G134" s="62" t="s">
        <v>122</v>
      </c>
      <c r="H134" s="62" t="s">
        <v>16</v>
      </c>
      <c r="I134" s="62" t="s">
        <v>120</v>
      </c>
      <c r="J134" s="62"/>
      <c r="K134" s="64">
        <v>25.77</v>
      </c>
      <c r="L134" s="64">
        <f t="shared" si="27"/>
        <v>3.9646153846153847</v>
      </c>
      <c r="M134" s="65">
        <f>prodnorm11</f>
        <v>0</v>
      </c>
      <c r="N134" s="66">
        <f>dagwerk11</f>
        <v>0</v>
      </c>
      <c r="O134" s="62" t="s">
        <v>36</v>
      </c>
      <c r="P134" s="67">
        <f>uurtarief11</f>
        <v>0</v>
      </c>
      <c r="Q134" s="64" t="e">
        <f t="shared" si="28"/>
        <v>#DIV/0!</v>
      </c>
      <c r="R134" s="64" t="e">
        <f t="shared" si="29"/>
        <v>#DIV/0!</v>
      </c>
      <c r="S134" s="67" t="e">
        <f t="shared" si="30"/>
        <v>#DIV/0!</v>
      </c>
      <c r="T134" s="64" t="e">
        <f t="shared" si="31"/>
        <v>#DIV/0!</v>
      </c>
      <c r="U134" s="68" t="e">
        <f t="shared" si="32"/>
        <v>#DIV/0!</v>
      </c>
    </row>
    <row r="135" spans="1:21" x14ac:dyDescent="0.2">
      <c r="A135" s="61" t="s">
        <v>175</v>
      </c>
      <c r="B135" s="62" t="s">
        <v>176</v>
      </c>
      <c r="C135" s="62" t="s">
        <v>301</v>
      </c>
      <c r="D135" s="62" t="s">
        <v>316</v>
      </c>
      <c r="E135" s="63" t="s">
        <v>225</v>
      </c>
      <c r="F135" s="62" t="s">
        <v>183</v>
      </c>
      <c r="G135" s="62" t="s">
        <v>160</v>
      </c>
      <c r="H135" s="62" t="s">
        <v>12</v>
      </c>
      <c r="I135" s="62" t="s">
        <v>120</v>
      </c>
      <c r="J135" s="62"/>
      <c r="K135" s="64">
        <v>25.77</v>
      </c>
      <c r="L135" s="64">
        <f t="shared" si="27"/>
        <v>15.858461538461539</v>
      </c>
      <c r="M135" s="65">
        <f>prodnorm33</f>
        <v>0</v>
      </c>
      <c r="N135" s="66">
        <f>dagwerk33</f>
        <v>0</v>
      </c>
      <c r="O135" s="62" t="s">
        <v>36</v>
      </c>
      <c r="P135" s="67">
        <f>uurtarief33</f>
        <v>0</v>
      </c>
      <c r="Q135" s="64" t="e">
        <f t="shared" si="28"/>
        <v>#DIV/0!</v>
      </c>
      <c r="R135" s="64" t="e">
        <f t="shared" si="29"/>
        <v>#DIV/0!</v>
      </c>
      <c r="S135" s="67" t="e">
        <f t="shared" si="30"/>
        <v>#DIV/0!</v>
      </c>
      <c r="T135" s="64" t="e">
        <f t="shared" si="31"/>
        <v>#DIV/0!</v>
      </c>
      <c r="U135" s="68" t="e">
        <f t="shared" si="32"/>
        <v>#DIV/0!</v>
      </c>
    </row>
    <row r="136" spans="1:21" x14ac:dyDescent="0.2">
      <c r="A136" s="61" t="s">
        <v>175</v>
      </c>
      <c r="B136" s="62" t="s">
        <v>176</v>
      </c>
      <c r="C136" s="62" t="s">
        <v>301</v>
      </c>
      <c r="D136" s="62" t="s">
        <v>317</v>
      </c>
      <c r="E136" s="63" t="s">
        <v>312</v>
      </c>
      <c r="F136" s="62" t="s">
        <v>190</v>
      </c>
      <c r="G136" s="62" t="s">
        <v>142</v>
      </c>
      <c r="H136" s="62" t="s">
        <v>11</v>
      </c>
      <c r="I136" s="62" t="s">
        <v>120</v>
      </c>
      <c r="J136" s="62"/>
      <c r="K136" s="64">
        <v>80.31</v>
      </c>
      <c r="L136" s="64">
        <f t="shared" si="27"/>
        <v>61.776923076923083</v>
      </c>
      <c r="M136" s="65">
        <f>prodnorm23</f>
        <v>0</v>
      </c>
      <c r="N136" s="66">
        <f>dagwerk23</f>
        <v>0</v>
      </c>
      <c r="O136" s="62" t="s">
        <v>36</v>
      </c>
      <c r="P136" s="67">
        <f>uurtarief23</f>
        <v>0</v>
      </c>
      <c r="Q136" s="64" t="e">
        <f t="shared" si="28"/>
        <v>#DIV/0!</v>
      </c>
      <c r="R136" s="64" t="e">
        <f t="shared" si="29"/>
        <v>#DIV/0!</v>
      </c>
      <c r="S136" s="67" t="e">
        <f t="shared" si="30"/>
        <v>#DIV/0!</v>
      </c>
      <c r="T136" s="64" t="e">
        <f t="shared" si="31"/>
        <v>#DIV/0!</v>
      </c>
      <c r="U136" s="68" t="e">
        <f t="shared" si="32"/>
        <v>#DIV/0!</v>
      </c>
    </row>
    <row r="137" spans="1:21" x14ac:dyDescent="0.2">
      <c r="A137" s="61" t="s">
        <v>175</v>
      </c>
      <c r="B137" s="62" t="s">
        <v>176</v>
      </c>
      <c r="C137" s="62" t="s">
        <v>301</v>
      </c>
      <c r="D137" s="62" t="s">
        <v>318</v>
      </c>
      <c r="E137" s="63" t="s">
        <v>189</v>
      </c>
      <c r="F137" s="62" t="s">
        <v>190</v>
      </c>
      <c r="G137" s="62" t="s">
        <v>154</v>
      </c>
      <c r="H137" s="62" t="s">
        <v>11</v>
      </c>
      <c r="I137" s="62" t="s">
        <v>120</v>
      </c>
      <c r="J137" s="62"/>
      <c r="K137" s="64">
        <v>50.13</v>
      </c>
      <c r="L137" s="64">
        <f t="shared" si="27"/>
        <v>38.561538461538468</v>
      </c>
      <c r="M137" s="65">
        <f>prodnorm29</f>
        <v>0</v>
      </c>
      <c r="N137" s="66">
        <f>dagwerk29</f>
        <v>0</v>
      </c>
      <c r="O137" s="62" t="s">
        <v>36</v>
      </c>
      <c r="P137" s="67">
        <f>uurtarief29</f>
        <v>0</v>
      </c>
      <c r="Q137" s="64" t="e">
        <f t="shared" si="28"/>
        <v>#DIV/0!</v>
      </c>
      <c r="R137" s="64" t="e">
        <f t="shared" si="29"/>
        <v>#DIV/0!</v>
      </c>
      <c r="S137" s="67" t="e">
        <f t="shared" si="30"/>
        <v>#DIV/0!</v>
      </c>
      <c r="T137" s="64" t="e">
        <f t="shared" si="31"/>
        <v>#DIV/0!</v>
      </c>
      <c r="U137" s="68" t="e">
        <f t="shared" si="32"/>
        <v>#DIV/0!</v>
      </c>
    </row>
    <row r="138" spans="1:21" x14ac:dyDescent="0.2">
      <c r="A138" s="61" t="s">
        <v>175</v>
      </c>
      <c r="B138" s="62" t="s">
        <v>176</v>
      </c>
      <c r="C138" s="62" t="s">
        <v>301</v>
      </c>
      <c r="D138" s="62" t="s">
        <v>319</v>
      </c>
      <c r="E138" s="63" t="s">
        <v>314</v>
      </c>
      <c r="F138" s="62" t="s">
        <v>190</v>
      </c>
      <c r="G138" s="62" t="s">
        <v>119</v>
      </c>
      <c r="H138" s="62" t="s">
        <v>16</v>
      </c>
      <c r="I138" s="62" t="s">
        <v>120</v>
      </c>
      <c r="J138" s="62"/>
      <c r="K138" s="64">
        <v>25.77</v>
      </c>
      <c r="L138" s="64">
        <f t="shared" si="27"/>
        <v>3.9646153846153847</v>
      </c>
      <c r="M138" s="65">
        <f>prodnorm9</f>
        <v>0</v>
      </c>
      <c r="N138" s="66">
        <f>dagwerk9</f>
        <v>0</v>
      </c>
      <c r="O138" s="62" t="s">
        <v>36</v>
      </c>
      <c r="P138" s="67">
        <f>uurtarief9</f>
        <v>0</v>
      </c>
      <c r="Q138" s="64" t="e">
        <f t="shared" si="28"/>
        <v>#DIV/0!</v>
      </c>
      <c r="R138" s="64" t="e">
        <f t="shared" si="29"/>
        <v>#DIV/0!</v>
      </c>
      <c r="S138" s="67" t="e">
        <f t="shared" si="30"/>
        <v>#DIV/0!</v>
      </c>
      <c r="T138" s="64" t="e">
        <f t="shared" si="31"/>
        <v>#DIV/0!</v>
      </c>
      <c r="U138" s="68" t="e">
        <f t="shared" si="32"/>
        <v>#DIV/0!</v>
      </c>
    </row>
    <row r="139" spans="1:21" x14ac:dyDescent="0.2">
      <c r="A139" s="61" t="s">
        <v>175</v>
      </c>
      <c r="B139" s="62" t="s">
        <v>176</v>
      </c>
      <c r="C139" s="62" t="s">
        <v>301</v>
      </c>
      <c r="D139" s="62" t="s">
        <v>319</v>
      </c>
      <c r="E139" s="63" t="s">
        <v>314</v>
      </c>
      <c r="F139" s="62" t="s">
        <v>190</v>
      </c>
      <c r="G139" s="62" t="s">
        <v>160</v>
      </c>
      <c r="H139" s="62" t="s">
        <v>12</v>
      </c>
      <c r="I139" s="62" t="s">
        <v>120</v>
      </c>
      <c r="J139" s="62"/>
      <c r="K139" s="64">
        <v>25.77</v>
      </c>
      <c r="L139" s="64">
        <f t="shared" si="27"/>
        <v>15.858461538461539</v>
      </c>
      <c r="M139" s="65">
        <f>prodnorm33</f>
        <v>0</v>
      </c>
      <c r="N139" s="66">
        <f>dagwerk33</f>
        <v>0</v>
      </c>
      <c r="O139" s="62" t="s">
        <v>36</v>
      </c>
      <c r="P139" s="67">
        <f>uurtarief33</f>
        <v>0</v>
      </c>
      <c r="Q139" s="64" t="e">
        <f t="shared" si="28"/>
        <v>#DIV/0!</v>
      </c>
      <c r="R139" s="64" t="e">
        <f t="shared" si="29"/>
        <v>#DIV/0!</v>
      </c>
      <c r="S139" s="67" t="e">
        <f t="shared" si="30"/>
        <v>#DIV/0!</v>
      </c>
      <c r="T139" s="64" t="e">
        <f t="shared" si="31"/>
        <v>#DIV/0!</v>
      </c>
      <c r="U139" s="68" t="e">
        <f t="shared" si="32"/>
        <v>#DIV/0!</v>
      </c>
    </row>
    <row r="140" spans="1:21" x14ac:dyDescent="0.2">
      <c r="A140" s="61" t="s">
        <v>175</v>
      </c>
      <c r="B140" s="62" t="s">
        <v>176</v>
      </c>
      <c r="C140" s="62" t="s">
        <v>301</v>
      </c>
      <c r="D140" s="62" t="s">
        <v>320</v>
      </c>
      <c r="E140" s="63" t="s">
        <v>312</v>
      </c>
      <c r="F140" s="62" t="s">
        <v>190</v>
      </c>
      <c r="G140" s="62" t="s">
        <v>142</v>
      </c>
      <c r="H140" s="62" t="s">
        <v>11</v>
      </c>
      <c r="I140" s="62" t="s">
        <v>120</v>
      </c>
      <c r="J140" s="62"/>
      <c r="K140" s="64">
        <v>80.31</v>
      </c>
      <c r="L140" s="64">
        <f t="shared" si="27"/>
        <v>61.776923076923083</v>
      </c>
      <c r="M140" s="65">
        <f>prodnorm23</f>
        <v>0</v>
      </c>
      <c r="N140" s="66">
        <f>dagwerk23</f>
        <v>0</v>
      </c>
      <c r="O140" s="62" t="s">
        <v>36</v>
      </c>
      <c r="P140" s="67">
        <f>uurtarief23</f>
        <v>0</v>
      </c>
      <c r="Q140" s="64" t="e">
        <f t="shared" si="28"/>
        <v>#DIV/0!</v>
      </c>
      <c r="R140" s="64" t="e">
        <f t="shared" si="29"/>
        <v>#DIV/0!</v>
      </c>
      <c r="S140" s="67" t="e">
        <f t="shared" si="30"/>
        <v>#DIV/0!</v>
      </c>
      <c r="T140" s="64" t="e">
        <f t="shared" si="31"/>
        <v>#DIV/0!</v>
      </c>
      <c r="U140" s="68" t="e">
        <f t="shared" si="32"/>
        <v>#DIV/0!</v>
      </c>
    </row>
    <row r="141" spans="1:21" x14ac:dyDescent="0.2">
      <c r="A141" s="61" t="s">
        <v>175</v>
      </c>
      <c r="B141" s="62" t="s">
        <v>176</v>
      </c>
      <c r="C141" s="62" t="s">
        <v>301</v>
      </c>
      <c r="D141" s="62" t="s">
        <v>321</v>
      </c>
      <c r="E141" s="63" t="s">
        <v>312</v>
      </c>
      <c r="F141" s="62" t="s">
        <v>190</v>
      </c>
      <c r="G141" s="62" t="s">
        <v>142</v>
      </c>
      <c r="H141" s="62" t="s">
        <v>11</v>
      </c>
      <c r="I141" s="62" t="s">
        <v>120</v>
      </c>
      <c r="J141" s="62"/>
      <c r="K141" s="64">
        <v>81.84</v>
      </c>
      <c r="L141" s="64">
        <f t="shared" si="27"/>
        <v>62.953846153846158</v>
      </c>
      <c r="M141" s="65">
        <f>prodnorm23</f>
        <v>0</v>
      </c>
      <c r="N141" s="66">
        <f>dagwerk23</f>
        <v>0</v>
      </c>
      <c r="O141" s="62" t="s">
        <v>36</v>
      </c>
      <c r="P141" s="67">
        <f>uurtarief23</f>
        <v>0</v>
      </c>
      <c r="Q141" s="64" t="e">
        <f t="shared" si="28"/>
        <v>#DIV/0!</v>
      </c>
      <c r="R141" s="64" t="e">
        <f t="shared" si="29"/>
        <v>#DIV/0!</v>
      </c>
      <c r="S141" s="67" t="e">
        <f t="shared" si="30"/>
        <v>#DIV/0!</v>
      </c>
      <c r="T141" s="64" t="e">
        <f t="shared" si="31"/>
        <v>#DIV/0!</v>
      </c>
      <c r="U141" s="68" t="e">
        <f t="shared" si="32"/>
        <v>#DIV/0!</v>
      </c>
    </row>
    <row r="142" spans="1:21" x14ac:dyDescent="0.2">
      <c r="A142" s="61" t="s">
        <v>175</v>
      </c>
      <c r="B142" s="62" t="s">
        <v>176</v>
      </c>
      <c r="C142" s="62" t="s">
        <v>301</v>
      </c>
      <c r="D142" s="62" t="s">
        <v>322</v>
      </c>
      <c r="E142" s="63" t="s">
        <v>195</v>
      </c>
      <c r="F142" s="62" t="s">
        <v>190</v>
      </c>
      <c r="G142" s="62" t="s">
        <v>150</v>
      </c>
      <c r="H142" s="62" t="s">
        <v>11</v>
      </c>
      <c r="I142" s="62" t="s">
        <v>120</v>
      </c>
      <c r="J142" s="62"/>
      <c r="K142" s="64">
        <v>7.28</v>
      </c>
      <c r="L142" s="64">
        <f t="shared" si="27"/>
        <v>5.6000000000000005</v>
      </c>
      <c r="M142" s="65">
        <f>prodnorm27</f>
        <v>0</v>
      </c>
      <c r="N142" s="66">
        <f>dagwerk27</f>
        <v>0</v>
      </c>
      <c r="O142" s="62" t="s">
        <v>36</v>
      </c>
      <c r="P142" s="67">
        <f>uurtarief27</f>
        <v>0</v>
      </c>
      <c r="Q142" s="64" t="e">
        <f t="shared" si="28"/>
        <v>#DIV/0!</v>
      </c>
      <c r="R142" s="64" t="e">
        <f t="shared" si="29"/>
        <v>#DIV/0!</v>
      </c>
      <c r="S142" s="67" t="e">
        <f t="shared" si="30"/>
        <v>#DIV/0!</v>
      </c>
      <c r="T142" s="64" t="e">
        <f t="shared" si="31"/>
        <v>#DIV/0!</v>
      </c>
      <c r="U142" s="68" t="e">
        <f t="shared" si="32"/>
        <v>#DIV/0!</v>
      </c>
    </row>
    <row r="143" spans="1:21" x14ac:dyDescent="0.2">
      <c r="A143" s="61" t="s">
        <v>175</v>
      </c>
      <c r="B143" s="62" t="s">
        <v>176</v>
      </c>
      <c r="C143" s="62" t="s">
        <v>301</v>
      </c>
      <c r="D143" s="62" t="s">
        <v>323</v>
      </c>
      <c r="E143" s="63" t="s">
        <v>202</v>
      </c>
      <c r="F143" s="62" t="s">
        <v>203</v>
      </c>
      <c r="G143" s="62" t="s">
        <v>146</v>
      </c>
      <c r="H143" s="62" t="s">
        <v>11</v>
      </c>
      <c r="I143" s="62" t="s">
        <v>120</v>
      </c>
      <c r="J143" s="62"/>
      <c r="K143" s="64">
        <v>6.01</v>
      </c>
      <c r="L143" s="64">
        <f t="shared" si="27"/>
        <v>4.6230769230769235</v>
      </c>
      <c r="M143" s="65">
        <f>prodnorm25</f>
        <v>0</v>
      </c>
      <c r="N143" s="66">
        <f>dagwerk25</f>
        <v>0</v>
      </c>
      <c r="O143" s="62" t="s">
        <v>36</v>
      </c>
      <c r="P143" s="67">
        <f>uurtarief25</f>
        <v>0</v>
      </c>
      <c r="Q143" s="64" t="e">
        <f t="shared" si="28"/>
        <v>#DIV/0!</v>
      </c>
      <c r="R143" s="64" t="e">
        <f t="shared" si="29"/>
        <v>#DIV/0!</v>
      </c>
      <c r="S143" s="67" t="e">
        <f t="shared" si="30"/>
        <v>#DIV/0!</v>
      </c>
      <c r="T143" s="64" t="e">
        <f t="shared" si="31"/>
        <v>#DIV/0!</v>
      </c>
      <c r="U143" s="68" t="e">
        <f t="shared" si="32"/>
        <v>#DIV/0!</v>
      </c>
    </row>
    <row r="144" spans="1:21" x14ac:dyDescent="0.2">
      <c r="A144" s="61" t="s">
        <v>175</v>
      </c>
      <c r="B144" s="62" t="s">
        <v>176</v>
      </c>
      <c r="C144" s="62" t="s">
        <v>301</v>
      </c>
      <c r="D144" s="62" t="s">
        <v>324</v>
      </c>
      <c r="E144" s="63" t="s">
        <v>202</v>
      </c>
      <c r="F144" s="62" t="s">
        <v>203</v>
      </c>
      <c r="G144" s="62" t="s">
        <v>146</v>
      </c>
      <c r="H144" s="62" t="s">
        <v>11</v>
      </c>
      <c r="I144" s="62" t="s">
        <v>120</v>
      </c>
      <c r="J144" s="62"/>
      <c r="K144" s="64">
        <v>5.8199999999999994</v>
      </c>
      <c r="L144" s="64">
        <f t="shared" si="27"/>
        <v>4.476923076923077</v>
      </c>
      <c r="M144" s="65">
        <f>prodnorm25</f>
        <v>0</v>
      </c>
      <c r="N144" s="66">
        <f>dagwerk25</f>
        <v>0</v>
      </c>
      <c r="O144" s="62" t="s">
        <v>36</v>
      </c>
      <c r="P144" s="67">
        <f>uurtarief25</f>
        <v>0</v>
      </c>
      <c r="Q144" s="64" t="e">
        <f t="shared" si="28"/>
        <v>#DIV/0!</v>
      </c>
      <c r="R144" s="64" t="e">
        <f t="shared" si="29"/>
        <v>#DIV/0!</v>
      </c>
      <c r="S144" s="67" t="e">
        <f t="shared" si="30"/>
        <v>#DIV/0!</v>
      </c>
      <c r="T144" s="64" t="e">
        <f t="shared" si="31"/>
        <v>#DIV/0!</v>
      </c>
      <c r="U144" s="68" t="e">
        <f t="shared" si="32"/>
        <v>#DIV/0!</v>
      </c>
    </row>
    <row r="145" spans="1:21" x14ac:dyDescent="0.2">
      <c r="A145" s="61" t="s">
        <v>175</v>
      </c>
      <c r="B145" s="62" t="s">
        <v>176</v>
      </c>
      <c r="C145" s="62" t="s">
        <v>301</v>
      </c>
      <c r="D145" s="62" t="s">
        <v>325</v>
      </c>
      <c r="E145" s="63" t="s">
        <v>312</v>
      </c>
      <c r="F145" s="62" t="s">
        <v>190</v>
      </c>
      <c r="G145" s="62" t="s">
        <v>142</v>
      </c>
      <c r="H145" s="62" t="s">
        <v>11</v>
      </c>
      <c r="I145" s="62" t="s">
        <v>120</v>
      </c>
      <c r="J145" s="62"/>
      <c r="K145" s="64">
        <v>121.99000000000001</v>
      </c>
      <c r="L145" s="64">
        <f t="shared" si="27"/>
        <v>93.838461538461544</v>
      </c>
      <c r="M145" s="65">
        <f>prodnorm23</f>
        <v>0</v>
      </c>
      <c r="N145" s="66">
        <f>dagwerk23</f>
        <v>0</v>
      </c>
      <c r="O145" s="62" t="s">
        <v>36</v>
      </c>
      <c r="P145" s="67">
        <f>uurtarief23</f>
        <v>0</v>
      </c>
      <c r="Q145" s="64" t="e">
        <f t="shared" si="28"/>
        <v>#DIV/0!</v>
      </c>
      <c r="R145" s="64" t="e">
        <f t="shared" si="29"/>
        <v>#DIV/0!</v>
      </c>
      <c r="S145" s="67" t="e">
        <f t="shared" si="30"/>
        <v>#DIV/0!</v>
      </c>
      <c r="T145" s="64" t="e">
        <f t="shared" si="31"/>
        <v>#DIV/0!</v>
      </c>
      <c r="U145" s="68" t="e">
        <f t="shared" si="32"/>
        <v>#DIV/0!</v>
      </c>
    </row>
    <row r="146" spans="1:21" x14ac:dyDescent="0.2">
      <c r="A146" s="61" t="s">
        <v>175</v>
      </c>
      <c r="B146" s="62" t="s">
        <v>176</v>
      </c>
      <c r="C146" s="62" t="s">
        <v>301</v>
      </c>
      <c r="D146" s="62" t="s">
        <v>326</v>
      </c>
      <c r="E146" s="63" t="s">
        <v>225</v>
      </c>
      <c r="F146" s="62" t="s">
        <v>190</v>
      </c>
      <c r="G146" s="62" t="s">
        <v>119</v>
      </c>
      <c r="H146" s="62" t="s">
        <v>16</v>
      </c>
      <c r="I146" s="62" t="s">
        <v>120</v>
      </c>
      <c r="J146" s="62"/>
      <c r="K146" s="64">
        <v>14.01</v>
      </c>
      <c r="L146" s="64">
        <f t="shared" si="27"/>
        <v>2.1553846153846155</v>
      </c>
      <c r="M146" s="65">
        <f>prodnorm9</f>
        <v>0</v>
      </c>
      <c r="N146" s="66">
        <f>dagwerk9</f>
        <v>0</v>
      </c>
      <c r="O146" s="62" t="s">
        <v>36</v>
      </c>
      <c r="P146" s="67">
        <f>uurtarief9</f>
        <v>0</v>
      </c>
      <c r="Q146" s="64" t="e">
        <f t="shared" si="28"/>
        <v>#DIV/0!</v>
      </c>
      <c r="R146" s="64" t="e">
        <f t="shared" si="29"/>
        <v>#DIV/0!</v>
      </c>
      <c r="S146" s="67" t="e">
        <f t="shared" si="30"/>
        <v>#DIV/0!</v>
      </c>
      <c r="T146" s="64" t="e">
        <f t="shared" si="31"/>
        <v>#DIV/0!</v>
      </c>
      <c r="U146" s="68" t="e">
        <f t="shared" si="32"/>
        <v>#DIV/0!</v>
      </c>
    </row>
    <row r="147" spans="1:21" x14ac:dyDescent="0.2">
      <c r="A147" s="61" t="s">
        <v>175</v>
      </c>
      <c r="B147" s="62" t="s">
        <v>176</v>
      </c>
      <c r="C147" s="62" t="s">
        <v>301</v>
      </c>
      <c r="D147" s="62" t="s">
        <v>326</v>
      </c>
      <c r="E147" s="63" t="s">
        <v>225</v>
      </c>
      <c r="F147" s="62" t="s">
        <v>190</v>
      </c>
      <c r="G147" s="62" t="s">
        <v>160</v>
      </c>
      <c r="H147" s="62" t="s">
        <v>12</v>
      </c>
      <c r="I147" s="62" t="s">
        <v>120</v>
      </c>
      <c r="J147" s="62"/>
      <c r="K147" s="64">
        <v>14.01</v>
      </c>
      <c r="L147" s="64">
        <f t="shared" si="27"/>
        <v>8.6215384615384618</v>
      </c>
      <c r="M147" s="65">
        <f>prodnorm33</f>
        <v>0</v>
      </c>
      <c r="N147" s="66">
        <f>dagwerk33</f>
        <v>0</v>
      </c>
      <c r="O147" s="62" t="s">
        <v>36</v>
      </c>
      <c r="P147" s="67">
        <f>uurtarief33</f>
        <v>0</v>
      </c>
      <c r="Q147" s="64" t="e">
        <f t="shared" si="28"/>
        <v>#DIV/0!</v>
      </c>
      <c r="R147" s="64" t="e">
        <f t="shared" si="29"/>
        <v>#DIV/0!</v>
      </c>
      <c r="S147" s="67" t="e">
        <f t="shared" si="30"/>
        <v>#DIV/0!</v>
      </c>
      <c r="T147" s="64" t="e">
        <f t="shared" si="31"/>
        <v>#DIV/0!</v>
      </c>
      <c r="U147" s="68" t="e">
        <f t="shared" si="32"/>
        <v>#DIV/0!</v>
      </c>
    </row>
    <row r="148" spans="1:21" x14ac:dyDescent="0.2">
      <c r="A148" s="61" t="s">
        <v>175</v>
      </c>
      <c r="B148" s="62" t="s">
        <v>176</v>
      </c>
      <c r="C148" s="62" t="s">
        <v>301</v>
      </c>
      <c r="D148" s="62" t="s">
        <v>327</v>
      </c>
      <c r="E148" s="63" t="s">
        <v>225</v>
      </c>
      <c r="F148" s="62" t="s">
        <v>190</v>
      </c>
      <c r="G148" s="62" t="s">
        <v>119</v>
      </c>
      <c r="H148" s="62" t="s">
        <v>16</v>
      </c>
      <c r="I148" s="62" t="s">
        <v>120</v>
      </c>
      <c r="J148" s="62"/>
      <c r="K148" s="64">
        <v>14.09</v>
      </c>
      <c r="L148" s="64">
        <f t="shared" si="27"/>
        <v>2.1676923076923078</v>
      </c>
      <c r="M148" s="65">
        <f>prodnorm9</f>
        <v>0</v>
      </c>
      <c r="N148" s="66">
        <f>dagwerk9</f>
        <v>0</v>
      </c>
      <c r="O148" s="62" t="s">
        <v>36</v>
      </c>
      <c r="P148" s="67">
        <f>uurtarief9</f>
        <v>0</v>
      </c>
      <c r="Q148" s="64" t="e">
        <f t="shared" si="28"/>
        <v>#DIV/0!</v>
      </c>
      <c r="R148" s="64" t="e">
        <f t="shared" si="29"/>
        <v>#DIV/0!</v>
      </c>
      <c r="S148" s="67" t="e">
        <f t="shared" si="30"/>
        <v>#DIV/0!</v>
      </c>
      <c r="T148" s="64" t="e">
        <f t="shared" si="31"/>
        <v>#DIV/0!</v>
      </c>
      <c r="U148" s="68" t="e">
        <f t="shared" si="32"/>
        <v>#DIV/0!</v>
      </c>
    </row>
    <row r="149" spans="1:21" x14ac:dyDescent="0.2">
      <c r="A149" s="61" t="s">
        <v>175</v>
      </c>
      <c r="B149" s="62" t="s">
        <v>176</v>
      </c>
      <c r="C149" s="62" t="s">
        <v>301</v>
      </c>
      <c r="D149" s="62" t="s">
        <v>327</v>
      </c>
      <c r="E149" s="63" t="s">
        <v>225</v>
      </c>
      <c r="F149" s="62" t="s">
        <v>190</v>
      </c>
      <c r="G149" s="62" t="s">
        <v>160</v>
      </c>
      <c r="H149" s="62" t="s">
        <v>12</v>
      </c>
      <c r="I149" s="62" t="s">
        <v>120</v>
      </c>
      <c r="J149" s="62"/>
      <c r="K149" s="64">
        <v>14.09</v>
      </c>
      <c r="L149" s="64">
        <f t="shared" si="27"/>
        <v>8.6707692307692312</v>
      </c>
      <c r="M149" s="65">
        <f>prodnorm33</f>
        <v>0</v>
      </c>
      <c r="N149" s="66">
        <f>dagwerk33</f>
        <v>0</v>
      </c>
      <c r="O149" s="62" t="s">
        <v>36</v>
      </c>
      <c r="P149" s="67">
        <f>uurtarief33</f>
        <v>0</v>
      </c>
      <c r="Q149" s="64" t="e">
        <f t="shared" si="28"/>
        <v>#DIV/0!</v>
      </c>
      <c r="R149" s="64" t="e">
        <f t="shared" si="29"/>
        <v>#DIV/0!</v>
      </c>
      <c r="S149" s="67" t="e">
        <f t="shared" si="30"/>
        <v>#DIV/0!</v>
      </c>
      <c r="T149" s="64" t="e">
        <f t="shared" si="31"/>
        <v>#DIV/0!</v>
      </c>
      <c r="U149" s="68" t="e">
        <f t="shared" si="32"/>
        <v>#DIV/0!</v>
      </c>
    </row>
    <row r="150" spans="1:21" x14ac:dyDescent="0.2">
      <c r="A150" s="61" t="s">
        <v>175</v>
      </c>
      <c r="B150" s="62" t="s">
        <v>176</v>
      </c>
      <c r="C150" s="62" t="s">
        <v>301</v>
      </c>
      <c r="D150" s="62" t="s">
        <v>328</v>
      </c>
      <c r="E150" s="63" t="s">
        <v>225</v>
      </c>
      <c r="F150" s="62" t="s">
        <v>183</v>
      </c>
      <c r="G150" s="62" t="s">
        <v>122</v>
      </c>
      <c r="H150" s="62" t="s">
        <v>16</v>
      </c>
      <c r="I150" s="62" t="s">
        <v>120</v>
      </c>
      <c r="J150" s="62"/>
      <c r="K150" s="64">
        <v>31.5</v>
      </c>
      <c r="L150" s="64">
        <f t="shared" si="27"/>
        <v>4.8461538461538467</v>
      </c>
      <c r="M150" s="65">
        <f>prodnorm11</f>
        <v>0</v>
      </c>
      <c r="N150" s="66">
        <f>dagwerk11</f>
        <v>0</v>
      </c>
      <c r="O150" s="62" t="s">
        <v>36</v>
      </c>
      <c r="P150" s="67">
        <f>uurtarief11</f>
        <v>0</v>
      </c>
      <c r="Q150" s="64" t="e">
        <f t="shared" si="28"/>
        <v>#DIV/0!</v>
      </c>
      <c r="R150" s="64" t="e">
        <f t="shared" si="29"/>
        <v>#DIV/0!</v>
      </c>
      <c r="S150" s="67" t="e">
        <f t="shared" si="30"/>
        <v>#DIV/0!</v>
      </c>
      <c r="T150" s="64" t="e">
        <f t="shared" si="31"/>
        <v>#DIV/0!</v>
      </c>
      <c r="U150" s="68" t="e">
        <f t="shared" si="32"/>
        <v>#DIV/0!</v>
      </c>
    </row>
    <row r="151" spans="1:21" x14ac:dyDescent="0.2">
      <c r="A151" s="61" t="s">
        <v>175</v>
      </c>
      <c r="B151" s="62" t="s">
        <v>176</v>
      </c>
      <c r="C151" s="62" t="s">
        <v>301</v>
      </c>
      <c r="D151" s="62" t="s">
        <v>328</v>
      </c>
      <c r="E151" s="63" t="s">
        <v>225</v>
      </c>
      <c r="F151" s="62" t="s">
        <v>183</v>
      </c>
      <c r="G151" s="62" t="s">
        <v>160</v>
      </c>
      <c r="H151" s="62" t="s">
        <v>12</v>
      </c>
      <c r="I151" s="62" t="s">
        <v>120</v>
      </c>
      <c r="J151" s="62"/>
      <c r="K151" s="64">
        <v>31.5</v>
      </c>
      <c r="L151" s="64">
        <f t="shared" si="27"/>
        <v>19.384615384615387</v>
      </c>
      <c r="M151" s="65">
        <f>prodnorm33</f>
        <v>0</v>
      </c>
      <c r="N151" s="66">
        <f>dagwerk33</f>
        <v>0</v>
      </c>
      <c r="O151" s="62" t="s">
        <v>36</v>
      </c>
      <c r="P151" s="67">
        <f>uurtarief33</f>
        <v>0</v>
      </c>
      <c r="Q151" s="64" t="e">
        <f t="shared" si="28"/>
        <v>#DIV/0!</v>
      </c>
      <c r="R151" s="64" t="e">
        <f t="shared" si="29"/>
        <v>#DIV/0!</v>
      </c>
      <c r="S151" s="67" t="e">
        <f t="shared" si="30"/>
        <v>#DIV/0!</v>
      </c>
      <c r="T151" s="64" t="e">
        <f t="shared" si="31"/>
        <v>#DIV/0!</v>
      </c>
      <c r="U151" s="68" t="e">
        <f t="shared" si="32"/>
        <v>#DIV/0!</v>
      </c>
    </row>
    <row r="152" spans="1:21" x14ac:dyDescent="0.2">
      <c r="A152" s="61" t="s">
        <v>175</v>
      </c>
      <c r="B152" s="62" t="s">
        <v>176</v>
      </c>
      <c r="C152" s="62" t="s">
        <v>301</v>
      </c>
      <c r="D152" s="62" t="s">
        <v>329</v>
      </c>
      <c r="E152" s="63" t="s">
        <v>225</v>
      </c>
      <c r="F152" s="62" t="s">
        <v>183</v>
      </c>
      <c r="G152" s="62" t="s">
        <v>122</v>
      </c>
      <c r="H152" s="62" t="s">
        <v>16</v>
      </c>
      <c r="I152" s="62" t="s">
        <v>120</v>
      </c>
      <c r="J152" s="62"/>
      <c r="K152" s="64">
        <v>19.399999999999999</v>
      </c>
      <c r="L152" s="64">
        <f t="shared" si="27"/>
        <v>2.9846153846153847</v>
      </c>
      <c r="M152" s="65">
        <f>prodnorm11</f>
        <v>0</v>
      </c>
      <c r="N152" s="66">
        <f>dagwerk11</f>
        <v>0</v>
      </c>
      <c r="O152" s="62" t="s">
        <v>36</v>
      </c>
      <c r="P152" s="67">
        <f>uurtarief11</f>
        <v>0</v>
      </c>
      <c r="Q152" s="64" t="e">
        <f t="shared" si="28"/>
        <v>#DIV/0!</v>
      </c>
      <c r="R152" s="64" t="e">
        <f t="shared" si="29"/>
        <v>#DIV/0!</v>
      </c>
      <c r="S152" s="67" t="e">
        <f t="shared" si="30"/>
        <v>#DIV/0!</v>
      </c>
      <c r="T152" s="64" t="e">
        <f t="shared" si="31"/>
        <v>#DIV/0!</v>
      </c>
      <c r="U152" s="68" t="e">
        <f t="shared" si="32"/>
        <v>#DIV/0!</v>
      </c>
    </row>
    <row r="153" spans="1:21" x14ac:dyDescent="0.2">
      <c r="A153" s="61" t="s">
        <v>175</v>
      </c>
      <c r="B153" s="62" t="s">
        <v>176</v>
      </c>
      <c r="C153" s="62" t="s">
        <v>301</v>
      </c>
      <c r="D153" s="62" t="s">
        <v>329</v>
      </c>
      <c r="E153" s="63" t="s">
        <v>225</v>
      </c>
      <c r="F153" s="62" t="s">
        <v>183</v>
      </c>
      <c r="G153" s="62" t="s">
        <v>160</v>
      </c>
      <c r="H153" s="62" t="s">
        <v>12</v>
      </c>
      <c r="I153" s="62" t="s">
        <v>120</v>
      </c>
      <c r="J153" s="62"/>
      <c r="K153" s="64">
        <v>19.399999999999999</v>
      </c>
      <c r="L153" s="64">
        <f t="shared" si="27"/>
        <v>11.938461538461539</v>
      </c>
      <c r="M153" s="65">
        <f>prodnorm33</f>
        <v>0</v>
      </c>
      <c r="N153" s="66">
        <f>dagwerk33</f>
        <v>0</v>
      </c>
      <c r="O153" s="62" t="s">
        <v>36</v>
      </c>
      <c r="P153" s="67">
        <f>uurtarief33</f>
        <v>0</v>
      </c>
      <c r="Q153" s="64" t="e">
        <f t="shared" si="28"/>
        <v>#DIV/0!</v>
      </c>
      <c r="R153" s="64" t="e">
        <f t="shared" si="29"/>
        <v>#DIV/0!</v>
      </c>
      <c r="S153" s="67" t="e">
        <f t="shared" si="30"/>
        <v>#DIV/0!</v>
      </c>
      <c r="T153" s="64" t="e">
        <f t="shared" si="31"/>
        <v>#DIV/0!</v>
      </c>
      <c r="U153" s="68" t="e">
        <f t="shared" si="32"/>
        <v>#DIV/0!</v>
      </c>
    </row>
    <row r="154" spans="1:21" ht="25.5" x14ac:dyDescent="0.2">
      <c r="A154" s="61" t="s">
        <v>175</v>
      </c>
      <c r="B154" s="62" t="s">
        <v>176</v>
      </c>
      <c r="C154" s="62" t="s">
        <v>301</v>
      </c>
      <c r="D154" s="62" t="s">
        <v>330</v>
      </c>
      <c r="E154" s="63" t="s">
        <v>331</v>
      </c>
      <c r="F154" s="62" t="s">
        <v>190</v>
      </c>
      <c r="G154" s="62" t="s">
        <v>132</v>
      </c>
      <c r="H154" s="62" t="s">
        <v>12</v>
      </c>
      <c r="I154" s="62" t="s">
        <v>120</v>
      </c>
      <c r="J154" s="62"/>
      <c r="K154" s="64">
        <v>54.9</v>
      </c>
      <c r="L154" s="64">
        <f t="shared" si="27"/>
        <v>33.784615384615385</v>
      </c>
      <c r="M154" s="65">
        <f>prodnorm17</f>
        <v>0</v>
      </c>
      <c r="N154" s="66">
        <f>dagwerk17</f>
        <v>0</v>
      </c>
      <c r="O154" s="62" t="s">
        <v>36</v>
      </c>
      <c r="P154" s="67">
        <f>uurtarief17</f>
        <v>0</v>
      </c>
      <c r="Q154" s="64" t="e">
        <f t="shared" si="28"/>
        <v>#DIV/0!</v>
      </c>
      <c r="R154" s="64" t="e">
        <f t="shared" si="29"/>
        <v>#DIV/0!</v>
      </c>
      <c r="S154" s="67" t="e">
        <f t="shared" si="30"/>
        <v>#DIV/0!</v>
      </c>
      <c r="T154" s="64" t="e">
        <f t="shared" si="31"/>
        <v>#DIV/0!</v>
      </c>
      <c r="U154" s="68" t="e">
        <f t="shared" si="32"/>
        <v>#DIV/0!</v>
      </c>
    </row>
    <row r="155" spans="1:21" ht="25.5" x14ac:dyDescent="0.2">
      <c r="A155" s="61" t="s">
        <v>175</v>
      </c>
      <c r="B155" s="62" t="s">
        <v>176</v>
      </c>
      <c r="C155" s="62" t="s">
        <v>301</v>
      </c>
      <c r="D155" s="62" t="s">
        <v>332</v>
      </c>
      <c r="E155" s="63" t="s">
        <v>331</v>
      </c>
      <c r="F155" s="62" t="s">
        <v>190</v>
      </c>
      <c r="G155" s="62" t="s">
        <v>132</v>
      </c>
      <c r="H155" s="62" t="s">
        <v>12</v>
      </c>
      <c r="I155" s="62" t="s">
        <v>120</v>
      </c>
      <c r="J155" s="62"/>
      <c r="K155" s="64">
        <v>51.7</v>
      </c>
      <c r="L155" s="64">
        <f t="shared" si="27"/>
        <v>31.81538461538462</v>
      </c>
      <c r="M155" s="65">
        <f>prodnorm17</f>
        <v>0</v>
      </c>
      <c r="N155" s="66">
        <f>dagwerk17</f>
        <v>0</v>
      </c>
      <c r="O155" s="62" t="s">
        <v>36</v>
      </c>
      <c r="P155" s="67">
        <f>uurtarief17</f>
        <v>0</v>
      </c>
      <c r="Q155" s="64" t="e">
        <f t="shared" si="28"/>
        <v>#DIV/0!</v>
      </c>
      <c r="R155" s="64" t="e">
        <f t="shared" si="29"/>
        <v>#DIV/0!</v>
      </c>
      <c r="S155" s="67" t="e">
        <f t="shared" si="30"/>
        <v>#DIV/0!</v>
      </c>
      <c r="T155" s="64" t="e">
        <f t="shared" si="31"/>
        <v>#DIV/0!</v>
      </c>
      <c r="U155" s="68" t="e">
        <f t="shared" si="32"/>
        <v>#DIV/0!</v>
      </c>
    </row>
    <row r="156" spans="1:21" x14ac:dyDescent="0.2">
      <c r="A156" s="69" t="s">
        <v>175</v>
      </c>
      <c r="B156" s="70" t="s">
        <v>176</v>
      </c>
      <c r="C156" s="70" t="s">
        <v>301</v>
      </c>
      <c r="D156" s="70" t="s">
        <v>333</v>
      </c>
      <c r="E156" s="71" t="s">
        <v>218</v>
      </c>
      <c r="F156" s="70" t="s">
        <v>183</v>
      </c>
      <c r="G156" s="70" t="s">
        <v>134</v>
      </c>
      <c r="H156" s="70" t="s">
        <v>12</v>
      </c>
      <c r="I156" s="70" t="s">
        <v>120</v>
      </c>
      <c r="J156" s="70"/>
      <c r="K156" s="72">
        <v>52.5</v>
      </c>
      <c r="L156" s="72">
        <f t="shared" si="27"/>
        <v>32.307692307692307</v>
      </c>
      <c r="M156" s="73">
        <f>prodnorm18</f>
        <v>0</v>
      </c>
      <c r="N156" s="74">
        <f>dagwerk18</f>
        <v>0</v>
      </c>
      <c r="O156" s="70" t="s">
        <v>36</v>
      </c>
      <c r="P156" s="75">
        <f>uurtarief18</f>
        <v>0</v>
      </c>
      <c r="Q156" s="72" t="e">
        <f t="shared" si="28"/>
        <v>#DIV/0!</v>
      </c>
      <c r="R156" s="72" t="e">
        <f t="shared" si="29"/>
        <v>#DIV/0!</v>
      </c>
      <c r="S156" s="75" t="e">
        <f t="shared" si="30"/>
        <v>#DIV/0!</v>
      </c>
      <c r="T156" s="72" t="e">
        <f t="shared" si="31"/>
        <v>#DIV/0!</v>
      </c>
      <c r="U156" s="76" t="e">
        <f t="shared" si="32"/>
        <v>#DIV/0!</v>
      </c>
    </row>
    <row r="157" spans="1:21" x14ac:dyDescent="0.2">
      <c r="A157" s="77" t="s">
        <v>334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6" t="e">
        <f>IF(_xlfn.SINGLE(object1_urenjaar1)&gt;0,_xlfn.SINGLE(object1_prijsjaar1)/_xlfn.SINGLE(object1_urenjaar1),0)</f>
        <v>#DIV/0!</v>
      </c>
      <c r="Q157" s="45" t="e">
        <f>SUM(Q5:Q156)</f>
        <v>#DIV/0!</v>
      </c>
      <c r="R157" s="45" t="e">
        <f>SUM(R5:R156)</f>
        <v>#DIV/0!</v>
      </c>
      <c r="S157" s="46" t="e">
        <f>SUM(S5:S156)</f>
        <v>#DIV/0!</v>
      </c>
      <c r="T157" s="45" t="e">
        <f>SUM(T5:T156)</f>
        <v>#DIV/0!</v>
      </c>
      <c r="U157" s="47" t="e">
        <f>SUM(U5:U156)</f>
        <v>#DIV/0!</v>
      </c>
    </row>
    <row r="158" spans="1:21" x14ac:dyDescent="0.2">
      <c r="A158" s="52" t="s">
        <v>335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42"/>
    </row>
    <row r="159" spans="1:21" x14ac:dyDescent="0.2">
      <c r="A159" s="53" t="s">
        <v>336</v>
      </c>
      <c r="B159" s="54" t="s">
        <v>176</v>
      </c>
      <c r="C159" s="54" t="s">
        <v>177</v>
      </c>
      <c r="D159" s="54" t="s">
        <v>337</v>
      </c>
      <c r="E159" s="55" t="s">
        <v>179</v>
      </c>
      <c r="F159" s="54" t="s">
        <v>180</v>
      </c>
      <c r="G159" s="54" t="s">
        <v>150</v>
      </c>
      <c r="H159" s="54" t="s">
        <v>11</v>
      </c>
      <c r="I159" s="54" t="s">
        <v>120</v>
      </c>
      <c r="J159" s="54"/>
      <c r="K159" s="56">
        <v>11</v>
      </c>
      <c r="L159" s="56">
        <f t="shared" ref="L159:L190" si="33">K159*VLOOKUP(H159,dagsoorttabel1,2,FALSE)</f>
        <v>8.4615384615384617</v>
      </c>
      <c r="M159" s="57">
        <f>prodnorm27</f>
        <v>0</v>
      </c>
      <c r="N159" s="58">
        <f>dagwerk27</f>
        <v>0</v>
      </c>
      <c r="O159" s="54" t="s">
        <v>36</v>
      </c>
      <c r="P159" s="59">
        <f>uurtarief27</f>
        <v>0</v>
      </c>
      <c r="Q159" s="56" t="e">
        <f t="shared" ref="Q159:Q190" si="34">IF(ISBLANK(M159),0,L159/ROUND(M159,4))</f>
        <v>#DIV/0!</v>
      </c>
      <c r="R159" s="56" t="e">
        <f t="shared" ref="R159:R190" si="35">IF(ISBLANK(M159),0,Q159*ROUND(N159,2))</f>
        <v>#DIV/0!</v>
      </c>
      <c r="S159" s="59" t="e">
        <f t="shared" ref="S159:S190" si="36">ROUND(P159,2)*Q159</f>
        <v>#DIV/0!</v>
      </c>
      <c r="T159" s="56" t="e">
        <f t="shared" ref="T159:T190" si="37">Q159*dagenperjaar1</f>
        <v>#DIV/0!</v>
      </c>
      <c r="U159" s="60" t="e">
        <f t="shared" ref="U159:U190" si="38">T159*ROUND(P159,2)</f>
        <v>#DIV/0!</v>
      </c>
    </row>
    <row r="160" spans="1:21" x14ac:dyDescent="0.2">
      <c r="A160" s="61" t="s">
        <v>336</v>
      </c>
      <c r="B160" s="62" t="s">
        <v>176</v>
      </c>
      <c r="C160" s="62" t="s">
        <v>184</v>
      </c>
      <c r="D160" s="62" t="s">
        <v>185</v>
      </c>
      <c r="E160" s="63" t="s">
        <v>189</v>
      </c>
      <c r="F160" s="62" t="s">
        <v>190</v>
      </c>
      <c r="G160" s="62" t="s">
        <v>154</v>
      </c>
      <c r="H160" s="62" t="s">
        <v>11</v>
      </c>
      <c r="I160" s="62" t="s">
        <v>120</v>
      </c>
      <c r="J160" s="62"/>
      <c r="K160" s="64">
        <v>400.16</v>
      </c>
      <c r="L160" s="64">
        <f t="shared" si="33"/>
        <v>307.81538461538463</v>
      </c>
      <c r="M160" s="65">
        <f>prodnorm29</f>
        <v>0</v>
      </c>
      <c r="N160" s="66">
        <f>dagwerk29</f>
        <v>0</v>
      </c>
      <c r="O160" s="62" t="s">
        <v>36</v>
      </c>
      <c r="P160" s="67">
        <f>uurtarief29</f>
        <v>0</v>
      </c>
      <c r="Q160" s="64" t="e">
        <f t="shared" si="34"/>
        <v>#DIV/0!</v>
      </c>
      <c r="R160" s="64" t="e">
        <f t="shared" si="35"/>
        <v>#DIV/0!</v>
      </c>
      <c r="S160" s="67" t="e">
        <f t="shared" si="36"/>
        <v>#DIV/0!</v>
      </c>
      <c r="T160" s="64" t="e">
        <f t="shared" si="37"/>
        <v>#DIV/0!</v>
      </c>
      <c r="U160" s="68" t="e">
        <f t="shared" si="38"/>
        <v>#DIV/0!</v>
      </c>
    </row>
    <row r="161" spans="1:21" x14ac:dyDescent="0.2">
      <c r="A161" s="61" t="s">
        <v>336</v>
      </c>
      <c r="B161" s="62" t="s">
        <v>176</v>
      </c>
      <c r="C161" s="62" t="s">
        <v>184</v>
      </c>
      <c r="D161" s="62" t="s">
        <v>338</v>
      </c>
      <c r="E161" s="63" t="s">
        <v>186</v>
      </c>
      <c r="F161" s="62" t="s">
        <v>187</v>
      </c>
      <c r="G161" s="62" t="s">
        <v>124</v>
      </c>
      <c r="H161" s="62" t="s">
        <v>11</v>
      </c>
      <c r="I161" s="62" t="s">
        <v>120</v>
      </c>
      <c r="J161" s="62"/>
      <c r="K161" s="64">
        <v>15</v>
      </c>
      <c r="L161" s="64">
        <f t="shared" si="33"/>
        <v>11.538461538461538</v>
      </c>
      <c r="M161" s="65">
        <f>prodnorm12</f>
        <v>0</v>
      </c>
      <c r="N161" s="66">
        <f>dagwerk12</f>
        <v>0</v>
      </c>
      <c r="O161" s="62" t="s">
        <v>36</v>
      </c>
      <c r="P161" s="67">
        <f>uurtarief12</f>
        <v>0</v>
      </c>
      <c r="Q161" s="64" t="e">
        <f t="shared" si="34"/>
        <v>#DIV/0!</v>
      </c>
      <c r="R161" s="64" t="e">
        <f t="shared" si="35"/>
        <v>#DIV/0!</v>
      </c>
      <c r="S161" s="67" t="e">
        <f t="shared" si="36"/>
        <v>#DIV/0!</v>
      </c>
      <c r="T161" s="64" t="e">
        <f t="shared" si="37"/>
        <v>#DIV/0!</v>
      </c>
      <c r="U161" s="68" t="e">
        <f t="shared" si="38"/>
        <v>#DIV/0!</v>
      </c>
    </row>
    <row r="162" spans="1:21" x14ac:dyDescent="0.2">
      <c r="A162" s="61" t="s">
        <v>336</v>
      </c>
      <c r="B162" s="62" t="s">
        <v>176</v>
      </c>
      <c r="C162" s="62" t="s">
        <v>184</v>
      </c>
      <c r="D162" s="62" t="s">
        <v>339</v>
      </c>
      <c r="E162" s="63" t="s">
        <v>340</v>
      </c>
      <c r="F162" s="62" t="s">
        <v>180</v>
      </c>
      <c r="G162" s="62" t="s">
        <v>154</v>
      </c>
      <c r="H162" s="62" t="s">
        <v>11</v>
      </c>
      <c r="I162" s="62" t="s">
        <v>120</v>
      </c>
      <c r="J162" s="62"/>
      <c r="K162" s="64">
        <v>15.99</v>
      </c>
      <c r="L162" s="64">
        <f t="shared" si="33"/>
        <v>12.3</v>
      </c>
      <c r="M162" s="65">
        <f>prodnorm29</f>
        <v>0</v>
      </c>
      <c r="N162" s="66">
        <f>dagwerk29</f>
        <v>0</v>
      </c>
      <c r="O162" s="62" t="s">
        <v>36</v>
      </c>
      <c r="P162" s="67">
        <f>uurtarief29</f>
        <v>0</v>
      </c>
      <c r="Q162" s="64" t="e">
        <f t="shared" si="34"/>
        <v>#DIV/0!</v>
      </c>
      <c r="R162" s="64" t="e">
        <f t="shared" si="35"/>
        <v>#DIV/0!</v>
      </c>
      <c r="S162" s="67" t="e">
        <f t="shared" si="36"/>
        <v>#DIV/0!</v>
      </c>
      <c r="T162" s="64" t="e">
        <f t="shared" si="37"/>
        <v>#DIV/0!</v>
      </c>
      <c r="U162" s="68" t="e">
        <f t="shared" si="38"/>
        <v>#DIV/0!</v>
      </c>
    </row>
    <row r="163" spans="1:21" x14ac:dyDescent="0.2">
      <c r="A163" s="61" t="s">
        <v>336</v>
      </c>
      <c r="B163" s="62" t="s">
        <v>176</v>
      </c>
      <c r="C163" s="62" t="s">
        <v>184</v>
      </c>
      <c r="D163" s="62" t="s">
        <v>188</v>
      </c>
      <c r="E163" s="63" t="s">
        <v>179</v>
      </c>
      <c r="F163" s="62" t="s">
        <v>180</v>
      </c>
      <c r="G163" s="62" t="s">
        <v>150</v>
      </c>
      <c r="H163" s="62" t="s">
        <v>11</v>
      </c>
      <c r="I163" s="62" t="s">
        <v>120</v>
      </c>
      <c r="J163" s="62"/>
      <c r="K163" s="64">
        <v>1.5</v>
      </c>
      <c r="L163" s="64">
        <f t="shared" si="33"/>
        <v>1.153846153846154</v>
      </c>
      <c r="M163" s="65">
        <f>prodnorm27</f>
        <v>0</v>
      </c>
      <c r="N163" s="66">
        <f>dagwerk27</f>
        <v>0</v>
      </c>
      <c r="O163" s="62" t="s">
        <v>36</v>
      </c>
      <c r="P163" s="67">
        <f>uurtarief27</f>
        <v>0</v>
      </c>
      <c r="Q163" s="64" t="e">
        <f t="shared" si="34"/>
        <v>#DIV/0!</v>
      </c>
      <c r="R163" s="64" t="e">
        <f t="shared" si="35"/>
        <v>#DIV/0!</v>
      </c>
      <c r="S163" s="67" t="e">
        <f t="shared" si="36"/>
        <v>#DIV/0!</v>
      </c>
      <c r="T163" s="64" t="e">
        <f t="shared" si="37"/>
        <v>#DIV/0!</v>
      </c>
      <c r="U163" s="68" t="e">
        <f t="shared" si="38"/>
        <v>#DIV/0!</v>
      </c>
    </row>
    <row r="164" spans="1:21" x14ac:dyDescent="0.2">
      <c r="A164" s="61" t="s">
        <v>336</v>
      </c>
      <c r="B164" s="62" t="s">
        <v>176</v>
      </c>
      <c r="C164" s="62" t="s">
        <v>184</v>
      </c>
      <c r="D164" s="62" t="s">
        <v>191</v>
      </c>
      <c r="E164" s="63" t="s">
        <v>182</v>
      </c>
      <c r="F164" s="62" t="s">
        <v>183</v>
      </c>
      <c r="G164" s="62" t="s">
        <v>156</v>
      </c>
      <c r="H164" s="62" t="s">
        <v>11</v>
      </c>
      <c r="I164" s="62" t="s">
        <v>120</v>
      </c>
      <c r="J164" s="62"/>
      <c r="K164" s="64">
        <v>6.4700000000000006</v>
      </c>
      <c r="L164" s="64">
        <f t="shared" si="33"/>
        <v>4.9769230769230779</v>
      </c>
      <c r="M164" s="65">
        <f>prodnorm30</f>
        <v>0</v>
      </c>
      <c r="N164" s="66">
        <f>dagwerk30</f>
        <v>0</v>
      </c>
      <c r="O164" s="62" t="s">
        <v>36</v>
      </c>
      <c r="P164" s="67">
        <f>uurtarief30</f>
        <v>0</v>
      </c>
      <c r="Q164" s="64" t="e">
        <f t="shared" si="34"/>
        <v>#DIV/0!</v>
      </c>
      <c r="R164" s="64" t="e">
        <f t="shared" si="35"/>
        <v>#DIV/0!</v>
      </c>
      <c r="S164" s="67" t="e">
        <f t="shared" si="36"/>
        <v>#DIV/0!</v>
      </c>
      <c r="T164" s="64" t="e">
        <f t="shared" si="37"/>
        <v>#DIV/0!</v>
      </c>
      <c r="U164" s="68" t="e">
        <f t="shared" si="38"/>
        <v>#DIV/0!</v>
      </c>
    </row>
    <row r="165" spans="1:21" x14ac:dyDescent="0.2">
      <c r="A165" s="61" t="s">
        <v>336</v>
      </c>
      <c r="B165" s="62" t="s">
        <v>176</v>
      </c>
      <c r="C165" s="62" t="s">
        <v>184</v>
      </c>
      <c r="D165" s="62" t="s">
        <v>341</v>
      </c>
      <c r="E165" s="63" t="s">
        <v>342</v>
      </c>
      <c r="F165" s="62" t="s">
        <v>183</v>
      </c>
      <c r="G165" s="62" t="s">
        <v>134</v>
      </c>
      <c r="H165" s="62" t="s">
        <v>11</v>
      </c>
      <c r="I165" s="62" t="s">
        <v>120</v>
      </c>
      <c r="J165" s="62"/>
      <c r="K165" s="64">
        <v>125.35</v>
      </c>
      <c r="L165" s="64">
        <f t="shared" si="33"/>
        <v>96.42307692307692</v>
      </c>
      <c r="M165" s="65">
        <f>prodnorm19</f>
        <v>0</v>
      </c>
      <c r="N165" s="66">
        <f>dagwerk19</f>
        <v>0</v>
      </c>
      <c r="O165" s="62" t="s">
        <v>36</v>
      </c>
      <c r="P165" s="67">
        <f>uurtarief19</f>
        <v>0</v>
      </c>
      <c r="Q165" s="64" t="e">
        <f t="shared" si="34"/>
        <v>#DIV/0!</v>
      </c>
      <c r="R165" s="64" t="e">
        <f t="shared" si="35"/>
        <v>#DIV/0!</v>
      </c>
      <c r="S165" s="67" t="e">
        <f t="shared" si="36"/>
        <v>#DIV/0!</v>
      </c>
      <c r="T165" s="64" t="e">
        <f t="shared" si="37"/>
        <v>#DIV/0!</v>
      </c>
      <c r="U165" s="68" t="e">
        <f t="shared" si="38"/>
        <v>#DIV/0!</v>
      </c>
    </row>
    <row r="166" spans="1:21" x14ac:dyDescent="0.2">
      <c r="A166" s="61" t="s">
        <v>336</v>
      </c>
      <c r="B166" s="62" t="s">
        <v>176</v>
      </c>
      <c r="C166" s="62" t="s">
        <v>184</v>
      </c>
      <c r="D166" s="62" t="s">
        <v>343</v>
      </c>
      <c r="E166" s="63" t="s">
        <v>208</v>
      </c>
      <c r="F166" s="62" t="s">
        <v>190</v>
      </c>
      <c r="G166" s="62" t="s">
        <v>138</v>
      </c>
      <c r="H166" s="62" t="s">
        <v>11</v>
      </c>
      <c r="I166" s="62" t="s">
        <v>120</v>
      </c>
      <c r="J166" s="62"/>
      <c r="K166" s="64">
        <v>793.5</v>
      </c>
      <c r="L166" s="64">
        <f t="shared" si="33"/>
        <v>610.38461538461547</v>
      </c>
      <c r="M166" s="65">
        <f>prodnorm21</f>
        <v>0</v>
      </c>
      <c r="N166" s="66">
        <f>dagwerk21</f>
        <v>0</v>
      </c>
      <c r="O166" s="62" t="s">
        <v>36</v>
      </c>
      <c r="P166" s="67">
        <f>uurtarief21</f>
        <v>0</v>
      </c>
      <c r="Q166" s="64" t="e">
        <f t="shared" si="34"/>
        <v>#DIV/0!</v>
      </c>
      <c r="R166" s="64" t="e">
        <f t="shared" si="35"/>
        <v>#DIV/0!</v>
      </c>
      <c r="S166" s="67" t="e">
        <f t="shared" si="36"/>
        <v>#DIV/0!</v>
      </c>
      <c r="T166" s="64" t="e">
        <f t="shared" si="37"/>
        <v>#DIV/0!</v>
      </c>
      <c r="U166" s="68" t="e">
        <f t="shared" si="38"/>
        <v>#DIV/0!</v>
      </c>
    </row>
    <row r="167" spans="1:21" x14ac:dyDescent="0.2">
      <c r="A167" s="61" t="s">
        <v>336</v>
      </c>
      <c r="B167" s="62" t="s">
        <v>176</v>
      </c>
      <c r="C167" s="62" t="s">
        <v>184</v>
      </c>
      <c r="D167" s="62" t="s">
        <v>344</v>
      </c>
      <c r="E167" s="63" t="s">
        <v>208</v>
      </c>
      <c r="F167" s="62" t="s">
        <v>187</v>
      </c>
      <c r="G167" s="62" t="s">
        <v>144</v>
      </c>
      <c r="H167" s="62" t="s">
        <v>11</v>
      </c>
      <c r="I167" s="62" t="s">
        <v>120</v>
      </c>
      <c r="J167" s="62"/>
      <c r="K167" s="64">
        <v>4.5</v>
      </c>
      <c r="L167" s="64">
        <f t="shared" si="33"/>
        <v>3.4615384615384617</v>
      </c>
      <c r="M167" s="65">
        <f>prodnorm24</f>
        <v>0</v>
      </c>
      <c r="N167" s="66">
        <f>dagwerk24</f>
        <v>0</v>
      </c>
      <c r="O167" s="62" t="s">
        <v>36</v>
      </c>
      <c r="P167" s="67">
        <f>uurtarief24</f>
        <v>0</v>
      </c>
      <c r="Q167" s="64" t="e">
        <f t="shared" si="34"/>
        <v>#DIV/0!</v>
      </c>
      <c r="R167" s="64" t="e">
        <f t="shared" si="35"/>
        <v>#DIV/0!</v>
      </c>
      <c r="S167" s="67" t="e">
        <f t="shared" si="36"/>
        <v>#DIV/0!</v>
      </c>
      <c r="T167" s="64" t="e">
        <f t="shared" si="37"/>
        <v>#DIV/0!</v>
      </c>
      <c r="U167" s="68" t="e">
        <f t="shared" si="38"/>
        <v>#DIV/0!</v>
      </c>
    </row>
    <row r="168" spans="1:21" x14ac:dyDescent="0.2">
      <c r="A168" s="61" t="s">
        <v>336</v>
      </c>
      <c r="B168" s="62" t="s">
        <v>176</v>
      </c>
      <c r="C168" s="62" t="s">
        <v>184</v>
      </c>
      <c r="D168" s="62" t="s">
        <v>345</v>
      </c>
      <c r="E168" s="63" t="s">
        <v>208</v>
      </c>
      <c r="F168" s="62" t="s">
        <v>346</v>
      </c>
      <c r="G168" s="62" t="s">
        <v>138</v>
      </c>
      <c r="H168" s="62" t="s">
        <v>11</v>
      </c>
      <c r="I168" s="62" t="s">
        <v>120</v>
      </c>
      <c r="J168" s="62"/>
      <c r="K168" s="64">
        <v>17.7</v>
      </c>
      <c r="L168" s="64">
        <f t="shared" si="33"/>
        <v>13.615384615384615</v>
      </c>
      <c r="M168" s="65">
        <f>prodnorm21</f>
        <v>0</v>
      </c>
      <c r="N168" s="66">
        <f>dagwerk21</f>
        <v>0</v>
      </c>
      <c r="O168" s="62" t="s">
        <v>36</v>
      </c>
      <c r="P168" s="67">
        <f>uurtarief21</f>
        <v>0</v>
      </c>
      <c r="Q168" s="64" t="e">
        <f t="shared" si="34"/>
        <v>#DIV/0!</v>
      </c>
      <c r="R168" s="64" t="e">
        <f t="shared" si="35"/>
        <v>#DIV/0!</v>
      </c>
      <c r="S168" s="67" t="e">
        <f t="shared" si="36"/>
        <v>#DIV/0!</v>
      </c>
      <c r="T168" s="64" t="e">
        <f t="shared" si="37"/>
        <v>#DIV/0!</v>
      </c>
      <c r="U168" s="68" t="e">
        <f t="shared" si="38"/>
        <v>#DIV/0!</v>
      </c>
    </row>
    <row r="169" spans="1:21" x14ac:dyDescent="0.2">
      <c r="A169" s="61" t="s">
        <v>336</v>
      </c>
      <c r="B169" s="62" t="s">
        <v>176</v>
      </c>
      <c r="C169" s="62" t="s">
        <v>184</v>
      </c>
      <c r="D169" s="62" t="s">
        <v>347</v>
      </c>
      <c r="E169" s="63" t="s">
        <v>206</v>
      </c>
      <c r="F169" s="62" t="s">
        <v>203</v>
      </c>
      <c r="G169" s="62" t="s">
        <v>138</v>
      </c>
      <c r="H169" s="62" t="s">
        <v>11</v>
      </c>
      <c r="I169" s="62" t="s">
        <v>120</v>
      </c>
      <c r="J169" s="62"/>
      <c r="K169" s="64">
        <v>20.23</v>
      </c>
      <c r="L169" s="64">
        <f t="shared" si="33"/>
        <v>15.561538461538463</v>
      </c>
      <c r="M169" s="65">
        <f>prodnorm21</f>
        <v>0</v>
      </c>
      <c r="N169" s="66">
        <f>dagwerk21</f>
        <v>0</v>
      </c>
      <c r="O169" s="62" t="s">
        <v>36</v>
      </c>
      <c r="P169" s="67">
        <f>uurtarief21</f>
        <v>0</v>
      </c>
      <c r="Q169" s="64" t="e">
        <f t="shared" si="34"/>
        <v>#DIV/0!</v>
      </c>
      <c r="R169" s="64" t="e">
        <f t="shared" si="35"/>
        <v>#DIV/0!</v>
      </c>
      <c r="S169" s="67" t="e">
        <f t="shared" si="36"/>
        <v>#DIV/0!</v>
      </c>
      <c r="T169" s="64" t="e">
        <f t="shared" si="37"/>
        <v>#DIV/0!</v>
      </c>
      <c r="U169" s="68" t="e">
        <f t="shared" si="38"/>
        <v>#DIV/0!</v>
      </c>
    </row>
    <row r="170" spans="1:21" x14ac:dyDescent="0.2">
      <c r="A170" s="61" t="s">
        <v>336</v>
      </c>
      <c r="B170" s="62" t="s">
        <v>176</v>
      </c>
      <c r="C170" s="62" t="s">
        <v>184</v>
      </c>
      <c r="D170" s="62" t="s">
        <v>348</v>
      </c>
      <c r="E170" s="63" t="s">
        <v>182</v>
      </c>
      <c r="F170" s="62" t="s">
        <v>190</v>
      </c>
      <c r="G170" s="62" t="s">
        <v>154</v>
      </c>
      <c r="H170" s="62" t="s">
        <v>11</v>
      </c>
      <c r="I170" s="62" t="s">
        <v>120</v>
      </c>
      <c r="J170" s="62"/>
      <c r="K170" s="64">
        <v>13.209999999999999</v>
      </c>
      <c r="L170" s="64">
        <f t="shared" si="33"/>
        <v>10.161538461538461</v>
      </c>
      <c r="M170" s="65">
        <f>prodnorm29</f>
        <v>0</v>
      </c>
      <c r="N170" s="66">
        <f>dagwerk29</f>
        <v>0</v>
      </c>
      <c r="O170" s="62" t="s">
        <v>36</v>
      </c>
      <c r="P170" s="67">
        <f>uurtarief29</f>
        <v>0</v>
      </c>
      <c r="Q170" s="64" t="e">
        <f t="shared" si="34"/>
        <v>#DIV/0!</v>
      </c>
      <c r="R170" s="64" t="e">
        <f t="shared" si="35"/>
        <v>#DIV/0!</v>
      </c>
      <c r="S170" s="67" t="e">
        <f t="shared" si="36"/>
        <v>#DIV/0!</v>
      </c>
      <c r="T170" s="64" t="e">
        <f t="shared" si="37"/>
        <v>#DIV/0!</v>
      </c>
      <c r="U170" s="68" t="e">
        <f t="shared" si="38"/>
        <v>#DIV/0!</v>
      </c>
    </row>
    <row r="171" spans="1:21" x14ac:dyDescent="0.2">
      <c r="A171" s="61" t="s">
        <v>336</v>
      </c>
      <c r="B171" s="62" t="s">
        <v>176</v>
      </c>
      <c r="C171" s="62" t="s">
        <v>184</v>
      </c>
      <c r="D171" s="62" t="s">
        <v>349</v>
      </c>
      <c r="E171" s="63" t="s">
        <v>350</v>
      </c>
      <c r="F171" s="62" t="s">
        <v>190</v>
      </c>
      <c r="G171" s="62" t="s">
        <v>150</v>
      </c>
      <c r="H171" s="62" t="s">
        <v>11</v>
      </c>
      <c r="I171" s="62" t="s">
        <v>120</v>
      </c>
      <c r="J171" s="62"/>
      <c r="K171" s="64">
        <v>18.7</v>
      </c>
      <c r="L171" s="64">
        <f t="shared" si="33"/>
        <v>14.384615384615385</v>
      </c>
      <c r="M171" s="65">
        <f>prodnorm27</f>
        <v>0</v>
      </c>
      <c r="N171" s="66">
        <f>dagwerk27</f>
        <v>0</v>
      </c>
      <c r="O171" s="62" t="s">
        <v>36</v>
      </c>
      <c r="P171" s="67">
        <f>uurtarief27</f>
        <v>0</v>
      </c>
      <c r="Q171" s="64" t="e">
        <f t="shared" si="34"/>
        <v>#DIV/0!</v>
      </c>
      <c r="R171" s="64" t="e">
        <f t="shared" si="35"/>
        <v>#DIV/0!</v>
      </c>
      <c r="S171" s="67" t="e">
        <f t="shared" si="36"/>
        <v>#DIV/0!</v>
      </c>
      <c r="T171" s="64" t="e">
        <f t="shared" si="37"/>
        <v>#DIV/0!</v>
      </c>
      <c r="U171" s="68" t="e">
        <f t="shared" si="38"/>
        <v>#DIV/0!</v>
      </c>
    </row>
    <row r="172" spans="1:21" x14ac:dyDescent="0.2">
      <c r="A172" s="61" t="s">
        <v>336</v>
      </c>
      <c r="B172" s="62" t="s">
        <v>176</v>
      </c>
      <c r="C172" s="62" t="s">
        <v>184</v>
      </c>
      <c r="D172" s="62" t="s">
        <v>351</v>
      </c>
      <c r="E172" s="63" t="s">
        <v>352</v>
      </c>
      <c r="F172" s="62" t="s">
        <v>187</v>
      </c>
      <c r="G172" s="62" t="s">
        <v>152</v>
      </c>
      <c r="H172" s="62" t="s">
        <v>11</v>
      </c>
      <c r="I172" s="62" t="s">
        <v>120</v>
      </c>
      <c r="J172" s="62"/>
      <c r="K172" s="64">
        <v>2.7</v>
      </c>
      <c r="L172" s="64">
        <f t="shared" si="33"/>
        <v>2.0769230769230771</v>
      </c>
      <c r="M172" s="65">
        <f>prodnorm28</f>
        <v>0</v>
      </c>
      <c r="N172" s="66">
        <f>dagwerk28</f>
        <v>0</v>
      </c>
      <c r="O172" s="62" t="s">
        <v>36</v>
      </c>
      <c r="P172" s="67">
        <f>uurtarief28</f>
        <v>0</v>
      </c>
      <c r="Q172" s="64" t="e">
        <f t="shared" si="34"/>
        <v>#DIV/0!</v>
      </c>
      <c r="R172" s="64" t="e">
        <f t="shared" si="35"/>
        <v>#DIV/0!</v>
      </c>
      <c r="S172" s="67" t="e">
        <f t="shared" si="36"/>
        <v>#DIV/0!</v>
      </c>
      <c r="T172" s="64" t="e">
        <f t="shared" si="37"/>
        <v>#DIV/0!</v>
      </c>
      <c r="U172" s="68" t="e">
        <f t="shared" si="38"/>
        <v>#DIV/0!</v>
      </c>
    </row>
    <row r="173" spans="1:21" x14ac:dyDescent="0.2">
      <c r="A173" s="61" t="s">
        <v>336</v>
      </c>
      <c r="B173" s="62" t="s">
        <v>176</v>
      </c>
      <c r="C173" s="62" t="s">
        <v>184</v>
      </c>
      <c r="D173" s="62" t="s">
        <v>353</v>
      </c>
      <c r="E173" s="63" t="s">
        <v>354</v>
      </c>
      <c r="F173" s="62" t="s">
        <v>355</v>
      </c>
      <c r="G173" s="62" t="s">
        <v>150</v>
      </c>
      <c r="H173" s="62" t="s">
        <v>11</v>
      </c>
      <c r="I173" s="62" t="s">
        <v>120</v>
      </c>
      <c r="J173" s="62"/>
      <c r="K173" s="64">
        <v>35.700000000000003</v>
      </c>
      <c r="L173" s="64">
        <f t="shared" si="33"/>
        <v>27.461538461538467</v>
      </c>
      <c r="M173" s="65">
        <f>prodnorm27</f>
        <v>0</v>
      </c>
      <c r="N173" s="66">
        <f>dagwerk27</f>
        <v>0</v>
      </c>
      <c r="O173" s="62" t="s">
        <v>36</v>
      </c>
      <c r="P173" s="67">
        <f>uurtarief27</f>
        <v>0</v>
      </c>
      <c r="Q173" s="64" t="e">
        <f t="shared" si="34"/>
        <v>#DIV/0!</v>
      </c>
      <c r="R173" s="64" t="e">
        <f t="shared" si="35"/>
        <v>#DIV/0!</v>
      </c>
      <c r="S173" s="67" t="e">
        <f t="shared" si="36"/>
        <v>#DIV/0!</v>
      </c>
      <c r="T173" s="64" t="e">
        <f t="shared" si="37"/>
        <v>#DIV/0!</v>
      </c>
      <c r="U173" s="68" t="e">
        <f t="shared" si="38"/>
        <v>#DIV/0!</v>
      </c>
    </row>
    <row r="174" spans="1:21" x14ac:dyDescent="0.2">
      <c r="A174" s="61" t="s">
        <v>336</v>
      </c>
      <c r="B174" s="62" t="s">
        <v>176</v>
      </c>
      <c r="C174" s="62" t="s">
        <v>184</v>
      </c>
      <c r="D174" s="62" t="s">
        <v>199</v>
      </c>
      <c r="E174" s="63" t="s">
        <v>356</v>
      </c>
      <c r="F174" s="62" t="s">
        <v>180</v>
      </c>
      <c r="G174" s="62" t="s">
        <v>140</v>
      </c>
      <c r="H174" s="62" t="s">
        <v>11</v>
      </c>
      <c r="I174" s="62" t="s">
        <v>120</v>
      </c>
      <c r="J174" s="62"/>
      <c r="K174" s="64">
        <v>22.279999999999998</v>
      </c>
      <c r="L174" s="64">
        <f t="shared" si="33"/>
        <v>17.138461538461538</v>
      </c>
      <c r="M174" s="65">
        <f>prodnorm22</f>
        <v>0</v>
      </c>
      <c r="N174" s="66">
        <f>dagwerk22</f>
        <v>0</v>
      </c>
      <c r="O174" s="62" t="s">
        <v>36</v>
      </c>
      <c r="P174" s="67">
        <f>uurtarief22</f>
        <v>0</v>
      </c>
      <c r="Q174" s="64" t="e">
        <f t="shared" si="34"/>
        <v>#DIV/0!</v>
      </c>
      <c r="R174" s="64" t="e">
        <f t="shared" si="35"/>
        <v>#DIV/0!</v>
      </c>
      <c r="S174" s="67" t="e">
        <f t="shared" si="36"/>
        <v>#DIV/0!</v>
      </c>
      <c r="T174" s="64" t="e">
        <f t="shared" si="37"/>
        <v>#DIV/0!</v>
      </c>
      <c r="U174" s="68" t="e">
        <f t="shared" si="38"/>
        <v>#DIV/0!</v>
      </c>
    </row>
    <row r="175" spans="1:21" x14ac:dyDescent="0.2">
      <c r="A175" s="61" t="s">
        <v>336</v>
      </c>
      <c r="B175" s="62" t="s">
        <v>176</v>
      </c>
      <c r="C175" s="62" t="s">
        <v>184</v>
      </c>
      <c r="D175" s="62" t="s">
        <v>204</v>
      </c>
      <c r="E175" s="63" t="s">
        <v>357</v>
      </c>
      <c r="F175" s="62" t="s">
        <v>180</v>
      </c>
      <c r="G175" s="62" t="s">
        <v>140</v>
      </c>
      <c r="H175" s="62" t="s">
        <v>11</v>
      </c>
      <c r="I175" s="62" t="s">
        <v>120</v>
      </c>
      <c r="J175" s="62"/>
      <c r="K175" s="64">
        <v>97.06</v>
      </c>
      <c r="L175" s="64">
        <f t="shared" si="33"/>
        <v>74.66153846153847</v>
      </c>
      <c r="M175" s="65">
        <f>prodnorm22</f>
        <v>0</v>
      </c>
      <c r="N175" s="66">
        <f>dagwerk22</f>
        <v>0</v>
      </c>
      <c r="O175" s="62" t="s">
        <v>36</v>
      </c>
      <c r="P175" s="67">
        <f>uurtarief22</f>
        <v>0</v>
      </c>
      <c r="Q175" s="64" t="e">
        <f t="shared" si="34"/>
        <v>#DIV/0!</v>
      </c>
      <c r="R175" s="64" t="e">
        <f t="shared" si="35"/>
        <v>#DIV/0!</v>
      </c>
      <c r="S175" s="67" t="e">
        <f t="shared" si="36"/>
        <v>#DIV/0!</v>
      </c>
      <c r="T175" s="64" t="e">
        <f t="shared" si="37"/>
        <v>#DIV/0!</v>
      </c>
      <c r="U175" s="68" t="e">
        <f t="shared" si="38"/>
        <v>#DIV/0!</v>
      </c>
    </row>
    <row r="176" spans="1:21" x14ac:dyDescent="0.2">
      <c r="A176" s="61" t="s">
        <v>336</v>
      </c>
      <c r="B176" s="62" t="s">
        <v>176</v>
      </c>
      <c r="C176" s="62" t="s">
        <v>184</v>
      </c>
      <c r="D176" s="62" t="s">
        <v>205</v>
      </c>
      <c r="E176" s="63" t="s">
        <v>357</v>
      </c>
      <c r="F176" s="62" t="s">
        <v>190</v>
      </c>
      <c r="G176" s="62" t="s">
        <v>140</v>
      </c>
      <c r="H176" s="62" t="s">
        <v>11</v>
      </c>
      <c r="I176" s="62" t="s">
        <v>120</v>
      </c>
      <c r="J176" s="62"/>
      <c r="K176" s="64">
        <v>100.07</v>
      </c>
      <c r="L176" s="64">
        <f t="shared" si="33"/>
        <v>76.976923076923072</v>
      </c>
      <c r="M176" s="65">
        <f>prodnorm22</f>
        <v>0</v>
      </c>
      <c r="N176" s="66">
        <f>dagwerk22</f>
        <v>0</v>
      </c>
      <c r="O176" s="62" t="s">
        <v>36</v>
      </c>
      <c r="P176" s="67">
        <f>uurtarief22</f>
        <v>0</v>
      </c>
      <c r="Q176" s="64" t="e">
        <f t="shared" si="34"/>
        <v>#DIV/0!</v>
      </c>
      <c r="R176" s="64" t="e">
        <f t="shared" si="35"/>
        <v>#DIV/0!</v>
      </c>
      <c r="S176" s="67" t="e">
        <f t="shared" si="36"/>
        <v>#DIV/0!</v>
      </c>
      <c r="T176" s="64" t="e">
        <f t="shared" si="37"/>
        <v>#DIV/0!</v>
      </c>
      <c r="U176" s="68" t="e">
        <f t="shared" si="38"/>
        <v>#DIV/0!</v>
      </c>
    </row>
    <row r="177" spans="1:21" x14ac:dyDescent="0.2">
      <c r="A177" s="61" t="s">
        <v>336</v>
      </c>
      <c r="B177" s="62" t="s">
        <v>176</v>
      </c>
      <c r="C177" s="62" t="s">
        <v>184</v>
      </c>
      <c r="D177" s="62" t="s">
        <v>207</v>
      </c>
      <c r="E177" s="63" t="s">
        <v>236</v>
      </c>
      <c r="F177" s="62" t="s">
        <v>190</v>
      </c>
      <c r="G177" s="62" t="s">
        <v>119</v>
      </c>
      <c r="H177" s="62" t="s">
        <v>11</v>
      </c>
      <c r="I177" s="62" t="s">
        <v>120</v>
      </c>
      <c r="J177" s="62"/>
      <c r="K177" s="64">
        <v>22.86</v>
      </c>
      <c r="L177" s="64">
        <f t="shared" si="33"/>
        <v>17.584615384615386</v>
      </c>
      <c r="M177" s="65">
        <f>prodnorm8</f>
        <v>0</v>
      </c>
      <c r="N177" s="66">
        <f>dagwerk8</f>
        <v>0</v>
      </c>
      <c r="O177" s="62" t="s">
        <v>36</v>
      </c>
      <c r="P177" s="67">
        <f>uurtarief8</f>
        <v>0</v>
      </c>
      <c r="Q177" s="64" t="e">
        <f t="shared" si="34"/>
        <v>#DIV/0!</v>
      </c>
      <c r="R177" s="64" t="e">
        <f t="shared" si="35"/>
        <v>#DIV/0!</v>
      </c>
      <c r="S177" s="67" t="e">
        <f t="shared" si="36"/>
        <v>#DIV/0!</v>
      </c>
      <c r="T177" s="64" t="e">
        <f t="shared" si="37"/>
        <v>#DIV/0!</v>
      </c>
      <c r="U177" s="68" t="e">
        <f t="shared" si="38"/>
        <v>#DIV/0!</v>
      </c>
    </row>
    <row r="178" spans="1:21" x14ac:dyDescent="0.2">
      <c r="A178" s="61" t="s">
        <v>336</v>
      </c>
      <c r="B178" s="62" t="s">
        <v>176</v>
      </c>
      <c r="C178" s="62" t="s">
        <v>184</v>
      </c>
      <c r="D178" s="62" t="s">
        <v>209</v>
      </c>
      <c r="E178" s="63" t="s">
        <v>357</v>
      </c>
      <c r="F178" s="62" t="s">
        <v>190</v>
      </c>
      <c r="G178" s="62" t="s">
        <v>140</v>
      </c>
      <c r="H178" s="62" t="s">
        <v>11</v>
      </c>
      <c r="I178" s="62" t="s">
        <v>120</v>
      </c>
      <c r="J178" s="62"/>
      <c r="K178" s="64">
        <v>47.02</v>
      </c>
      <c r="L178" s="64">
        <f t="shared" si="33"/>
        <v>36.169230769230772</v>
      </c>
      <c r="M178" s="65">
        <f>prodnorm22</f>
        <v>0</v>
      </c>
      <c r="N178" s="66">
        <f>dagwerk22</f>
        <v>0</v>
      </c>
      <c r="O178" s="62" t="s">
        <v>36</v>
      </c>
      <c r="P178" s="67">
        <f>uurtarief22</f>
        <v>0</v>
      </c>
      <c r="Q178" s="64" t="e">
        <f t="shared" si="34"/>
        <v>#DIV/0!</v>
      </c>
      <c r="R178" s="64" t="e">
        <f t="shared" si="35"/>
        <v>#DIV/0!</v>
      </c>
      <c r="S178" s="67" t="e">
        <f t="shared" si="36"/>
        <v>#DIV/0!</v>
      </c>
      <c r="T178" s="64" t="e">
        <f t="shared" si="37"/>
        <v>#DIV/0!</v>
      </c>
      <c r="U178" s="68" t="e">
        <f t="shared" si="38"/>
        <v>#DIV/0!</v>
      </c>
    </row>
    <row r="179" spans="1:21" x14ac:dyDescent="0.2">
      <c r="A179" s="61" t="s">
        <v>336</v>
      </c>
      <c r="B179" s="62" t="s">
        <v>176</v>
      </c>
      <c r="C179" s="62" t="s">
        <v>184</v>
      </c>
      <c r="D179" s="62" t="s">
        <v>211</v>
      </c>
      <c r="E179" s="63" t="s">
        <v>357</v>
      </c>
      <c r="F179" s="62" t="s">
        <v>180</v>
      </c>
      <c r="G179" s="62" t="s">
        <v>140</v>
      </c>
      <c r="H179" s="62" t="s">
        <v>11</v>
      </c>
      <c r="I179" s="62" t="s">
        <v>120</v>
      </c>
      <c r="J179" s="62"/>
      <c r="K179" s="64">
        <v>65.8</v>
      </c>
      <c r="L179" s="64">
        <f t="shared" si="33"/>
        <v>50.615384615384613</v>
      </c>
      <c r="M179" s="65">
        <f>prodnorm22</f>
        <v>0</v>
      </c>
      <c r="N179" s="66">
        <f>dagwerk22</f>
        <v>0</v>
      </c>
      <c r="O179" s="62" t="s">
        <v>36</v>
      </c>
      <c r="P179" s="67">
        <f>uurtarief22</f>
        <v>0</v>
      </c>
      <c r="Q179" s="64" t="e">
        <f t="shared" si="34"/>
        <v>#DIV/0!</v>
      </c>
      <c r="R179" s="64" t="e">
        <f t="shared" si="35"/>
        <v>#DIV/0!</v>
      </c>
      <c r="S179" s="67" t="e">
        <f t="shared" si="36"/>
        <v>#DIV/0!</v>
      </c>
      <c r="T179" s="64" t="e">
        <f t="shared" si="37"/>
        <v>#DIV/0!</v>
      </c>
      <c r="U179" s="68" t="e">
        <f t="shared" si="38"/>
        <v>#DIV/0!</v>
      </c>
    </row>
    <row r="180" spans="1:21" x14ac:dyDescent="0.2">
      <c r="A180" s="61" t="s">
        <v>336</v>
      </c>
      <c r="B180" s="62" t="s">
        <v>176</v>
      </c>
      <c r="C180" s="62" t="s">
        <v>184</v>
      </c>
      <c r="D180" s="62" t="s">
        <v>212</v>
      </c>
      <c r="E180" s="63" t="s">
        <v>200</v>
      </c>
      <c r="F180" s="62" t="s">
        <v>190</v>
      </c>
      <c r="G180" s="62" t="s">
        <v>128</v>
      </c>
      <c r="H180" s="62" t="s">
        <v>11</v>
      </c>
      <c r="I180" s="62" t="s">
        <v>120</v>
      </c>
      <c r="J180" s="62"/>
      <c r="K180" s="64">
        <v>1.55</v>
      </c>
      <c r="L180" s="64">
        <f t="shared" si="33"/>
        <v>1.1923076923076925</v>
      </c>
      <c r="M180" s="65">
        <f>prodnorm15</f>
        <v>0</v>
      </c>
      <c r="N180" s="66">
        <f>dagwerk15</f>
        <v>0</v>
      </c>
      <c r="O180" s="62" t="s">
        <v>36</v>
      </c>
      <c r="P180" s="67">
        <f>uurtarief15</f>
        <v>0</v>
      </c>
      <c r="Q180" s="64" t="e">
        <f t="shared" si="34"/>
        <v>#DIV/0!</v>
      </c>
      <c r="R180" s="64" t="e">
        <f t="shared" si="35"/>
        <v>#DIV/0!</v>
      </c>
      <c r="S180" s="67" t="e">
        <f t="shared" si="36"/>
        <v>#DIV/0!</v>
      </c>
      <c r="T180" s="64" t="e">
        <f t="shared" si="37"/>
        <v>#DIV/0!</v>
      </c>
      <c r="U180" s="68" t="e">
        <f t="shared" si="38"/>
        <v>#DIV/0!</v>
      </c>
    </row>
    <row r="181" spans="1:21" x14ac:dyDescent="0.2">
      <c r="A181" s="61" t="s">
        <v>336</v>
      </c>
      <c r="B181" s="62" t="s">
        <v>176</v>
      </c>
      <c r="C181" s="62" t="s">
        <v>184</v>
      </c>
      <c r="D181" s="62" t="s">
        <v>214</v>
      </c>
      <c r="E181" s="63" t="s">
        <v>358</v>
      </c>
      <c r="F181" s="62" t="s">
        <v>190</v>
      </c>
      <c r="G181" s="62" t="s">
        <v>154</v>
      </c>
      <c r="H181" s="62" t="s">
        <v>11</v>
      </c>
      <c r="I181" s="62" t="s">
        <v>120</v>
      </c>
      <c r="J181" s="62"/>
      <c r="K181" s="64">
        <v>69.760000000000005</v>
      </c>
      <c r="L181" s="64">
        <f t="shared" si="33"/>
        <v>53.66153846153847</v>
      </c>
      <c r="M181" s="65">
        <f>prodnorm29</f>
        <v>0</v>
      </c>
      <c r="N181" s="66">
        <f>dagwerk29</f>
        <v>0</v>
      </c>
      <c r="O181" s="62" t="s">
        <v>36</v>
      </c>
      <c r="P181" s="67">
        <f>uurtarief29</f>
        <v>0</v>
      </c>
      <c r="Q181" s="64" t="e">
        <f t="shared" si="34"/>
        <v>#DIV/0!</v>
      </c>
      <c r="R181" s="64" t="e">
        <f t="shared" si="35"/>
        <v>#DIV/0!</v>
      </c>
      <c r="S181" s="67" t="e">
        <f t="shared" si="36"/>
        <v>#DIV/0!</v>
      </c>
      <c r="T181" s="64" t="e">
        <f t="shared" si="37"/>
        <v>#DIV/0!</v>
      </c>
      <c r="U181" s="68" t="e">
        <f t="shared" si="38"/>
        <v>#DIV/0!</v>
      </c>
    </row>
    <row r="182" spans="1:21" x14ac:dyDescent="0.2">
      <c r="A182" s="61" t="s">
        <v>336</v>
      </c>
      <c r="B182" s="62" t="s">
        <v>176</v>
      </c>
      <c r="C182" s="62" t="s">
        <v>184</v>
      </c>
      <c r="D182" s="62" t="s">
        <v>215</v>
      </c>
      <c r="E182" s="63" t="s">
        <v>359</v>
      </c>
      <c r="F182" s="62" t="s">
        <v>360</v>
      </c>
      <c r="G182" s="62" t="s">
        <v>146</v>
      </c>
      <c r="H182" s="62" t="s">
        <v>11</v>
      </c>
      <c r="I182" s="62" t="s">
        <v>120</v>
      </c>
      <c r="J182" s="62"/>
      <c r="K182" s="64">
        <v>3.82</v>
      </c>
      <c r="L182" s="64">
        <f t="shared" si="33"/>
        <v>2.9384615384615387</v>
      </c>
      <c r="M182" s="65">
        <f>prodnorm25</f>
        <v>0</v>
      </c>
      <c r="N182" s="66">
        <f>dagwerk25</f>
        <v>0</v>
      </c>
      <c r="O182" s="62" t="s">
        <v>36</v>
      </c>
      <c r="P182" s="67">
        <f>uurtarief25</f>
        <v>0</v>
      </c>
      <c r="Q182" s="64" t="e">
        <f t="shared" si="34"/>
        <v>#DIV/0!</v>
      </c>
      <c r="R182" s="64" t="e">
        <f t="shared" si="35"/>
        <v>#DIV/0!</v>
      </c>
      <c r="S182" s="67" t="e">
        <f t="shared" si="36"/>
        <v>#DIV/0!</v>
      </c>
      <c r="T182" s="64" t="e">
        <f t="shared" si="37"/>
        <v>#DIV/0!</v>
      </c>
      <c r="U182" s="68" t="e">
        <f t="shared" si="38"/>
        <v>#DIV/0!</v>
      </c>
    </row>
    <row r="183" spans="1:21" x14ac:dyDescent="0.2">
      <c r="A183" s="61" t="s">
        <v>336</v>
      </c>
      <c r="B183" s="62" t="s">
        <v>176</v>
      </c>
      <c r="C183" s="62" t="s">
        <v>184</v>
      </c>
      <c r="D183" s="62" t="s">
        <v>361</v>
      </c>
      <c r="E183" s="63" t="s">
        <v>342</v>
      </c>
      <c r="F183" s="62" t="s">
        <v>183</v>
      </c>
      <c r="G183" s="62" t="s">
        <v>134</v>
      </c>
      <c r="H183" s="62" t="s">
        <v>11</v>
      </c>
      <c r="I183" s="62" t="s">
        <v>120</v>
      </c>
      <c r="J183" s="62"/>
      <c r="K183" s="64">
        <v>27.62</v>
      </c>
      <c r="L183" s="64">
        <f t="shared" si="33"/>
        <v>21.246153846153849</v>
      </c>
      <c r="M183" s="65">
        <f>prodnorm19</f>
        <v>0</v>
      </c>
      <c r="N183" s="66">
        <f>dagwerk19</f>
        <v>0</v>
      </c>
      <c r="O183" s="62" t="s">
        <v>36</v>
      </c>
      <c r="P183" s="67">
        <f>uurtarief19</f>
        <v>0</v>
      </c>
      <c r="Q183" s="64" t="e">
        <f t="shared" si="34"/>
        <v>#DIV/0!</v>
      </c>
      <c r="R183" s="64" t="e">
        <f t="shared" si="35"/>
        <v>#DIV/0!</v>
      </c>
      <c r="S183" s="67" t="e">
        <f t="shared" si="36"/>
        <v>#DIV/0!</v>
      </c>
      <c r="T183" s="64" t="e">
        <f t="shared" si="37"/>
        <v>#DIV/0!</v>
      </c>
      <c r="U183" s="68" t="e">
        <f t="shared" si="38"/>
        <v>#DIV/0!</v>
      </c>
    </row>
    <row r="184" spans="1:21" x14ac:dyDescent="0.2">
      <c r="A184" s="61" t="s">
        <v>336</v>
      </c>
      <c r="B184" s="62" t="s">
        <v>176</v>
      </c>
      <c r="C184" s="62" t="s">
        <v>184</v>
      </c>
      <c r="D184" s="62" t="s">
        <v>219</v>
      </c>
      <c r="E184" s="63" t="s">
        <v>342</v>
      </c>
      <c r="F184" s="62" t="s">
        <v>183</v>
      </c>
      <c r="G184" s="62" t="s">
        <v>134</v>
      </c>
      <c r="H184" s="62" t="s">
        <v>11</v>
      </c>
      <c r="I184" s="62" t="s">
        <v>120</v>
      </c>
      <c r="J184" s="62"/>
      <c r="K184" s="64">
        <v>25.2</v>
      </c>
      <c r="L184" s="64">
        <f t="shared" si="33"/>
        <v>19.384615384615387</v>
      </c>
      <c r="M184" s="65">
        <f>prodnorm19</f>
        <v>0</v>
      </c>
      <c r="N184" s="66">
        <f>dagwerk19</f>
        <v>0</v>
      </c>
      <c r="O184" s="62" t="s">
        <v>36</v>
      </c>
      <c r="P184" s="67">
        <f>uurtarief19</f>
        <v>0</v>
      </c>
      <c r="Q184" s="64" t="e">
        <f t="shared" si="34"/>
        <v>#DIV/0!</v>
      </c>
      <c r="R184" s="64" t="e">
        <f t="shared" si="35"/>
        <v>#DIV/0!</v>
      </c>
      <c r="S184" s="67" t="e">
        <f t="shared" si="36"/>
        <v>#DIV/0!</v>
      </c>
      <c r="T184" s="64" t="e">
        <f t="shared" si="37"/>
        <v>#DIV/0!</v>
      </c>
      <c r="U184" s="68" t="e">
        <f t="shared" si="38"/>
        <v>#DIV/0!</v>
      </c>
    </row>
    <row r="185" spans="1:21" x14ac:dyDescent="0.2">
      <c r="A185" s="61" t="s">
        <v>336</v>
      </c>
      <c r="B185" s="62" t="s">
        <v>176</v>
      </c>
      <c r="C185" s="62" t="s">
        <v>184</v>
      </c>
      <c r="D185" s="62" t="s">
        <v>362</v>
      </c>
      <c r="E185" s="63" t="s">
        <v>363</v>
      </c>
      <c r="F185" s="62" t="s">
        <v>183</v>
      </c>
      <c r="G185" s="62" t="s">
        <v>152</v>
      </c>
      <c r="H185" s="62" t="s">
        <v>11</v>
      </c>
      <c r="I185" s="62" t="s">
        <v>120</v>
      </c>
      <c r="J185" s="62"/>
      <c r="K185" s="64">
        <v>10.139999999999999</v>
      </c>
      <c r="L185" s="64">
        <f t="shared" si="33"/>
        <v>7.8</v>
      </c>
      <c r="M185" s="65">
        <f>prodnorm28</f>
        <v>0</v>
      </c>
      <c r="N185" s="66">
        <f>dagwerk28</f>
        <v>0</v>
      </c>
      <c r="O185" s="62" t="s">
        <v>36</v>
      </c>
      <c r="P185" s="67">
        <f>uurtarief28</f>
        <v>0</v>
      </c>
      <c r="Q185" s="64" t="e">
        <f t="shared" si="34"/>
        <v>#DIV/0!</v>
      </c>
      <c r="R185" s="64" t="e">
        <f t="shared" si="35"/>
        <v>#DIV/0!</v>
      </c>
      <c r="S185" s="67" t="e">
        <f t="shared" si="36"/>
        <v>#DIV/0!</v>
      </c>
      <c r="T185" s="64" t="e">
        <f t="shared" si="37"/>
        <v>#DIV/0!</v>
      </c>
      <c r="U185" s="68" t="e">
        <f t="shared" si="38"/>
        <v>#DIV/0!</v>
      </c>
    </row>
    <row r="186" spans="1:21" x14ac:dyDescent="0.2">
      <c r="A186" s="61" t="s">
        <v>336</v>
      </c>
      <c r="B186" s="62" t="s">
        <v>176</v>
      </c>
      <c r="C186" s="62" t="s">
        <v>184</v>
      </c>
      <c r="D186" s="62" t="s">
        <v>364</v>
      </c>
      <c r="E186" s="63" t="s">
        <v>179</v>
      </c>
      <c r="F186" s="62" t="s">
        <v>180</v>
      </c>
      <c r="G186" s="62" t="s">
        <v>150</v>
      </c>
      <c r="H186" s="62" t="s">
        <v>11</v>
      </c>
      <c r="I186" s="62" t="s">
        <v>120</v>
      </c>
      <c r="J186" s="62"/>
      <c r="K186" s="64">
        <v>10</v>
      </c>
      <c r="L186" s="64">
        <f t="shared" si="33"/>
        <v>7.6923076923076925</v>
      </c>
      <c r="M186" s="65">
        <f>prodnorm27</f>
        <v>0</v>
      </c>
      <c r="N186" s="66">
        <f>dagwerk27</f>
        <v>0</v>
      </c>
      <c r="O186" s="62" t="s">
        <v>36</v>
      </c>
      <c r="P186" s="67">
        <f>uurtarief27</f>
        <v>0</v>
      </c>
      <c r="Q186" s="64" t="e">
        <f t="shared" si="34"/>
        <v>#DIV/0!</v>
      </c>
      <c r="R186" s="64" t="e">
        <f t="shared" si="35"/>
        <v>#DIV/0!</v>
      </c>
      <c r="S186" s="67" t="e">
        <f t="shared" si="36"/>
        <v>#DIV/0!</v>
      </c>
      <c r="T186" s="64" t="e">
        <f t="shared" si="37"/>
        <v>#DIV/0!</v>
      </c>
      <c r="U186" s="68" t="e">
        <f t="shared" si="38"/>
        <v>#DIV/0!</v>
      </c>
    </row>
    <row r="187" spans="1:21" x14ac:dyDescent="0.2">
      <c r="A187" s="61" t="s">
        <v>336</v>
      </c>
      <c r="B187" s="62" t="s">
        <v>176</v>
      </c>
      <c r="C187" s="62" t="s">
        <v>184</v>
      </c>
      <c r="D187" s="62" t="s">
        <v>222</v>
      </c>
      <c r="E187" s="63" t="s">
        <v>179</v>
      </c>
      <c r="F187" s="62" t="s">
        <v>180</v>
      </c>
      <c r="G187" s="62" t="s">
        <v>150</v>
      </c>
      <c r="H187" s="62" t="s">
        <v>11</v>
      </c>
      <c r="I187" s="62" t="s">
        <v>120</v>
      </c>
      <c r="J187" s="62"/>
      <c r="K187" s="64">
        <v>2</v>
      </c>
      <c r="L187" s="64">
        <f t="shared" si="33"/>
        <v>1.5384615384615385</v>
      </c>
      <c r="M187" s="65">
        <f>prodnorm27</f>
        <v>0</v>
      </c>
      <c r="N187" s="66">
        <f>dagwerk27</f>
        <v>0</v>
      </c>
      <c r="O187" s="62" t="s">
        <v>36</v>
      </c>
      <c r="P187" s="67">
        <f>uurtarief27</f>
        <v>0</v>
      </c>
      <c r="Q187" s="64" t="e">
        <f t="shared" si="34"/>
        <v>#DIV/0!</v>
      </c>
      <c r="R187" s="64" t="e">
        <f t="shared" si="35"/>
        <v>#DIV/0!</v>
      </c>
      <c r="S187" s="67" t="e">
        <f t="shared" si="36"/>
        <v>#DIV/0!</v>
      </c>
      <c r="T187" s="64" t="e">
        <f t="shared" si="37"/>
        <v>#DIV/0!</v>
      </c>
      <c r="U187" s="68" t="e">
        <f t="shared" si="38"/>
        <v>#DIV/0!</v>
      </c>
    </row>
    <row r="188" spans="1:21" x14ac:dyDescent="0.2">
      <c r="A188" s="61" t="s">
        <v>336</v>
      </c>
      <c r="B188" s="62" t="s">
        <v>176</v>
      </c>
      <c r="C188" s="62" t="s">
        <v>184</v>
      </c>
      <c r="D188" s="62" t="s">
        <v>223</v>
      </c>
      <c r="E188" s="63" t="s">
        <v>365</v>
      </c>
      <c r="F188" s="62" t="s">
        <v>190</v>
      </c>
      <c r="G188" s="62" t="s">
        <v>158</v>
      </c>
      <c r="H188" s="62" t="s">
        <v>23</v>
      </c>
      <c r="I188" s="62" t="s">
        <v>120</v>
      </c>
      <c r="J188" s="62"/>
      <c r="K188" s="64">
        <v>58.839999999999996</v>
      </c>
      <c r="L188" s="64">
        <f t="shared" si="33"/>
        <v>0.22630769230769229</v>
      </c>
      <c r="M188" s="65">
        <f>prodnorm31</f>
        <v>0</v>
      </c>
      <c r="N188" s="66">
        <f>dagwerk31</f>
        <v>0</v>
      </c>
      <c r="O188" s="62" t="s">
        <v>36</v>
      </c>
      <c r="P188" s="67">
        <f>uurtarief31</f>
        <v>0</v>
      </c>
      <c r="Q188" s="64" t="e">
        <f t="shared" si="34"/>
        <v>#DIV/0!</v>
      </c>
      <c r="R188" s="64" t="e">
        <f t="shared" si="35"/>
        <v>#DIV/0!</v>
      </c>
      <c r="S188" s="67" t="e">
        <f t="shared" si="36"/>
        <v>#DIV/0!</v>
      </c>
      <c r="T188" s="64" t="e">
        <f t="shared" si="37"/>
        <v>#DIV/0!</v>
      </c>
      <c r="U188" s="68" t="e">
        <f t="shared" si="38"/>
        <v>#DIV/0!</v>
      </c>
    </row>
    <row r="189" spans="1:21" x14ac:dyDescent="0.2">
      <c r="A189" s="61" t="s">
        <v>336</v>
      </c>
      <c r="B189" s="62" t="s">
        <v>176</v>
      </c>
      <c r="C189" s="62" t="s">
        <v>184</v>
      </c>
      <c r="D189" s="62" t="s">
        <v>366</v>
      </c>
      <c r="E189" s="63" t="s">
        <v>246</v>
      </c>
      <c r="F189" s="62" t="s">
        <v>183</v>
      </c>
      <c r="G189" s="62" t="s">
        <v>134</v>
      </c>
      <c r="H189" s="62" t="s">
        <v>12</v>
      </c>
      <c r="I189" s="62" t="s">
        <v>120</v>
      </c>
      <c r="J189" s="62"/>
      <c r="K189" s="64">
        <v>253.76</v>
      </c>
      <c r="L189" s="64">
        <f t="shared" si="33"/>
        <v>156.16</v>
      </c>
      <c r="M189" s="65">
        <f>prodnorm18</f>
        <v>0</v>
      </c>
      <c r="N189" s="66">
        <f>dagwerk18</f>
        <v>0</v>
      </c>
      <c r="O189" s="62" t="s">
        <v>36</v>
      </c>
      <c r="P189" s="67">
        <f>uurtarief18</f>
        <v>0</v>
      </c>
      <c r="Q189" s="64" t="e">
        <f t="shared" si="34"/>
        <v>#DIV/0!</v>
      </c>
      <c r="R189" s="64" t="e">
        <f t="shared" si="35"/>
        <v>#DIV/0!</v>
      </c>
      <c r="S189" s="67" t="e">
        <f t="shared" si="36"/>
        <v>#DIV/0!</v>
      </c>
      <c r="T189" s="64" t="e">
        <f t="shared" si="37"/>
        <v>#DIV/0!</v>
      </c>
      <c r="U189" s="68" t="e">
        <f t="shared" si="38"/>
        <v>#DIV/0!</v>
      </c>
    </row>
    <row r="190" spans="1:21" x14ac:dyDescent="0.2">
      <c r="A190" s="61" t="s">
        <v>336</v>
      </c>
      <c r="B190" s="62" t="s">
        <v>176</v>
      </c>
      <c r="C190" s="62" t="s">
        <v>184</v>
      </c>
      <c r="D190" s="62" t="s">
        <v>367</v>
      </c>
      <c r="E190" s="63" t="s">
        <v>189</v>
      </c>
      <c r="F190" s="62" t="s">
        <v>190</v>
      </c>
      <c r="G190" s="62" t="s">
        <v>154</v>
      </c>
      <c r="H190" s="62" t="s">
        <v>11</v>
      </c>
      <c r="I190" s="62" t="s">
        <v>120</v>
      </c>
      <c r="J190" s="62"/>
      <c r="K190" s="64">
        <v>20.38</v>
      </c>
      <c r="L190" s="64">
        <f t="shared" si="33"/>
        <v>15.676923076923076</v>
      </c>
      <c r="M190" s="65">
        <f>prodnorm29</f>
        <v>0</v>
      </c>
      <c r="N190" s="66">
        <f>dagwerk29</f>
        <v>0</v>
      </c>
      <c r="O190" s="62" t="s">
        <v>36</v>
      </c>
      <c r="P190" s="67">
        <f>uurtarief29</f>
        <v>0</v>
      </c>
      <c r="Q190" s="64" t="e">
        <f t="shared" si="34"/>
        <v>#DIV/0!</v>
      </c>
      <c r="R190" s="64" t="e">
        <f t="shared" si="35"/>
        <v>#DIV/0!</v>
      </c>
      <c r="S190" s="67" t="e">
        <f t="shared" si="36"/>
        <v>#DIV/0!</v>
      </c>
      <c r="T190" s="64" t="e">
        <f t="shared" si="37"/>
        <v>#DIV/0!</v>
      </c>
      <c r="U190" s="68" t="e">
        <f t="shared" si="38"/>
        <v>#DIV/0!</v>
      </c>
    </row>
    <row r="191" spans="1:21" x14ac:dyDescent="0.2">
      <c r="A191" s="61" t="s">
        <v>336</v>
      </c>
      <c r="B191" s="62" t="s">
        <v>176</v>
      </c>
      <c r="C191" s="62" t="s">
        <v>184</v>
      </c>
      <c r="D191" s="62" t="s">
        <v>368</v>
      </c>
      <c r="E191" s="63" t="s">
        <v>369</v>
      </c>
      <c r="F191" s="62" t="s">
        <v>187</v>
      </c>
      <c r="G191" s="62" t="s">
        <v>124</v>
      </c>
      <c r="H191" s="62" t="s">
        <v>11</v>
      </c>
      <c r="I191" s="62" t="s">
        <v>120</v>
      </c>
      <c r="J191" s="62"/>
      <c r="K191" s="64">
        <v>6.17</v>
      </c>
      <c r="L191" s="64">
        <f t="shared" ref="L191:L222" si="39">K191*VLOOKUP(H191,dagsoorttabel1,2,FALSE)</f>
        <v>4.7461538461538462</v>
      </c>
      <c r="M191" s="65">
        <f>prodnorm12</f>
        <v>0</v>
      </c>
      <c r="N191" s="66">
        <f>dagwerk12</f>
        <v>0</v>
      </c>
      <c r="O191" s="62" t="s">
        <v>36</v>
      </c>
      <c r="P191" s="67">
        <f>uurtarief12</f>
        <v>0</v>
      </c>
      <c r="Q191" s="64" t="e">
        <f t="shared" ref="Q191:Q222" si="40">IF(ISBLANK(M191),0,L191/ROUND(M191,4))</f>
        <v>#DIV/0!</v>
      </c>
      <c r="R191" s="64" t="e">
        <f t="shared" ref="R191:R222" si="41">IF(ISBLANK(M191),0,Q191*ROUND(N191,2))</f>
        <v>#DIV/0!</v>
      </c>
      <c r="S191" s="67" t="e">
        <f t="shared" ref="S191:S222" si="42">ROUND(P191,2)*Q191</f>
        <v>#DIV/0!</v>
      </c>
      <c r="T191" s="64" t="e">
        <f t="shared" ref="T191:T222" si="43">Q191*dagenperjaar1</f>
        <v>#DIV/0!</v>
      </c>
      <c r="U191" s="68" t="e">
        <f t="shared" ref="U191:U222" si="44">T191*ROUND(P191,2)</f>
        <v>#DIV/0!</v>
      </c>
    </row>
    <row r="192" spans="1:21" x14ac:dyDescent="0.2">
      <c r="A192" s="61" t="s">
        <v>336</v>
      </c>
      <c r="B192" s="62" t="s">
        <v>176</v>
      </c>
      <c r="C192" s="62" t="s">
        <v>184</v>
      </c>
      <c r="D192" s="62" t="s">
        <v>226</v>
      </c>
      <c r="E192" s="63" t="s">
        <v>179</v>
      </c>
      <c r="F192" s="62" t="s">
        <v>355</v>
      </c>
      <c r="G192" s="62" t="s">
        <v>150</v>
      </c>
      <c r="H192" s="62" t="s">
        <v>11</v>
      </c>
      <c r="I192" s="62" t="s">
        <v>120</v>
      </c>
      <c r="J192" s="62"/>
      <c r="K192" s="64">
        <v>6.17</v>
      </c>
      <c r="L192" s="64">
        <f t="shared" si="39"/>
        <v>4.7461538461538462</v>
      </c>
      <c r="M192" s="65">
        <f>prodnorm27</f>
        <v>0</v>
      </c>
      <c r="N192" s="66">
        <f>dagwerk27</f>
        <v>0</v>
      </c>
      <c r="O192" s="62" t="s">
        <v>36</v>
      </c>
      <c r="P192" s="67">
        <f>uurtarief27</f>
        <v>0</v>
      </c>
      <c r="Q192" s="64" t="e">
        <f t="shared" si="40"/>
        <v>#DIV/0!</v>
      </c>
      <c r="R192" s="64" t="e">
        <f t="shared" si="41"/>
        <v>#DIV/0!</v>
      </c>
      <c r="S192" s="67" t="e">
        <f t="shared" si="42"/>
        <v>#DIV/0!</v>
      </c>
      <c r="T192" s="64" t="e">
        <f t="shared" si="43"/>
        <v>#DIV/0!</v>
      </c>
      <c r="U192" s="68" t="e">
        <f t="shared" si="44"/>
        <v>#DIV/0!</v>
      </c>
    </row>
    <row r="193" spans="1:21" x14ac:dyDescent="0.2">
      <c r="A193" s="61" t="s">
        <v>336</v>
      </c>
      <c r="B193" s="62" t="s">
        <v>176</v>
      </c>
      <c r="C193" s="62" t="s">
        <v>184</v>
      </c>
      <c r="D193" s="62" t="s">
        <v>227</v>
      </c>
      <c r="E193" s="63" t="s">
        <v>182</v>
      </c>
      <c r="F193" s="62" t="s">
        <v>370</v>
      </c>
      <c r="G193" s="62" t="s">
        <v>154</v>
      </c>
      <c r="H193" s="62" t="s">
        <v>11</v>
      </c>
      <c r="I193" s="62" t="s">
        <v>120</v>
      </c>
      <c r="J193" s="62"/>
      <c r="K193" s="64">
        <v>10.209999999999999</v>
      </c>
      <c r="L193" s="64">
        <f t="shared" si="39"/>
        <v>7.8538461538461535</v>
      </c>
      <c r="M193" s="65">
        <f>prodnorm29</f>
        <v>0</v>
      </c>
      <c r="N193" s="66">
        <f>dagwerk29</f>
        <v>0</v>
      </c>
      <c r="O193" s="62" t="s">
        <v>36</v>
      </c>
      <c r="P193" s="67">
        <f>uurtarief29</f>
        <v>0</v>
      </c>
      <c r="Q193" s="64" t="e">
        <f t="shared" si="40"/>
        <v>#DIV/0!</v>
      </c>
      <c r="R193" s="64" t="e">
        <f t="shared" si="41"/>
        <v>#DIV/0!</v>
      </c>
      <c r="S193" s="67" t="e">
        <f t="shared" si="42"/>
        <v>#DIV/0!</v>
      </c>
      <c r="T193" s="64" t="e">
        <f t="shared" si="43"/>
        <v>#DIV/0!</v>
      </c>
      <c r="U193" s="68" t="e">
        <f t="shared" si="44"/>
        <v>#DIV/0!</v>
      </c>
    </row>
    <row r="194" spans="1:21" x14ac:dyDescent="0.2">
      <c r="A194" s="61" t="s">
        <v>336</v>
      </c>
      <c r="B194" s="62" t="s">
        <v>176</v>
      </c>
      <c r="C194" s="62" t="s">
        <v>184</v>
      </c>
      <c r="D194" s="62" t="s">
        <v>371</v>
      </c>
      <c r="E194" s="63" t="s">
        <v>372</v>
      </c>
      <c r="F194" s="62" t="s">
        <v>370</v>
      </c>
      <c r="G194" s="62" t="s">
        <v>126</v>
      </c>
      <c r="H194" s="62" t="s">
        <v>11</v>
      </c>
      <c r="I194" s="62" t="s">
        <v>120</v>
      </c>
      <c r="J194" s="62"/>
      <c r="K194" s="64">
        <v>253.4</v>
      </c>
      <c r="L194" s="64">
        <f t="shared" si="39"/>
        <v>194.92307692307693</v>
      </c>
      <c r="M194" s="65">
        <f>prodnorm13</f>
        <v>0</v>
      </c>
      <c r="N194" s="66">
        <f>dagwerk13</f>
        <v>0</v>
      </c>
      <c r="O194" s="62" t="s">
        <v>36</v>
      </c>
      <c r="P194" s="67">
        <f>uurtarief13</f>
        <v>0</v>
      </c>
      <c r="Q194" s="64" t="e">
        <f t="shared" si="40"/>
        <v>#DIV/0!</v>
      </c>
      <c r="R194" s="64" t="e">
        <f t="shared" si="41"/>
        <v>#DIV/0!</v>
      </c>
      <c r="S194" s="67" t="e">
        <f t="shared" si="42"/>
        <v>#DIV/0!</v>
      </c>
      <c r="T194" s="64" t="e">
        <f t="shared" si="43"/>
        <v>#DIV/0!</v>
      </c>
      <c r="U194" s="68" t="e">
        <f t="shared" si="44"/>
        <v>#DIV/0!</v>
      </c>
    </row>
    <row r="195" spans="1:21" x14ac:dyDescent="0.2">
      <c r="A195" s="61" t="s">
        <v>336</v>
      </c>
      <c r="B195" s="62" t="s">
        <v>176</v>
      </c>
      <c r="C195" s="62" t="s">
        <v>184</v>
      </c>
      <c r="D195" s="62" t="s">
        <v>373</v>
      </c>
      <c r="E195" s="63" t="s">
        <v>374</v>
      </c>
      <c r="F195" s="62" t="s">
        <v>370</v>
      </c>
      <c r="G195" s="62" t="s">
        <v>126</v>
      </c>
      <c r="H195" s="62" t="s">
        <v>16</v>
      </c>
      <c r="I195" s="62" t="s">
        <v>120</v>
      </c>
      <c r="J195" s="62"/>
      <c r="K195" s="64">
        <v>33.4</v>
      </c>
      <c r="L195" s="64">
        <f t="shared" si="39"/>
        <v>5.1384615384615389</v>
      </c>
      <c r="M195" s="65">
        <f>prodnorm14</f>
        <v>0</v>
      </c>
      <c r="N195" s="66">
        <f>dagwerk14</f>
        <v>0</v>
      </c>
      <c r="O195" s="62" t="s">
        <v>36</v>
      </c>
      <c r="P195" s="67">
        <f>uurtarief14</f>
        <v>0</v>
      </c>
      <c r="Q195" s="64" t="e">
        <f t="shared" si="40"/>
        <v>#DIV/0!</v>
      </c>
      <c r="R195" s="64" t="e">
        <f t="shared" si="41"/>
        <v>#DIV/0!</v>
      </c>
      <c r="S195" s="67" t="e">
        <f t="shared" si="42"/>
        <v>#DIV/0!</v>
      </c>
      <c r="T195" s="64" t="e">
        <f t="shared" si="43"/>
        <v>#DIV/0!</v>
      </c>
      <c r="U195" s="68" t="e">
        <f t="shared" si="44"/>
        <v>#DIV/0!</v>
      </c>
    </row>
    <row r="196" spans="1:21" x14ac:dyDescent="0.2">
      <c r="A196" s="61" t="s">
        <v>336</v>
      </c>
      <c r="B196" s="62" t="s">
        <v>176</v>
      </c>
      <c r="C196" s="62" t="s">
        <v>184</v>
      </c>
      <c r="D196" s="62" t="s">
        <v>375</v>
      </c>
      <c r="E196" s="63" t="s">
        <v>376</v>
      </c>
      <c r="F196" s="62" t="s">
        <v>370</v>
      </c>
      <c r="G196" s="62" t="s">
        <v>146</v>
      </c>
      <c r="H196" s="62" t="s">
        <v>11</v>
      </c>
      <c r="I196" s="62" t="s">
        <v>120</v>
      </c>
      <c r="J196" s="62"/>
      <c r="K196" s="64">
        <v>2.59</v>
      </c>
      <c r="L196" s="64">
        <f t="shared" si="39"/>
        <v>1.9923076923076923</v>
      </c>
      <c r="M196" s="65">
        <f>prodnorm25</f>
        <v>0</v>
      </c>
      <c r="N196" s="66">
        <f>dagwerk25</f>
        <v>0</v>
      </c>
      <c r="O196" s="62" t="s">
        <v>36</v>
      </c>
      <c r="P196" s="67">
        <f>uurtarief25</f>
        <v>0</v>
      </c>
      <c r="Q196" s="64" t="e">
        <f t="shared" si="40"/>
        <v>#DIV/0!</v>
      </c>
      <c r="R196" s="64" t="e">
        <f t="shared" si="41"/>
        <v>#DIV/0!</v>
      </c>
      <c r="S196" s="67" t="e">
        <f t="shared" si="42"/>
        <v>#DIV/0!</v>
      </c>
      <c r="T196" s="64" t="e">
        <f t="shared" si="43"/>
        <v>#DIV/0!</v>
      </c>
      <c r="U196" s="68" t="e">
        <f t="shared" si="44"/>
        <v>#DIV/0!</v>
      </c>
    </row>
    <row r="197" spans="1:21" x14ac:dyDescent="0.2">
      <c r="A197" s="61" t="s">
        <v>336</v>
      </c>
      <c r="B197" s="62" t="s">
        <v>176</v>
      </c>
      <c r="C197" s="62" t="s">
        <v>184</v>
      </c>
      <c r="D197" s="62" t="s">
        <v>229</v>
      </c>
      <c r="E197" s="63" t="s">
        <v>377</v>
      </c>
      <c r="F197" s="62" t="s">
        <v>370</v>
      </c>
      <c r="G197" s="62" t="s">
        <v>130</v>
      </c>
      <c r="H197" s="62" t="s">
        <v>11</v>
      </c>
      <c r="I197" s="62" t="s">
        <v>120</v>
      </c>
      <c r="J197" s="62"/>
      <c r="K197" s="64">
        <v>15.49</v>
      </c>
      <c r="L197" s="64">
        <f t="shared" si="39"/>
        <v>11.915384615384616</v>
      </c>
      <c r="M197" s="65">
        <f>prodnorm16</f>
        <v>0</v>
      </c>
      <c r="N197" s="66">
        <f>dagwerk16</f>
        <v>0</v>
      </c>
      <c r="O197" s="62" t="s">
        <v>36</v>
      </c>
      <c r="P197" s="67">
        <f>uurtarief16</f>
        <v>0</v>
      </c>
      <c r="Q197" s="64" t="e">
        <f t="shared" si="40"/>
        <v>#DIV/0!</v>
      </c>
      <c r="R197" s="64" t="e">
        <f t="shared" si="41"/>
        <v>#DIV/0!</v>
      </c>
      <c r="S197" s="67" t="e">
        <f t="shared" si="42"/>
        <v>#DIV/0!</v>
      </c>
      <c r="T197" s="64" t="e">
        <f t="shared" si="43"/>
        <v>#DIV/0!</v>
      </c>
      <c r="U197" s="68" t="e">
        <f t="shared" si="44"/>
        <v>#DIV/0!</v>
      </c>
    </row>
    <row r="198" spans="1:21" x14ac:dyDescent="0.2">
      <c r="A198" s="61" t="s">
        <v>336</v>
      </c>
      <c r="B198" s="62" t="s">
        <v>176</v>
      </c>
      <c r="C198" s="62" t="s">
        <v>184</v>
      </c>
      <c r="D198" s="62" t="s">
        <v>230</v>
      </c>
      <c r="E198" s="63" t="s">
        <v>378</v>
      </c>
      <c r="F198" s="62" t="s">
        <v>370</v>
      </c>
      <c r="G198" s="62" t="s">
        <v>130</v>
      </c>
      <c r="H198" s="62" t="s">
        <v>11</v>
      </c>
      <c r="I198" s="62" t="s">
        <v>120</v>
      </c>
      <c r="J198" s="62"/>
      <c r="K198" s="64">
        <v>15.49</v>
      </c>
      <c r="L198" s="64">
        <f t="shared" si="39"/>
        <v>11.915384615384616</v>
      </c>
      <c r="M198" s="65">
        <f>prodnorm16</f>
        <v>0</v>
      </c>
      <c r="N198" s="66">
        <f>dagwerk16</f>
        <v>0</v>
      </c>
      <c r="O198" s="62" t="s">
        <v>36</v>
      </c>
      <c r="P198" s="67">
        <f>uurtarief16</f>
        <v>0</v>
      </c>
      <c r="Q198" s="64" t="e">
        <f t="shared" si="40"/>
        <v>#DIV/0!</v>
      </c>
      <c r="R198" s="64" t="e">
        <f t="shared" si="41"/>
        <v>#DIV/0!</v>
      </c>
      <c r="S198" s="67" t="e">
        <f t="shared" si="42"/>
        <v>#DIV/0!</v>
      </c>
      <c r="T198" s="64" t="e">
        <f t="shared" si="43"/>
        <v>#DIV/0!</v>
      </c>
      <c r="U198" s="68" t="e">
        <f t="shared" si="44"/>
        <v>#DIV/0!</v>
      </c>
    </row>
    <row r="199" spans="1:21" x14ac:dyDescent="0.2">
      <c r="A199" s="61" t="s">
        <v>336</v>
      </c>
      <c r="B199" s="62" t="s">
        <v>176</v>
      </c>
      <c r="C199" s="62" t="s">
        <v>184</v>
      </c>
      <c r="D199" s="62" t="s">
        <v>231</v>
      </c>
      <c r="E199" s="63" t="s">
        <v>202</v>
      </c>
      <c r="F199" s="62" t="s">
        <v>370</v>
      </c>
      <c r="G199" s="62" t="s">
        <v>146</v>
      </c>
      <c r="H199" s="62" t="s">
        <v>11</v>
      </c>
      <c r="I199" s="62" t="s">
        <v>120</v>
      </c>
      <c r="J199" s="62"/>
      <c r="K199" s="64">
        <v>1.28</v>
      </c>
      <c r="L199" s="64">
        <f t="shared" si="39"/>
        <v>0.98461538461538467</v>
      </c>
      <c r="M199" s="65">
        <f>prodnorm25</f>
        <v>0</v>
      </c>
      <c r="N199" s="66">
        <f>dagwerk25</f>
        <v>0</v>
      </c>
      <c r="O199" s="62" t="s">
        <v>36</v>
      </c>
      <c r="P199" s="67">
        <f>uurtarief25</f>
        <v>0</v>
      </c>
      <c r="Q199" s="64" t="e">
        <f t="shared" si="40"/>
        <v>#DIV/0!</v>
      </c>
      <c r="R199" s="64" t="e">
        <f t="shared" si="41"/>
        <v>#DIV/0!</v>
      </c>
      <c r="S199" s="67" t="e">
        <f t="shared" si="42"/>
        <v>#DIV/0!</v>
      </c>
      <c r="T199" s="64" t="e">
        <f t="shared" si="43"/>
        <v>#DIV/0!</v>
      </c>
      <c r="U199" s="68" t="e">
        <f t="shared" si="44"/>
        <v>#DIV/0!</v>
      </c>
    </row>
    <row r="200" spans="1:21" x14ac:dyDescent="0.2">
      <c r="A200" s="61" t="s">
        <v>336</v>
      </c>
      <c r="B200" s="62" t="s">
        <v>176</v>
      </c>
      <c r="C200" s="62" t="s">
        <v>184</v>
      </c>
      <c r="D200" s="62" t="s">
        <v>235</v>
      </c>
      <c r="E200" s="63" t="s">
        <v>379</v>
      </c>
      <c r="F200" s="62" t="s">
        <v>360</v>
      </c>
      <c r="G200" s="62" t="s">
        <v>146</v>
      </c>
      <c r="H200" s="62" t="s">
        <v>11</v>
      </c>
      <c r="I200" s="62" t="s">
        <v>120</v>
      </c>
      <c r="J200" s="62"/>
      <c r="K200" s="64">
        <v>16.29</v>
      </c>
      <c r="L200" s="64">
        <f t="shared" si="39"/>
        <v>12.530769230769231</v>
      </c>
      <c r="M200" s="65">
        <f>prodnorm25</f>
        <v>0</v>
      </c>
      <c r="N200" s="66">
        <f>dagwerk25</f>
        <v>0</v>
      </c>
      <c r="O200" s="62" t="s">
        <v>36</v>
      </c>
      <c r="P200" s="67">
        <f>uurtarief25</f>
        <v>0</v>
      </c>
      <c r="Q200" s="64" t="e">
        <f t="shared" si="40"/>
        <v>#DIV/0!</v>
      </c>
      <c r="R200" s="64" t="e">
        <f t="shared" si="41"/>
        <v>#DIV/0!</v>
      </c>
      <c r="S200" s="67" t="e">
        <f t="shared" si="42"/>
        <v>#DIV/0!</v>
      </c>
      <c r="T200" s="64" t="e">
        <f t="shared" si="43"/>
        <v>#DIV/0!</v>
      </c>
      <c r="U200" s="68" t="e">
        <f t="shared" si="44"/>
        <v>#DIV/0!</v>
      </c>
    </row>
    <row r="201" spans="1:21" x14ac:dyDescent="0.2">
      <c r="A201" s="61" t="s">
        <v>336</v>
      </c>
      <c r="B201" s="62" t="s">
        <v>176</v>
      </c>
      <c r="C201" s="62" t="s">
        <v>184</v>
      </c>
      <c r="D201" s="62" t="s">
        <v>237</v>
      </c>
      <c r="E201" s="63" t="s">
        <v>380</v>
      </c>
      <c r="F201" s="62" t="s">
        <v>360</v>
      </c>
      <c r="G201" s="62" t="s">
        <v>146</v>
      </c>
      <c r="H201" s="62" t="s">
        <v>11</v>
      </c>
      <c r="I201" s="62" t="s">
        <v>120</v>
      </c>
      <c r="J201" s="62"/>
      <c r="K201" s="64">
        <v>14.19</v>
      </c>
      <c r="L201" s="64">
        <f t="shared" si="39"/>
        <v>10.915384615384616</v>
      </c>
      <c r="M201" s="65">
        <f>prodnorm25</f>
        <v>0</v>
      </c>
      <c r="N201" s="66">
        <f>dagwerk25</f>
        <v>0</v>
      </c>
      <c r="O201" s="62" t="s">
        <v>36</v>
      </c>
      <c r="P201" s="67">
        <f>uurtarief25</f>
        <v>0</v>
      </c>
      <c r="Q201" s="64" t="e">
        <f t="shared" si="40"/>
        <v>#DIV/0!</v>
      </c>
      <c r="R201" s="64" t="e">
        <f t="shared" si="41"/>
        <v>#DIV/0!</v>
      </c>
      <c r="S201" s="67" t="e">
        <f t="shared" si="42"/>
        <v>#DIV/0!</v>
      </c>
      <c r="T201" s="64" t="e">
        <f t="shared" si="43"/>
        <v>#DIV/0!</v>
      </c>
      <c r="U201" s="68" t="e">
        <f t="shared" si="44"/>
        <v>#DIV/0!</v>
      </c>
    </row>
    <row r="202" spans="1:21" x14ac:dyDescent="0.2">
      <c r="A202" s="61" t="s">
        <v>336</v>
      </c>
      <c r="B202" s="62" t="s">
        <v>176</v>
      </c>
      <c r="C202" s="62" t="s">
        <v>184</v>
      </c>
      <c r="D202" s="62" t="s">
        <v>238</v>
      </c>
      <c r="E202" s="63" t="s">
        <v>182</v>
      </c>
      <c r="F202" s="62" t="s">
        <v>190</v>
      </c>
      <c r="G202" s="62" t="s">
        <v>154</v>
      </c>
      <c r="H202" s="62" t="s">
        <v>11</v>
      </c>
      <c r="I202" s="62" t="s">
        <v>120</v>
      </c>
      <c r="J202" s="62"/>
      <c r="K202" s="64">
        <v>24.330000000000002</v>
      </c>
      <c r="L202" s="64">
        <f t="shared" si="39"/>
        <v>18.715384615384618</v>
      </c>
      <c r="M202" s="65">
        <f>prodnorm29</f>
        <v>0</v>
      </c>
      <c r="N202" s="66">
        <f>dagwerk29</f>
        <v>0</v>
      </c>
      <c r="O202" s="62" t="s">
        <v>36</v>
      </c>
      <c r="P202" s="67">
        <f>uurtarief29</f>
        <v>0</v>
      </c>
      <c r="Q202" s="64" t="e">
        <f t="shared" si="40"/>
        <v>#DIV/0!</v>
      </c>
      <c r="R202" s="64" t="e">
        <f t="shared" si="41"/>
        <v>#DIV/0!</v>
      </c>
      <c r="S202" s="67" t="e">
        <f t="shared" si="42"/>
        <v>#DIV/0!</v>
      </c>
      <c r="T202" s="64" t="e">
        <f t="shared" si="43"/>
        <v>#DIV/0!</v>
      </c>
      <c r="U202" s="68" t="e">
        <f t="shared" si="44"/>
        <v>#DIV/0!</v>
      </c>
    </row>
    <row r="203" spans="1:21" x14ac:dyDescent="0.2">
      <c r="A203" s="61" t="s">
        <v>336</v>
      </c>
      <c r="B203" s="62" t="s">
        <v>176</v>
      </c>
      <c r="C203" s="62" t="s">
        <v>184</v>
      </c>
      <c r="D203" s="62" t="s">
        <v>239</v>
      </c>
      <c r="E203" s="63" t="s">
        <v>202</v>
      </c>
      <c r="F203" s="62" t="s">
        <v>360</v>
      </c>
      <c r="G203" s="62" t="s">
        <v>146</v>
      </c>
      <c r="H203" s="62" t="s">
        <v>11</v>
      </c>
      <c r="I203" s="62" t="s">
        <v>120</v>
      </c>
      <c r="J203" s="62"/>
      <c r="K203" s="64">
        <v>16.899999999999999</v>
      </c>
      <c r="L203" s="64">
        <f t="shared" si="39"/>
        <v>13</v>
      </c>
      <c r="M203" s="65">
        <f>prodnorm25</f>
        <v>0</v>
      </c>
      <c r="N203" s="66">
        <f>dagwerk25</f>
        <v>0</v>
      </c>
      <c r="O203" s="62" t="s">
        <v>36</v>
      </c>
      <c r="P203" s="67">
        <f>uurtarief25</f>
        <v>0</v>
      </c>
      <c r="Q203" s="64" t="e">
        <f t="shared" si="40"/>
        <v>#DIV/0!</v>
      </c>
      <c r="R203" s="64" t="e">
        <f t="shared" si="41"/>
        <v>#DIV/0!</v>
      </c>
      <c r="S203" s="67" t="e">
        <f t="shared" si="42"/>
        <v>#DIV/0!</v>
      </c>
      <c r="T203" s="64" t="e">
        <f t="shared" si="43"/>
        <v>#DIV/0!</v>
      </c>
      <c r="U203" s="68" t="e">
        <f t="shared" si="44"/>
        <v>#DIV/0!</v>
      </c>
    </row>
    <row r="204" spans="1:21" x14ac:dyDescent="0.2">
      <c r="A204" s="61" t="s">
        <v>336</v>
      </c>
      <c r="B204" s="62" t="s">
        <v>176</v>
      </c>
      <c r="C204" s="62" t="s">
        <v>184</v>
      </c>
      <c r="D204" s="62" t="s">
        <v>240</v>
      </c>
      <c r="E204" s="63" t="s">
        <v>381</v>
      </c>
      <c r="F204" s="62" t="s">
        <v>183</v>
      </c>
      <c r="G204" s="62" t="s">
        <v>122</v>
      </c>
      <c r="H204" s="62" t="s">
        <v>11</v>
      </c>
      <c r="I204" s="62" t="s">
        <v>120</v>
      </c>
      <c r="J204" s="62"/>
      <c r="K204" s="64">
        <v>23.5</v>
      </c>
      <c r="L204" s="64">
        <f t="shared" si="39"/>
        <v>18.076923076923077</v>
      </c>
      <c r="M204" s="65">
        <f>prodnorm10</f>
        <v>0</v>
      </c>
      <c r="N204" s="66">
        <f>dagwerk10</f>
        <v>0</v>
      </c>
      <c r="O204" s="62" t="s">
        <v>36</v>
      </c>
      <c r="P204" s="67">
        <f>uurtarief10</f>
        <v>0</v>
      </c>
      <c r="Q204" s="64" t="e">
        <f t="shared" si="40"/>
        <v>#DIV/0!</v>
      </c>
      <c r="R204" s="64" t="e">
        <f t="shared" si="41"/>
        <v>#DIV/0!</v>
      </c>
      <c r="S204" s="67" t="e">
        <f t="shared" si="42"/>
        <v>#DIV/0!</v>
      </c>
      <c r="T204" s="64" t="e">
        <f t="shared" si="43"/>
        <v>#DIV/0!</v>
      </c>
      <c r="U204" s="68" t="e">
        <f t="shared" si="44"/>
        <v>#DIV/0!</v>
      </c>
    </row>
    <row r="205" spans="1:21" ht="25.5" x14ac:dyDescent="0.2">
      <c r="A205" s="61" t="s">
        <v>336</v>
      </c>
      <c r="B205" s="62" t="s">
        <v>176</v>
      </c>
      <c r="C205" s="62" t="s">
        <v>184</v>
      </c>
      <c r="D205" s="62" t="s">
        <v>382</v>
      </c>
      <c r="E205" s="63" t="s">
        <v>383</v>
      </c>
      <c r="F205" s="62" t="s">
        <v>190</v>
      </c>
      <c r="G205" s="62" t="s">
        <v>158</v>
      </c>
      <c r="H205" s="62" t="s">
        <v>23</v>
      </c>
      <c r="I205" s="62" t="s">
        <v>120</v>
      </c>
      <c r="J205" s="62"/>
      <c r="K205" s="64">
        <v>110.25</v>
      </c>
      <c r="L205" s="64">
        <f t="shared" si="39"/>
        <v>0.42403846153846159</v>
      </c>
      <c r="M205" s="65">
        <f>prodnorm31</f>
        <v>0</v>
      </c>
      <c r="N205" s="66">
        <f>dagwerk31</f>
        <v>0</v>
      </c>
      <c r="O205" s="62" t="s">
        <v>36</v>
      </c>
      <c r="P205" s="67">
        <f>uurtarief31</f>
        <v>0</v>
      </c>
      <c r="Q205" s="64" t="e">
        <f t="shared" si="40"/>
        <v>#DIV/0!</v>
      </c>
      <c r="R205" s="64" t="e">
        <f t="shared" si="41"/>
        <v>#DIV/0!</v>
      </c>
      <c r="S205" s="67" t="e">
        <f t="shared" si="42"/>
        <v>#DIV/0!</v>
      </c>
      <c r="T205" s="64" t="e">
        <f t="shared" si="43"/>
        <v>#DIV/0!</v>
      </c>
      <c r="U205" s="68" t="e">
        <f t="shared" si="44"/>
        <v>#DIV/0!</v>
      </c>
    </row>
    <row r="206" spans="1:21" x14ac:dyDescent="0.2">
      <c r="A206" s="61" t="s">
        <v>336</v>
      </c>
      <c r="B206" s="62" t="s">
        <v>176</v>
      </c>
      <c r="C206" s="62" t="s">
        <v>184</v>
      </c>
      <c r="D206" s="62" t="s">
        <v>384</v>
      </c>
      <c r="E206" s="63" t="s">
        <v>385</v>
      </c>
      <c r="F206" s="62" t="s">
        <v>187</v>
      </c>
      <c r="G206" s="62" t="s">
        <v>144</v>
      </c>
      <c r="H206" s="62" t="s">
        <v>11</v>
      </c>
      <c r="I206" s="62" t="s">
        <v>120</v>
      </c>
      <c r="J206" s="62"/>
      <c r="K206" s="64">
        <v>4.28</v>
      </c>
      <c r="L206" s="64">
        <f t="shared" si="39"/>
        <v>3.2923076923076926</v>
      </c>
      <c r="M206" s="65">
        <f>prodnorm24</f>
        <v>0</v>
      </c>
      <c r="N206" s="66">
        <f>dagwerk24</f>
        <v>0</v>
      </c>
      <c r="O206" s="62" t="s">
        <v>36</v>
      </c>
      <c r="P206" s="67">
        <f>uurtarief24</f>
        <v>0</v>
      </c>
      <c r="Q206" s="64" t="e">
        <f t="shared" si="40"/>
        <v>#DIV/0!</v>
      </c>
      <c r="R206" s="64" t="e">
        <f t="shared" si="41"/>
        <v>#DIV/0!</v>
      </c>
      <c r="S206" s="67" t="e">
        <f t="shared" si="42"/>
        <v>#DIV/0!</v>
      </c>
      <c r="T206" s="64" t="e">
        <f t="shared" si="43"/>
        <v>#DIV/0!</v>
      </c>
      <c r="U206" s="68" t="e">
        <f t="shared" si="44"/>
        <v>#DIV/0!</v>
      </c>
    </row>
    <row r="207" spans="1:21" x14ac:dyDescent="0.2">
      <c r="A207" s="61" t="s">
        <v>336</v>
      </c>
      <c r="B207" s="62" t="s">
        <v>176</v>
      </c>
      <c r="C207" s="62" t="s">
        <v>184</v>
      </c>
      <c r="D207" s="62" t="s">
        <v>242</v>
      </c>
      <c r="E207" s="63" t="s">
        <v>225</v>
      </c>
      <c r="F207" s="62" t="s">
        <v>183</v>
      </c>
      <c r="G207" s="62" t="s">
        <v>122</v>
      </c>
      <c r="H207" s="62" t="s">
        <v>11</v>
      </c>
      <c r="I207" s="62" t="s">
        <v>120</v>
      </c>
      <c r="J207" s="62"/>
      <c r="K207" s="64">
        <v>24.06</v>
      </c>
      <c r="L207" s="64">
        <f t="shared" si="39"/>
        <v>18.507692307692309</v>
      </c>
      <c r="M207" s="65">
        <f>prodnorm10</f>
        <v>0</v>
      </c>
      <c r="N207" s="66">
        <f>dagwerk10</f>
        <v>0</v>
      </c>
      <c r="O207" s="62" t="s">
        <v>36</v>
      </c>
      <c r="P207" s="67">
        <f>uurtarief10</f>
        <v>0</v>
      </c>
      <c r="Q207" s="64" t="e">
        <f t="shared" si="40"/>
        <v>#DIV/0!</v>
      </c>
      <c r="R207" s="64" t="e">
        <f t="shared" si="41"/>
        <v>#DIV/0!</v>
      </c>
      <c r="S207" s="67" t="e">
        <f t="shared" si="42"/>
        <v>#DIV/0!</v>
      </c>
      <c r="T207" s="64" t="e">
        <f t="shared" si="43"/>
        <v>#DIV/0!</v>
      </c>
      <c r="U207" s="68" t="e">
        <f t="shared" si="44"/>
        <v>#DIV/0!</v>
      </c>
    </row>
    <row r="208" spans="1:21" x14ac:dyDescent="0.2">
      <c r="A208" s="61" t="s">
        <v>336</v>
      </c>
      <c r="B208" s="62" t="s">
        <v>176</v>
      </c>
      <c r="C208" s="62" t="s">
        <v>184</v>
      </c>
      <c r="D208" s="62" t="s">
        <v>386</v>
      </c>
      <c r="E208" s="63" t="s">
        <v>225</v>
      </c>
      <c r="F208" s="62" t="s">
        <v>183</v>
      </c>
      <c r="G208" s="62" t="s">
        <v>122</v>
      </c>
      <c r="H208" s="62" t="s">
        <v>11</v>
      </c>
      <c r="I208" s="62" t="s">
        <v>120</v>
      </c>
      <c r="J208" s="62"/>
      <c r="K208" s="64">
        <v>23.95</v>
      </c>
      <c r="L208" s="64">
        <f t="shared" si="39"/>
        <v>18.423076923076923</v>
      </c>
      <c r="M208" s="65">
        <f>prodnorm10</f>
        <v>0</v>
      </c>
      <c r="N208" s="66">
        <f>dagwerk10</f>
        <v>0</v>
      </c>
      <c r="O208" s="62" t="s">
        <v>36</v>
      </c>
      <c r="P208" s="67">
        <f>uurtarief10</f>
        <v>0</v>
      </c>
      <c r="Q208" s="64" t="e">
        <f t="shared" si="40"/>
        <v>#DIV/0!</v>
      </c>
      <c r="R208" s="64" t="e">
        <f t="shared" si="41"/>
        <v>#DIV/0!</v>
      </c>
      <c r="S208" s="67" t="e">
        <f t="shared" si="42"/>
        <v>#DIV/0!</v>
      </c>
      <c r="T208" s="64" t="e">
        <f t="shared" si="43"/>
        <v>#DIV/0!</v>
      </c>
      <c r="U208" s="68" t="e">
        <f t="shared" si="44"/>
        <v>#DIV/0!</v>
      </c>
    </row>
    <row r="209" spans="1:21" x14ac:dyDescent="0.2">
      <c r="A209" s="61" t="s">
        <v>336</v>
      </c>
      <c r="B209" s="62" t="s">
        <v>176</v>
      </c>
      <c r="C209" s="62" t="s">
        <v>184</v>
      </c>
      <c r="D209" s="62" t="s">
        <v>243</v>
      </c>
      <c r="E209" s="63" t="s">
        <v>225</v>
      </c>
      <c r="F209" s="62" t="s">
        <v>190</v>
      </c>
      <c r="G209" s="62" t="s">
        <v>119</v>
      </c>
      <c r="H209" s="62" t="s">
        <v>11</v>
      </c>
      <c r="I209" s="62" t="s">
        <v>120</v>
      </c>
      <c r="J209" s="62"/>
      <c r="K209" s="64">
        <v>17.610000000000003</v>
      </c>
      <c r="L209" s="64">
        <f t="shared" si="39"/>
        <v>13.54615384615385</v>
      </c>
      <c r="M209" s="65">
        <f>prodnorm8</f>
        <v>0</v>
      </c>
      <c r="N209" s="66">
        <f>dagwerk8</f>
        <v>0</v>
      </c>
      <c r="O209" s="62" t="s">
        <v>36</v>
      </c>
      <c r="P209" s="67">
        <f>uurtarief8</f>
        <v>0</v>
      </c>
      <c r="Q209" s="64" t="e">
        <f t="shared" si="40"/>
        <v>#DIV/0!</v>
      </c>
      <c r="R209" s="64" t="e">
        <f t="shared" si="41"/>
        <v>#DIV/0!</v>
      </c>
      <c r="S209" s="67" t="e">
        <f t="shared" si="42"/>
        <v>#DIV/0!</v>
      </c>
      <c r="T209" s="64" t="e">
        <f t="shared" si="43"/>
        <v>#DIV/0!</v>
      </c>
      <c r="U209" s="68" t="e">
        <f t="shared" si="44"/>
        <v>#DIV/0!</v>
      </c>
    </row>
    <row r="210" spans="1:21" x14ac:dyDescent="0.2">
      <c r="A210" s="61" t="s">
        <v>336</v>
      </c>
      <c r="B210" s="62" t="s">
        <v>176</v>
      </c>
      <c r="C210" s="62" t="s">
        <v>184</v>
      </c>
      <c r="D210" s="62" t="s">
        <v>387</v>
      </c>
      <c r="E210" s="63" t="s">
        <v>388</v>
      </c>
      <c r="F210" s="62" t="s">
        <v>190</v>
      </c>
      <c r="G210" s="62" t="s">
        <v>119</v>
      </c>
      <c r="H210" s="62" t="s">
        <v>11</v>
      </c>
      <c r="I210" s="62" t="s">
        <v>120</v>
      </c>
      <c r="J210" s="62"/>
      <c r="K210" s="64">
        <v>20</v>
      </c>
      <c r="L210" s="64">
        <f t="shared" si="39"/>
        <v>15.384615384615385</v>
      </c>
      <c r="M210" s="65">
        <f>prodnorm8</f>
        <v>0</v>
      </c>
      <c r="N210" s="66">
        <f>dagwerk8</f>
        <v>0</v>
      </c>
      <c r="O210" s="62" t="s">
        <v>36</v>
      </c>
      <c r="P210" s="67">
        <f>uurtarief8</f>
        <v>0</v>
      </c>
      <c r="Q210" s="64" t="e">
        <f t="shared" si="40"/>
        <v>#DIV/0!</v>
      </c>
      <c r="R210" s="64" t="e">
        <f t="shared" si="41"/>
        <v>#DIV/0!</v>
      </c>
      <c r="S210" s="67" t="e">
        <f t="shared" si="42"/>
        <v>#DIV/0!</v>
      </c>
      <c r="T210" s="64" t="e">
        <f t="shared" si="43"/>
        <v>#DIV/0!</v>
      </c>
      <c r="U210" s="68" t="e">
        <f t="shared" si="44"/>
        <v>#DIV/0!</v>
      </c>
    </row>
    <row r="211" spans="1:21" x14ac:dyDescent="0.2">
      <c r="A211" s="61" t="s">
        <v>336</v>
      </c>
      <c r="B211" s="62" t="s">
        <v>176</v>
      </c>
      <c r="C211" s="62" t="s">
        <v>184</v>
      </c>
      <c r="D211" s="62" t="s">
        <v>245</v>
      </c>
      <c r="E211" s="63" t="s">
        <v>389</v>
      </c>
      <c r="F211" s="62" t="s">
        <v>190</v>
      </c>
      <c r="G211" s="62" t="s">
        <v>119</v>
      </c>
      <c r="H211" s="62" t="s">
        <v>11</v>
      </c>
      <c r="I211" s="62" t="s">
        <v>120</v>
      </c>
      <c r="J211" s="62"/>
      <c r="K211" s="64">
        <v>24.72</v>
      </c>
      <c r="L211" s="64">
        <f t="shared" si="39"/>
        <v>19.015384615384615</v>
      </c>
      <c r="M211" s="65">
        <f>prodnorm8</f>
        <v>0</v>
      </c>
      <c r="N211" s="66">
        <f>dagwerk8</f>
        <v>0</v>
      </c>
      <c r="O211" s="62" t="s">
        <v>36</v>
      </c>
      <c r="P211" s="67">
        <f>uurtarief8</f>
        <v>0</v>
      </c>
      <c r="Q211" s="64" t="e">
        <f t="shared" si="40"/>
        <v>#DIV/0!</v>
      </c>
      <c r="R211" s="64" t="e">
        <f t="shared" si="41"/>
        <v>#DIV/0!</v>
      </c>
      <c r="S211" s="67" t="e">
        <f t="shared" si="42"/>
        <v>#DIV/0!</v>
      </c>
      <c r="T211" s="64" t="e">
        <f t="shared" si="43"/>
        <v>#DIV/0!</v>
      </c>
      <c r="U211" s="68" t="e">
        <f t="shared" si="44"/>
        <v>#DIV/0!</v>
      </c>
    </row>
    <row r="212" spans="1:21" x14ac:dyDescent="0.2">
      <c r="A212" s="61" t="s">
        <v>336</v>
      </c>
      <c r="B212" s="62" t="s">
        <v>176</v>
      </c>
      <c r="C212" s="62" t="s">
        <v>184</v>
      </c>
      <c r="D212" s="62" t="s">
        <v>390</v>
      </c>
      <c r="E212" s="63" t="s">
        <v>186</v>
      </c>
      <c r="F212" s="62" t="s">
        <v>187</v>
      </c>
      <c r="G212" s="62" t="s">
        <v>124</v>
      </c>
      <c r="H212" s="62" t="s">
        <v>11</v>
      </c>
      <c r="I212" s="62" t="s">
        <v>120</v>
      </c>
      <c r="J212" s="62"/>
      <c r="K212" s="64">
        <v>12.229999999999999</v>
      </c>
      <c r="L212" s="64">
        <f t="shared" si="39"/>
        <v>9.407692307692308</v>
      </c>
      <c r="M212" s="65">
        <f>prodnorm12</f>
        <v>0</v>
      </c>
      <c r="N212" s="66">
        <f>dagwerk12</f>
        <v>0</v>
      </c>
      <c r="O212" s="62" t="s">
        <v>36</v>
      </c>
      <c r="P212" s="67">
        <f>uurtarief12</f>
        <v>0</v>
      </c>
      <c r="Q212" s="64" t="e">
        <f t="shared" si="40"/>
        <v>#DIV/0!</v>
      </c>
      <c r="R212" s="64" t="e">
        <f t="shared" si="41"/>
        <v>#DIV/0!</v>
      </c>
      <c r="S212" s="67" t="e">
        <f t="shared" si="42"/>
        <v>#DIV/0!</v>
      </c>
      <c r="T212" s="64" t="e">
        <f t="shared" si="43"/>
        <v>#DIV/0!</v>
      </c>
      <c r="U212" s="68" t="e">
        <f t="shared" si="44"/>
        <v>#DIV/0!</v>
      </c>
    </row>
    <row r="213" spans="1:21" x14ac:dyDescent="0.2">
      <c r="A213" s="61" t="s">
        <v>336</v>
      </c>
      <c r="B213" s="62" t="s">
        <v>176</v>
      </c>
      <c r="C213" s="62" t="s">
        <v>184</v>
      </c>
      <c r="D213" s="62" t="s">
        <v>391</v>
      </c>
      <c r="E213" s="63" t="s">
        <v>182</v>
      </c>
      <c r="F213" s="62" t="s">
        <v>190</v>
      </c>
      <c r="G213" s="62" t="s">
        <v>154</v>
      </c>
      <c r="H213" s="62" t="s">
        <v>11</v>
      </c>
      <c r="I213" s="62" t="s">
        <v>120</v>
      </c>
      <c r="J213" s="62"/>
      <c r="K213" s="64">
        <v>51.760000000000005</v>
      </c>
      <c r="L213" s="64">
        <f t="shared" si="39"/>
        <v>39.815384615384623</v>
      </c>
      <c r="M213" s="65">
        <f>prodnorm29</f>
        <v>0</v>
      </c>
      <c r="N213" s="66">
        <f>dagwerk29</f>
        <v>0</v>
      </c>
      <c r="O213" s="62" t="s">
        <v>36</v>
      </c>
      <c r="P213" s="67">
        <f>uurtarief29</f>
        <v>0</v>
      </c>
      <c r="Q213" s="64" t="e">
        <f t="shared" si="40"/>
        <v>#DIV/0!</v>
      </c>
      <c r="R213" s="64" t="e">
        <f t="shared" si="41"/>
        <v>#DIV/0!</v>
      </c>
      <c r="S213" s="67" t="e">
        <f t="shared" si="42"/>
        <v>#DIV/0!</v>
      </c>
      <c r="T213" s="64" t="e">
        <f t="shared" si="43"/>
        <v>#DIV/0!</v>
      </c>
      <c r="U213" s="68" t="e">
        <f t="shared" si="44"/>
        <v>#DIV/0!</v>
      </c>
    </row>
    <row r="214" spans="1:21" x14ac:dyDescent="0.2">
      <c r="A214" s="61" t="s">
        <v>336</v>
      </c>
      <c r="B214" s="62" t="s">
        <v>176</v>
      </c>
      <c r="C214" s="62" t="s">
        <v>184</v>
      </c>
      <c r="D214" s="62" t="s">
        <v>392</v>
      </c>
      <c r="E214" s="63" t="s">
        <v>393</v>
      </c>
      <c r="F214" s="62" t="s">
        <v>203</v>
      </c>
      <c r="G214" s="62" t="s">
        <v>146</v>
      </c>
      <c r="H214" s="62" t="s">
        <v>11</v>
      </c>
      <c r="I214" s="62" t="s">
        <v>120</v>
      </c>
      <c r="J214" s="62"/>
      <c r="K214" s="64">
        <v>28.130000000000003</v>
      </c>
      <c r="L214" s="64">
        <f t="shared" si="39"/>
        <v>21.638461538461542</v>
      </c>
      <c r="M214" s="65">
        <f>prodnorm25</f>
        <v>0</v>
      </c>
      <c r="N214" s="66">
        <f>dagwerk25</f>
        <v>0</v>
      </c>
      <c r="O214" s="62" t="s">
        <v>36</v>
      </c>
      <c r="P214" s="67">
        <f>uurtarief25</f>
        <v>0</v>
      </c>
      <c r="Q214" s="64" t="e">
        <f t="shared" si="40"/>
        <v>#DIV/0!</v>
      </c>
      <c r="R214" s="64" t="e">
        <f t="shared" si="41"/>
        <v>#DIV/0!</v>
      </c>
      <c r="S214" s="67" t="e">
        <f t="shared" si="42"/>
        <v>#DIV/0!</v>
      </c>
      <c r="T214" s="64" t="e">
        <f t="shared" si="43"/>
        <v>#DIV/0!</v>
      </c>
      <c r="U214" s="68" t="e">
        <f t="shared" si="44"/>
        <v>#DIV/0!</v>
      </c>
    </row>
    <row r="215" spans="1:21" x14ac:dyDescent="0.2">
      <c r="A215" s="61" t="s">
        <v>336</v>
      </c>
      <c r="B215" s="62" t="s">
        <v>176</v>
      </c>
      <c r="C215" s="62" t="s">
        <v>184</v>
      </c>
      <c r="D215" s="62" t="s">
        <v>394</v>
      </c>
      <c r="E215" s="63" t="s">
        <v>393</v>
      </c>
      <c r="F215" s="62" t="s">
        <v>203</v>
      </c>
      <c r="G215" s="62" t="s">
        <v>146</v>
      </c>
      <c r="H215" s="62" t="s">
        <v>11</v>
      </c>
      <c r="I215" s="62" t="s">
        <v>120</v>
      </c>
      <c r="J215" s="62"/>
      <c r="K215" s="64">
        <v>28.130000000000003</v>
      </c>
      <c r="L215" s="64">
        <f t="shared" si="39"/>
        <v>21.638461538461542</v>
      </c>
      <c r="M215" s="65">
        <f>prodnorm25</f>
        <v>0</v>
      </c>
      <c r="N215" s="66">
        <f>dagwerk25</f>
        <v>0</v>
      </c>
      <c r="O215" s="62" t="s">
        <v>36</v>
      </c>
      <c r="P215" s="67">
        <f>uurtarief25</f>
        <v>0</v>
      </c>
      <c r="Q215" s="64" t="e">
        <f t="shared" si="40"/>
        <v>#DIV/0!</v>
      </c>
      <c r="R215" s="64" t="e">
        <f t="shared" si="41"/>
        <v>#DIV/0!</v>
      </c>
      <c r="S215" s="67" t="e">
        <f t="shared" si="42"/>
        <v>#DIV/0!</v>
      </c>
      <c r="T215" s="64" t="e">
        <f t="shared" si="43"/>
        <v>#DIV/0!</v>
      </c>
      <c r="U215" s="68" t="e">
        <f t="shared" si="44"/>
        <v>#DIV/0!</v>
      </c>
    </row>
    <row r="216" spans="1:21" x14ac:dyDescent="0.2">
      <c r="A216" s="61" t="s">
        <v>336</v>
      </c>
      <c r="B216" s="62" t="s">
        <v>176</v>
      </c>
      <c r="C216" s="62" t="s">
        <v>184</v>
      </c>
      <c r="D216" s="62" t="s">
        <v>395</v>
      </c>
      <c r="E216" s="63" t="s">
        <v>393</v>
      </c>
      <c r="F216" s="62" t="s">
        <v>203</v>
      </c>
      <c r="G216" s="62" t="s">
        <v>146</v>
      </c>
      <c r="H216" s="62" t="s">
        <v>11</v>
      </c>
      <c r="I216" s="62" t="s">
        <v>120</v>
      </c>
      <c r="J216" s="62"/>
      <c r="K216" s="64">
        <v>28.130000000000003</v>
      </c>
      <c r="L216" s="64">
        <f t="shared" si="39"/>
        <v>21.638461538461542</v>
      </c>
      <c r="M216" s="65">
        <f>prodnorm25</f>
        <v>0</v>
      </c>
      <c r="N216" s="66">
        <f>dagwerk25</f>
        <v>0</v>
      </c>
      <c r="O216" s="62" t="s">
        <v>36</v>
      </c>
      <c r="P216" s="67">
        <f>uurtarief25</f>
        <v>0</v>
      </c>
      <c r="Q216" s="64" t="e">
        <f t="shared" si="40"/>
        <v>#DIV/0!</v>
      </c>
      <c r="R216" s="64" t="e">
        <f t="shared" si="41"/>
        <v>#DIV/0!</v>
      </c>
      <c r="S216" s="67" t="e">
        <f t="shared" si="42"/>
        <v>#DIV/0!</v>
      </c>
      <c r="T216" s="64" t="e">
        <f t="shared" si="43"/>
        <v>#DIV/0!</v>
      </c>
      <c r="U216" s="68" t="e">
        <f t="shared" si="44"/>
        <v>#DIV/0!</v>
      </c>
    </row>
    <row r="217" spans="1:21" x14ac:dyDescent="0.2">
      <c r="A217" s="61" t="s">
        <v>336</v>
      </c>
      <c r="B217" s="62" t="s">
        <v>176</v>
      </c>
      <c r="C217" s="62" t="s">
        <v>184</v>
      </c>
      <c r="D217" s="62" t="s">
        <v>396</v>
      </c>
      <c r="E217" s="63" t="s">
        <v>393</v>
      </c>
      <c r="F217" s="62" t="s">
        <v>203</v>
      </c>
      <c r="G217" s="62" t="s">
        <v>146</v>
      </c>
      <c r="H217" s="62" t="s">
        <v>11</v>
      </c>
      <c r="I217" s="62" t="s">
        <v>120</v>
      </c>
      <c r="J217" s="62"/>
      <c r="K217" s="64">
        <v>28.130000000000003</v>
      </c>
      <c r="L217" s="64">
        <f t="shared" si="39"/>
        <v>21.638461538461542</v>
      </c>
      <c r="M217" s="65">
        <f>prodnorm25</f>
        <v>0</v>
      </c>
      <c r="N217" s="66">
        <f>dagwerk25</f>
        <v>0</v>
      </c>
      <c r="O217" s="62" t="s">
        <v>36</v>
      </c>
      <c r="P217" s="67">
        <f>uurtarief25</f>
        <v>0</v>
      </c>
      <c r="Q217" s="64" t="e">
        <f t="shared" si="40"/>
        <v>#DIV/0!</v>
      </c>
      <c r="R217" s="64" t="e">
        <f t="shared" si="41"/>
        <v>#DIV/0!</v>
      </c>
      <c r="S217" s="67" t="e">
        <f t="shared" si="42"/>
        <v>#DIV/0!</v>
      </c>
      <c r="T217" s="64" t="e">
        <f t="shared" si="43"/>
        <v>#DIV/0!</v>
      </c>
      <c r="U217" s="68" t="e">
        <f t="shared" si="44"/>
        <v>#DIV/0!</v>
      </c>
    </row>
    <row r="218" spans="1:21" x14ac:dyDescent="0.2">
      <c r="A218" s="61" t="s">
        <v>336</v>
      </c>
      <c r="B218" s="62" t="s">
        <v>176</v>
      </c>
      <c r="C218" s="62" t="s">
        <v>184</v>
      </c>
      <c r="D218" s="62" t="s">
        <v>397</v>
      </c>
      <c r="E218" s="63" t="s">
        <v>179</v>
      </c>
      <c r="F218" s="62" t="s">
        <v>355</v>
      </c>
      <c r="G218" s="62" t="s">
        <v>150</v>
      </c>
      <c r="H218" s="62" t="s">
        <v>11</v>
      </c>
      <c r="I218" s="62" t="s">
        <v>120</v>
      </c>
      <c r="J218" s="62"/>
      <c r="K218" s="64">
        <v>7.5</v>
      </c>
      <c r="L218" s="64">
        <f t="shared" si="39"/>
        <v>5.7692307692307692</v>
      </c>
      <c r="M218" s="65">
        <f>prodnorm27</f>
        <v>0</v>
      </c>
      <c r="N218" s="66">
        <f>dagwerk27</f>
        <v>0</v>
      </c>
      <c r="O218" s="62" t="s">
        <v>36</v>
      </c>
      <c r="P218" s="67">
        <f>uurtarief27</f>
        <v>0</v>
      </c>
      <c r="Q218" s="64" t="e">
        <f t="shared" si="40"/>
        <v>#DIV/0!</v>
      </c>
      <c r="R218" s="64" t="e">
        <f t="shared" si="41"/>
        <v>#DIV/0!</v>
      </c>
      <c r="S218" s="67" t="e">
        <f t="shared" si="42"/>
        <v>#DIV/0!</v>
      </c>
      <c r="T218" s="64" t="e">
        <f t="shared" si="43"/>
        <v>#DIV/0!</v>
      </c>
      <c r="U218" s="68" t="e">
        <f t="shared" si="44"/>
        <v>#DIV/0!</v>
      </c>
    </row>
    <row r="219" spans="1:21" x14ac:dyDescent="0.2">
      <c r="A219" s="61" t="s">
        <v>336</v>
      </c>
      <c r="B219" s="62" t="s">
        <v>176</v>
      </c>
      <c r="C219" s="62" t="s">
        <v>184</v>
      </c>
      <c r="D219" s="62" t="s">
        <v>398</v>
      </c>
      <c r="E219" s="63" t="s">
        <v>179</v>
      </c>
      <c r="F219" s="62" t="s">
        <v>190</v>
      </c>
      <c r="G219" s="62" t="s">
        <v>150</v>
      </c>
      <c r="H219" s="62" t="s">
        <v>11</v>
      </c>
      <c r="I219" s="62" t="s">
        <v>120</v>
      </c>
      <c r="J219" s="62"/>
      <c r="K219" s="64">
        <v>1.07</v>
      </c>
      <c r="L219" s="64">
        <f t="shared" si="39"/>
        <v>0.82307692307692315</v>
      </c>
      <c r="M219" s="65">
        <f>prodnorm27</f>
        <v>0</v>
      </c>
      <c r="N219" s="66">
        <f>dagwerk27</f>
        <v>0</v>
      </c>
      <c r="O219" s="62" t="s">
        <v>36</v>
      </c>
      <c r="P219" s="67">
        <f>uurtarief27</f>
        <v>0</v>
      </c>
      <c r="Q219" s="64" t="e">
        <f t="shared" si="40"/>
        <v>#DIV/0!</v>
      </c>
      <c r="R219" s="64" t="e">
        <f t="shared" si="41"/>
        <v>#DIV/0!</v>
      </c>
      <c r="S219" s="67" t="e">
        <f t="shared" si="42"/>
        <v>#DIV/0!</v>
      </c>
      <c r="T219" s="64" t="e">
        <f t="shared" si="43"/>
        <v>#DIV/0!</v>
      </c>
      <c r="U219" s="68" t="e">
        <f t="shared" si="44"/>
        <v>#DIV/0!</v>
      </c>
    </row>
    <row r="220" spans="1:21" x14ac:dyDescent="0.2">
      <c r="A220" s="61" t="s">
        <v>336</v>
      </c>
      <c r="B220" s="62" t="s">
        <v>176</v>
      </c>
      <c r="C220" s="62" t="s">
        <v>184</v>
      </c>
      <c r="D220" s="62" t="s">
        <v>399</v>
      </c>
      <c r="E220" s="63" t="s">
        <v>202</v>
      </c>
      <c r="F220" s="62" t="s">
        <v>203</v>
      </c>
      <c r="G220" s="62" t="s">
        <v>146</v>
      </c>
      <c r="H220" s="62" t="s">
        <v>11</v>
      </c>
      <c r="I220" s="62" t="s">
        <v>120</v>
      </c>
      <c r="J220" s="62"/>
      <c r="K220" s="64">
        <v>1.1500000000000001</v>
      </c>
      <c r="L220" s="64">
        <f t="shared" si="39"/>
        <v>0.8846153846153848</v>
      </c>
      <c r="M220" s="65">
        <f>prodnorm25</f>
        <v>0</v>
      </c>
      <c r="N220" s="66">
        <f>dagwerk25</f>
        <v>0</v>
      </c>
      <c r="O220" s="62" t="s">
        <v>36</v>
      </c>
      <c r="P220" s="67">
        <f>uurtarief25</f>
        <v>0</v>
      </c>
      <c r="Q220" s="64" t="e">
        <f t="shared" si="40"/>
        <v>#DIV/0!</v>
      </c>
      <c r="R220" s="64" t="e">
        <f t="shared" si="41"/>
        <v>#DIV/0!</v>
      </c>
      <c r="S220" s="67" t="e">
        <f t="shared" si="42"/>
        <v>#DIV/0!</v>
      </c>
      <c r="T220" s="64" t="e">
        <f t="shared" si="43"/>
        <v>#DIV/0!</v>
      </c>
      <c r="U220" s="68" t="e">
        <f t="shared" si="44"/>
        <v>#DIV/0!</v>
      </c>
    </row>
    <row r="221" spans="1:21" x14ac:dyDescent="0.2">
      <c r="A221" s="61" t="s">
        <v>336</v>
      </c>
      <c r="B221" s="62" t="s">
        <v>176</v>
      </c>
      <c r="C221" s="62" t="s">
        <v>184</v>
      </c>
      <c r="D221" s="62" t="s">
        <v>400</v>
      </c>
      <c r="E221" s="63" t="s">
        <v>374</v>
      </c>
      <c r="F221" s="62" t="s">
        <v>370</v>
      </c>
      <c r="G221" s="62" t="s">
        <v>126</v>
      </c>
      <c r="H221" s="62" t="s">
        <v>16</v>
      </c>
      <c r="I221" s="62" t="s">
        <v>120</v>
      </c>
      <c r="J221" s="62"/>
      <c r="K221" s="64">
        <v>45.290000000000006</v>
      </c>
      <c r="L221" s="64">
        <f t="shared" si="39"/>
        <v>6.9676923076923094</v>
      </c>
      <c r="M221" s="65">
        <f>prodnorm14</f>
        <v>0</v>
      </c>
      <c r="N221" s="66">
        <f>dagwerk14</f>
        <v>0</v>
      </c>
      <c r="O221" s="62" t="s">
        <v>36</v>
      </c>
      <c r="P221" s="67">
        <f>uurtarief14</f>
        <v>0</v>
      </c>
      <c r="Q221" s="64" t="e">
        <f t="shared" si="40"/>
        <v>#DIV/0!</v>
      </c>
      <c r="R221" s="64" t="e">
        <f t="shared" si="41"/>
        <v>#DIV/0!</v>
      </c>
      <c r="S221" s="67" t="e">
        <f t="shared" si="42"/>
        <v>#DIV/0!</v>
      </c>
      <c r="T221" s="64" t="e">
        <f t="shared" si="43"/>
        <v>#DIV/0!</v>
      </c>
      <c r="U221" s="68" t="e">
        <f t="shared" si="44"/>
        <v>#DIV/0!</v>
      </c>
    </row>
    <row r="222" spans="1:21" x14ac:dyDescent="0.2">
      <c r="A222" s="61" t="s">
        <v>336</v>
      </c>
      <c r="B222" s="62" t="s">
        <v>176</v>
      </c>
      <c r="C222" s="62" t="s">
        <v>184</v>
      </c>
      <c r="D222" s="62" t="s">
        <v>401</v>
      </c>
      <c r="E222" s="63" t="s">
        <v>402</v>
      </c>
      <c r="F222" s="62" t="s">
        <v>370</v>
      </c>
      <c r="G222" s="62" t="s">
        <v>126</v>
      </c>
      <c r="H222" s="62" t="s">
        <v>11</v>
      </c>
      <c r="I222" s="62" t="s">
        <v>120</v>
      </c>
      <c r="J222" s="62"/>
      <c r="K222" s="64">
        <v>249.76999999999998</v>
      </c>
      <c r="L222" s="64">
        <f t="shared" si="39"/>
        <v>192.13076923076923</v>
      </c>
      <c r="M222" s="65">
        <f>prodnorm13</f>
        <v>0</v>
      </c>
      <c r="N222" s="66">
        <f>dagwerk13</f>
        <v>0</v>
      </c>
      <c r="O222" s="62" t="s">
        <v>36</v>
      </c>
      <c r="P222" s="67">
        <f>uurtarief13</f>
        <v>0</v>
      </c>
      <c r="Q222" s="64" t="e">
        <f t="shared" si="40"/>
        <v>#DIV/0!</v>
      </c>
      <c r="R222" s="64" t="e">
        <f t="shared" si="41"/>
        <v>#DIV/0!</v>
      </c>
      <c r="S222" s="67" t="e">
        <f t="shared" si="42"/>
        <v>#DIV/0!</v>
      </c>
      <c r="T222" s="64" t="e">
        <f t="shared" si="43"/>
        <v>#DIV/0!</v>
      </c>
      <c r="U222" s="68" t="e">
        <f t="shared" si="44"/>
        <v>#DIV/0!</v>
      </c>
    </row>
    <row r="223" spans="1:21" x14ac:dyDescent="0.2">
      <c r="A223" s="61" t="s">
        <v>336</v>
      </c>
      <c r="B223" s="62" t="s">
        <v>176</v>
      </c>
      <c r="C223" s="62" t="s">
        <v>184</v>
      </c>
      <c r="D223" s="62" t="s">
        <v>403</v>
      </c>
      <c r="E223" s="63" t="s">
        <v>402</v>
      </c>
      <c r="F223" s="62" t="s">
        <v>370</v>
      </c>
      <c r="G223" s="62" t="s">
        <v>126</v>
      </c>
      <c r="H223" s="62" t="s">
        <v>11</v>
      </c>
      <c r="I223" s="62" t="s">
        <v>120</v>
      </c>
      <c r="J223" s="62"/>
      <c r="K223" s="64">
        <v>249.51</v>
      </c>
      <c r="L223" s="64">
        <f t="shared" ref="L223:L254" si="45">K223*VLOOKUP(H223,dagsoorttabel1,2,FALSE)</f>
        <v>191.93076923076924</v>
      </c>
      <c r="M223" s="65">
        <f>prodnorm13</f>
        <v>0</v>
      </c>
      <c r="N223" s="66">
        <f>dagwerk13</f>
        <v>0</v>
      </c>
      <c r="O223" s="62" t="s">
        <v>36</v>
      </c>
      <c r="P223" s="67">
        <f>uurtarief13</f>
        <v>0</v>
      </c>
      <c r="Q223" s="64" t="e">
        <f t="shared" ref="Q223:Q254" si="46">IF(ISBLANK(M223),0,L223/ROUND(M223,4))</f>
        <v>#DIV/0!</v>
      </c>
      <c r="R223" s="64" t="e">
        <f t="shared" ref="R223:R254" si="47">IF(ISBLANK(M223),0,Q223*ROUND(N223,2))</f>
        <v>#DIV/0!</v>
      </c>
      <c r="S223" s="67" t="e">
        <f t="shared" ref="S223:S254" si="48">ROUND(P223,2)*Q223</f>
        <v>#DIV/0!</v>
      </c>
      <c r="T223" s="64" t="e">
        <f t="shared" ref="T223:T254" si="49">Q223*dagenperjaar1</f>
        <v>#DIV/0!</v>
      </c>
      <c r="U223" s="68" t="e">
        <f t="shared" ref="U223:U254" si="50">T223*ROUND(P223,2)</f>
        <v>#DIV/0!</v>
      </c>
    </row>
    <row r="224" spans="1:21" x14ac:dyDescent="0.2">
      <c r="A224" s="61" t="s">
        <v>336</v>
      </c>
      <c r="B224" s="62" t="s">
        <v>176</v>
      </c>
      <c r="C224" s="62" t="s">
        <v>184</v>
      </c>
      <c r="D224" s="62" t="s">
        <v>404</v>
      </c>
      <c r="E224" s="63" t="s">
        <v>202</v>
      </c>
      <c r="F224" s="62" t="s">
        <v>203</v>
      </c>
      <c r="G224" s="62" t="s">
        <v>146</v>
      </c>
      <c r="H224" s="62" t="s">
        <v>11</v>
      </c>
      <c r="I224" s="62" t="s">
        <v>120</v>
      </c>
      <c r="J224" s="62"/>
      <c r="K224" s="64">
        <v>1.1900000000000002</v>
      </c>
      <c r="L224" s="64">
        <f t="shared" si="45"/>
        <v>0.91538461538461557</v>
      </c>
      <c r="M224" s="65">
        <f>prodnorm25</f>
        <v>0</v>
      </c>
      <c r="N224" s="66">
        <f>dagwerk25</f>
        <v>0</v>
      </c>
      <c r="O224" s="62" t="s">
        <v>36</v>
      </c>
      <c r="P224" s="67">
        <f>uurtarief25</f>
        <v>0</v>
      </c>
      <c r="Q224" s="64" t="e">
        <f t="shared" si="46"/>
        <v>#DIV/0!</v>
      </c>
      <c r="R224" s="64" t="e">
        <f t="shared" si="47"/>
        <v>#DIV/0!</v>
      </c>
      <c r="S224" s="67" t="e">
        <f t="shared" si="48"/>
        <v>#DIV/0!</v>
      </c>
      <c r="T224" s="64" t="e">
        <f t="shared" si="49"/>
        <v>#DIV/0!</v>
      </c>
      <c r="U224" s="68" t="e">
        <f t="shared" si="50"/>
        <v>#DIV/0!</v>
      </c>
    </row>
    <row r="225" spans="1:21" x14ac:dyDescent="0.2">
      <c r="A225" s="61" t="s">
        <v>336</v>
      </c>
      <c r="B225" s="62" t="s">
        <v>176</v>
      </c>
      <c r="C225" s="62" t="s">
        <v>254</v>
      </c>
      <c r="D225" s="62" t="s">
        <v>256</v>
      </c>
      <c r="E225" s="63" t="s">
        <v>405</v>
      </c>
      <c r="F225" s="62" t="s">
        <v>190</v>
      </c>
      <c r="G225" s="62" t="s">
        <v>154</v>
      </c>
      <c r="H225" s="62" t="s">
        <v>11</v>
      </c>
      <c r="I225" s="62" t="s">
        <v>120</v>
      </c>
      <c r="J225" s="62"/>
      <c r="K225" s="64">
        <v>308.31</v>
      </c>
      <c r="L225" s="64">
        <f t="shared" si="45"/>
        <v>237.16153846153847</v>
      </c>
      <c r="M225" s="65">
        <f>prodnorm29</f>
        <v>0</v>
      </c>
      <c r="N225" s="66">
        <f>dagwerk29</f>
        <v>0</v>
      </c>
      <c r="O225" s="62" t="s">
        <v>36</v>
      </c>
      <c r="P225" s="67">
        <f>uurtarief29</f>
        <v>0</v>
      </c>
      <c r="Q225" s="64" t="e">
        <f t="shared" si="46"/>
        <v>#DIV/0!</v>
      </c>
      <c r="R225" s="64" t="e">
        <f t="shared" si="47"/>
        <v>#DIV/0!</v>
      </c>
      <c r="S225" s="67" t="e">
        <f t="shared" si="48"/>
        <v>#DIV/0!</v>
      </c>
      <c r="T225" s="64" t="e">
        <f t="shared" si="49"/>
        <v>#DIV/0!</v>
      </c>
      <c r="U225" s="68" t="e">
        <f t="shared" si="50"/>
        <v>#DIV/0!</v>
      </c>
    </row>
    <row r="226" spans="1:21" x14ac:dyDescent="0.2">
      <c r="A226" s="61" t="s">
        <v>336</v>
      </c>
      <c r="B226" s="62" t="s">
        <v>176</v>
      </c>
      <c r="C226" s="62" t="s">
        <v>254</v>
      </c>
      <c r="D226" s="62" t="s">
        <v>256</v>
      </c>
      <c r="E226" s="63" t="s">
        <v>405</v>
      </c>
      <c r="F226" s="62" t="s">
        <v>190</v>
      </c>
      <c r="G226" s="62" t="s">
        <v>158</v>
      </c>
      <c r="H226" s="62" t="s">
        <v>23</v>
      </c>
      <c r="I226" s="62" t="s">
        <v>120</v>
      </c>
      <c r="J226" s="62"/>
      <c r="K226" s="64">
        <v>308.31</v>
      </c>
      <c r="L226" s="64">
        <f t="shared" si="45"/>
        <v>1.1858076923076923</v>
      </c>
      <c r="M226" s="65">
        <f>prodnorm31</f>
        <v>0</v>
      </c>
      <c r="N226" s="66">
        <f>dagwerk31</f>
        <v>0</v>
      </c>
      <c r="O226" s="62" t="s">
        <v>36</v>
      </c>
      <c r="P226" s="67">
        <f>uurtarief31</f>
        <v>0</v>
      </c>
      <c r="Q226" s="64" t="e">
        <f t="shared" si="46"/>
        <v>#DIV/0!</v>
      </c>
      <c r="R226" s="64" t="e">
        <f t="shared" si="47"/>
        <v>#DIV/0!</v>
      </c>
      <c r="S226" s="67" t="e">
        <f t="shared" si="48"/>
        <v>#DIV/0!</v>
      </c>
      <c r="T226" s="64" t="e">
        <f t="shared" si="49"/>
        <v>#DIV/0!</v>
      </c>
      <c r="U226" s="68" t="e">
        <f t="shared" si="50"/>
        <v>#DIV/0!</v>
      </c>
    </row>
    <row r="227" spans="1:21" x14ac:dyDescent="0.2">
      <c r="A227" s="61" t="s">
        <v>336</v>
      </c>
      <c r="B227" s="62" t="s">
        <v>176</v>
      </c>
      <c r="C227" s="62" t="s">
        <v>254</v>
      </c>
      <c r="D227" s="62" t="s">
        <v>406</v>
      </c>
      <c r="E227" s="63" t="s">
        <v>365</v>
      </c>
      <c r="F227" s="62" t="s">
        <v>190</v>
      </c>
      <c r="G227" s="62" t="s">
        <v>154</v>
      </c>
      <c r="H227" s="62" t="s">
        <v>11</v>
      </c>
      <c r="I227" s="62" t="s">
        <v>120</v>
      </c>
      <c r="J227" s="62"/>
      <c r="K227" s="64">
        <v>40.46</v>
      </c>
      <c r="L227" s="64">
        <f t="shared" si="45"/>
        <v>31.123076923076926</v>
      </c>
      <c r="M227" s="65">
        <f>prodnorm29</f>
        <v>0</v>
      </c>
      <c r="N227" s="66">
        <f>dagwerk29</f>
        <v>0</v>
      </c>
      <c r="O227" s="62" t="s">
        <v>36</v>
      </c>
      <c r="P227" s="67">
        <f>uurtarief29</f>
        <v>0</v>
      </c>
      <c r="Q227" s="64" t="e">
        <f t="shared" si="46"/>
        <v>#DIV/0!</v>
      </c>
      <c r="R227" s="64" t="e">
        <f t="shared" si="47"/>
        <v>#DIV/0!</v>
      </c>
      <c r="S227" s="67" t="e">
        <f t="shared" si="48"/>
        <v>#DIV/0!</v>
      </c>
      <c r="T227" s="64" t="e">
        <f t="shared" si="49"/>
        <v>#DIV/0!</v>
      </c>
      <c r="U227" s="68" t="e">
        <f t="shared" si="50"/>
        <v>#DIV/0!</v>
      </c>
    </row>
    <row r="228" spans="1:21" x14ac:dyDescent="0.2">
      <c r="A228" s="61" t="s">
        <v>336</v>
      </c>
      <c r="B228" s="62" t="s">
        <v>176</v>
      </c>
      <c r="C228" s="62" t="s">
        <v>254</v>
      </c>
      <c r="D228" s="62" t="s">
        <v>406</v>
      </c>
      <c r="E228" s="63" t="s">
        <v>365</v>
      </c>
      <c r="F228" s="62" t="s">
        <v>190</v>
      </c>
      <c r="G228" s="62" t="s">
        <v>158</v>
      </c>
      <c r="H228" s="62" t="s">
        <v>23</v>
      </c>
      <c r="I228" s="62" t="s">
        <v>120</v>
      </c>
      <c r="J228" s="62"/>
      <c r="K228" s="64">
        <v>40.46</v>
      </c>
      <c r="L228" s="64">
        <f t="shared" si="45"/>
        <v>0.15561538461538463</v>
      </c>
      <c r="M228" s="65">
        <f>prodnorm31</f>
        <v>0</v>
      </c>
      <c r="N228" s="66">
        <f>dagwerk31</f>
        <v>0</v>
      </c>
      <c r="O228" s="62" t="s">
        <v>36</v>
      </c>
      <c r="P228" s="67">
        <f>uurtarief31</f>
        <v>0</v>
      </c>
      <c r="Q228" s="64" t="e">
        <f t="shared" si="46"/>
        <v>#DIV/0!</v>
      </c>
      <c r="R228" s="64" t="e">
        <f t="shared" si="47"/>
        <v>#DIV/0!</v>
      </c>
      <c r="S228" s="67" t="e">
        <f t="shared" si="48"/>
        <v>#DIV/0!</v>
      </c>
      <c r="T228" s="64" t="e">
        <f t="shared" si="49"/>
        <v>#DIV/0!</v>
      </c>
      <c r="U228" s="68" t="e">
        <f t="shared" si="50"/>
        <v>#DIV/0!</v>
      </c>
    </row>
    <row r="229" spans="1:21" x14ac:dyDescent="0.2">
      <c r="A229" s="61" t="s">
        <v>336</v>
      </c>
      <c r="B229" s="62" t="s">
        <v>176</v>
      </c>
      <c r="C229" s="62" t="s">
        <v>254</v>
      </c>
      <c r="D229" s="62" t="s">
        <v>407</v>
      </c>
      <c r="E229" s="63" t="s">
        <v>225</v>
      </c>
      <c r="F229" s="62" t="s">
        <v>183</v>
      </c>
      <c r="G229" s="62" t="s">
        <v>122</v>
      </c>
      <c r="H229" s="62" t="s">
        <v>11</v>
      </c>
      <c r="I229" s="62" t="s">
        <v>120</v>
      </c>
      <c r="J229" s="62"/>
      <c r="K229" s="64">
        <v>18.010000000000002</v>
      </c>
      <c r="L229" s="64">
        <f t="shared" si="45"/>
        <v>13.853846153846156</v>
      </c>
      <c r="M229" s="65">
        <f>prodnorm10</f>
        <v>0</v>
      </c>
      <c r="N229" s="66">
        <f>dagwerk10</f>
        <v>0</v>
      </c>
      <c r="O229" s="62" t="s">
        <v>36</v>
      </c>
      <c r="P229" s="67">
        <f>uurtarief10</f>
        <v>0</v>
      </c>
      <c r="Q229" s="64" t="e">
        <f t="shared" si="46"/>
        <v>#DIV/0!</v>
      </c>
      <c r="R229" s="64" t="e">
        <f t="shared" si="47"/>
        <v>#DIV/0!</v>
      </c>
      <c r="S229" s="67" t="e">
        <f t="shared" si="48"/>
        <v>#DIV/0!</v>
      </c>
      <c r="T229" s="64" t="e">
        <f t="shared" si="49"/>
        <v>#DIV/0!</v>
      </c>
      <c r="U229" s="68" t="e">
        <f t="shared" si="50"/>
        <v>#DIV/0!</v>
      </c>
    </row>
    <row r="230" spans="1:21" x14ac:dyDescent="0.2">
      <c r="A230" s="61" t="s">
        <v>336</v>
      </c>
      <c r="B230" s="62" t="s">
        <v>176</v>
      </c>
      <c r="C230" s="62" t="s">
        <v>254</v>
      </c>
      <c r="D230" s="62" t="s">
        <v>257</v>
      </c>
      <c r="E230" s="63" t="s">
        <v>225</v>
      </c>
      <c r="F230" s="62" t="s">
        <v>183</v>
      </c>
      <c r="G230" s="62" t="s">
        <v>122</v>
      </c>
      <c r="H230" s="62" t="s">
        <v>11</v>
      </c>
      <c r="I230" s="62" t="s">
        <v>120</v>
      </c>
      <c r="J230" s="62"/>
      <c r="K230" s="64">
        <v>19.2</v>
      </c>
      <c r="L230" s="64">
        <f t="shared" si="45"/>
        <v>14.76923076923077</v>
      </c>
      <c r="M230" s="65">
        <f>prodnorm10</f>
        <v>0</v>
      </c>
      <c r="N230" s="66">
        <f>dagwerk10</f>
        <v>0</v>
      </c>
      <c r="O230" s="62" t="s">
        <v>36</v>
      </c>
      <c r="P230" s="67">
        <f>uurtarief10</f>
        <v>0</v>
      </c>
      <c r="Q230" s="64" t="e">
        <f t="shared" si="46"/>
        <v>#DIV/0!</v>
      </c>
      <c r="R230" s="64" t="e">
        <f t="shared" si="47"/>
        <v>#DIV/0!</v>
      </c>
      <c r="S230" s="67" t="e">
        <f t="shared" si="48"/>
        <v>#DIV/0!</v>
      </c>
      <c r="T230" s="64" t="e">
        <f t="shared" si="49"/>
        <v>#DIV/0!</v>
      </c>
      <c r="U230" s="68" t="e">
        <f t="shared" si="50"/>
        <v>#DIV/0!</v>
      </c>
    </row>
    <row r="231" spans="1:21" x14ac:dyDescent="0.2">
      <c r="A231" s="61" t="s">
        <v>336</v>
      </c>
      <c r="B231" s="62" t="s">
        <v>176</v>
      </c>
      <c r="C231" s="62" t="s">
        <v>254</v>
      </c>
      <c r="D231" s="62" t="s">
        <v>258</v>
      </c>
      <c r="E231" s="63" t="s">
        <v>225</v>
      </c>
      <c r="F231" s="62" t="s">
        <v>183</v>
      </c>
      <c r="G231" s="62" t="s">
        <v>122</v>
      </c>
      <c r="H231" s="62" t="s">
        <v>11</v>
      </c>
      <c r="I231" s="62" t="s">
        <v>120</v>
      </c>
      <c r="J231" s="62"/>
      <c r="K231" s="64">
        <v>18.84</v>
      </c>
      <c r="L231" s="64">
        <f t="shared" si="45"/>
        <v>14.492307692307692</v>
      </c>
      <c r="M231" s="65">
        <f>prodnorm10</f>
        <v>0</v>
      </c>
      <c r="N231" s="66">
        <f>dagwerk10</f>
        <v>0</v>
      </c>
      <c r="O231" s="62" t="s">
        <v>36</v>
      </c>
      <c r="P231" s="67">
        <f>uurtarief10</f>
        <v>0</v>
      </c>
      <c r="Q231" s="64" t="e">
        <f t="shared" si="46"/>
        <v>#DIV/0!</v>
      </c>
      <c r="R231" s="64" t="e">
        <f t="shared" si="47"/>
        <v>#DIV/0!</v>
      </c>
      <c r="S231" s="67" t="e">
        <f t="shared" si="48"/>
        <v>#DIV/0!</v>
      </c>
      <c r="T231" s="64" t="e">
        <f t="shared" si="49"/>
        <v>#DIV/0!</v>
      </c>
      <c r="U231" s="68" t="e">
        <f t="shared" si="50"/>
        <v>#DIV/0!</v>
      </c>
    </row>
    <row r="232" spans="1:21" x14ac:dyDescent="0.2">
      <c r="A232" s="61" t="s">
        <v>336</v>
      </c>
      <c r="B232" s="62" t="s">
        <v>176</v>
      </c>
      <c r="C232" s="62" t="s">
        <v>254</v>
      </c>
      <c r="D232" s="62" t="s">
        <v>260</v>
      </c>
      <c r="E232" s="63" t="s">
        <v>408</v>
      </c>
      <c r="F232" s="62" t="s">
        <v>190</v>
      </c>
      <c r="G232" s="62" t="s">
        <v>132</v>
      </c>
      <c r="H232" s="62" t="s">
        <v>12</v>
      </c>
      <c r="I232" s="62" t="s">
        <v>120</v>
      </c>
      <c r="J232" s="62"/>
      <c r="K232" s="64">
        <v>74.92</v>
      </c>
      <c r="L232" s="64">
        <f t="shared" si="45"/>
        <v>46.104615384615386</v>
      </c>
      <c r="M232" s="65">
        <f t="shared" ref="M232:M238" si="51">prodnorm17</f>
        <v>0</v>
      </c>
      <c r="N232" s="66">
        <f t="shared" ref="N232:N238" si="52">dagwerk17</f>
        <v>0</v>
      </c>
      <c r="O232" s="62" t="s">
        <v>36</v>
      </c>
      <c r="P232" s="67">
        <f t="shared" ref="P232:P238" si="53">uurtarief17</f>
        <v>0</v>
      </c>
      <c r="Q232" s="64" t="e">
        <f t="shared" si="46"/>
        <v>#DIV/0!</v>
      </c>
      <c r="R232" s="64" t="e">
        <f t="shared" si="47"/>
        <v>#DIV/0!</v>
      </c>
      <c r="S232" s="67" t="e">
        <f t="shared" si="48"/>
        <v>#DIV/0!</v>
      </c>
      <c r="T232" s="64" t="e">
        <f t="shared" si="49"/>
        <v>#DIV/0!</v>
      </c>
      <c r="U232" s="68" t="e">
        <f t="shared" si="50"/>
        <v>#DIV/0!</v>
      </c>
    </row>
    <row r="233" spans="1:21" x14ac:dyDescent="0.2">
      <c r="A233" s="61" t="s">
        <v>336</v>
      </c>
      <c r="B233" s="62" t="s">
        <v>176</v>
      </c>
      <c r="C233" s="62" t="s">
        <v>254</v>
      </c>
      <c r="D233" s="62" t="s">
        <v>261</v>
      </c>
      <c r="E233" s="63" t="s">
        <v>218</v>
      </c>
      <c r="F233" s="62" t="s">
        <v>190</v>
      </c>
      <c r="G233" s="62" t="s">
        <v>132</v>
      </c>
      <c r="H233" s="62" t="s">
        <v>12</v>
      </c>
      <c r="I233" s="62" t="s">
        <v>120</v>
      </c>
      <c r="J233" s="62"/>
      <c r="K233" s="64">
        <v>50.849999999999994</v>
      </c>
      <c r="L233" s="64">
        <f t="shared" si="45"/>
        <v>31.292307692307691</v>
      </c>
      <c r="M233" s="65">
        <f t="shared" si="51"/>
        <v>0</v>
      </c>
      <c r="N233" s="66">
        <f t="shared" si="52"/>
        <v>0</v>
      </c>
      <c r="O233" s="62" t="s">
        <v>36</v>
      </c>
      <c r="P233" s="67">
        <f t="shared" si="53"/>
        <v>0</v>
      </c>
      <c r="Q233" s="64" t="e">
        <f t="shared" si="46"/>
        <v>#DIV/0!</v>
      </c>
      <c r="R233" s="64" t="e">
        <f t="shared" si="47"/>
        <v>#DIV/0!</v>
      </c>
      <c r="S233" s="67" t="e">
        <f t="shared" si="48"/>
        <v>#DIV/0!</v>
      </c>
      <c r="T233" s="64" t="e">
        <f t="shared" si="49"/>
        <v>#DIV/0!</v>
      </c>
      <c r="U233" s="68" t="e">
        <f t="shared" si="50"/>
        <v>#DIV/0!</v>
      </c>
    </row>
    <row r="234" spans="1:21" x14ac:dyDescent="0.2">
      <c r="A234" s="61" t="s">
        <v>336</v>
      </c>
      <c r="B234" s="62" t="s">
        <v>176</v>
      </c>
      <c r="C234" s="62" t="s">
        <v>254</v>
      </c>
      <c r="D234" s="62" t="s">
        <v>263</v>
      </c>
      <c r="E234" s="63" t="s">
        <v>218</v>
      </c>
      <c r="F234" s="62" t="s">
        <v>190</v>
      </c>
      <c r="G234" s="62" t="s">
        <v>132</v>
      </c>
      <c r="H234" s="62" t="s">
        <v>12</v>
      </c>
      <c r="I234" s="62" t="s">
        <v>120</v>
      </c>
      <c r="J234" s="62"/>
      <c r="K234" s="64">
        <v>50.849999999999994</v>
      </c>
      <c r="L234" s="64">
        <f t="shared" si="45"/>
        <v>31.292307692307691</v>
      </c>
      <c r="M234" s="65">
        <f t="shared" si="51"/>
        <v>0</v>
      </c>
      <c r="N234" s="66">
        <f t="shared" si="52"/>
        <v>0</v>
      </c>
      <c r="O234" s="62" t="s">
        <v>36</v>
      </c>
      <c r="P234" s="67">
        <f t="shared" si="53"/>
        <v>0</v>
      </c>
      <c r="Q234" s="64" t="e">
        <f t="shared" si="46"/>
        <v>#DIV/0!</v>
      </c>
      <c r="R234" s="64" t="e">
        <f t="shared" si="47"/>
        <v>#DIV/0!</v>
      </c>
      <c r="S234" s="67" t="e">
        <f t="shared" si="48"/>
        <v>#DIV/0!</v>
      </c>
      <c r="T234" s="64" t="e">
        <f t="shared" si="49"/>
        <v>#DIV/0!</v>
      </c>
      <c r="U234" s="68" t="e">
        <f t="shared" si="50"/>
        <v>#DIV/0!</v>
      </c>
    </row>
    <row r="235" spans="1:21" x14ac:dyDescent="0.2">
      <c r="A235" s="61" t="s">
        <v>336</v>
      </c>
      <c r="B235" s="62" t="s">
        <v>176</v>
      </c>
      <c r="C235" s="62" t="s">
        <v>254</v>
      </c>
      <c r="D235" s="62" t="s">
        <v>409</v>
      </c>
      <c r="E235" s="63" t="s">
        <v>218</v>
      </c>
      <c r="F235" s="62" t="s">
        <v>190</v>
      </c>
      <c r="G235" s="62" t="s">
        <v>132</v>
      </c>
      <c r="H235" s="62" t="s">
        <v>12</v>
      </c>
      <c r="I235" s="62" t="s">
        <v>120</v>
      </c>
      <c r="J235" s="62"/>
      <c r="K235" s="64">
        <v>50.849999999999994</v>
      </c>
      <c r="L235" s="64">
        <f t="shared" si="45"/>
        <v>31.292307692307691</v>
      </c>
      <c r="M235" s="65">
        <f t="shared" si="51"/>
        <v>0</v>
      </c>
      <c r="N235" s="66">
        <f t="shared" si="52"/>
        <v>0</v>
      </c>
      <c r="O235" s="62" t="s">
        <v>36</v>
      </c>
      <c r="P235" s="67">
        <f t="shared" si="53"/>
        <v>0</v>
      </c>
      <c r="Q235" s="64" t="e">
        <f t="shared" si="46"/>
        <v>#DIV/0!</v>
      </c>
      <c r="R235" s="64" t="e">
        <f t="shared" si="47"/>
        <v>#DIV/0!</v>
      </c>
      <c r="S235" s="67" t="e">
        <f t="shared" si="48"/>
        <v>#DIV/0!</v>
      </c>
      <c r="T235" s="64" t="e">
        <f t="shared" si="49"/>
        <v>#DIV/0!</v>
      </c>
      <c r="U235" s="68" t="e">
        <f t="shared" si="50"/>
        <v>#DIV/0!</v>
      </c>
    </row>
    <row r="236" spans="1:21" x14ac:dyDescent="0.2">
      <c r="A236" s="61" t="s">
        <v>336</v>
      </c>
      <c r="B236" s="62" t="s">
        <v>176</v>
      </c>
      <c r="C236" s="62" t="s">
        <v>254</v>
      </c>
      <c r="D236" s="62" t="s">
        <v>410</v>
      </c>
      <c r="E236" s="63" t="s">
        <v>218</v>
      </c>
      <c r="F236" s="62" t="s">
        <v>190</v>
      </c>
      <c r="G236" s="62" t="s">
        <v>132</v>
      </c>
      <c r="H236" s="62" t="s">
        <v>12</v>
      </c>
      <c r="I236" s="62" t="s">
        <v>120</v>
      </c>
      <c r="J236" s="62"/>
      <c r="K236" s="64">
        <v>50.849999999999994</v>
      </c>
      <c r="L236" s="64">
        <f t="shared" si="45"/>
        <v>31.292307692307691</v>
      </c>
      <c r="M236" s="65">
        <f t="shared" si="51"/>
        <v>0</v>
      </c>
      <c r="N236" s="66">
        <f t="shared" si="52"/>
        <v>0</v>
      </c>
      <c r="O236" s="62" t="s">
        <v>36</v>
      </c>
      <c r="P236" s="67">
        <f t="shared" si="53"/>
        <v>0</v>
      </c>
      <c r="Q236" s="64" t="e">
        <f t="shared" si="46"/>
        <v>#DIV/0!</v>
      </c>
      <c r="R236" s="64" t="e">
        <f t="shared" si="47"/>
        <v>#DIV/0!</v>
      </c>
      <c r="S236" s="67" t="e">
        <f t="shared" si="48"/>
        <v>#DIV/0!</v>
      </c>
      <c r="T236" s="64" t="e">
        <f t="shared" si="49"/>
        <v>#DIV/0!</v>
      </c>
      <c r="U236" s="68" t="e">
        <f t="shared" si="50"/>
        <v>#DIV/0!</v>
      </c>
    </row>
    <row r="237" spans="1:21" x14ac:dyDescent="0.2">
      <c r="A237" s="61" t="s">
        <v>336</v>
      </c>
      <c r="B237" s="62" t="s">
        <v>176</v>
      </c>
      <c r="C237" s="62" t="s">
        <v>254</v>
      </c>
      <c r="D237" s="62" t="s">
        <v>264</v>
      </c>
      <c r="E237" s="63" t="s">
        <v>218</v>
      </c>
      <c r="F237" s="62" t="s">
        <v>190</v>
      </c>
      <c r="G237" s="62" t="s">
        <v>132</v>
      </c>
      <c r="H237" s="62" t="s">
        <v>12</v>
      </c>
      <c r="I237" s="62" t="s">
        <v>120</v>
      </c>
      <c r="J237" s="62"/>
      <c r="K237" s="64">
        <v>61.01</v>
      </c>
      <c r="L237" s="64">
        <f t="shared" si="45"/>
        <v>37.544615384615383</v>
      </c>
      <c r="M237" s="65">
        <f t="shared" si="51"/>
        <v>0</v>
      </c>
      <c r="N237" s="66">
        <f t="shared" si="52"/>
        <v>0</v>
      </c>
      <c r="O237" s="62" t="s">
        <v>36</v>
      </c>
      <c r="P237" s="67">
        <f t="shared" si="53"/>
        <v>0</v>
      </c>
      <c r="Q237" s="64" t="e">
        <f t="shared" si="46"/>
        <v>#DIV/0!</v>
      </c>
      <c r="R237" s="64" t="e">
        <f t="shared" si="47"/>
        <v>#DIV/0!</v>
      </c>
      <c r="S237" s="67" t="e">
        <f t="shared" si="48"/>
        <v>#DIV/0!</v>
      </c>
      <c r="T237" s="64" t="e">
        <f t="shared" si="49"/>
        <v>#DIV/0!</v>
      </c>
      <c r="U237" s="68" t="e">
        <f t="shared" si="50"/>
        <v>#DIV/0!</v>
      </c>
    </row>
    <row r="238" spans="1:21" x14ac:dyDescent="0.2">
      <c r="A238" s="61" t="s">
        <v>336</v>
      </c>
      <c r="B238" s="62" t="s">
        <v>176</v>
      </c>
      <c r="C238" s="62" t="s">
        <v>254</v>
      </c>
      <c r="D238" s="62" t="s">
        <v>411</v>
      </c>
      <c r="E238" s="63" t="s">
        <v>412</v>
      </c>
      <c r="F238" s="62" t="s">
        <v>190</v>
      </c>
      <c r="G238" s="62" t="s">
        <v>132</v>
      </c>
      <c r="H238" s="62" t="s">
        <v>12</v>
      </c>
      <c r="I238" s="62" t="s">
        <v>120</v>
      </c>
      <c r="J238" s="62"/>
      <c r="K238" s="64">
        <v>63.74</v>
      </c>
      <c r="L238" s="64">
        <f t="shared" si="45"/>
        <v>39.22461538461539</v>
      </c>
      <c r="M238" s="65">
        <f t="shared" si="51"/>
        <v>0</v>
      </c>
      <c r="N238" s="66">
        <f t="shared" si="52"/>
        <v>0</v>
      </c>
      <c r="O238" s="62" t="s">
        <v>36</v>
      </c>
      <c r="P238" s="67">
        <f t="shared" si="53"/>
        <v>0</v>
      </c>
      <c r="Q238" s="64" t="e">
        <f t="shared" si="46"/>
        <v>#DIV/0!</v>
      </c>
      <c r="R238" s="64" t="e">
        <f t="shared" si="47"/>
        <v>#DIV/0!</v>
      </c>
      <c r="S238" s="67" t="e">
        <f t="shared" si="48"/>
        <v>#DIV/0!</v>
      </c>
      <c r="T238" s="64" t="e">
        <f t="shared" si="49"/>
        <v>#DIV/0!</v>
      </c>
      <c r="U238" s="68" t="e">
        <f t="shared" si="50"/>
        <v>#DIV/0!</v>
      </c>
    </row>
    <row r="239" spans="1:21" x14ac:dyDescent="0.2">
      <c r="A239" s="61" t="s">
        <v>336</v>
      </c>
      <c r="B239" s="62" t="s">
        <v>176</v>
      </c>
      <c r="C239" s="62" t="s">
        <v>254</v>
      </c>
      <c r="D239" s="62" t="s">
        <v>413</v>
      </c>
      <c r="E239" s="63" t="s">
        <v>380</v>
      </c>
      <c r="F239" s="62" t="s">
        <v>360</v>
      </c>
      <c r="G239" s="62" t="s">
        <v>146</v>
      </c>
      <c r="H239" s="62" t="s">
        <v>11</v>
      </c>
      <c r="I239" s="62" t="s">
        <v>120</v>
      </c>
      <c r="J239" s="62"/>
      <c r="K239" s="64">
        <v>19.07</v>
      </c>
      <c r="L239" s="64">
        <f t="shared" si="45"/>
        <v>14.66923076923077</v>
      </c>
      <c r="M239" s="65">
        <f>prodnorm25</f>
        <v>0</v>
      </c>
      <c r="N239" s="66">
        <f>dagwerk25</f>
        <v>0</v>
      </c>
      <c r="O239" s="62" t="s">
        <v>36</v>
      </c>
      <c r="P239" s="67">
        <f>uurtarief25</f>
        <v>0</v>
      </c>
      <c r="Q239" s="64" t="e">
        <f t="shared" si="46"/>
        <v>#DIV/0!</v>
      </c>
      <c r="R239" s="64" t="e">
        <f t="shared" si="47"/>
        <v>#DIV/0!</v>
      </c>
      <c r="S239" s="67" t="e">
        <f t="shared" si="48"/>
        <v>#DIV/0!</v>
      </c>
      <c r="T239" s="64" t="e">
        <f t="shared" si="49"/>
        <v>#DIV/0!</v>
      </c>
      <c r="U239" s="68" t="e">
        <f t="shared" si="50"/>
        <v>#DIV/0!</v>
      </c>
    </row>
    <row r="240" spans="1:21" x14ac:dyDescent="0.2">
      <c r="A240" s="61" t="s">
        <v>336</v>
      </c>
      <c r="B240" s="62" t="s">
        <v>176</v>
      </c>
      <c r="C240" s="62" t="s">
        <v>254</v>
      </c>
      <c r="D240" s="62" t="s">
        <v>267</v>
      </c>
      <c r="E240" s="63" t="s">
        <v>379</v>
      </c>
      <c r="F240" s="62" t="s">
        <v>360</v>
      </c>
      <c r="G240" s="62" t="s">
        <v>146</v>
      </c>
      <c r="H240" s="62" t="s">
        <v>11</v>
      </c>
      <c r="I240" s="62" t="s">
        <v>120</v>
      </c>
      <c r="J240" s="62"/>
      <c r="K240" s="64">
        <v>23.07</v>
      </c>
      <c r="L240" s="64">
        <f t="shared" si="45"/>
        <v>17.746153846153849</v>
      </c>
      <c r="M240" s="65">
        <f>prodnorm25</f>
        <v>0</v>
      </c>
      <c r="N240" s="66">
        <f>dagwerk25</f>
        <v>0</v>
      </c>
      <c r="O240" s="62" t="s">
        <v>36</v>
      </c>
      <c r="P240" s="67">
        <f>uurtarief25</f>
        <v>0</v>
      </c>
      <c r="Q240" s="64" t="e">
        <f t="shared" si="46"/>
        <v>#DIV/0!</v>
      </c>
      <c r="R240" s="64" t="e">
        <f t="shared" si="47"/>
        <v>#DIV/0!</v>
      </c>
      <c r="S240" s="67" t="e">
        <f t="shared" si="48"/>
        <v>#DIV/0!</v>
      </c>
      <c r="T240" s="64" t="e">
        <f t="shared" si="49"/>
        <v>#DIV/0!</v>
      </c>
      <c r="U240" s="68" t="e">
        <f t="shared" si="50"/>
        <v>#DIV/0!</v>
      </c>
    </row>
    <row r="241" spans="1:21" x14ac:dyDescent="0.2">
      <c r="A241" s="61" t="s">
        <v>336</v>
      </c>
      <c r="B241" s="62" t="s">
        <v>176</v>
      </c>
      <c r="C241" s="62" t="s">
        <v>254</v>
      </c>
      <c r="D241" s="62" t="s">
        <v>268</v>
      </c>
      <c r="E241" s="63" t="s">
        <v>365</v>
      </c>
      <c r="F241" s="62" t="s">
        <v>190</v>
      </c>
      <c r="G241" s="62" t="s">
        <v>154</v>
      </c>
      <c r="H241" s="62" t="s">
        <v>11</v>
      </c>
      <c r="I241" s="62" t="s">
        <v>120</v>
      </c>
      <c r="J241" s="62"/>
      <c r="K241" s="64">
        <v>54.46</v>
      </c>
      <c r="L241" s="64">
        <f t="shared" si="45"/>
        <v>41.892307692307696</v>
      </c>
      <c r="M241" s="65">
        <f>prodnorm29</f>
        <v>0</v>
      </c>
      <c r="N241" s="66">
        <f>dagwerk29</f>
        <v>0</v>
      </c>
      <c r="O241" s="62" t="s">
        <v>36</v>
      </c>
      <c r="P241" s="67">
        <f>uurtarief29</f>
        <v>0</v>
      </c>
      <c r="Q241" s="64" t="e">
        <f t="shared" si="46"/>
        <v>#DIV/0!</v>
      </c>
      <c r="R241" s="64" t="e">
        <f t="shared" si="47"/>
        <v>#DIV/0!</v>
      </c>
      <c r="S241" s="67" t="e">
        <f t="shared" si="48"/>
        <v>#DIV/0!</v>
      </c>
      <c r="T241" s="64" t="e">
        <f t="shared" si="49"/>
        <v>#DIV/0!</v>
      </c>
      <c r="U241" s="68" t="e">
        <f t="shared" si="50"/>
        <v>#DIV/0!</v>
      </c>
    </row>
    <row r="242" spans="1:21" x14ac:dyDescent="0.2">
      <c r="A242" s="61" t="s">
        <v>336</v>
      </c>
      <c r="B242" s="62" t="s">
        <v>176</v>
      </c>
      <c r="C242" s="62" t="s">
        <v>254</v>
      </c>
      <c r="D242" s="62" t="s">
        <v>268</v>
      </c>
      <c r="E242" s="63" t="s">
        <v>365</v>
      </c>
      <c r="F242" s="62" t="s">
        <v>190</v>
      </c>
      <c r="G242" s="62" t="s">
        <v>158</v>
      </c>
      <c r="H242" s="62" t="s">
        <v>23</v>
      </c>
      <c r="I242" s="62" t="s">
        <v>120</v>
      </c>
      <c r="J242" s="62"/>
      <c r="K242" s="64">
        <v>54.46</v>
      </c>
      <c r="L242" s="64">
        <f t="shared" si="45"/>
        <v>0.20946153846153848</v>
      </c>
      <c r="M242" s="65">
        <f>prodnorm31</f>
        <v>0</v>
      </c>
      <c r="N242" s="66">
        <f>dagwerk31</f>
        <v>0</v>
      </c>
      <c r="O242" s="62" t="s">
        <v>36</v>
      </c>
      <c r="P242" s="67">
        <f>uurtarief31</f>
        <v>0</v>
      </c>
      <c r="Q242" s="64" t="e">
        <f t="shared" si="46"/>
        <v>#DIV/0!</v>
      </c>
      <c r="R242" s="64" t="e">
        <f t="shared" si="47"/>
        <v>#DIV/0!</v>
      </c>
      <c r="S242" s="67" t="e">
        <f t="shared" si="48"/>
        <v>#DIV/0!</v>
      </c>
      <c r="T242" s="64" t="e">
        <f t="shared" si="49"/>
        <v>#DIV/0!</v>
      </c>
      <c r="U242" s="68" t="e">
        <f t="shared" si="50"/>
        <v>#DIV/0!</v>
      </c>
    </row>
    <row r="243" spans="1:21" x14ac:dyDescent="0.2">
      <c r="A243" s="61" t="s">
        <v>336</v>
      </c>
      <c r="B243" s="62" t="s">
        <v>176</v>
      </c>
      <c r="C243" s="62" t="s">
        <v>254</v>
      </c>
      <c r="D243" s="62" t="s">
        <v>269</v>
      </c>
      <c r="E243" s="63" t="s">
        <v>218</v>
      </c>
      <c r="F243" s="62" t="s">
        <v>190</v>
      </c>
      <c r="G243" s="62" t="s">
        <v>132</v>
      </c>
      <c r="H243" s="62" t="s">
        <v>12</v>
      </c>
      <c r="I243" s="62" t="s">
        <v>120</v>
      </c>
      <c r="J243" s="62"/>
      <c r="K243" s="64">
        <v>69.069999999999993</v>
      </c>
      <c r="L243" s="64">
        <f t="shared" si="45"/>
        <v>42.504615384615384</v>
      </c>
      <c r="M243" s="65">
        <f>prodnorm17</f>
        <v>0</v>
      </c>
      <c r="N243" s="66">
        <f>dagwerk17</f>
        <v>0</v>
      </c>
      <c r="O243" s="62" t="s">
        <v>36</v>
      </c>
      <c r="P243" s="67">
        <f>uurtarief17</f>
        <v>0</v>
      </c>
      <c r="Q243" s="64" t="e">
        <f t="shared" si="46"/>
        <v>#DIV/0!</v>
      </c>
      <c r="R243" s="64" t="e">
        <f t="shared" si="47"/>
        <v>#DIV/0!</v>
      </c>
      <c r="S243" s="67" t="e">
        <f t="shared" si="48"/>
        <v>#DIV/0!</v>
      </c>
      <c r="T243" s="64" t="e">
        <f t="shared" si="49"/>
        <v>#DIV/0!</v>
      </c>
      <c r="U243" s="68" t="e">
        <f t="shared" si="50"/>
        <v>#DIV/0!</v>
      </c>
    </row>
    <row r="244" spans="1:21" x14ac:dyDescent="0.2">
      <c r="A244" s="61" t="s">
        <v>336</v>
      </c>
      <c r="B244" s="62" t="s">
        <v>176</v>
      </c>
      <c r="C244" s="62" t="s">
        <v>254</v>
      </c>
      <c r="D244" s="62" t="s">
        <v>270</v>
      </c>
      <c r="E244" s="63" t="s">
        <v>365</v>
      </c>
      <c r="F244" s="62" t="s">
        <v>190</v>
      </c>
      <c r="G244" s="62" t="s">
        <v>154</v>
      </c>
      <c r="H244" s="62" t="s">
        <v>11</v>
      </c>
      <c r="I244" s="62" t="s">
        <v>120</v>
      </c>
      <c r="J244" s="62"/>
      <c r="K244" s="64">
        <v>11.219999999999999</v>
      </c>
      <c r="L244" s="64">
        <f t="shared" si="45"/>
        <v>8.6307692307692303</v>
      </c>
      <c r="M244" s="65">
        <f>prodnorm29</f>
        <v>0</v>
      </c>
      <c r="N244" s="66">
        <f>dagwerk29</f>
        <v>0</v>
      </c>
      <c r="O244" s="62" t="s">
        <v>36</v>
      </c>
      <c r="P244" s="67">
        <f>uurtarief29</f>
        <v>0</v>
      </c>
      <c r="Q244" s="64" t="e">
        <f t="shared" si="46"/>
        <v>#DIV/0!</v>
      </c>
      <c r="R244" s="64" t="e">
        <f t="shared" si="47"/>
        <v>#DIV/0!</v>
      </c>
      <c r="S244" s="67" t="e">
        <f t="shared" si="48"/>
        <v>#DIV/0!</v>
      </c>
      <c r="T244" s="64" t="e">
        <f t="shared" si="49"/>
        <v>#DIV/0!</v>
      </c>
      <c r="U244" s="68" t="e">
        <f t="shared" si="50"/>
        <v>#DIV/0!</v>
      </c>
    </row>
    <row r="245" spans="1:21" x14ac:dyDescent="0.2">
      <c r="A245" s="61" t="s">
        <v>336</v>
      </c>
      <c r="B245" s="62" t="s">
        <v>176</v>
      </c>
      <c r="C245" s="62" t="s">
        <v>254</v>
      </c>
      <c r="D245" s="62" t="s">
        <v>270</v>
      </c>
      <c r="E245" s="63" t="s">
        <v>365</v>
      </c>
      <c r="F245" s="62" t="s">
        <v>190</v>
      </c>
      <c r="G245" s="62" t="s">
        <v>158</v>
      </c>
      <c r="H245" s="62" t="s">
        <v>23</v>
      </c>
      <c r="I245" s="62" t="s">
        <v>120</v>
      </c>
      <c r="J245" s="62"/>
      <c r="K245" s="64">
        <v>11.219999999999999</v>
      </c>
      <c r="L245" s="64">
        <f t="shared" si="45"/>
        <v>4.3153846153846154E-2</v>
      </c>
      <c r="M245" s="65">
        <f>prodnorm31</f>
        <v>0</v>
      </c>
      <c r="N245" s="66">
        <f>dagwerk31</f>
        <v>0</v>
      </c>
      <c r="O245" s="62" t="s">
        <v>36</v>
      </c>
      <c r="P245" s="67">
        <f>uurtarief31</f>
        <v>0</v>
      </c>
      <c r="Q245" s="64" t="e">
        <f t="shared" si="46"/>
        <v>#DIV/0!</v>
      </c>
      <c r="R245" s="64" t="e">
        <f t="shared" si="47"/>
        <v>#DIV/0!</v>
      </c>
      <c r="S245" s="67" t="e">
        <f t="shared" si="48"/>
        <v>#DIV/0!</v>
      </c>
      <c r="T245" s="64" t="e">
        <f t="shared" si="49"/>
        <v>#DIV/0!</v>
      </c>
      <c r="U245" s="68" t="e">
        <f t="shared" si="50"/>
        <v>#DIV/0!</v>
      </c>
    </row>
    <row r="246" spans="1:21" x14ac:dyDescent="0.2">
      <c r="A246" s="61" t="s">
        <v>336</v>
      </c>
      <c r="B246" s="62" t="s">
        <v>176</v>
      </c>
      <c r="C246" s="62" t="s">
        <v>254</v>
      </c>
      <c r="D246" s="62" t="s">
        <v>414</v>
      </c>
      <c r="E246" s="63" t="s">
        <v>365</v>
      </c>
      <c r="F246" s="62" t="s">
        <v>190</v>
      </c>
      <c r="G246" s="62" t="s">
        <v>154</v>
      </c>
      <c r="H246" s="62" t="s">
        <v>11</v>
      </c>
      <c r="I246" s="62" t="s">
        <v>120</v>
      </c>
      <c r="J246" s="62"/>
      <c r="K246" s="64">
        <v>15.360000000000001</v>
      </c>
      <c r="L246" s="64">
        <f t="shared" si="45"/>
        <v>11.815384615384618</v>
      </c>
      <c r="M246" s="65">
        <f>prodnorm29</f>
        <v>0</v>
      </c>
      <c r="N246" s="66">
        <f>dagwerk29</f>
        <v>0</v>
      </c>
      <c r="O246" s="62" t="s">
        <v>36</v>
      </c>
      <c r="P246" s="67">
        <f>uurtarief29</f>
        <v>0</v>
      </c>
      <c r="Q246" s="64" t="e">
        <f t="shared" si="46"/>
        <v>#DIV/0!</v>
      </c>
      <c r="R246" s="64" t="e">
        <f t="shared" si="47"/>
        <v>#DIV/0!</v>
      </c>
      <c r="S246" s="67" t="e">
        <f t="shared" si="48"/>
        <v>#DIV/0!</v>
      </c>
      <c r="T246" s="64" t="e">
        <f t="shared" si="49"/>
        <v>#DIV/0!</v>
      </c>
      <c r="U246" s="68" t="e">
        <f t="shared" si="50"/>
        <v>#DIV/0!</v>
      </c>
    </row>
    <row r="247" spans="1:21" x14ac:dyDescent="0.2">
      <c r="A247" s="61" t="s">
        <v>336</v>
      </c>
      <c r="B247" s="62" t="s">
        <v>176</v>
      </c>
      <c r="C247" s="62" t="s">
        <v>254</v>
      </c>
      <c r="D247" s="62" t="s">
        <v>414</v>
      </c>
      <c r="E247" s="63" t="s">
        <v>365</v>
      </c>
      <c r="F247" s="62" t="s">
        <v>190</v>
      </c>
      <c r="G247" s="62" t="s">
        <v>158</v>
      </c>
      <c r="H247" s="62" t="s">
        <v>23</v>
      </c>
      <c r="I247" s="62" t="s">
        <v>120</v>
      </c>
      <c r="J247" s="62"/>
      <c r="K247" s="64">
        <v>15.360000000000001</v>
      </c>
      <c r="L247" s="64">
        <f t="shared" si="45"/>
        <v>5.9076923076923082E-2</v>
      </c>
      <c r="M247" s="65">
        <f>prodnorm31</f>
        <v>0</v>
      </c>
      <c r="N247" s="66">
        <f>dagwerk31</f>
        <v>0</v>
      </c>
      <c r="O247" s="62" t="s">
        <v>36</v>
      </c>
      <c r="P247" s="67">
        <f>uurtarief31</f>
        <v>0</v>
      </c>
      <c r="Q247" s="64" t="e">
        <f t="shared" si="46"/>
        <v>#DIV/0!</v>
      </c>
      <c r="R247" s="64" t="e">
        <f t="shared" si="47"/>
        <v>#DIV/0!</v>
      </c>
      <c r="S247" s="67" t="e">
        <f t="shared" si="48"/>
        <v>#DIV/0!</v>
      </c>
      <c r="T247" s="64" t="e">
        <f t="shared" si="49"/>
        <v>#DIV/0!</v>
      </c>
      <c r="U247" s="68" t="e">
        <f t="shared" si="50"/>
        <v>#DIV/0!</v>
      </c>
    </row>
    <row r="248" spans="1:21" x14ac:dyDescent="0.2">
      <c r="A248" s="61" t="s">
        <v>336</v>
      </c>
      <c r="B248" s="62" t="s">
        <v>176</v>
      </c>
      <c r="C248" s="62" t="s">
        <v>254</v>
      </c>
      <c r="D248" s="62" t="s">
        <v>415</v>
      </c>
      <c r="E248" s="63" t="s">
        <v>416</v>
      </c>
      <c r="F248" s="62" t="s">
        <v>190</v>
      </c>
      <c r="G248" s="62" t="s">
        <v>154</v>
      </c>
      <c r="H248" s="62" t="s">
        <v>11</v>
      </c>
      <c r="I248" s="62" t="s">
        <v>120</v>
      </c>
      <c r="J248" s="62"/>
      <c r="K248" s="64">
        <v>7.7</v>
      </c>
      <c r="L248" s="64">
        <f t="shared" si="45"/>
        <v>5.9230769230769234</v>
      </c>
      <c r="M248" s="65">
        <f>prodnorm29</f>
        <v>0</v>
      </c>
      <c r="N248" s="66">
        <f>dagwerk29</f>
        <v>0</v>
      </c>
      <c r="O248" s="62" t="s">
        <v>36</v>
      </c>
      <c r="P248" s="67">
        <f>uurtarief29</f>
        <v>0</v>
      </c>
      <c r="Q248" s="64" t="e">
        <f t="shared" si="46"/>
        <v>#DIV/0!</v>
      </c>
      <c r="R248" s="64" t="e">
        <f t="shared" si="47"/>
        <v>#DIV/0!</v>
      </c>
      <c r="S248" s="67" t="e">
        <f t="shared" si="48"/>
        <v>#DIV/0!</v>
      </c>
      <c r="T248" s="64" t="e">
        <f t="shared" si="49"/>
        <v>#DIV/0!</v>
      </c>
      <c r="U248" s="68" t="e">
        <f t="shared" si="50"/>
        <v>#DIV/0!</v>
      </c>
    </row>
    <row r="249" spans="1:21" x14ac:dyDescent="0.2">
      <c r="A249" s="61" t="s">
        <v>336</v>
      </c>
      <c r="B249" s="62" t="s">
        <v>176</v>
      </c>
      <c r="C249" s="62" t="s">
        <v>254</v>
      </c>
      <c r="D249" s="62" t="s">
        <v>415</v>
      </c>
      <c r="E249" s="63" t="s">
        <v>416</v>
      </c>
      <c r="F249" s="62" t="s">
        <v>190</v>
      </c>
      <c r="G249" s="62" t="s">
        <v>158</v>
      </c>
      <c r="H249" s="62" t="s">
        <v>23</v>
      </c>
      <c r="I249" s="62" t="s">
        <v>120</v>
      </c>
      <c r="J249" s="62"/>
      <c r="K249" s="64">
        <v>7.7</v>
      </c>
      <c r="L249" s="64">
        <f t="shared" si="45"/>
        <v>2.9615384615384616E-2</v>
      </c>
      <c r="M249" s="65">
        <f>prodnorm31</f>
        <v>0</v>
      </c>
      <c r="N249" s="66">
        <f>dagwerk31</f>
        <v>0</v>
      </c>
      <c r="O249" s="62" t="s">
        <v>36</v>
      </c>
      <c r="P249" s="67">
        <f>uurtarief31</f>
        <v>0</v>
      </c>
      <c r="Q249" s="64" t="e">
        <f t="shared" si="46"/>
        <v>#DIV/0!</v>
      </c>
      <c r="R249" s="64" t="e">
        <f t="shared" si="47"/>
        <v>#DIV/0!</v>
      </c>
      <c r="S249" s="67" t="e">
        <f t="shared" si="48"/>
        <v>#DIV/0!</v>
      </c>
      <c r="T249" s="64" t="e">
        <f t="shared" si="49"/>
        <v>#DIV/0!</v>
      </c>
      <c r="U249" s="68" t="e">
        <f t="shared" si="50"/>
        <v>#DIV/0!</v>
      </c>
    </row>
    <row r="250" spans="1:21" x14ac:dyDescent="0.2">
      <c r="A250" s="61" t="s">
        <v>336</v>
      </c>
      <c r="B250" s="62" t="s">
        <v>176</v>
      </c>
      <c r="C250" s="62" t="s">
        <v>254</v>
      </c>
      <c r="D250" s="62" t="s">
        <v>272</v>
      </c>
      <c r="E250" s="63" t="s">
        <v>365</v>
      </c>
      <c r="F250" s="62" t="s">
        <v>190</v>
      </c>
      <c r="G250" s="62" t="s">
        <v>154</v>
      </c>
      <c r="H250" s="62" t="s">
        <v>11</v>
      </c>
      <c r="I250" s="62" t="s">
        <v>120</v>
      </c>
      <c r="J250" s="62"/>
      <c r="K250" s="64">
        <v>37.620000000000005</v>
      </c>
      <c r="L250" s="64">
        <f t="shared" si="45"/>
        <v>28.938461538461542</v>
      </c>
      <c r="M250" s="65">
        <f>prodnorm29</f>
        <v>0</v>
      </c>
      <c r="N250" s="66">
        <f>dagwerk29</f>
        <v>0</v>
      </c>
      <c r="O250" s="62" t="s">
        <v>36</v>
      </c>
      <c r="P250" s="67">
        <f>uurtarief29</f>
        <v>0</v>
      </c>
      <c r="Q250" s="64" t="e">
        <f t="shared" si="46"/>
        <v>#DIV/0!</v>
      </c>
      <c r="R250" s="64" t="e">
        <f t="shared" si="47"/>
        <v>#DIV/0!</v>
      </c>
      <c r="S250" s="67" t="e">
        <f t="shared" si="48"/>
        <v>#DIV/0!</v>
      </c>
      <c r="T250" s="64" t="e">
        <f t="shared" si="49"/>
        <v>#DIV/0!</v>
      </c>
      <c r="U250" s="68" t="e">
        <f t="shared" si="50"/>
        <v>#DIV/0!</v>
      </c>
    </row>
    <row r="251" spans="1:21" x14ac:dyDescent="0.2">
      <c r="A251" s="61" t="s">
        <v>336</v>
      </c>
      <c r="B251" s="62" t="s">
        <v>176</v>
      </c>
      <c r="C251" s="62" t="s">
        <v>254</v>
      </c>
      <c r="D251" s="62" t="s">
        <v>272</v>
      </c>
      <c r="E251" s="63" t="s">
        <v>365</v>
      </c>
      <c r="F251" s="62" t="s">
        <v>190</v>
      </c>
      <c r="G251" s="62" t="s">
        <v>158</v>
      </c>
      <c r="H251" s="62" t="s">
        <v>23</v>
      </c>
      <c r="I251" s="62" t="s">
        <v>120</v>
      </c>
      <c r="J251" s="62"/>
      <c r="K251" s="64">
        <v>37.620000000000005</v>
      </c>
      <c r="L251" s="64">
        <f t="shared" si="45"/>
        <v>0.14469230769230773</v>
      </c>
      <c r="M251" s="65">
        <f>prodnorm31</f>
        <v>0</v>
      </c>
      <c r="N251" s="66">
        <f>dagwerk31</f>
        <v>0</v>
      </c>
      <c r="O251" s="62" t="s">
        <v>36</v>
      </c>
      <c r="P251" s="67">
        <f>uurtarief31</f>
        <v>0</v>
      </c>
      <c r="Q251" s="64" t="e">
        <f t="shared" si="46"/>
        <v>#DIV/0!</v>
      </c>
      <c r="R251" s="64" t="e">
        <f t="shared" si="47"/>
        <v>#DIV/0!</v>
      </c>
      <c r="S251" s="67" t="e">
        <f t="shared" si="48"/>
        <v>#DIV/0!</v>
      </c>
      <c r="T251" s="64" t="e">
        <f t="shared" si="49"/>
        <v>#DIV/0!</v>
      </c>
      <c r="U251" s="68" t="e">
        <f t="shared" si="50"/>
        <v>#DIV/0!</v>
      </c>
    </row>
    <row r="252" spans="1:21" x14ac:dyDescent="0.2">
      <c r="A252" s="61" t="s">
        <v>336</v>
      </c>
      <c r="B252" s="62" t="s">
        <v>176</v>
      </c>
      <c r="C252" s="62" t="s">
        <v>254</v>
      </c>
      <c r="D252" s="62" t="s">
        <v>273</v>
      </c>
      <c r="E252" s="63" t="s">
        <v>417</v>
      </c>
      <c r="F252" s="62" t="s">
        <v>190</v>
      </c>
      <c r="G252" s="62" t="s">
        <v>142</v>
      </c>
      <c r="H252" s="62" t="s">
        <v>11</v>
      </c>
      <c r="I252" s="62" t="s">
        <v>120</v>
      </c>
      <c r="J252" s="62"/>
      <c r="K252" s="64">
        <v>82.33</v>
      </c>
      <c r="L252" s="64">
        <f t="shared" si="45"/>
        <v>63.330769230769235</v>
      </c>
      <c r="M252" s="65">
        <f>prodnorm23</f>
        <v>0</v>
      </c>
      <c r="N252" s="66">
        <f>dagwerk23</f>
        <v>0</v>
      </c>
      <c r="O252" s="62" t="s">
        <v>36</v>
      </c>
      <c r="P252" s="67">
        <f>uurtarief23</f>
        <v>0</v>
      </c>
      <c r="Q252" s="64" t="e">
        <f t="shared" si="46"/>
        <v>#DIV/0!</v>
      </c>
      <c r="R252" s="64" t="e">
        <f t="shared" si="47"/>
        <v>#DIV/0!</v>
      </c>
      <c r="S252" s="67" t="e">
        <f t="shared" si="48"/>
        <v>#DIV/0!</v>
      </c>
      <c r="T252" s="64" t="e">
        <f t="shared" si="49"/>
        <v>#DIV/0!</v>
      </c>
      <c r="U252" s="68" t="e">
        <f t="shared" si="50"/>
        <v>#DIV/0!</v>
      </c>
    </row>
    <row r="253" spans="1:21" x14ac:dyDescent="0.2">
      <c r="A253" s="61" t="s">
        <v>336</v>
      </c>
      <c r="B253" s="62" t="s">
        <v>176</v>
      </c>
      <c r="C253" s="62" t="s">
        <v>254</v>
      </c>
      <c r="D253" s="62" t="s">
        <v>274</v>
      </c>
      <c r="E253" s="63" t="s">
        <v>418</v>
      </c>
      <c r="F253" s="62" t="s">
        <v>180</v>
      </c>
      <c r="G253" s="62" t="s">
        <v>142</v>
      </c>
      <c r="H253" s="62" t="s">
        <v>11</v>
      </c>
      <c r="I253" s="62" t="s">
        <v>120</v>
      </c>
      <c r="J253" s="62"/>
      <c r="K253" s="64">
        <v>103.52</v>
      </c>
      <c r="L253" s="64">
        <f t="shared" si="45"/>
        <v>79.630769230769232</v>
      </c>
      <c r="M253" s="65">
        <f>prodnorm23</f>
        <v>0</v>
      </c>
      <c r="N253" s="66">
        <f>dagwerk23</f>
        <v>0</v>
      </c>
      <c r="O253" s="62" t="s">
        <v>36</v>
      </c>
      <c r="P253" s="67">
        <f>uurtarief23</f>
        <v>0</v>
      </c>
      <c r="Q253" s="64" t="e">
        <f t="shared" si="46"/>
        <v>#DIV/0!</v>
      </c>
      <c r="R253" s="64" t="e">
        <f t="shared" si="47"/>
        <v>#DIV/0!</v>
      </c>
      <c r="S253" s="67" t="e">
        <f t="shared" si="48"/>
        <v>#DIV/0!</v>
      </c>
      <c r="T253" s="64" t="e">
        <f t="shared" si="49"/>
        <v>#DIV/0!</v>
      </c>
      <c r="U253" s="68" t="e">
        <f t="shared" si="50"/>
        <v>#DIV/0!</v>
      </c>
    </row>
    <row r="254" spans="1:21" x14ac:dyDescent="0.2">
      <c r="A254" s="61" t="s">
        <v>336</v>
      </c>
      <c r="B254" s="62" t="s">
        <v>176</v>
      </c>
      <c r="C254" s="62" t="s">
        <v>254</v>
      </c>
      <c r="D254" s="62" t="s">
        <v>419</v>
      </c>
      <c r="E254" s="63" t="s">
        <v>218</v>
      </c>
      <c r="F254" s="62" t="s">
        <v>190</v>
      </c>
      <c r="G254" s="62" t="s">
        <v>132</v>
      </c>
      <c r="H254" s="62" t="s">
        <v>12</v>
      </c>
      <c r="I254" s="62" t="s">
        <v>120</v>
      </c>
      <c r="J254" s="62"/>
      <c r="K254" s="64">
        <v>52.18</v>
      </c>
      <c r="L254" s="64">
        <f t="shared" si="45"/>
        <v>32.110769230769229</v>
      </c>
      <c r="M254" s="65">
        <f>prodnorm17</f>
        <v>0</v>
      </c>
      <c r="N254" s="66">
        <f>dagwerk17</f>
        <v>0</v>
      </c>
      <c r="O254" s="62" t="s">
        <v>36</v>
      </c>
      <c r="P254" s="67">
        <f>uurtarief17</f>
        <v>0</v>
      </c>
      <c r="Q254" s="64" t="e">
        <f t="shared" si="46"/>
        <v>#DIV/0!</v>
      </c>
      <c r="R254" s="64" t="e">
        <f t="shared" si="47"/>
        <v>#DIV/0!</v>
      </c>
      <c r="S254" s="67" t="e">
        <f t="shared" si="48"/>
        <v>#DIV/0!</v>
      </c>
      <c r="T254" s="64" t="e">
        <f t="shared" si="49"/>
        <v>#DIV/0!</v>
      </c>
      <c r="U254" s="68" t="e">
        <f t="shared" si="50"/>
        <v>#DIV/0!</v>
      </c>
    </row>
    <row r="255" spans="1:21" x14ac:dyDescent="0.2">
      <c r="A255" s="61" t="s">
        <v>336</v>
      </c>
      <c r="B255" s="62" t="s">
        <v>176</v>
      </c>
      <c r="C255" s="62" t="s">
        <v>254</v>
      </c>
      <c r="D255" s="62" t="s">
        <v>280</v>
      </c>
      <c r="E255" s="63" t="s">
        <v>218</v>
      </c>
      <c r="F255" s="62" t="s">
        <v>190</v>
      </c>
      <c r="G255" s="62" t="s">
        <v>132</v>
      </c>
      <c r="H255" s="62" t="s">
        <v>12</v>
      </c>
      <c r="I255" s="62" t="s">
        <v>120</v>
      </c>
      <c r="J255" s="62"/>
      <c r="K255" s="64">
        <v>52.18</v>
      </c>
      <c r="L255" s="64">
        <f t="shared" ref="L255:L286" si="54">K255*VLOOKUP(H255,dagsoorttabel1,2,FALSE)</f>
        <v>32.110769230769229</v>
      </c>
      <c r="M255" s="65">
        <f>prodnorm17</f>
        <v>0</v>
      </c>
      <c r="N255" s="66">
        <f>dagwerk17</f>
        <v>0</v>
      </c>
      <c r="O255" s="62" t="s">
        <v>36</v>
      </c>
      <c r="P255" s="67">
        <f>uurtarief17</f>
        <v>0</v>
      </c>
      <c r="Q255" s="64" t="e">
        <f t="shared" ref="Q255:Q267" si="55">IF(ISBLANK(M255),0,L255/ROUND(M255,4))</f>
        <v>#DIV/0!</v>
      </c>
      <c r="R255" s="64" t="e">
        <f t="shared" ref="R255:R286" si="56">IF(ISBLANK(M255),0,Q255*ROUND(N255,2))</f>
        <v>#DIV/0!</v>
      </c>
      <c r="S255" s="67" t="e">
        <f t="shared" ref="S255:S267" si="57">ROUND(P255,2)*Q255</f>
        <v>#DIV/0!</v>
      </c>
      <c r="T255" s="64" t="e">
        <f t="shared" ref="T255:T267" si="58">Q255*dagenperjaar1</f>
        <v>#DIV/0!</v>
      </c>
      <c r="U255" s="68" t="e">
        <f t="shared" ref="U255:U286" si="59">T255*ROUND(P255,2)</f>
        <v>#DIV/0!</v>
      </c>
    </row>
    <row r="256" spans="1:21" x14ac:dyDescent="0.2">
      <c r="A256" s="61" t="s">
        <v>336</v>
      </c>
      <c r="B256" s="62" t="s">
        <v>176</v>
      </c>
      <c r="C256" s="62" t="s">
        <v>254</v>
      </c>
      <c r="D256" s="62" t="s">
        <v>281</v>
      </c>
      <c r="E256" s="63" t="s">
        <v>218</v>
      </c>
      <c r="F256" s="62" t="s">
        <v>190</v>
      </c>
      <c r="G256" s="62" t="s">
        <v>132</v>
      </c>
      <c r="H256" s="62" t="s">
        <v>12</v>
      </c>
      <c r="I256" s="62" t="s">
        <v>120</v>
      </c>
      <c r="J256" s="62"/>
      <c r="K256" s="64">
        <v>52.18</v>
      </c>
      <c r="L256" s="64">
        <f t="shared" si="54"/>
        <v>32.110769230769229</v>
      </c>
      <c r="M256" s="65">
        <f>prodnorm17</f>
        <v>0</v>
      </c>
      <c r="N256" s="66">
        <f>dagwerk17</f>
        <v>0</v>
      </c>
      <c r="O256" s="62" t="s">
        <v>36</v>
      </c>
      <c r="P256" s="67">
        <f>uurtarief17</f>
        <v>0</v>
      </c>
      <c r="Q256" s="64" t="e">
        <f t="shared" si="55"/>
        <v>#DIV/0!</v>
      </c>
      <c r="R256" s="64" t="e">
        <f t="shared" si="56"/>
        <v>#DIV/0!</v>
      </c>
      <c r="S256" s="67" t="e">
        <f t="shared" si="57"/>
        <v>#DIV/0!</v>
      </c>
      <c r="T256" s="64" t="e">
        <f t="shared" si="58"/>
        <v>#DIV/0!</v>
      </c>
      <c r="U256" s="68" t="e">
        <f t="shared" si="59"/>
        <v>#DIV/0!</v>
      </c>
    </row>
    <row r="257" spans="1:21" x14ac:dyDescent="0.2">
      <c r="A257" s="61" t="s">
        <v>336</v>
      </c>
      <c r="B257" s="62" t="s">
        <v>176</v>
      </c>
      <c r="C257" s="62" t="s">
        <v>254</v>
      </c>
      <c r="D257" s="62" t="s">
        <v>282</v>
      </c>
      <c r="E257" s="63" t="s">
        <v>218</v>
      </c>
      <c r="F257" s="62" t="s">
        <v>190</v>
      </c>
      <c r="G257" s="62" t="s">
        <v>132</v>
      </c>
      <c r="H257" s="62" t="s">
        <v>12</v>
      </c>
      <c r="I257" s="62" t="s">
        <v>120</v>
      </c>
      <c r="J257" s="62"/>
      <c r="K257" s="64">
        <v>52.18</v>
      </c>
      <c r="L257" s="64">
        <f t="shared" si="54"/>
        <v>32.110769230769229</v>
      </c>
      <c r="M257" s="65">
        <f>prodnorm17</f>
        <v>0</v>
      </c>
      <c r="N257" s="66">
        <f>dagwerk17</f>
        <v>0</v>
      </c>
      <c r="O257" s="62" t="s">
        <v>36</v>
      </c>
      <c r="P257" s="67">
        <f>uurtarief17</f>
        <v>0</v>
      </c>
      <c r="Q257" s="64" t="e">
        <f t="shared" si="55"/>
        <v>#DIV/0!</v>
      </c>
      <c r="R257" s="64" t="e">
        <f t="shared" si="56"/>
        <v>#DIV/0!</v>
      </c>
      <c r="S257" s="67" t="e">
        <f t="shared" si="57"/>
        <v>#DIV/0!</v>
      </c>
      <c r="T257" s="64" t="e">
        <f t="shared" si="58"/>
        <v>#DIV/0!</v>
      </c>
      <c r="U257" s="68" t="e">
        <f t="shared" si="59"/>
        <v>#DIV/0!</v>
      </c>
    </row>
    <row r="258" spans="1:21" x14ac:dyDescent="0.2">
      <c r="A258" s="61" t="s">
        <v>336</v>
      </c>
      <c r="B258" s="62" t="s">
        <v>176</v>
      </c>
      <c r="C258" s="62" t="s">
        <v>254</v>
      </c>
      <c r="D258" s="62" t="s">
        <v>283</v>
      </c>
      <c r="E258" s="63" t="s">
        <v>218</v>
      </c>
      <c r="F258" s="62" t="s">
        <v>190</v>
      </c>
      <c r="G258" s="62" t="s">
        <v>132</v>
      </c>
      <c r="H258" s="62" t="s">
        <v>12</v>
      </c>
      <c r="I258" s="62" t="s">
        <v>120</v>
      </c>
      <c r="J258" s="62"/>
      <c r="K258" s="64">
        <v>52.18</v>
      </c>
      <c r="L258" s="64">
        <f t="shared" si="54"/>
        <v>32.110769230769229</v>
      </c>
      <c r="M258" s="65">
        <f>prodnorm17</f>
        <v>0</v>
      </c>
      <c r="N258" s="66">
        <f>dagwerk17</f>
        <v>0</v>
      </c>
      <c r="O258" s="62" t="s">
        <v>36</v>
      </c>
      <c r="P258" s="67">
        <f>uurtarief17</f>
        <v>0</v>
      </c>
      <c r="Q258" s="64" t="e">
        <f t="shared" si="55"/>
        <v>#DIV/0!</v>
      </c>
      <c r="R258" s="64" t="e">
        <f t="shared" si="56"/>
        <v>#DIV/0!</v>
      </c>
      <c r="S258" s="67" t="e">
        <f t="shared" si="57"/>
        <v>#DIV/0!</v>
      </c>
      <c r="T258" s="64" t="e">
        <f t="shared" si="58"/>
        <v>#DIV/0!</v>
      </c>
      <c r="U258" s="68" t="e">
        <f t="shared" si="59"/>
        <v>#DIV/0!</v>
      </c>
    </row>
    <row r="259" spans="1:21" x14ac:dyDescent="0.2">
      <c r="A259" s="61" t="s">
        <v>336</v>
      </c>
      <c r="B259" s="62" t="s">
        <v>176</v>
      </c>
      <c r="C259" s="62" t="s">
        <v>254</v>
      </c>
      <c r="D259" s="62" t="s">
        <v>284</v>
      </c>
      <c r="E259" s="63" t="s">
        <v>365</v>
      </c>
      <c r="F259" s="62" t="s">
        <v>190</v>
      </c>
      <c r="G259" s="62" t="s">
        <v>154</v>
      </c>
      <c r="H259" s="62" t="s">
        <v>11</v>
      </c>
      <c r="I259" s="62" t="s">
        <v>120</v>
      </c>
      <c r="J259" s="62"/>
      <c r="K259" s="64">
        <v>36.720000000000006</v>
      </c>
      <c r="L259" s="64">
        <f t="shared" si="54"/>
        <v>28.246153846153852</v>
      </c>
      <c r="M259" s="65">
        <f>prodnorm29</f>
        <v>0</v>
      </c>
      <c r="N259" s="66">
        <f>dagwerk29</f>
        <v>0</v>
      </c>
      <c r="O259" s="62" t="s">
        <v>36</v>
      </c>
      <c r="P259" s="67">
        <f>uurtarief29</f>
        <v>0</v>
      </c>
      <c r="Q259" s="64" t="e">
        <f t="shared" si="55"/>
        <v>#DIV/0!</v>
      </c>
      <c r="R259" s="64" t="e">
        <f t="shared" si="56"/>
        <v>#DIV/0!</v>
      </c>
      <c r="S259" s="67" t="e">
        <f t="shared" si="57"/>
        <v>#DIV/0!</v>
      </c>
      <c r="T259" s="64" t="e">
        <f t="shared" si="58"/>
        <v>#DIV/0!</v>
      </c>
      <c r="U259" s="68" t="e">
        <f t="shared" si="59"/>
        <v>#DIV/0!</v>
      </c>
    </row>
    <row r="260" spans="1:21" x14ac:dyDescent="0.2">
      <c r="A260" s="61" t="s">
        <v>336</v>
      </c>
      <c r="B260" s="62" t="s">
        <v>176</v>
      </c>
      <c r="C260" s="62" t="s">
        <v>254</v>
      </c>
      <c r="D260" s="62" t="s">
        <v>284</v>
      </c>
      <c r="E260" s="63" t="s">
        <v>365</v>
      </c>
      <c r="F260" s="62" t="s">
        <v>190</v>
      </c>
      <c r="G260" s="62" t="s">
        <v>158</v>
      </c>
      <c r="H260" s="62" t="s">
        <v>23</v>
      </c>
      <c r="I260" s="62" t="s">
        <v>120</v>
      </c>
      <c r="J260" s="62"/>
      <c r="K260" s="64">
        <v>36.720000000000006</v>
      </c>
      <c r="L260" s="64">
        <f t="shared" si="54"/>
        <v>0.14123076923076927</v>
      </c>
      <c r="M260" s="65">
        <f>prodnorm31</f>
        <v>0</v>
      </c>
      <c r="N260" s="66">
        <f>dagwerk31</f>
        <v>0</v>
      </c>
      <c r="O260" s="62" t="s">
        <v>36</v>
      </c>
      <c r="P260" s="67">
        <f>uurtarief31</f>
        <v>0</v>
      </c>
      <c r="Q260" s="64" t="e">
        <f t="shared" si="55"/>
        <v>#DIV/0!</v>
      </c>
      <c r="R260" s="64" t="e">
        <f t="shared" si="56"/>
        <v>#DIV/0!</v>
      </c>
      <c r="S260" s="67" t="e">
        <f t="shared" si="57"/>
        <v>#DIV/0!</v>
      </c>
      <c r="T260" s="64" t="e">
        <f t="shared" si="58"/>
        <v>#DIV/0!</v>
      </c>
      <c r="U260" s="68" t="e">
        <f t="shared" si="59"/>
        <v>#DIV/0!</v>
      </c>
    </row>
    <row r="261" spans="1:21" x14ac:dyDescent="0.2">
      <c r="A261" s="61" t="s">
        <v>336</v>
      </c>
      <c r="B261" s="62" t="s">
        <v>176</v>
      </c>
      <c r="C261" s="62" t="s">
        <v>254</v>
      </c>
      <c r="D261" s="62" t="s">
        <v>420</v>
      </c>
      <c r="E261" s="63" t="s">
        <v>218</v>
      </c>
      <c r="F261" s="62" t="s">
        <v>190</v>
      </c>
      <c r="G261" s="62" t="s">
        <v>132</v>
      </c>
      <c r="H261" s="62" t="s">
        <v>12</v>
      </c>
      <c r="I261" s="62" t="s">
        <v>120</v>
      </c>
      <c r="J261" s="62"/>
      <c r="K261" s="64">
        <v>52.18</v>
      </c>
      <c r="L261" s="64">
        <f t="shared" si="54"/>
        <v>32.110769230769229</v>
      </c>
      <c r="M261" s="65">
        <f>prodnorm17</f>
        <v>0</v>
      </c>
      <c r="N261" s="66">
        <f>dagwerk17</f>
        <v>0</v>
      </c>
      <c r="O261" s="62" t="s">
        <v>36</v>
      </c>
      <c r="P261" s="67">
        <f>uurtarief17</f>
        <v>0</v>
      </c>
      <c r="Q261" s="64" t="e">
        <f t="shared" si="55"/>
        <v>#DIV/0!</v>
      </c>
      <c r="R261" s="64" t="e">
        <f t="shared" si="56"/>
        <v>#DIV/0!</v>
      </c>
      <c r="S261" s="67" t="e">
        <f t="shared" si="57"/>
        <v>#DIV/0!</v>
      </c>
      <c r="T261" s="64" t="e">
        <f t="shared" si="58"/>
        <v>#DIV/0!</v>
      </c>
      <c r="U261" s="68" t="e">
        <f t="shared" si="59"/>
        <v>#DIV/0!</v>
      </c>
    </row>
    <row r="262" spans="1:21" x14ac:dyDescent="0.2">
      <c r="A262" s="61" t="s">
        <v>336</v>
      </c>
      <c r="B262" s="62" t="s">
        <v>176</v>
      </c>
      <c r="C262" s="62" t="s">
        <v>254</v>
      </c>
      <c r="D262" s="62" t="s">
        <v>285</v>
      </c>
      <c r="E262" s="63" t="s">
        <v>365</v>
      </c>
      <c r="F262" s="62" t="s">
        <v>190</v>
      </c>
      <c r="G262" s="62" t="s">
        <v>154</v>
      </c>
      <c r="H262" s="62" t="s">
        <v>11</v>
      </c>
      <c r="I262" s="62" t="s">
        <v>120</v>
      </c>
      <c r="J262" s="62"/>
      <c r="K262" s="64">
        <v>72.11999999999999</v>
      </c>
      <c r="L262" s="64">
        <f t="shared" si="54"/>
        <v>55.476923076923072</v>
      </c>
      <c r="M262" s="65">
        <f>prodnorm29</f>
        <v>0</v>
      </c>
      <c r="N262" s="66">
        <f>dagwerk29</f>
        <v>0</v>
      </c>
      <c r="O262" s="62" t="s">
        <v>36</v>
      </c>
      <c r="P262" s="67">
        <f>uurtarief29</f>
        <v>0</v>
      </c>
      <c r="Q262" s="64" t="e">
        <f t="shared" si="55"/>
        <v>#DIV/0!</v>
      </c>
      <c r="R262" s="64" t="e">
        <f t="shared" si="56"/>
        <v>#DIV/0!</v>
      </c>
      <c r="S262" s="67" t="e">
        <f t="shared" si="57"/>
        <v>#DIV/0!</v>
      </c>
      <c r="T262" s="64" t="e">
        <f t="shared" si="58"/>
        <v>#DIV/0!</v>
      </c>
      <c r="U262" s="68" t="e">
        <f t="shared" si="59"/>
        <v>#DIV/0!</v>
      </c>
    </row>
    <row r="263" spans="1:21" x14ac:dyDescent="0.2">
      <c r="A263" s="61" t="s">
        <v>336</v>
      </c>
      <c r="B263" s="62" t="s">
        <v>176</v>
      </c>
      <c r="C263" s="62" t="s">
        <v>254</v>
      </c>
      <c r="D263" s="62" t="s">
        <v>285</v>
      </c>
      <c r="E263" s="63" t="s">
        <v>365</v>
      </c>
      <c r="F263" s="62" t="s">
        <v>190</v>
      </c>
      <c r="G263" s="62" t="s">
        <v>158</v>
      </c>
      <c r="H263" s="62" t="s">
        <v>23</v>
      </c>
      <c r="I263" s="62" t="s">
        <v>120</v>
      </c>
      <c r="J263" s="62"/>
      <c r="K263" s="64">
        <v>72.11999999999999</v>
      </c>
      <c r="L263" s="64">
        <f t="shared" si="54"/>
        <v>0.27738461538461534</v>
      </c>
      <c r="M263" s="65">
        <f>prodnorm31</f>
        <v>0</v>
      </c>
      <c r="N263" s="66">
        <f>dagwerk31</f>
        <v>0</v>
      </c>
      <c r="O263" s="62" t="s">
        <v>36</v>
      </c>
      <c r="P263" s="67">
        <f>uurtarief31</f>
        <v>0</v>
      </c>
      <c r="Q263" s="64" t="e">
        <f t="shared" si="55"/>
        <v>#DIV/0!</v>
      </c>
      <c r="R263" s="64" t="e">
        <f t="shared" si="56"/>
        <v>#DIV/0!</v>
      </c>
      <c r="S263" s="67" t="e">
        <f t="shared" si="57"/>
        <v>#DIV/0!</v>
      </c>
      <c r="T263" s="64" t="e">
        <f t="shared" si="58"/>
        <v>#DIV/0!</v>
      </c>
      <c r="U263" s="68" t="e">
        <f t="shared" si="59"/>
        <v>#DIV/0!</v>
      </c>
    </row>
    <row r="264" spans="1:21" x14ac:dyDescent="0.2">
      <c r="A264" s="61" t="s">
        <v>336</v>
      </c>
      <c r="B264" s="62" t="s">
        <v>176</v>
      </c>
      <c r="C264" s="62" t="s">
        <v>254</v>
      </c>
      <c r="D264" s="62" t="s">
        <v>286</v>
      </c>
      <c r="E264" s="63" t="s">
        <v>218</v>
      </c>
      <c r="F264" s="62" t="s">
        <v>190</v>
      </c>
      <c r="G264" s="62" t="s">
        <v>132</v>
      </c>
      <c r="H264" s="62" t="s">
        <v>12</v>
      </c>
      <c r="I264" s="62" t="s">
        <v>120</v>
      </c>
      <c r="J264" s="62"/>
      <c r="K264" s="64">
        <v>58.24</v>
      </c>
      <c r="L264" s="64">
        <f t="shared" si="54"/>
        <v>35.840000000000003</v>
      </c>
      <c r="M264" s="65">
        <f>prodnorm17</f>
        <v>0</v>
      </c>
      <c r="N264" s="66">
        <f>dagwerk17</f>
        <v>0</v>
      </c>
      <c r="O264" s="62" t="s">
        <v>36</v>
      </c>
      <c r="P264" s="67">
        <f>uurtarief17</f>
        <v>0</v>
      </c>
      <c r="Q264" s="64" t="e">
        <f t="shared" si="55"/>
        <v>#DIV/0!</v>
      </c>
      <c r="R264" s="64" t="e">
        <f t="shared" si="56"/>
        <v>#DIV/0!</v>
      </c>
      <c r="S264" s="67" t="e">
        <f t="shared" si="57"/>
        <v>#DIV/0!</v>
      </c>
      <c r="T264" s="64" t="e">
        <f t="shared" si="58"/>
        <v>#DIV/0!</v>
      </c>
      <c r="U264" s="68" t="e">
        <f t="shared" si="59"/>
        <v>#DIV/0!</v>
      </c>
    </row>
    <row r="265" spans="1:21" x14ac:dyDescent="0.2">
      <c r="A265" s="61" t="s">
        <v>336</v>
      </c>
      <c r="B265" s="62" t="s">
        <v>176</v>
      </c>
      <c r="C265" s="62" t="s">
        <v>254</v>
      </c>
      <c r="D265" s="62" t="s">
        <v>287</v>
      </c>
      <c r="E265" s="63" t="s">
        <v>218</v>
      </c>
      <c r="F265" s="62" t="s">
        <v>190</v>
      </c>
      <c r="G265" s="62" t="s">
        <v>132</v>
      </c>
      <c r="H265" s="62" t="s">
        <v>12</v>
      </c>
      <c r="I265" s="62" t="s">
        <v>120</v>
      </c>
      <c r="J265" s="62"/>
      <c r="K265" s="64">
        <v>58.24</v>
      </c>
      <c r="L265" s="64">
        <f t="shared" si="54"/>
        <v>35.840000000000003</v>
      </c>
      <c r="M265" s="65">
        <f>prodnorm17</f>
        <v>0</v>
      </c>
      <c r="N265" s="66">
        <f>dagwerk17</f>
        <v>0</v>
      </c>
      <c r="O265" s="62" t="s">
        <v>36</v>
      </c>
      <c r="P265" s="67">
        <f>uurtarief17</f>
        <v>0</v>
      </c>
      <c r="Q265" s="64" t="e">
        <f t="shared" si="55"/>
        <v>#DIV/0!</v>
      </c>
      <c r="R265" s="64" t="e">
        <f t="shared" si="56"/>
        <v>#DIV/0!</v>
      </c>
      <c r="S265" s="67" t="e">
        <f t="shared" si="57"/>
        <v>#DIV/0!</v>
      </c>
      <c r="T265" s="64" t="e">
        <f t="shared" si="58"/>
        <v>#DIV/0!</v>
      </c>
      <c r="U265" s="68" t="e">
        <f t="shared" si="59"/>
        <v>#DIV/0!</v>
      </c>
    </row>
    <row r="266" spans="1:21" x14ac:dyDescent="0.2">
      <c r="A266" s="61" t="s">
        <v>336</v>
      </c>
      <c r="B266" s="62" t="s">
        <v>176</v>
      </c>
      <c r="C266" s="62" t="s">
        <v>254</v>
      </c>
      <c r="D266" s="62" t="s">
        <v>288</v>
      </c>
      <c r="E266" s="63" t="s">
        <v>218</v>
      </c>
      <c r="F266" s="62" t="s">
        <v>190</v>
      </c>
      <c r="G266" s="62" t="s">
        <v>132</v>
      </c>
      <c r="H266" s="62" t="s">
        <v>12</v>
      </c>
      <c r="I266" s="62" t="s">
        <v>120</v>
      </c>
      <c r="J266" s="62"/>
      <c r="K266" s="64">
        <v>58.24</v>
      </c>
      <c r="L266" s="64">
        <f t="shared" si="54"/>
        <v>35.840000000000003</v>
      </c>
      <c r="M266" s="65">
        <f>prodnorm17</f>
        <v>0</v>
      </c>
      <c r="N266" s="66">
        <f>dagwerk17</f>
        <v>0</v>
      </c>
      <c r="O266" s="62" t="s">
        <v>36</v>
      </c>
      <c r="P266" s="67">
        <f>uurtarief17</f>
        <v>0</v>
      </c>
      <c r="Q266" s="64" t="e">
        <f t="shared" si="55"/>
        <v>#DIV/0!</v>
      </c>
      <c r="R266" s="64" t="e">
        <f t="shared" si="56"/>
        <v>#DIV/0!</v>
      </c>
      <c r="S266" s="67" t="e">
        <f t="shared" si="57"/>
        <v>#DIV/0!</v>
      </c>
      <c r="T266" s="64" t="e">
        <f t="shared" si="58"/>
        <v>#DIV/0!</v>
      </c>
      <c r="U266" s="68" t="e">
        <f t="shared" si="59"/>
        <v>#DIV/0!</v>
      </c>
    </row>
    <row r="267" spans="1:21" x14ac:dyDescent="0.2">
      <c r="A267" s="69" t="s">
        <v>336</v>
      </c>
      <c r="B267" s="70" t="s">
        <v>176</v>
      </c>
      <c r="C267" s="70" t="s">
        <v>254</v>
      </c>
      <c r="D267" s="70" t="s">
        <v>289</v>
      </c>
      <c r="E267" s="71" t="s">
        <v>195</v>
      </c>
      <c r="F267" s="70" t="s">
        <v>190</v>
      </c>
      <c r="G267" s="70" t="s">
        <v>154</v>
      </c>
      <c r="H267" s="70" t="s">
        <v>11</v>
      </c>
      <c r="I267" s="70" t="s">
        <v>120</v>
      </c>
      <c r="J267" s="70"/>
      <c r="K267" s="72">
        <v>6.6899999999999995</v>
      </c>
      <c r="L267" s="72">
        <f t="shared" si="54"/>
        <v>5.1461538461538456</v>
      </c>
      <c r="M267" s="73">
        <f>prodnorm29</f>
        <v>0</v>
      </c>
      <c r="N267" s="74">
        <f>dagwerk29</f>
        <v>0</v>
      </c>
      <c r="O267" s="70" t="s">
        <v>36</v>
      </c>
      <c r="P267" s="75">
        <f>uurtarief29</f>
        <v>0</v>
      </c>
      <c r="Q267" s="72" t="e">
        <f t="shared" si="55"/>
        <v>#DIV/0!</v>
      </c>
      <c r="R267" s="72" t="e">
        <f t="shared" si="56"/>
        <v>#DIV/0!</v>
      </c>
      <c r="S267" s="75" t="e">
        <f t="shared" si="57"/>
        <v>#DIV/0!</v>
      </c>
      <c r="T267" s="72" t="e">
        <f t="shared" si="58"/>
        <v>#DIV/0!</v>
      </c>
      <c r="U267" s="76" t="e">
        <f t="shared" si="59"/>
        <v>#DIV/0!</v>
      </c>
    </row>
    <row r="268" spans="1:21" x14ac:dyDescent="0.2">
      <c r="A268" s="43" t="s">
        <v>334</v>
      </c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6" t="e">
        <f>IF(_xlfn.SINGLE(object2_urenjaar1)&gt;0,_xlfn.SINGLE(object2_prijsjaar1)/_xlfn.SINGLE(object2_urenjaar1),0)</f>
        <v>#DIV/0!</v>
      </c>
      <c r="Q268" s="45" t="e">
        <f>SUM(Q159:Q267)</f>
        <v>#DIV/0!</v>
      </c>
      <c r="R268" s="45" t="e">
        <f>SUM(R159:R267)</f>
        <v>#DIV/0!</v>
      </c>
      <c r="S268" s="46" t="e">
        <f>SUM(S159:S267)</f>
        <v>#DIV/0!</v>
      </c>
      <c r="T268" s="45" t="e">
        <f>SUM(T159:T267)</f>
        <v>#DIV/0!</v>
      </c>
      <c r="U268" s="46" t="e">
        <f>SUM(U159:U267)</f>
        <v>#DIV/0!</v>
      </c>
    </row>
  </sheetData>
  <sheetProtection algorithmName="SHA-512" hashValue="vpkNQVWNZReRsnEy/cB/Oumm4kRCn3KwM+2K52+W6mG0sJ7K1ewyzoYsCggeeJBGZ5KrlAXh9xDVHN8YCwgPlA==" saltValue="+7ymKBxANo34/dFNlKczew==" spinCount="100000" sheet="1" objects="1" scenarios="1" autoFilter="0"/>
  <autoFilter ref="A3:U268" xr:uid="{F08B6396-AB6F-4798-98A8-F66D5597436A}"/>
  <pageMargins left="0.7" right="0.7" top="0.75" bottom="0.75" header="0.3" footer="0.3"/>
  <pageSetup paperSize="9" scale="61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C30F-FCE8-4686-977B-4AF57EA71F5D}">
  <dimension ref="A1:K3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1" width="12.625" customWidth="1"/>
  </cols>
  <sheetData>
    <row r="1" spans="1:11" x14ac:dyDescent="0.2">
      <c r="A1" s="1" t="s">
        <v>421</v>
      </c>
    </row>
    <row r="3" spans="1:11" ht="25.5" x14ac:dyDescent="0.2">
      <c r="A3" s="78" t="s">
        <v>111</v>
      </c>
      <c r="B3" s="78" t="s">
        <v>7</v>
      </c>
      <c r="C3" s="79" t="s">
        <v>422</v>
      </c>
      <c r="D3" s="79" t="s">
        <v>423</v>
      </c>
      <c r="E3" s="79" t="s">
        <v>424</v>
      </c>
      <c r="F3" s="79" t="s">
        <v>425</v>
      </c>
      <c r="G3" s="79" t="s">
        <v>426</v>
      </c>
      <c r="H3" s="79" t="s">
        <v>427</v>
      </c>
      <c r="I3" s="78" t="s">
        <v>428</v>
      </c>
      <c r="J3" s="78" t="s">
        <v>429</v>
      </c>
      <c r="K3" s="78" t="s">
        <v>430</v>
      </c>
    </row>
    <row r="4" spans="1:11" x14ac:dyDescent="0.2">
      <c r="A4" s="80"/>
      <c r="B4" s="80"/>
      <c r="C4" s="80"/>
      <c r="D4" s="80"/>
      <c r="E4" s="80"/>
      <c r="F4" s="80"/>
      <c r="G4" s="80"/>
      <c r="H4" s="80"/>
      <c r="I4" s="80"/>
      <c r="J4" s="81" t="s">
        <v>113</v>
      </c>
      <c r="K4" s="81" t="s">
        <v>113</v>
      </c>
    </row>
    <row r="5" spans="1:11" x14ac:dyDescent="0.2">
      <c r="A5" s="15" t="s">
        <v>119</v>
      </c>
      <c r="B5" s="15" t="s">
        <v>11</v>
      </c>
      <c r="C5" s="15" t="s">
        <v>431</v>
      </c>
      <c r="D5" s="15" t="s">
        <v>120</v>
      </c>
      <c r="E5" s="30">
        <f t="shared" ref="E5:E30" si="0">IF(B5="","",VLOOKUP(B5,dagsoorttabel1,2,FALSE))</f>
        <v>0.76923076923076927</v>
      </c>
      <c r="F5" s="30">
        <v>1</v>
      </c>
      <c r="G5" s="30">
        <f>IF(prodnorm8&gt;0,1/ROUND(prodnorm8,4),0)</f>
        <v>0</v>
      </c>
      <c r="H5" s="32">
        <f>ROUND(dagwerk8,4+2)</f>
        <v>0</v>
      </c>
      <c r="I5" s="33">
        <f>ROUND(uurtarief8,2)</f>
        <v>0</v>
      </c>
      <c r="J5" s="30">
        <v>0</v>
      </c>
      <c r="K5" s="30">
        <v>85.19</v>
      </c>
    </row>
    <row r="6" spans="1:11" x14ac:dyDescent="0.2">
      <c r="A6" s="20" t="s">
        <v>119</v>
      </c>
      <c r="B6" s="20" t="s">
        <v>16</v>
      </c>
      <c r="C6" s="20" t="s">
        <v>431</v>
      </c>
      <c r="D6" s="20" t="s">
        <v>120</v>
      </c>
      <c r="E6" s="34">
        <f t="shared" si="0"/>
        <v>0.15384615384615385</v>
      </c>
      <c r="F6" s="34">
        <v>1</v>
      </c>
      <c r="G6" s="34">
        <f>IF(prodnorm9&gt;0,1/ROUND(prodnorm9,4),0)</f>
        <v>0</v>
      </c>
      <c r="H6" s="36">
        <f>ROUND(dagwerk9,4+2)</f>
        <v>0</v>
      </c>
      <c r="I6" s="37">
        <f>ROUND(uurtarief9,2)</f>
        <v>0</v>
      </c>
      <c r="J6" s="34">
        <v>152.39999999999998</v>
      </c>
      <c r="K6" s="34">
        <v>0</v>
      </c>
    </row>
    <row r="7" spans="1:11" x14ac:dyDescent="0.2">
      <c r="A7" s="20" t="s">
        <v>122</v>
      </c>
      <c r="B7" s="20" t="s">
        <v>11</v>
      </c>
      <c r="C7" s="20" t="s">
        <v>431</v>
      </c>
      <c r="D7" s="20" t="s">
        <v>120</v>
      </c>
      <c r="E7" s="34">
        <f t="shared" si="0"/>
        <v>0.76923076923076927</v>
      </c>
      <c r="F7" s="34">
        <v>1</v>
      </c>
      <c r="G7" s="34">
        <f>IF(prodnorm10&gt;0,1/ROUND(prodnorm10,4),0)</f>
        <v>0</v>
      </c>
      <c r="H7" s="36">
        <f>ROUND(dagwerk10,4+2)</f>
        <v>0</v>
      </c>
      <c r="I7" s="37">
        <f>ROUND(uurtarief10,2)</f>
        <v>0</v>
      </c>
      <c r="J7" s="34">
        <v>0</v>
      </c>
      <c r="K7" s="34">
        <v>127.56</v>
      </c>
    </row>
    <row r="8" spans="1:11" x14ac:dyDescent="0.2">
      <c r="A8" s="20" t="s">
        <v>122</v>
      </c>
      <c r="B8" s="20" t="s">
        <v>16</v>
      </c>
      <c r="C8" s="20" t="s">
        <v>431</v>
      </c>
      <c r="D8" s="20" t="s">
        <v>120</v>
      </c>
      <c r="E8" s="34">
        <f t="shared" si="0"/>
        <v>0.15384615384615385</v>
      </c>
      <c r="F8" s="34">
        <v>1</v>
      </c>
      <c r="G8" s="34">
        <f>IF(prodnorm11&gt;0,1/ROUND(prodnorm11,4),0)</f>
        <v>0</v>
      </c>
      <c r="H8" s="36">
        <f>ROUND(dagwerk11,4+2)</f>
        <v>0</v>
      </c>
      <c r="I8" s="37">
        <f>ROUND(uurtarief11,2)</f>
        <v>0</v>
      </c>
      <c r="J8" s="34">
        <v>333.64</v>
      </c>
      <c r="K8" s="34">
        <v>0</v>
      </c>
    </row>
    <row r="9" spans="1:11" x14ac:dyDescent="0.2">
      <c r="A9" s="20" t="s">
        <v>124</v>
      </c>
      <c r="B9" s="20" t="s">
        <v>11</v>
      </c>
      <c r="C9" s="20" t="s">
        <v>431</v>
      </c>
      <c r="D9" s="20" t="s">
        <v>120</v>
      </c>
      <c r="E9" s="34">
        <f t="shared" si="0"/>
        <v>0.76923076923076927</v>
      </c>
      <c r="F9" s="34">
        <v>1</v>
      </c>
      <c r="G9" s="34">
        <f>IF(prodnorm12&gt;0,1/ROUND(prodnorm12,4),0)</f>
        <v>0</v>
      </c>
      <c r="H9" s="36">
        <f>ROUND(dagwerk12,4+2)</f>
        <v>0</v>
      </c>
      <c r="I9" s="37">
        <f>ROUND(uurtarief12,2)</f>
        <v>0</v>
      </c>
      <c r="J9" s="34">
        <v>14.17</v>
      </c>
      <c r="K9" s="34">
        <v>33.4</v>
      </c>
    </row>
    <row r="10" spans="1:11" x14ac:dyDescent="0.2">
      <c r="A10" s="20" t="s">
        <v>126</v>
      </c>
      <c r="B10" s="20" t="s">
        <v>11</v>
      </c>
      <c r="C10" s="20" t="s">
        <v>431</v>
      </c>
      <c r="D10" s="20" t="s">
        <v>120</v>
      </c>
      <c r="E10" s="34">
        <f t="shared" si="0"/>
        <v>0.76923076923076927</v>
      </c>
      <c r="F10" s="34">
        <v>1</v>
      </c>
      <c r="G10" s="34">
        <f>IF(prodnorm13&gt;0,1/ROUND(prodnorm13,4),0)</f>
        <v>0</v>
      </c>
      <c r="H10" s="36">
        <f>ROUND(dagwerk13,4+2)</f>
        <v>0</v>
      </c>
      <c r="I10" s="37">
        <f>ROUND(uurtarief13,2)</f>
        <v>0</v>
      </c>
      <c r="J10" s="34">
        <v>0</v>
      </c>
      <c r="K10" s="34">
        <v>752.68</v>
      </c>
    </row>
    <row r="11" spans="1:11" x14ac:dyDescent="0.2">
      <c r="A11" s="20" t="s">
        <v>126</v>
      </c>
      <c r="B11" s="20" t="s">
        <v>16</v>
      </c>
      <c r="C11" s="20" t="s">
        <v>431</v>
      </c>
      <c r="D11" s="20" t="s">
        <v>120</v>
      </c>
      <c r="E11" s="34">
        <f t="shared" si="0"/>
        <v>0.15384615384615385</v>
      </c>
      <c r="F11" s="34">
        <v>1</v>
      </c>
      <c r="G11" s="34">
        <f>IF(prodnorm14&gt;0,1/ROUND(prodnorm14,4),0)</f>
        <v>0</v>
      </c>
      <c r="H11" s="36">
        <f>ROUND(dagwerk14,4+2)</f>
        <v>0</v>
      </c>
      <c r="I11" s="37">
        <f>ROUND(uurtarief14,2)</f>
        <v>0</v>
      </c>
      <c r="J11" s="34">
        <v>0</v>
      </c>
      <c r="K11" s="34">
        <v>78.69</v>
      </c>
    </row>
    <row r="12" spans="1:11" x14ac:dyDescent="0.2">
      <c r="A12" s="20" t="s">
        <v>128</v>
      </c>
      <c r="B12" s="20" t="s">
        <v>11</v>
      </c>
      <c r="C12" s="20" t="s">
        <v>431</v>
      </c>
      <c r="D12" s="20" t="s">
        <v>120</v>
      </c>
      <c r="E12" s="34">
        <f t="shared" si="0"/>
        <v>0.76923076923076927</v>
      </c>
      <c r="F12" s="34">
        <v>1</v>
      </c>
      <c r="G12" s="34">
        <f>IF(prodnorm15&gt;0,1/ROUND(prodnorm15,4),0)</f>
        <v>0</v>
      </c>
      <c r="H12" s="36">
        <f>ROUND(dagwerk15,4+2)</f>
        <v>0</v>
      </c>
      <c r="I12" s="37">
        <f>ROUND(uurtarief15,2)</f>
        <v>0</v>
      </c>
      <c r="J12" s="34">
        <v>1.55</v>
      </c>
      <c r="K12" s="34">
        <v>1.55</v>
      </c>
    </row>
    <row r="13" spans="1:11" x14ac:dyDescent="0.2">
      <c r="A13" s="20" t="s">
        <v>130</v>
      </c>
      <c r="B13" s="20" t="s">
        <v>11</v>
      </c>
      <c r="C13" s="20" t="s">
        <v>431</v>
      </c>
      <c r="D13" s="20" t="s">
        <v>120</v>
      </c>
      <c r="E13" s="34">
        <f t="shared" si="0"/>
        <v>0.76923076923076927</v>
      </c>
      <c r="F13" s="34">
        <v>1</v>
      </c>
      <c r="G13" s="34">
        <f>IF(prodnorm16&gt;0,1/ROUND(prodnorm16,4),0)</f>
        <v>0</v>
      </c>
      <c r="H13" s="36">
        <f>ROUND(dagwerk16,4+2)</f>
        <v>0</v>
      </c>
      <c r="I13" s="37">
        <f>ROUND(uurtarief16,2)</f>
        <v>0</v>
      </c>
      <c r="J13" s="34">
        <v>0</v>
      </c>
      <c r="K13" s="34">
        <v>30.98</v>
      </c>
    </row>
    <row r="14" spans="1:11" x14ac:dyDescent="0.2">
      <c r="A14" s="20" t="s">
        <v>132</v>
      </c>
      <c r="B14" s="20" t="s">
        <v>12</v>
      </c>
      <c r="C14" s="20" t="s">
        <v>431</v>
      </c>
      <c r="D14" s="20" t="s">
        <v>120</v>
      </c>
      <c r="E14" s="34">
        <f t="shared" si="0"/>
        <v>0.61538461538461542</v>
      </c>
      <c r="F14" s="34">
        <v>1</v>
      </c>
      <c r="G14" s="34">
        <f>IF(prodnorm17&gt;0,1/ROUND(prodnorm17,4),0)</f>
        <v>0</v>
      </c>
      <c r="H14" s="36">
        <f>ROUND(dagwerk17,4+2)</f>
        <v>0</v>
      </c>
      <c r="I14" s="37">
        <f>ROUND(uurtarief17,2)</f>
        <v>0</v>
      </c>
      <c r="J14" s="34">
        <v>1310.4799999999998</v>
      </c>
      <c r="K14" s="34">
        <v>959.93999999999971</v>
      </c>
    </row>
    <row r="15" spans="1:11" x14ac:dyDescent="0.2">
      <c r="A15" s="20" t="s">
        <v>134</v>
      </c>
      <c r="B15" s="20" t="s">
        <v>12</v>
      </c>
      <c r="C15" s="20" t="s">
        <v>431</v>
      </c>
      <c r="D15" s="20" t="s">
        <v>120</v>
      </c>
      <c r="E15" s="34">
        <f t="shared" si="0"/>
        <v>0.61538461538461542</v>
      </c>
      <c r="F15" s="34">
        <v>1</v>
      </c>
      <c r="G15" s="34">
        <f>IF(prodnorm18&gt;0,1/ROUND(prodnorm18,4),0)</f>
        <v>0</v>
      </c>
      <c r="H15" s="36">
        <f>ROUND(dagwerk18,4+2)</f>
        <v>0</v>
      </c>
      <c r="I15" s="37">
        <f>ROUND(uurtarief18,2)</f>
        <v>0</v>
      </c>
      <c r="J15" s="34">
        <v>308.18</v>
      </c>
      <c r="K15" s="34">
        <v>253.76</v>
      </c>
    </row>
    <row r="16" spans="1:11" x14ac:dyDescent="0.2">
      <c r="A16" s="20" t="s">
        <v>134</v>
      </c>
      <c r="B16" s="20" t="s">
        <v>11</v>
      </c>
      <c r="C16" s="20" t="s">
        <v>431</v>
      </c>
      <c r="D16" s="20" t="s">
        <v>120</v>
      </c>
      <c r="E16" s="34">
        <f t="shared" si="0"/>
        <v>0.76923076923076927</v>
      </c>
      <c r="F16" s="34">
        <v>1</v>
      </c>
      <c r="G16" s="34">
        <f>IF(prodnorm19&gt;0,1/ROUND(prodnorm19,4),0)</f>
        <v>0</v>
      </c>
      <c r="H16" s="36">
        <f>ROUND(dagwerk19,4+2)</f>
        <v>0</v>
      </c>
      <c r="I16" s="37">
        <f>ROUND(uurtarief19,2)</f>
        <v>0</v>
      </c>
      <c r="J16" s="34">
        <v>0</v>
      </c>
      <c r="K16" s="34">
        <v>178.17</v>
      </c>
    </row>
    <row r="17" spans="1:11" x14ac:dyDescent="0.2">
      <c r="A17" s="20" t="s">
        <v>136</v>
      </c>
      <c r="B17" s="20" t="s">
        <v>11</v>
      </c>
      <c r="C17" s="20" t="s">
        <v>431</v>
      </c>
      <c r="D17" s="20" t="s">
        <v>120</v>
      </c>
      <c r="E17" s="34">
        <f t="shared" si="0"/>
        <v>0.76923076923076927</v>
      </c>
      <c r="F17" s="34">
        <v>1</v>
      </c>
      <c r="G17" s="34">
        <f>IF(prodnorm20&gt;0,1/ROUND(prodnorm20,4),0)</f>
        <v>0</v>
      </c>
      <c r="H17" s="36">
        <f>ROUND(dagwerk20,4+2)</f>
        <v>0</v>
      </c>
      <c r="I17" s="37">
        <f>ROUND(uurtarief20,2)</f>
        <v>0</v>
      </c>
      <c r="J17" s="34">
        <v>217.73000000000002</v>
      </c>
      <c r="K17" s="34">
        <v>0</v>
      </c>
    </row>
    <row r="18" spans="1:11" x14ac:dyDescent="0.2">
      <c r="A18" s="20" t="s">
        <v>138</v>
      </c>
      <c r="B18" s="20" t="s">
        <v>11</v>
      </c>
      <c r="C18" s="20" t="s">
        <v>431</v>
      </c>
      <c r="D18" s="20" t="s">
        <v>120</v>
      </c>
      <c r="E18" s="34">
        <f t="shared" si="0"/>
        <v>0.76923076923076927</v>
      </c>
      <c r="F18" s="34">
        <v>1</v>
      </c>
      <c r="G18" s="34">
        <f>IF(prodnorm21&gt;0,1/ROUND(prodnorm21,4),0)</f>
        <v>0</v>
      </c>
      <c r="H18" s="36">
        <f>ROUND(dagwerk21,4+2)</f>
        <v>0</v>
      </c>
      <c r="I18" s="37">
        <f>ROUND(uurtarief21,2)</f>
        <v>0</v>
      </c>
      <c r="J18" s="34">
        <v>10.49</v>
      </c>
      <c r="K18" s="34">
        <v>831.43000000000006</v>
      </c>
    </row>
    <row r="19" spans="1:11" x14ac:dyDescent="0.2">
      <c r="A19" s="20" t="s">
        <v>140</v>
      </c>
      <c r="B19" s="20" t="s">
        <v>11</v>
      </c>
      <c r="C19" s="20" t="s">
        <v>431</v>
      </c>
      <c r="D19" s="20" t="s">
        <v>120</v>
      </c>
      <c r="E19" s="34">
        <f t="shared" si="0"/>
        <v>0.76923076923076927</v>
      </c>
      <c r="F19" s="34">
        <v>1</v>
      </c>
      <c r="G19" s="34">
        <f>IF(prodnorm22&gt;0,1/ROUND(prodnorm22,4),0)</f>
        <v>0</v>
      </c>
      <c r="H19" s="36">
        <f>ROUND(dagwerk22,4+2)</f>
        <v>0</v>
      </c>
      <c r="I19" s="37">
        <f>ROUND(uurtarief22,2)</f>
        <v>0</v>
      </c>
      <c r="J19" s="34">
        <v>0</v>
      </c>
      <c r="K19" s="34">
        <v>332.23</v>
      </c>
    </row>
    <row r="20" spans="1:11" x14ac:dyDescent="0.2">
      <c r="A20" s="20" t="s">
        <v>142</v>
      </c>
      <c r="B20" s="20" t="s">
        <v>11</v>
      </c>
      <c r="C20" s="20" t="s">
        <v>431</v>
      </c>
      <c r="D20" s="20" t="s">
        <v>120</v>
      </c>
      <c r="E20" s="34">
        <f t="shared" si="0"/>
        <v>0.76923076923076927</v>
      </c>
      <c r="F20" s="34">
        <v>1</v>
      </c>
      <c r="G20" s="34">
        <f>IF(prodnorm23&gt;0,1/ROUND(prodnorm23,4),0)</f>
        <v>0</v>
      </c>
      <c r="H20" s="36">
        <f>ROUND(dagwerk23,4+2)</f>
        <v>0</v>
      </c>
      <c r="I20" s="37">
        <f>ROUND(uurtarief23,2)</f>
        <v>0</v>
      </c>
      <c r="J20" s="34">
        <v>525.07000000000005</v>
      </c>
      <c r="K20" s="34">
        <v>185.85</v>
      </c>
    </row>
    <row r="21" spans="1:11" x14ac:dyDescent="0.2">
      <c r="A21" s="20" t="s">
        <v>144</v>
      </c>
      <c r="B21" s="20" t="s">
        <v>11</v>
      </c>
      <c r="C21" s="20" t="s">
        <v>431</v>
      </c>
      <c r="D21" s="20" t="s">
        <v>120</v>
      </c>
      <c r="E21" s="34">
        <f t="shared" si="0"/>
        <v>0.76923076923076927</v>
      </c>
      <c r="F21" s="34">
        <v>1</v>
      </c>
      <c r="G21" s="34">
        <f>IF(prodnorm24&gt;0,1/ROUND(prodnorm24,4),0)</f>
        <v>0</v>
      </c>
      <c r="H21" s="36">
        <f>ROUND(dagwerk24,4+2)</f>
        <v>0</v>
      </c>
      <c r="I21" s="37">
        <f>ROUND(uurtarief24,2)</f>
        <v>0</v>
      </c>
      <c r="J21" s="34">
        <v>131.41</v>
      </c>
      <c r="K21" s="34">
        <v>8.7800000000000011</v>
      </c>
    </row>
    <row r="22" spans="1:11" x14ac:dyDescent="0.2">
      <c r="A22" s="20" t="s">
        <v>146</v>
      </c>
      <c r="B22" s="20" t="s">
        <v>11</v>
      </c>
      <c r="C22" s="20" t="s">
        <v>431</v>
      </c>
      <c r="D22" s="20" t="s">
        <v>120</v>
      </c>
      <c r="E22" s="34">
        <f t="shared" si="0"/>
        <v>0.76923076923076927</v>
      </c>
      <c r="F22" s="34">
        <v>1</v>
      </c>
      <c r="G22" s="34">
        <f>IF(prodnorm25&gt;0,1/ROUND(prodnorm25,4),0)</f>
        <v>0</v>
      </c>
      <c r="H22" s="36">
        <f>ROUND(dagwerk25,4+2)</f>
        <v>0</v>
      </c>
      <c r="I22" s="37">
        <f>ROUND(uurtarief25,2)</f>
        <v>0</v>
      </c>
      <c r="J22" s="34">
        <v>105.59</v>
      </c>
      <c r="K22" s="34">
        <v>212.07</v>
      </c>
    </row>
    <row r="23" spans="1:11" x14ac:dyDescent="0.2">
      <c r="A23" s="20" t="s">
        <v>148</v>
      </c>
      <c r="B23" s="20" t="s">
        <v>11</v>
      </c>
      <c r="C23" s="20" t="s">
        <v>431</v>
      </c>
      <c r="D23" s="20" t="s">
        <v>120</v>
      </c>
      <c r="E23" s="34">
        <f t="shared" si="0"/>
        <v>0.76923076923076927</v>
      </c>
      <c r="F23" s="34">
        <v>1</v>
      </c>
      <c r="G23" s="34">
        <f>IF(prodnorm26&gt;0,1/ROUND(prodnorm26,4),0)</f>
        <v>0</v>
      </c>
      <c r="H23" s="36">
        <f>ROUND(dagwerk26,4+2)</f>
        <v>0</v>
      </c>
      <c r="I23" s="37">
        <f>ROUND(uurtarief26,2)</f>
        <v>0</v>
      </c>
      <c r="J23" s="34">
        <v>58.08</v>
      </c>
      <c r="K23" s="34">
        <v>0</v>
      </c>
    </row>
    <row r="24" spans="1:11" x14ac:dyDescent="0.2">
      <c r="A24" s="20" t="s">
        <v>150</v>
      </c>
      <c r="B24" s="20" t="s">
        <v>11</v>
      </c>
      <c r="C24" s="20" t="s">
        <v>431</v>
      </c>
      <c r="D24" s="20" t="s">
        <v>120</v>
      </c>
      <c r="E24" s="34">
        <f t="shared" si="0"/>
        <v>0.76923076923076927</v>
      </c>
      <c r="F24" s="34">
        <v>1</v>
      </c>
      <c r="G24" s="34">
        <f>IF(prodnorm27&gt;0,1/ROUND(prodnorm27,4),0)</f>
        <v>0</v>
      </c>
      <c r="H24" s="36">
        <f>ROUND(dagwerk27,4+2)</f>
        <v>0</v>
      </c>
      <c r="I24" s="37">
        <f>ROUND(uurtarief27,2)</f>
        <v>0</v>
      </c>
      <c r="J24" s="34">
        <v>170.21999999999997</v>
      </c>
      <c r="K24" s="34">
        <v>93.64</v>
      </c>
    </row>
    <row r="25" spans="1:11" x14ac:dyDescent="0.2">
      <c r="A25" s="20" t="s">
        <v>152</v>
      </c>
      <c r="B25" s="20" t="s">
        <v>11</v>
      </c>
      <c r="C25" s="20" t="s">
        <v>431</v>
      </c>
      <c r="D25" s="20" t="s">
        <v>120</v>
      </c>
      <c r="E25" s="34">
        <f t="shared" si="0"/>
        <v>0.76923076923076927</v>
      </c>
      <c r="F25" s="34">
        <v>1</v>
      </c>
      <c r="G25" s="34">
        <f>IF(prodnorm28&gt;0,1/ROUND(prodnorm28,4),0)</f>
        <v>0</v>
      </c>
      <c r="H25" s="36">
        <f>ROUND(dagwerk28,4+2)</f>
        <v>0</v>
      </c>
      <c r="I25" s="37">
        <f>ROUND(uurtarief28,2)</f>
        <v>0</v>
      </c>
      <c r="J25" s="34">
        <v>15.45</v>
      </c>
      <c r="K25" s="34">
        <v>12.84</v>
      </c>
    </row>
    <row r="26" spans="1:11" x14ac:dyDescent="0.2">
      <c r="A26" s="20" t="s">
        <v>154</v>
      </c>
      <c r="B26" s="20" t="s">
        <v>11</v>
      </c>
      <c r="C26" s="20" t="s">
        <v>431</v>
      </c>
      <c r="D26" s="20" t="s">
        <v>120</v>
      </c>
      <c r="E26" s="34">
        <f t="shared" si="0"/>
        <v>0.76923076923076927</v>
      </c>
      <c r="F26" s="34">
        <v>1</v>
      </c>
      <c r="G26" s="34">
        <f>IF(prodnorm29&gt;0,1/ROUND(prodnorm29,4),0)</f>
        <v>0</v>
      </c>
      <c r="H26" s="36">
        <f>ROUND(dagwerk29,4+2)</f>
        <v>0</v>
      </c>
      <c r="I26" s="37">
        <f>ROUND(uurtarief29,2)</f>
        <v>0</v>
      </c>
      <c r="J26" s="34">
        <v>1404.84</v>
      </c>
      <c r="K26" s="34">
        <v>1196.46</v>
      </c>
    </row>
    <row r="27" spans="1:11" x14ac:dyDescent="0.2">
      <c r="A27" s="20" t="s">
        <v>156</v>
      </c>
      <c r="B27" s="20" t="s">
        <v>11</v>
      </c>
      <c r="C27" s="20" t="s">
        <v>431</v>
      </c>
      <c r="D27" s="20" t="s">
        <v>120</v>
      </c>
      <c r="E27" s="34">
        <f t="shared" si="0"/>
        <v>0.76923076923076927</v>
      </c>
      <c r="F27" s="34">
        <v>1</v>
      </c>
      <c r="G27" s="34">
        <f>IF(prodnorm30&gt;0,1/ROUND(prodnorm30,4),0)</f>
        <v>0</v>
      </c>
      <c r="H27" s="36">
        <f>ROUND(dagwerk30,4+2)</f>
        <v>0</v>
      </c>
      <c r="I27" s="37">
        <f>ROUND(uurtarief30,2)</f>
        <v>0</v>
      </c>
      <c r="J27" s="34">
        <v>18.38</v>
      </c>
      <c r="K27" s="34">
        <v>6.4700000000000006</v>
      </c>
    </row>
    <row r="28" spans="1:11" x14ac:dyDescent="0.2">
      <c r="A28" s="20" t="s">
        <v>158</v>
      </c>
      <c r="B28" s="20" t="s">
        <v>23</v>
      </c>
      <c r="C28" s="20" t="s">
        <v>431</v>
      </c>
      <c r="D28" s="20" t="s">
        <v>120</v>
      </c>
      <c r="E28" s="34">
        <f t="shared" si="0"/>
        <v>3.8461538461538464E-3</v>
      </c>
      <c r="F28" s="34">
        <v>1</v>
      </c>
      <c r="G28" s="34">
        <f>IF(prodnorm31&gt;0,1/ROUND(prodnorm31,4),0)</f>
        <v>0</v>
      </c>
      <c r="H28" s="36">
        <f>ROUND(dagwerk31,4+2)</f>
        <v>0</v>
      </c>
      <c r="I28" s="37">
        <f>ROUND(uurtarief31,2)</f>
        <v>0</v>
      </c>
      <c r="J28" s="34">
        <v>0</v>
      </c>
      <c r="K28" s="34">
        <v>753.06</v>
      </c>
    </row>
    <row r="29" spans="1:11" x14ac:dyDescent="0.2">
      <c r="A29" s="20" t="s">
        <v>158</v>
      </c>
      <c r="B29" s="20" t="s">
        <v>20</v>
      </c>
      <c r="C29" s="20" t="s">
        <v>431</v>
      </c>
      <c r="D29" s="20" t="s">
        <v>120</v>
      </c>
      <c r="E29" s="34">
        <f t="shared" si="0"/>
        <v>1.5384615384615385E-2</v>
      </c>
      <c r="F29" s="34">
        <v>1</v>
      </c>
      <c r="G29" s="34">
        <f>IF(prodnorm32&gt;0,1/ROUND(prodnorm32,4),0)</f>
        <v>0</v>
      </c>
      <c r="H29" s="36">
        <f>ROUND(dagwerk32,4+2)</f>
        <v>0</v>
      </c>
      <c r="I29" s="37">
        <f>ROUND(uurtarief32,2)</f>
        <v>0</v>
      </c>
      <c r="J29" s="34">
        <v>428.77</v>
      </c>
      <c r="K29" s="34">
        <v>0</v>
      </c>
    </row>
    <row r="30" spans="1:11" x14ac:dyDescent="0.2">
      <c r="A30" s="25" t="s">
        <v>160</v>
      </c>
      <c r="B30" s="25" t="s">
        <v>12</v>
      </c>
      <c r="C30" s="25" t="s">
        <v>431</v>
      </c>
      <c r="D30" s="25" t="s">
        <v>120</v>
      </c>
      <c r="E30" s="39">
        <f t="shared" si="0"/>
        <v>0.61538461538461542</v>
      </c>
      <c r="F30" s="39">
        <v>1</v>
      </c>
      <c r="G30" s="39">
        <f>IF(prodnorm33&gt;0,1/ROUND(prodnorm33,4),0)</f>
        <v>0</v>
      </c>
      <c r="H30" s="82">
        <f>ROUND(dagwerk33,4+2)</f>
        <v>0</v>
      </c>
      <c r="I30" s="41">
        <f>ROUND(uurtarief33,2)</f>
        <v>0</v>
      </c>
      <c r="J30" s="39">
        <v>486.04000000000008</v>
      </c>
      <c r="K30" s="39">
        <v>0</v>
      </c>
    </row>
    <row r="31" spans="1:11" x14ac:dyDescent="0.2">
      <c r="A31" s="43" t="s">
        <v>162</v>
      </c>
      <c r="B31" s="44"/>
      <c r="C31" s="44"/>
      <c r="D31" s="44"/>
      <c r="E31" s="44"/>
      <c r="F31" s="44"/>
      <c r="G31" s="44"/>
      <c r="H31" s="44"/>
      <c r="I31" s="44"/>
      <c r="J31" s="83"/>
      <c r="K31" s="83"/>
    </row>
  </sheetData>
  <sheetProtection algorithmName="SHA-512" hashValue="XT9bLN2t6UUcd8rQ1oLKL6gr5+dPo/N3nRtEzoe+U0gn4Xn7HVdcTAKhMeyHDlq5Q6MnIWQsyzCTpRHFbLC72Q==" saltValue="IIZqg5APU+7wGMIadJ6qw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7F20-8B04-434F-89A2-F8E8D331A6AE}">
  <dimension ref="A1:R13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F.1.4: ",tabeltype," objecten")</f>
        <v>Bijlage F.1.4: Invultabel objecten</v>
      </c>
    </row>
    <row r="3" spans="1:18" ht="51" x14ac:dyDescent="0.2">
      <c r="A3" s="8" t="s">
        <v>165</v>
      </c>
      <c r="B3" s="8" t="s">
        <v>432</v>
      </c>
      <c r="C3" s="8" t="s">
        <v>433</v>
      </c>
      <c r="D3" s="8" t="s">
        <v>434</v>
      </c>
      <c r="E3" s="8" t="s">
        <v>7</v>
      </c>
      <c r="F3" s="8" t="s">
        <v>435</v>
      </c>
      <c r="G3" s="8" t="s">
        <v>436</v>
      </c>
      <c r="H3" s="8" t="s">
        <v>437</v>
      </c>
      <c r="I3" s="8" t="s">
        <v>438</v>
      </c>
      <c r="J3" s="8" t="s">
        <v>439</v>
      </c>
      <c r="K3" s="8" t="s">
        <v>440</v>
      </c>
      <c r="L3" s="8" t="s">
        <v>441</v>
      </c>
      <c r="M3" s="8" t="s">
        <v>442</v>
      </c>
      <c r="N3" s="8" t="s">
        <v>443</v>
      </c>
      <c r="O3" s="8" t="s">
        <v>444</v>
      </c>
      <c r="P3" s="8" t="s">
        <v>117</v>
      </c>
      <c r="Q3" s="8" t="s">
        <v>118</v>
      </c>
      <c r="R3" s="8" t="s">
        <v>445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175</v>
      </c>
      <c r="B6" s="15" t="s">
        <v>446</v>
      </c>
      <c r="C6" s="15" t="s">
        <v>447</v>
      </c>
      <c r="D6" s="15" t="s">
        <v>448</v>
      </c>
      <c r="E6" s="84" t="s">
        <v>11</v>
      </c>
      <c r="F6" s="85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17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5" t="s">
        <v>336</v>
      </c>
      <c r="B7" s="25" t="s">
        <v>449</v>
      </c>
      <c r="C7" s="25" t="s">
        <v>447</v>
      </c>
      <c r="D7" s="25" t="s">
        <v>448</v>
      </c>
      <c r="E7" s="86" t="s">
        <v>11</v>
      </c>
      <c r="F7" s="87">
        <f>gemuurtarief1</f>
        <v>0</v>
      </c>
      <c r="G7" s="39">
        <f>SUMPRODUCT(taakfreqtabel1,uurfactortabel1,kengetaltabel1,object2_opptabel1)*(1/VLOOKUP(E7,dagsoorttabel1,2,FALSE))</f>
        <v>0</v>
      </c>
      <c r="H7" s="39">
        <f>SUMPRODUCT(dagwerktabel1,taakfreqtabel1,uurfactortabel1,kengetaltabel1,object2_opptabel1)*(1/VLOOKUP(E7,dagsoorttabel1,2,FALSE))</f>
        <v>0</v>
      </c>
      <c r="I7" s="27"/>
      <c r="J7" s="39">
        <f>H7+I7</f>
        <v>0</v>
      </c>
      <c r="K7" s="39">
        <f>G7+I7</f>
        <v>0</v>
      </c>
      <c r="L7" s="41">
        <f>SUMPRODUCT(taakfreqtabel1,kengetaltabel1,tarieftabel1,object2_opptabel1)*(1/VLOOKUP(E7,dagsoorttabel1,2,FALSE))</f>
        <v>0</v>
      </c>
      <c r="M7" s="41">
        <f>F7*I7</f>
        <v>0</v>
      </c>
      <c r="N7" s="41">
        <f>SUM(L7:M7)</f>
        <v>0</v>
      </c>
      <c r="O7" s="39">
        <f>J7*dagenperjaar1*VLOOKUP(E7,dagsoorttabel1,2,FALSE)</f>
        <v>0</v>
      </c>
      <c r="P7" s="39">
        <f>K7*dagenperjaar1*VLOOKUP(E7,dagsoorttabel1,2,FALSE)</f>
        <v>0</v>
      </c>
      <c r="Q7" s="41">
        <f>N7*dagenperjaar1*VLOOKUP(E7,dagsoorttabel1,2,FALSE)</f>
        <v>0</v>
      </c>
      <c r="R7" s="41">
        <f>Q7/12</f>
        <v>0</v>
      </c>
    </row>
    <row r="8" spans="1:18" x14ac:dyDescent="0.2">
      <c r="A8" s="43" t="s">
        <v>162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>
        <f>SUM(O6:O7)</f>
        <v>0</v>
      </c>
      <c r="P8" s="45">
        <f>SUM(P6:P7)</f>
        <v>0</v>
      </c>
      <c r="Q8" s="46">
        <f>SUM(Q6:Q7)</f>
        <v>0</v>
      </c>
      <c r="R8" s="47">
        <f>SUM(R6:R7)</f>
        <v>0</v>
      </c>
    </row>
    <row r="9" spans="1:18" x14ac:dyDescent="0.2">
      <c r="A9" s="48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9"/>
    </row>
    <row r="11" spans="1:18" x14ac:dyDescent="0.2">
      <c r="A11" s="43" t="s">
        <v>450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>
        <f>urenjaartotaalhf1</f>
        <v>0</v>
      </c>
      <c r="P11" s="45">
        <f>urenjaartotaal1</f>
        <v>0</v>
      </c>
      <c r="Q11" s="46">
        <f>prijsjaartotaal1</f>
        <v>0</v>
      </c>
      <c r="R11" s="46">
        <f>prijsmaandtotaal1</f>
        <v>0</v>
      </c>
    </row>
    <row r="13" spans="1:18" x14ac:dyDescent="0.2">
      <c r="A13" s="43" t="s">
        <v>451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6">
        <f>Q11*1.21</f>
        <v>0</v>
      </c>
      <c r="R13" s="46">
        <f>R11*1.21</f>
        <v>0</v>
      </c>
    </row>
  </sheetData>
  <sheetProtection algorithmName="SHA-512" hashValue="lWoRQdTr3228Y17Ay2ni/OulmbQv6Cs3IxiVWJZsDa6/K9WUONVuCNOaBq96oPA0bmeCbAcNFCiC8YBVmc13kg==" saltValue="ToIKo0x8rX3l17iOV0Jxr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4271-2A56-4C70-8BA8-65A9681B343C}">
  <dimension ref="A1:D17"/>
  <sheetViews>
    <sheetView workbookViewId="0"/>
  </sheetViews>
  <sheetFormatPr defaultRowHeight="12.75" x14ac:dyDescent="0.2"/>
  <cols>
    <col min="1" max="1" width="25.625" customWidth="1"/>
    <col min="2" max="4" width="20.625" customWidth="1"/>
  </cols>
  <sheetData>
    <row r="1" spans="1:4" x14ac:dyDescent="0.2">
      <c r="A1" s="1" t="str">
        <f>CONCATENATE("Bijlage F.1.5: ",tabeltype," totaalblad objecten")</f>
        <v>Bijlage F.1.5: Invultabel totaalblad objecten</v>
      </c>
    </row>
    <row r="3" spans="1:4" x14ac:dyDescent="0.2">
      <c r="A3" s="88" t="s">
        <v>452</v>
      </c>
      <c r="B3" s="92" t="s">
        <v>464</v>
      </c>
      <c r="C3" s="92" t="s">
        <v>175</v>
      </c>
      <c r="D3" s="92" t="s">
        <v>336</v>
      </c>
    </row>
    <row r="4" spans="1:4" ht="25.5" x14ac:dyDescent="0.2">
      <c r="A4" s="89" t="s">
        <v>453</v>
      </c>
      <c r="B4" s="95"/>
      <c r="C4" s="89" t="s">
        <v>446</v>
      </c>
      <c r="D4" s="89" t="s">
        <v>449</v>
      </c>
    </row>
    <row r="5" spans="1:4" x14ac:dyDescent="0.2">
      <c r="A5" s="89" t="s">
        <v>454</v>
      </c>
      <c r="B5" s="95"/>
      <c r="C5" s="93" t="s">
        <v>447</v>
      </c>
      <c r="D5" s="93" t="s">
        <v>447</v>
      </c>
    </row>
    <row r="6" spans="1:4" x14ac:dyDescent="0.2">
      <c r="A6" s="89" t="s">
        <v>455</v>
      </c>
      <c r="B6" s="95"/>
      <c r="C6" s="93" t="s">
        <v>448</v>
      </c>
      <c r="D6" s="93" t="s">
        <v>448</v>
      </c>
    </row>
    <row r="7" spans="1:4" x14ac:dyDescent="0.2">
      <c r="A7" s="89" t="s">
        <v>456</v>
      </c>
      <c r="B7" s="94">
        <f>SUM(C7:D7)</f>
        <v>10756.33</v>
      </c>
      <c r="C7" s="94">
        <v>5148.369999999999</v>
      </c>
      <c r="D7" s="94">
        <v>5607.9600000000009</v>
      </c>
    </row>
    <row r="8" spans="1:4" x14ac:dyDescent="0.2">
      <c r="A8" s="89" t="s">
        <v>176</v>
      </c>
      <c r="B8" s="95"/>
      <c r="C8" s="95"/>
      <c r="D8" s="95"/>
    </row>
    <row r="9" spans="1:4" x14ac:dyDescent="0.2">
      <c r="A9" s="89" t="s">
        <v>457</v>
      </c>
      <c r="B9" s="34">
        <f>SUM(C9:D9)</f>
        <v>0</v>
      </c>
      <c r="C9" s="94">
        <f>objecturenhf1_1</f>
        <v>0</v>
      </c>
      <c r="D9" s="94">
        <f>objecturenhf2_1</f>
        <v>0</v>
      </c>
    </row>
    <row r="10" spans="1:4" x14ac:dyDescent="0.2">
      <c r="A10" s="89" t="s">
        <v>458</v>
      </c>
      <c r="B10" s="34">
        <f>SUM(C10:D10)</f>
        <v>0</v>
      </c>
      <c r="C10" s="34">
        <f>objecturen1_1</f>
        <v>0</v>
      </c>
      <c r="D10" s="34">
        <f>objecturen2_1</f>
        <v>0</v>
      </c>
    </row>
    <row r="11" spans="1:4" ht="25.5" x14ac:dyDescent="0.2">
      <c r="A11" s="89" t="s">
        <v>459</v>
      </c>
      <c r="B11" s="34">
        <f>IF(AND(urenjaartotaal1&gt;0,dagenperjaar1&gt;0),B7/(urenjaartotaal1/dagenperjaar1),0)</f>
        <v>0</v>
      </c>
      <c r="C11" s="34">
        <f>IF(AND(objecturen1_1&gt;0,dagenperjaar1&gt;0),C7/(objecturen1_1/dagenperjaar1),0)</f>
        <v>0</v>
      </c>
      <c r="D11" s="34">
        <f>IF(AND(objecturen2_1&gt;0,dagenperjaar1&gt;0),D7/(objecturen2_1/dagenperjaar1),0)</f>
        <v>0</v>
      </c>
    </row>
    <row r="12" spans="1:4" x14ac:dyDescent="0.2">
      <c r="A12" s="89" t="s">
        <v>460</v>
      </c>
      <c r="B12" s="37">
        <f>SUM(C12:D12)</f>
        <v>0</v>
      </c>
      <c r="C12" s="37">
        <f>objectprijs1_1</f>
        <v>0</v>
      </c>
      <c r="D12" s="37">
        <f>objectprijs2_1</f>
        <v>0</v>
      </c>
    </row>
    <row r="13" spans="1:4" x14ac:dyDescent="0.2">
      <c r="A13" s="89" t="s">
        <v>461</v>
      </c>
      <c r="B13" s="37">
        <f>SUM(C13:D13)</f>
        <v>0</v>
      </c>
      <c r="C13" s="37">
        <f>C12/12</f>
        <v>0</v>
      </c>
      <c r="D13" s="37">
        <f>D12/12</f>
        <v>0</v>
      </c>
    </row>
    <row r="14" spans="1:4" x14ac:dyDescent="0.2">
      <c r="A14" s="89" t="s">
        <v>462</v>
      </c>
      <c r="B14" s="37">
        <f>SUM(C14:D14)</f>
        <v>0</v>
      </c>
      <c r="C14" s="37">
        <f>C13*1.21</f>
        <v>0</v>
      </c>
      <c r="D14" s="37">
        <f>D13*1.21</f>
        <v>0</v>
      </c>
    </row>
    <row r="15" spans="1:4" x14ac:dyDescent="0.2">
      <c r="A15" s="89" t="s">
        <v>176</v>
      </c>
      <c r="B15" s="95"/>
      <c r="C15" s="95"/>
      <c r="D15" s="95"/>
    </row>
    <row r="16" spans="1:4" x14ac:dyDescent="0.2">
      <c r="A16" s="89" t="s">
        <v>176</v>
      </c>
      <c r="B16" s="95"/>
      <c r="C16" s="95"/>
      <c r="D16" s="95"/>
    </row>
    <row r="17" spans="1:4" x14ac:dyDescent="0.2">
      <c r="A17" s="90" t="s">
        <v>463</v>
      </c>
      <c r="B17" s="41">
        <f>IF(B7&gt;0,B12/B7,0)</f>
        <v>0</v>
      </c>
      <c r="C17" s="41">
        <f>IF(C7&gt;0,C12/C7,0)</f>
        <v>0</v>
      </c>
      <c r="D17" s="41">
        <f>IF(D7&gt;0,D12/D7,0)</f>
        <v>0</v>
      </c>
    </row>
  </sheetData>
  <sheetProtection algorithmName="SHA-512" hashValue="+H+pLuEEGyNDPDlmCNVrscHGfYJzSsMxcbB8FN5C3hoT2FYeBfj57k3SJEmhF6F1dWHm8EaycP92O3XSzshRbQ==" saltValue="NwtmHybVXwYRNzhQMNvYp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1435-3469-47B5-AFFB-9D524E0B5D34}">
  <dimension ref="A1:L9"/>
  <sheetViews>
    <sheetView tabSelected="1" workbookViewId="0">
      <selection activeCell="F16" sqref="F16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F.1.6: ",tabeltype," additioneel werk")</f>
        <v>Bijlage F.1.6: Invultabel additioneel werk</v>
      </c>
    </row>
    <row r="3" spans="1:12" ht="38.25" x14ac:dyDescent="0.2">
      <c r="A3" s="8" t="s">
        <v>465</v>
      </c>
      <c r="B3" s="8" t="s">
        <v>7</v>
      </c>
      <c r="C3" s="8" t="s">
        <v>466</v>
      </c>
      <c r="D3" s="8" t="s">
        <v>27</v>
      </c>
      <c r="E3" s="8" t="s">
        <v>30</v>
      </c>
      <c r="F3" s="8" t="s">
        <v>467</v>
      </c>
      <c r="G3" s="8" t="s">
        <v>468</v>
      </c>
      <c r="H3" s="8" t="s">
        <v>469</v>
      </c>
      <c r="I3" s="8" t="s">
        <v>470</v>
      </c>
      <c r="J3" s="8" t="s">
        <v>471</v>
      </c>
      <c r="K3" s="8" t="s">
        <v>118</v>
      </c>
      <c r="L3" s="8" t="s">
        <v>445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96" t="s">
        <v>472</v>
      </c>
      <c r="B6" s="96" t="s">
        <v>23</v>
      </c>
      <c r="C6" s="97">
        <f>IF(ISBLANK(B6),0,IF(ISERROR(VALUE(B6)),VLOOKUP(B6,dagsoorttabel1,2,FALSE)*dagenperjaar1,VALUE(B6)))</f>
        <v>1</v>
      </c>
      <c r="D6" s="96" t="s">
        <v>473</v>
      </c>
      <c r="E6" s="96" t="s">
        <v>474</v>
      </c>
      <c r="F6" s="105">
        <v>8182</v>
      </c>
      <c r="G6" s="98"/>
      <c r="H6" s="99"/>
      <c r="I6" s="100"/>
      <c r="J6" s="101">
        <f>IF(ISBLANK(H6),0,F6 / ROUND(H6,4) * ROUND(G6,2))</f>
        <v>0</v>
      </c>
      <c r="K6" s="101">
        <f>C6*J6</f>
        <v>0</v>
      </c>
      <c r="L6" s="101">
        <f>K6/12</f>
        <v>0</v>
      </c>
    </row>
    <row r="7" spans="1:12" x14ac:dyDescent="0.2">
      <c r="A7" s="43" t="s">
        <v>162</v>
      </c>
      <c r="B7" s="44"/>
      <c r="C7" s="44"/>
      <c r="D7" s="44"/>
      <c r="E7" s="44"/>
      <c r="F7" s="44"/>
      <c r="G7" s="44"/>
      <c r="H7" s="44"/>
      <c r="I7" s="44"/>
      <c r="J7" s="44"/>
      <c r="K7" s="46">
        <f>SUM(K6:K6)</f>
        <v>0</v>
      </c>
      <c r="L7" s="102">
        <f>K7/12</f>
        <v>0</v>
      </c>
    </row>
    <row r="9" spans="1:12" x14ac:dyDescent="0.2">
      <c r="A9" s="43" t="s">
        <v>475</v>
      </c>
      <c r="B9" s="44"/>
      <c r="C9" s="44"/>
      <c r="D9" s="44"/>
      <c r="E9" s="44"/>
      <c r="F9" s="44"/>
      <c r="G9" s="44"/>
      <c r="H9" s="44"/>
      <c r="I9" s="44"/>
      <c r="J9" s="44"/>
      <c r="K9" s="46">
        <f>prijsjaaradditioneel1</f>
        <v>0</v>
      </c>
      <c r="L9" s="102">
        <f>K9/12</f>
        <v>0</v>
      </c>
    </row>
  </sheetData>
  <sheetProtection algorithmName="SHA-512" hashValue="6Y6yiBQwF2gg54JnVwRw7McOYALChyOBsLTLncE4yQvgb62gz35tVZ7Cuyhjaz0QIFkeBBkl/NsafNtNvd+u5w==" saltValue="VEtZ3xfKnqgFty5AsSBEN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57DE-070A-4B02-A526-CAEAB2E75C5E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F.1.8: ",tabeltype," afroep")</f>
        <v>Bijlage F.1.8: Invultabel afroep</v>
      </c>
    </row>
    <row r="3" spans="1:12" ht="38.25" x14ac:dyDescent="0.2">
      <c r="A3" s="8" t="s">
        <v>465</v>
      </c>
      <c r="B3" s="8" t="s">
        <v>7</v>
      </c>
      <c r="C3" s="8" t="s">
        <v>466</v>
      </c>
      <c r="D3" s="8" t="s">
        <v>27</v>
      </c>
      <c r="E3" s="8" t="s">
        <v>30</v>
      </c>
      <c r="F3" s="8" t="s">
        <v>467</v>
      </c>
      <c r="G3" s="8" t="s">
        <v>468</v>
      </c>
      <c r="H3" s="8" t="s">
        <v>469</v>
      </c>
      <c r="I3" s="8" t="s">
        <v>470</v>
      </c>
      <c r="J3" s="8" t="s">
        <v>471</v>
      </c>
      <c r="K3" s="8" t="s">
        <v>118</v>
      </c>
      <c r="L3" s="8" t="s">
        <v>445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476</v>
      </c>
      <c r="B6" s="15" t="s">
        <v>18</v>
      </c>
      <c r="C6" s="16">
        <f>IF(ISBLANK(B6),0,IF(ISERROR(VALUE(B6)),VLOOKUP(B6,dagsoorttabel1,2,FALSE)*dagenperjaar1,VALUE(B6)))</f>
        <v>12</v>
      </c>
      <c r="D6" s="15" t="s">
        <v>477</v>
      </c>
      <c r="E6" s="15" t="s">
        <v>478</v>
      </c>
      <c r="F6" s="103">
        <v>20</v>
      </c>
      <c r="G6" s="19"/>
      <c r="H6" s="104"/>
      <c r="I6" s="19"/>
      <c r="J6" s="33">
        <f>IF(ISBLANK(F6),0,F6)*ROUND(I6,2)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479</v>
      </c>
      <c r="B7" s="20" t="s">
        <v>18</v>
      </c>
      <c r="C7" s="21">
        <f>IF(ISBLANK(B7),0,IF(ISERROR(VALUE(B7)),VLOOKUP(B7,dagsoorttabel1,2,FALSE)*dagenperjaar1,VALUE(B7)))</f>
        <v>12</v>
      </c>
      <c r="D7" s="20" t="s">
        <v>480</v>
      </c>
      <c r="E7" s="20" t="s">
        <v>478</v>
      </c>
      <c r="F7" s="105">
        <v>10</v>
      </c>
      <c r="G7" s="24"/>
      <c r="H7" s="106"/>
      <c r="I7" s="24"/>
      <c r="J7" s="37">
        <f>IF(ISBLANK(F7),0,F7)*ROUND(I7,2)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481</v>
      </c>
      <c r="B8" s="25" t="s">
        <v>18</v>
      </c>
      <c r="C8" s="26">
        <f>IF(ISBLANK(B8),0,IF(ISERROR(VALUE(B8)),VLOOKUP(B8,dagsoorttabel1,2,FALSE)*dagenperjaar1,VALUE(B8)))</f>
        <v>12</v>
      </c>
      <c r="D8" s="25" t="s">
        <v>482</v>
      </c>
      <c r="E8" s="25" t="s">
        <v>478</v>
      </c>
      <c r="F8" s="107">
        <v>5</v>
      </c>
      <c r="G8" s="29"/>
      <c r="H8" s="108"/>
      <c r="I8" s="29"/>
      <c r="J8" s="41">
        <f>IF(ISBLANK(F8),0,F8)*ROUND(I8,2)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162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2">
        <f>K9/12</f>
        <v>0</v>
      </c>
    </row>
    <row r="11" spans="1:12" x14ac:dyDescent="0.2">
      <c r="A11" s="43" t="s">
        <v>483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prijsjaarafroep1</f>
        <v>0</v>
      </c>
      <c r="L11" s="102">
        <f>K11/12</f>
        <v>0</v>
      </c>
    </row>
  </sheetData>
  <sheetProtection algorithmName="SHA-512" hashValue="V89hCKSZIh8MXdHo9f5CUa2kndxWcQ6RTfjpsP+OyXCYqA8O9MX8fHae0a2R7t9j+S229rikeArivn87vVH6Vw==" saltValue="jxPaQUxNF2quBM4I6RWRb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&amp;LMarnix College EA 2025                                      &amp;ROpmaakdatum: 10-01-2025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301</vt:i4>
      </vt:variant>
    </vt:vector>
  </HeadingPairs>
  <TitlesOfParts>
    <vt:vector size="314" baseType="lpstr">
      <vt:lpstr>Omreken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Afroep</vt:lpstr>
      <vt:lpstr>Afroep incidenteel</vt:lpstr>
      <vt:lpstr>Glas</vt:lpstr>
      <vt:lpstr>Glas per locatie</vt:lpstr>
      <vt:lpstr>Totaal</vt:lpstr>
      <vt:lpstr>'Additioneel werk'!Afdruktitels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catdw_1_PHB_1</vt:lpstr>
      <vt:lpstr>catdw_1_PHV_40</vt:lpstr>
      <vt:lpstr>catdw_1_PMHB_1</vt:lpstr>
      <vt:lpstr>catdw_1_PMHV_40</vt:lpstr>
      <vt:lpstr>catdw_1_PUHB_1</vt:lpstr>
      <vt:lpstr>catdw_1_PUHV_40</vt:lpstr>
      <vt:lpstr>catdw_1_RZB_1</vt:lpstr>
      <vt:lpstr>catdw_1_RZV_40</vt:lpstr>
      <vt:lpstr>catdw_1_SHB_1</vt:lpstr>
      <vt:lpstr>catdw_1_SHV_40</vt:lpstr>
      <vt:lpstr>catdw_1_THB_1</vt:lpstr>
      <vt:lpstr>catdw_1_THV_40</vt:lpstr>
      <vt:lpstr>catdw_1_TZB_1</vt:lpstr>
      <vt:lpstr>catdw_1_TZV_40</vt:lpstr>
      <vt:lpstr>catdw_1_VHB_1</vt:lpstr>
      <vt:lpstr>catdw_1_VHV_40</vt:lpstr>
      <vt:lpstr>catdw_1_VZB_1</vt:lpstr>
      <vt:lpstr>catdw_1_VZV_40</vt:lpstr>
      <vt:lpstr>catfd_1_BHB_1</vt:lpstr>
      <vt:lpstr>catfd_1_BHV_40</vt:lpstr>
      <vt:lpstr>catfd_1_BZB_1</vt:lpstr>
      <vt:lpstr>catfd_1_BZV_40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catfd_1_PHB_1</vt:lpstr>
      <vt:lpstr>catfd_1_PHV_40</vt:lpstr>
      <vt:lpstr>catfd_1_PMHB_1</vt:lpstr>
      <vt:lpstr>catfd_1_PMHV_40</vt:lpstr>
      <vt:lpstr>catfd_1_PUHB_1</vt:lpstr>
      <vt:lpstr>catfd_1_PUHV_40</vt:lpstr>
      <vt:lpstr>catfd_1_RZB_1</vt:lpstr>
      <vt:lpstr>catfd_1_RZV_40</vt:lpstr>
      <vt:lpstr>catfd_1_SHB_1</vt:lpstr>
      <vt:lpstr>catfd_1_SHV_40</vt:lpstr>
      <vt:lpstr>catfd_1_THB_1</vt:lpstr>
      <vt:lpstr>catfd_1_THV_40</vt:lpstr>
      <vt:lpstr>catfd_1_TZB_1</vt:lpstr>
      <vt:lpstr>catfd_1_TZV_40</vt:lpstr>
      <vt:lpstr>catfd_1_VHB_1</vt:lpstr>
      <vt:lpstr>catfd_1_VHV_40</vt:lpstr>
      <vt:lpstr>catfd_1_VZB_1</vt:lpstr>
      <vt:lpstr>catfd_1_VZV_40</vt:lpstr>
      <vt:lpstr>catpn_1_BHB_1</vt:lpstr>
      <vt:lpstr>catpn_1_BHV_40</vt:lpstr>
      <vt:lpstr>catpn_1_BZB_1</vt:lpstr>
      <vt:lpstr>catpn_1_BZV_40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catpn_1_PHB_1</vt:lpstr>
      <vt:lpstr>catpn_1_PHV_40</vt:lpstr>
      <vt:lpstr>catpn_1_PMHB_1</vt:lpstr>
      <vt:lpstr>catpn_1_PMHV_40</vt:lpstr>
      <vt:lpstr>catpn_1_PUHB_1</vt:lpstr>
      <vt:lpstr>catpn_1_PUHV_40</vt:lpstr>
      <vt:lpstr>catpn_1_RZB_1</vt:lpstr>
      <vt:lpstr>catpn_1_RZV_40</vt:lpstr>
      <vt:lpstr>catpn_1_SHB_1</vt:lpstr>
      <vt:lpstr>catpn_1_SHV_40</vt:lpstr>
      <vt:lpstr>catpn_1_THB_1</vt:lpstr>
      <vt:lpstr>catpn_1_THV_40</vt:lpstr>
      <vt:lpstr>catpn_1_TZB_1</vt:lpstr>
      <vt:lpstr>catpn_1_TZV_40</vt:lpstr>
      <vt:lpstr>catpn_1_VHB_1</vt:lpstr>
      <vt:lpstr>catpn_1_VHV_40</vt:lpstr>
      <vt:lpstr>catpn_1_VZB_1</vt:lpstr>
      <vt:lpstr>catpn_1_VZV_40</vt:lpstr>
      <vt:lpstr>cattf_1_BHB_1</vt:lpstr>
      <vt:lpstr>cattf_1_BHV_40</vt:lpstr>
      <vt:lpstr>cattf_1_BZB_1</vt:lpstr>
      <vt:lpstr>cattf_1_BZV_40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cattf_1_PHB_1</vt:lpstr>
      <vt:lpstr>cattf_1_PHV_40</vt:lpstr>
      <vt:lpstr>cattf_1_PMHB_1</vt:lpstr>
      <vt:lpstr>cattf_1_PMHV_40</vt:lpstr>
      <vt:lpstr>cattf_1_PUHB_1</vt:lpstr>
      <vt:lpstr>cattf_1_PUHV_40</vt:lpstr>
      <vt:lpstr>cattf_1_RZB_1</vt:lpstr>
      <vt:lpstr>cattf_1_RZV_40</vt:lpstr>
      <vt:lpstr>cattf_1_SHB_1</vt:lpstr>
      <vt:lpstr>cattf_1_SHV_40</vt:lpstr>
      <vt:lpstr>cattf_1_THB_1</vt:lpstr>
      <vt:lpstr>cattf_1_THV_40</vt:lpstr>
      <vt:lpstr>cattf_1_TZB_1</vt:lpstr>
      <vt:lpstr>cattf_1_TZV_40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objectprijs1_1</vt:lpstr>
      <vt:lpstr>objectprijs2_1</vt:lpstr>
      <vt:lpstr>objecturen1_1</vt:lpstr>
      <vt:lpstr>objecturen2_1</vt:lpstr>
      <vt:lpstr>objecturenhf1_1</vt:lpstr>
      <vt:lpstr>objecturenhf2_1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prodnorm4</vt:lpstr>
      <vt:lpstr>prodnorm5</vt:lpstr>
      <vt:lpstr>prodnorm6</vt:lpstr>
      <vt:lpstr>prodnorm8</vt:lpstr>
      <vt:lpstr>prodnorm9</vt:lpstr>
      <vt:lpstr>taakfreqtabel1</vt:lpstr>
      <vt:lpstr>tabeltype</vt:lpstr>
      <vt:lpstr>tarieftabel1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uurtarief4</vt:lpstr>
      <vt:lpstr>uurtarief5</vt:lpstr>
      <vt:lpstr>uurtarief6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2025-01-10T12:51:31Z</dcterms:created>
  <dcterms:modified xsi:type="dcterms:W3CDTF">2025-01-10T12:58:17Z</dcterms:modified>
</cp:coreProperties>
</file>