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CIZ/Warme Drankenautomaten 2025/3. Leidraad/"/>
    </mc:Choice>
  </mc:AlternateContent>
  <xr:revisionPtr revIDLastSave="1634" documentId="8_{6CF3819E-08C4-421E-AAD7-CE404C09D89B}" xr6:coauthVersionLast="47" xr6:coauthVersionMax="47" xr10:uidLastSave="{1EB0F0F6-BD24-4654-8ABA-BFE466949C71}"/>
  <bookViews>
    <workbookView xWindow="-108" yWindow="-108" windowWidth="23256" windowHeight="12456" tabRatio="768" activeTab="3" xr2:uid="{00000000-000D-0000-FFFF-FFFF00000000}"/>
  </bookViews>
  <sheets>
    <sheet name="Leaseprijs" sheetId="1" r:id="rId1"/>
    <sheet name="Ingrediënten" sheetId="7" r:id="rId2"/>
    <sheet name="Aanvullende kosten" sheetId="5" r:id="rId3"/>
    <sheet name="Totalisatie" sheetId="3" r:id="rId4"/>
  </sheets>
  <definedNames>
    <definedName name="_xlnm.Print_Area" localSheetId="2">'Aanvullende kosten'!$A$1:$H$42</definedName>
    <definedName name="_xlnm.Print_Area" localSheetId="0">Leaseprijs!$A$1:$G$9</definedName>
    <definedName name="_xlnm.Print_Area" localSheetId="3">Totalisatie!$A$1:$E$28</definedName>
    <definedName name="Artikel">#REF!</definedName>
    <definedName name="Artikeltype1">#REF!</definedName>
    <definedName name="Artikeltype2aen3a">Ingrediënten!$C$41:$G$44</definedName>
    <definedName name="Grammagetype1">#REF!</definedName>
    <definedName name="Grammagetype2aen3a">Ingrediënten!$C$52:$E$96</definedName>
    <definedName name="mix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7" l="1"/>
  <c r="G48" i="7"/>
  <c r="G47" i="7"/>
  <c r="E13" i="3"/>
  <c r="E12" i="3"/>
  <c r="E11" i="3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4" i="5"/>
  <c r="H24" i="5" s="1"/>
  <c r="G23" i="5"/>
  <c r="H23" i="5" s="1"/>
  <c r="G18" i="5"/>
  <c r="H18" i="5" s="1"/>
  <c r="G21" i="5"/>
  <c r="H21" i="5" s="1"/>
  <c r="G20" i="5"/>
  <c r="H20" i="5" s="1"/>
  <c r="G9" i="5"/>
  <c r="H9" i="5" s="1"/>
  <c r="G11" i="5"/>
  <c r="H11" i="5" s="1"/>
  <c r="G10" i="5"/>
  <c r="H10" i="5" s="1"/>
  <c r="D89" i="7"/>
  <c r="D88" i="7"/>
  <c r="C18" i="7"/>
  <c r="C17" i="7"/>
  <c r="D60" i="7"/>
  <c r="C10" i="7"/>
  <c r="C11" i="7"/>
  <c r="C12" i="7"/>
  <c r="C13" i="7"/>
  <c r="C14" i="7"/>
  <c r="C15" i="7"/>
  <c r="C16" i="7"/>
  <c r="C9" i="7"/>
  <c r="C8" i="7"/>
  <c r="C7" i="7"/>
  <c r="D56" i="7"/>
  <c r="H37" i="5" l="1"/>
  <c r="D13" i="3" s="1"/>
  <c r="D90" i="7"/>
  <c r="B6" i="3" l="1"/>
  <c r="B37" i="7" l="1"/>
  <c r="B36" i="7"/>
  <c r="B32" i="7"/>
  <c r="B33" i="7"/>
  <c r="B34" i="7"/>
  <c r="B27" i="7"/>
  <c r="B30" i="7"/>
  <c r="B31" i="7"/>
  <c r="B28" i="7"/>
  <c r="B29" i="7"/>
  <c r="B26" i="7"/>
  <c r="A3" i="7" l="1"/>
  <c r="D53" i="7"/>
  <c r="D54" i="7" l="1"/>
  <c r="G12" i="5"/>
  <c r="H12" i="5" s="1"/>
  <c r="G25" i="5" l="1"/>
  <c r="H25" i="5" s="1"/>
  <c r="G22" i="5"/>
  <c r="H22" i="5" s="1"/>
  <c r="G19" i="5"/>
  <c r="H19" i="5" s="1"/>
  <c r="G17" i="5"/>
  <c r="H17" i="5" s="1"/>
  <c r="G16" i="5"/>
  <c r="H16" i="5" s="1"/>
  <c r="G8" i="5" l="1"/>
  <c r="H8" i="5" s="1"/>
  <c r="G7" i="5"/>
  <c r="H7" i="5" s="1"/>
  <c r="D72" i="7" l="1"/>
  <c r="D69" i="7"/>
  <c r="D57" i="7"/>
  <c r="D73" i="7" l="1"/>
  <c r="D70" i="7"/>
  <c r="D58" i="7"/>
  <c r="D8" i="7" l="1"/>
  <c r="D12" i="7"/>
  <c r="D13" i="7"/>
  <c r="D81" i="7" l="1"/>
  <c r="D80" i="7"/>
  <c r="D75" i="7"/>
  <c r="D77" i="7"/>
  <c r="D76" i="7"/>
  <c r="D82" i="7" l="1"/>
  <c r="D15" i="7" s="1"/>
  <c r="D78" i="7"/>
  <c r="D14" i="7" s="1"/>
  <c r="G44" i="7" l="1"/>
  <c r="E89" i="7" s="1"/>
  <c r="F7" i="1"/>
  <c r="G7" i="1" s="1"/>
  <c r="G8" i="1" s="1"/>
  <c r="D7" i="1"/>
  <c r="C8" i="1"/>
  <c r="E57" i="7" l="1"/>
  <c r="E76" i="7"/>
  <c r="G6" i="5" l="1"/>
  <c r="H6" i="5" s="1"/>
  <c r="H26" i="5" l="1"/>
  <c r="D12" i="3" s="1"/>
  <c r="H13" i="5"/>
  <c r="D11" i="3" s="1"/>
  <c r="D93" i="7"/>
  <c r="D92" i="7"/>
  <c r="D85" i="7"/>
  <c r="D84" i="7"/>
  <c r="D66" i="7"/>
  <c r="D67" i="7" s="1"/>
  <c r="D63" i="7"/>
  <c r="G43" i="7"/>
  <c r="E88" i="7" s="1"/>
  <c r="E90" i="7" s="1"/>
  <c r="G42" i="7"/>
  <c r="B38" i="7"/>
  <c r="C36" i="7" s="1"/>
  <c r="B17" i="7" s="1"/>
  <c r="E69" i="7" l="1"/>
  <c r="E72" i="7"/>
  <c r="E73" i="7" s="1"/>
  <c r="F13" i="7" s="1"/>
  <c r="E56" i="7"/>
  <c r="E60" i="7"/>
  <c r="C33" i="7"/>
  <c r="C32" i="7"/>
  <c r="B13" i="7" s="1"/>
  <c r="C30" i="7"/>
  <c r="B11" i="7" s="1"/>
  <c r="C29" i="7"/>
  <c r="B10" i="7" s="1"/>
  <c r="C31" i="7"/>
  <c r="B12" i="7" s="1"/>
  <c r="D7" i="7"/>
  <c r="E53" i="7"/>
  <c r="E54" i="7" s="1"/>
  <c r="F7" i="7" s="1"/>
  <c r="E80" i="7"/>
  <c r="C34" i="7"/>
  <c r="E81" i="7"/>
  <c r="E92" i="7"/>
  <c r="E75" i="7"/>
  <c r="E77" i="7"/>
  <c r="E93" i="7"/>
  <c r="D11" i="7"/>
  <c r="E63" i="7"/>
  <c r="E85" i="7"/>
  <c r="C37" i="7"/>
  <c r="B18" i="7" s="1"/>
  <c r="C27" i="7"/>
  <c r="B8" i="7" s="1"/>
  <c r="A20" i="7"/>
  <c r="C28" i="7"/>
  <c r="B9" i="7" s="1"/>
  <c r="C26" i="7"/>
  <c r="B7" i="7" s="1"/>
  <c r="C35" i="7"/>
  <c r="B16" i="7" s="1"/>
  <c r="D86" i="7"/>
  <c r="E84" i="7"/>
  <c r="D61" i="7"/>
  <c r="D9" i="7" s="1"/>
  <c r="E66" i="7"/>
  <c r="E67" i="7" s="1"/>
  <c r="F11" i="7" s="1"/>
  <c r="D64" i="7"/>
  <c r="D10" i="7" s="1"/>
  <c r="D94" i="7"/>
  <c r="D17" i="7" s="1"/>
  <c r="E17" i="7" s="1"/>
  <c r="D16" i="7" l="1"/>
  <c r="E16" i="7" s="1"/>
  <c r="D18" i="7"/>
  <c r="E18" i="7" s="1"/>
  <c r="B15" i="7"/>
  <c r="E15" i="7" s="1"/>
  <c r="B14" i="7"/>
  <c r="E14" i="7" s="1"/>
  <c r="E7" i="7"/>
  <c r="B9" i="3"/>
  <c r="E70" i="7"/>
  <c r="F12" i="7" s="1"/>
  <c r="G12" i="7" s="1"/>
  <c r="E58" i="7"/>
  <c r="F8" i="7" s="1"/>
  <c r="G8" i="7" s="1"/>
  <c r="E82" i="7"/>
  <c r="F15" i="7" s="1"/>
  <c r="E12" i="7"/>
  <c r="E8" i="7"/>
  <c r="E13" i="7"/>
  <c r="G13" i="7"/>
  <c r="E78" i="7"/>
  <c r="F14" i="7" s="1"/>
  <c r="E94" i="7"/>
  <c r="F17" i="7" s="1"/>
  <c r="G17" i="7" s="1"/>
  <c r="E61" i="7"/>
  <c r="F9" i="7" s="1"/>
  <c r="G7" i="7"/>
  <c r="E86" i="7"/>
  <c r="E10" i="7"/>
  <c r="E11" i="7"/>
  <c r="E64" i="7"/>
  <c r="F10" i="7" s="1"/>
  <c r="G10" i="7" s="1"/>
  <c r="G11" i="7"/>
  <c r="C38" i="7"/>
  <c r="F16" i="7" l="1"/>
  <c r="G16" i="7" s="1"/>
  <c r="D20" i="7"/>
  <c r="G15" i="7"/>
  <c r="F18" i="7"/>
  <c r="G18" i="7" s="1"/>
  <c r="G14" i="7"/>
  <c r="G9" i="7"/>
  <c r="E9" i="7"/>
  <c r="E20" i="7" s="1"/>
  <c r="E22" i="7" s="1"/>
  <c r="B20" i="7"/>
  <c r="F20" i="7" l="1"/>
  <c r="G20" i="7"/>
  <c r="G22" i="7" s="1"/>
  <c r="G23" i="7" s="1"/>
  <c r="D9" i="3" s="1"/>
  <c r="E9" i="3" s="1"/>
  <c r="E14" i="3" s="1"/>
  <c r="C7" i="3"/>
  <c r="D7" i="3" s="1"/>
  <c r="E7" i="3" s="1"/>
  <c r="A3" i="5" l="1"/>
  <c r="B7" i="3" l="1"/>
  <c r="D6" i="1" l="1"/>
  <c r="D8" i="1" s="1"/>
  <c r="C6" i="3" l="1"/>
  <c r="D6" i="3" s="1"/>
  <c r="E6" i="3" s="1"/>
</calcChain>
</file>

<file path=xl/sharedStrings.xml><?xml version="1.0" encoding="utf-8"?>
<sst xmlns="http://schemas.openxmlformats.org/spreadsheetml/2006/main" count="207" uniqueCount="118">
  <si>
    <t>Cacao</t>
  </si>
  <si>
    <t>Aantal</t>
  </si>
  <si>
    <t>gram</t>
  </si>
  <si>
    <t>Espresso</t>
  </si>
  <si>
    <t>Koffie</t>
  </si>
  <si>
    <t>Cappuccino</t>
  </si>
  <si>
    <t>Totaal per maand</t>
  </si>
  <si>
    <t>Korting</t>
  </si>
  <si>
    <t>Artikel</t>
  </si>
  <si>
    <t>Uurtarief</t>
  </si>
  <si>
    <t>Voorrijkosten</t>
  </si>
  <si>
    <t>Totaalprijs per maand 
(excl. btw)</t>
  </si>
  <si>
    <t>Prijs per maand 
excl . BTW</t>
  </si>
  <si>
    <t>Prijs per jaar 
excl. BTW</t>
  </si>
  <si>
    <t>Verhouding</t>
  </si>
  <si>
    <t>Consumptie</t>
  </si>
  <si>
    <t>Bruto</t>
  </si>
  <si>
    <t>Netto</t>
  </si>
  <si>
    <t>Consumpties (excl bekers)</t>
  </si>
  <si>
    <t>%  van totaal</t>
  </si>
  <si>
    <t>Totaal aantal consumpties</t>
  </si>
  <si>
    <t>Bruto excl. BTW</t>
  </si>
  <si>
    <t>Netto excl. BTW</t>
  </si>
  <si>
    <t>Leaseprijs per automaat</t>
  </si>
  <si>
    <t>Huidig verbruik</t>
  </si>
  <si>
    <t>Totaalprijs gedurende looptijd contract
excl. BTW</t>
  </si>
  <si>
    <t>Chocolademelk</t>
  </si>
  <si>
    <t>Latte macchiato</t>
  </si>
  <si>
    <t>Thee</t>
  </si>
  <si>
    <t>Lease en onderhoudskosten</t>
  </si>
  <si>
    <t>Consumptiekosten</t>
  </si>
  <si>
    <t>Merk / type</t>
  </si>
  <si>
    <t>Totaal netto 
excl. BTW</t>
  </si>
  <si>
    <t>Diversen</t>
  </si>
  <si>
    <t>Totaal diversen</t>
  </si>
  <si>
    <t>Onderdeel</t>
  </si>
  <si>
    <t>Aanvullende kosten</t>
  </si>
  <si>
    <t>Prijs per automaat 
per maand 
(excl. btw)</t>
  </si>
  <si>
    <t>Totaal consumpties</t>
  </si>
  <si>
    <t>Consumpties:</t>
  </si>
  <si>
    <t>Gemiddelde prijs per consumptie (excl. BTW)</t>
  </si>
  <si>
    <t>Totaal consumpties per jaar</t>
  </si>
  <si>
    <t>Dosering</t>
  </si>
  <si>
    <t>Grammage</t>
  </si>
  <si>
    <t>Merk (+ evt. keurmerk)</t>
  </si>
  <si>
    <t>Merk en grammage</t>
  </si>
  <si>
    <t>Wiener melange</t>
  </si>
  <si>
    <t>Café au lait/koffie verkeerd</t>
  </si>
  <si>
    <t>Leaseprijs</t>
  </si>
  <si>
    <t>Totaal thee</t>
  </si>
  <si>
    <t>CIZ - Warme Drankenautomaten</t>
  </si>
  <si>
    <t>Dubbele espresso</t>
  </si>
  <si>
    <t>Lungo</t>
  </si>
  <si>
    <t>Ristretto</t>
  </si>
  <si>
    <t>Americano</t>
  </si>
  <si>
    <t>Espresso macchiato</t>
  </si>
  <si>
    <t>Verzorgings- en onderhoudskosten per automaat</t>
  </si>
  <si>
    <t>Totaal leaseprijs (incl. verzorgings- en onderhoudskosten)</t>
  </si>
  <si>
    <t>Inschrijver dient alleen de oranje gearceerde cellen in te vullen</t>
  </si>
  <si>
    <t>Ondertekening:</t>
  </si>
  <si>
    <t>Naam inschrijver:</t>
  </si>
  <si>
    <t>Naam ondertekenaar:</t>
  </si>
  <si>
    <t>Functie:</t>
  </si>
  <si>
    <t>Datum:</t>
  </si>
  <si>
    <t xml:space="preserve"> Handtekening</t>
  </si>
  <si>
    <t>Aan de omschrijving en aantallen in dit prijzenblad kunnen geen rechten worden ontleend.</t>
  </si>
  <si>
    <t>Verzorging- en onderhoudskosten per automaat per maand in optiejaren
(excl. btw)</t>
  </si>
  <si>
    <t>Looptijd contract = 5 jaar + 3 optiejaren</t>
  </si>
  <si>
    <t>Verzorging- en onderhoudskosten in optiejaren</t>
  </si>
  <si>
    <t>Totaalbedrag t.b.v gunning (looptijd contract inclusief optiejaren)</t>
  </si>
  <si>
    <t>Aanvullende kosten conform
Programma van Eisen</t>
  </si>
  <si>
    <t>Onderhoudswerkzaamheden</t>
  </si>
  <si>
    <t>Verplaatsing, verhuizing, her-installatie</t>
  </si>
  <si>
    <t>Aantal consumpties 
in 2024</t>
  </si>
  <si>
    <t>Herstelwerkzaamheden</t>
  </si>
  <si>
    <t>Dispensers - conform eis 34</t>
  </si>
  <si>
    <t>Roerstaafjes hout - 140-5mm</t>
  </si>
  <si>
    <t>Per stuk</t>
  </si>
  <si>
    <t>Per 1.000 stuks</t>
  </si>
  <si>
    <t>Bruto per eenheid
excl. BTW</t>
  </si>
  <si>
    <t>Eenheid</t>
  </si>
  <si>
    <t>Friesche Vlag halfvolle melk</t>
  </si>
  <si>
    <t>12 x 1 liter</t>
  </si>
  <si>
    <t>Decaf sticks</t>
  </si>
  <si>
    <t>Per 200 stuks</t>
  </si>
  <si>
    <t>Suikerzakjes</t>
  </si>
  <si>
    <t>Creamerzakjes</t>
  </si>
  <si>
    <t>Zoetjes in zakje</t>
  </si>
  <si>
    <t>Per 500 stuks</t>
  </si>
  <si>
    <t>Bruto per eenheid 
 excl. BTW</t>
  </si>
  <si>
    <t>Aantal in 2024</t>
  </si>
  <si>
    <t>4 x 25 stuks</t>
  </si>
  <si>
    <t>Soep</t>
  </si>
  <si>
    <t>Totaal soep</t>
  </si>
  <si>
    <t>Netto per eenheid 
excl. BTW</t>
  </si>
  <si>
    <t>Netto per eenheid
excl. BTW</t>
  </si>
  <si>
    <t>Per 40 zakjes/sticks</t>
  </si>
  <si>
    <t>Drinkbouillon: Tomaat</t>
  </si>
  <si>
    <t>Drinkbouillon: Kip</t>
  </si>
  <si>
    <t>Drinkbouillon: Tuinkruiden</t>
  </si>
  <si>
    <t>Soep: Kip</t>
  </si>
  <si>
    <t>Per 21 zakjes/sticks/sachets</t>
  </si>
  <si>
    <t>Soep: Champignon</t>
  </si>
  <si>
    <t>Soep: Chinese tomaat</t>
  </si>
  <si>
    <t>Soep: Tomaat</t>
  </si>
  <si>
    <t>Soep: Kerrie</t>
  </si>
  <si>
    <t>Melkproduct</t>
  </si>
  <si>
    <t>Earl Grey</t>
  </si>
  <si>
    <t xml:space="preserve">Rooibos </t>
  </si>
  <si>
    <t>Rooibos honing</t>
  </si>
  <si>
    <t>Groene thee</t>
  </si>
  <si>
    <t xml:space="preserve">Groene thee - Lemon </t>
  </si>
  <si>
    <t>Lemon</t>
  </si>
  <si>
    <t xml:space="preserve">English Breakfast </t>
  </si>
  <si>
    <t>Kamille</t>
  </si>
  <si>
    <t xml:space="preserve">Mint </t>
  </si>
  <si>
    <t>Vruchten thee</t>
  </si>
  <si>
    <t>Eventuele overige ingrediënten die inschrijver voorstelt zoals havermelk 
(dit rekent niet mee in de totaaltelling)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</si>
</sst>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_-&quot;€&quot;\ * #,##0.000_-;_-&quot;€&quot;\ * #,##0.000\-;_-&quot;€&quot;\ * &quot;-&quot;??_-;_-@_-"/>
    <numFmt numFmtId="167" formatCode="_-* #,##0_-;_-* #,##0\-;_-* &quot;-&quot;??_-;_-@_-"/>
    <numFmt numFmtId="168" formatCode="&quot;€&quot;\ #,##0.00_-"/>
    <numFmt numFmtId="169" formatCode="_ &quot;€&quot;\ * #,##0.000_ ;_ &quot;€&quot;\ * \-#,##0.000_ ;_ &quot;€&quot;\ * &quot;-&quot;???_ ;_ @_ "/>
    <numFmt numFmtId="170" formatCode="&quot;€&quot;\ #,##0.000_-"/>
    <numFmt numFmtId="171" formatCode="0.000"/>
    <numFmt numFmtId="172" formatCode="#,##0_ ;\-#,##0\ "/>
    <numFmt numFmtId="173" formatCode="_ &quot;€&quot;\ * #,##0.00_ ;_ &quot;€&quot;\ * \-#,##0.00_ ;_ &quot;€&quot;\ * &quot;-&quot;????_ ;_ @_ "/>
    <numFmt numFmtId="174" formatCode="_ &quot;€&quot;\ * #,##0_ ;_ &quot;€&quot;\ * \-#,##0_ ;_ &quot;€&quot;\ * &quot;-&quot;??_ ;_ @_ "/>
    <numFmt numFmtId="17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ahoma"/>
      <family val="2"/>
    </font>
    <font>
      <b/>
      <sz val="11"/>
      <name val="Calibri"/>
      <family val="2"/>
      <scheme val="minor"/>
    </font>
    <font>
      <b/>
      <sz val="10"/>
      <color theme="0"/>
      <name val="Aptos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EA9922"/>
        <bgColor rgb="FF000000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165" fontId="3" fillId="0" borderId="0" xfId="3" applyNumberFormat="1" applyFont="1" applyAlignment="1" applyProtection="1">
      <alignment horizontal="center"/>
      <protection locked="0"/>
    </xf>
    <xf numFmtId="0" fontId="0" fillId="2" borderId="0" xfId="0" applyFill="1"/>
    <xf numFmtId="0" fontId="10" fillId="6" borderId="9" xfId="0" applyFont="1" applyFill="1" applyBorder="1" applyAlignment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0" borderId="17" xfId="0" applyFont="1" applyBorder="1"/>
    <xf numFmtId="0" fontId="7" fillId="2" borderId="9" xfId="0" applyFont="1" applyFill="1" applyBorder="1" applyAlignment="1">
      <alignment horizontal="center" vertical="center"/>
    </xf>
    <xf numFmtId="164" fontId="8" fillId="4" borderId="9" xfId="0" applyNumberFormat="1" applyFont="1" applyFill="1" applyBorder="1"/>
    <xf numFmtId="164" fontId="8" fillId="2" borderId="18" xfId="0" applyNumberFormat="1" applyFont="1" applyFill="1" applyBorder="1"/>
    <xf numFmtId="164" fontId="8" fillId="2" borderId="23" xfId="0" applyNumberFormat="1" applyFont="1" applyFill="1" applyBorder="1"/>
    <xf numFmtId="164" fontId="8" fillId="2" borderId="24" xfId="0" applyNumberFormat="1" applyFont="1" applyFill="1" applyBorder="1"/>
    <xf numFmtId="0" fontId="10" fillId="6" borderId="4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6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172" fontId="7" fillId="2" borderId="9" xfId="1" applyNumberFormat="1" applyFont="1" applyFill="1" applyBorder="1" applyAlignment="1" applyProtection="1">
      <alignment horizontal="center" vertical="center"/>
      <protection locked="0"/>
    </xf>
    <xf numFmtId="0" fontId="13" fillId="4" borderId="9" xfId="1" applyNumberFormat="1" applyFont="1" applyFill="1" applyBorder="1" applyAlignment="1" applyProtection="1">
      <alignment horizontal="left" vertical="center"/>
      <protection locked="0"/>
    </xf>
    <xf numFmtId="173" fontId="7" fillId="4" borderId="9" xfId="3" applyNumberFormat="1" applyFont="1" applyFill="1" applyBorder="1" applyAlignment="1" applyProtection="1">
      <alignment horizontal="center" vertical="center"/>
      <protection locked="0"/>
    </xf>
    <xf numFmtId="10" fontId="7" fillId="4" borderId="9" xfId="5" applyNumberFormat="1" applyFont="1" applyFill="1" applyBorder="1" applyAlignment="1" applyProtection="1">
      <alignment horizontal="center" vertical="center"/>
      <protection locked="0"/>
    </xf>
    <xf numFmtId="44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5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 applyProtection="1">
      <alignment horizontal="center" vertical="center"/>
      <protection locked="0"/>
    </xf>
    <xf numFmtId="174" fontId="5" fillId="6" borderId="7" xfId="2" applyNumberFormat="1" applyFont="1" applyFill="1" applyBorder="1" applyAlignment="1">
      <alignment vertical="center" wrapText="1"/>
    </xf>
    <xf numFmtId="174" fontId="16" fillId="8" borderId="1" xfId="2" applyNumberFormat="1" applyFont="1" applyFill="1" applyBorder="1" applyAlignment="1">
      <alignment horizontal="left" vertical="center" wrapText="1"/>
    </xf>
    <xf numFmtId="174" fontId="16" fillId="8" borderId="2" xfId="2" applyNumberFormat="1" applyFont="1" applyFill="1" applyBorder="1" applyAlignment="1">
      <alignment horizontal="left" vertical="center" wrapText="1"/>
    </xf>
    <xf numFmtId="174" fontId="16" fillId="8" borderId="3" xfId="2" applyNumberFormat="1" applyFont="1" applyFill="1" applyBorder="1" applyAlignment="1">
      <alignment horizontal="left" vertical="center" wrapText="1"/>
    </xf>
    <xf numFmtId="0" fontId="6" fillId="7" borderId="9" xfId="3" applyFont="1" applyFill="1" applyBorder="1" applyAlignment="1">
      <alignment vertical="center"/>
    </xf>
    <xf numFmtId="167" fontId="6" fillId="7" borderId="9" xfId="1" applyNumberFormat="1" applyFont="1" applyFill="1" applyBorder="1" applyAlignment="1" applyProtection="1">
      <alignment horizontal="center" vertical="center"/>
      <protection locked="0"/>
    </xf>
    <xf numFmtId="173" fontId="6" fillId="7" borderId="9" xfId="3" applyNumberFormat="1" applyFont="1" applyFill="1" applyBorder="1" applyAlignment="1" applyProtection="1">
      <alignment horizontal="center" vertical="center"/>
      <protection locked="0"/>
    </xf>
    <xf numFmtId="9" fontId="6" fillId="7" borderId="9" xfId="5" applyFont="1" applyFill="1" applyBorder="1" applyAlignment="1" applyProtection="1">
      <alignment horizontal="center" vertical="center"/>
      <protection locked="0"/>
    </xf>
    <xf numFmtId="166" fontId="6" fillId="7" borderId="9" xfId="0" applyNumberFormat="1" applyFont="1" applyFill="1" applyBorder="1" applyAlignment="1">
      <alignment horizontal="center" vertical="center"/>
    </xf>
    <xf numFmtId="44" fontId="6" fillId="7" borderId="9" xfId="0" applyNumberFormat="1" applyFont="1" applyFill="1" applyBorder="1" applyAlignment="1">
      <alignment vertical="center"/>
    </xf>
    <xf numFmtId="0" fontId="6" fillId="7" borderId="19" xfId="0" applyFont="1" applyFill="1" applyBorder="1"/>
    <xf numFmtId="0" fontId="6" fillId="7" borderId="20" xfId="0" applyFont="1" applyFill="1" applyBorder="1" applyAlignment="1">
      <alignment horizontal="center"/>
    </xf>
    <xf numFmtId="164" fontId="6" fillId="7" borderId="26" xfId="0" applyNumberFormat="1" applyFont="1" applyFill="1" applyBorder="1"/>
    <xf numFmtId="164" fontId="6" fillId="7" borderId="25" xfId="0" applyNumberFormat="1" applyFont="1" applyFill="1" applyBorder="1"/>
    <xf numFmtId="0" fontId="6" fillId="7" borderId="19" xfId="0" applyFont="1" applyFill="1" applyBorder="1" applyAlignment="1">
      <alignment horizontal="center"/>
    </xf>
    <xf numFmtId="164" fontId="6" fillId="7" borderId="21" xfId="0" applyNumberFormat="1" applyFont="1" applyFill="1" applyBorder="1"/>
    <xf numFmtId="0" fontId="10" fillId="6" borderId="29" xfId="0" applyFont="1" applyFill="1" applyBorder="1" applyAlignment="1">
      <alignment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vertical="center" wrapText="1"/>
    </xf>
    <xf numFmtId="10" fontId="11" fillId="0" borderId="0" xfId="0" applyNumberFormat="1" applyFont="1" applyAlignment="1">
      <alignment vertical="center" wrapText="1"/>
    </xf>
    <xf numFmtId="165" fontId="3" fillId="0" borderId="0" xfId="3" applyNumberFormat="1" applyFont="1" applyAlignment="1" applyProtection="1">
      <alignment horizontal="center" vertical="center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center"/>
    </xf>
    <xf numFmtId="0" fontId="10" fillId="6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10" fontId="8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66" fontId="8" fillId="0" borderId="9" xfId="0" applyNumberFormat="1" applyFont="1" applyBorder="1" applyAlignment="1">
      <alignment vertical="center"/>
    </xf>
    <xf numFmtId="167" fontId="8" fillId="0" borderId="9" xfId="1" applyNumberFormat="1" applyFont="1" applyFill="1" applyBorder="1" applyAlignment="1">
      <alignment vertical="center"/>
    </xf>
    <xf numFmtId="10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166" fontId="6" fillId="7" borderId="2" xfId="0" applyNumberFormat="1" applyFont="1" applyFill="1" applyBorder="1" applyAlignment="1">
      <alignment vertical="center"/>
    </xf>
    <xf numFmtId="166" fontId="6" fillId="7" borderId="22" xfId="0" applyNumberFormat="1" applyFont="1" applyFill="1" applyBorder="1" applyAlignment="1">
      <alignment vertical="center"/>
    </xf>
    <xf numFmtId="166" fontId="6" fillId="7" borderId="9" xfId="0" applyNumberFormat="1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6" fillId="7" borderId="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171" fontId="8" fillId="0" borderId="0" xfId="0" applyNumberFormat="1" applyFont="1" applyAlignment="1">
      <alignment vertical="center"/>
    </xf>
    <xf numFmtId="167" fontId="8" fillId="0" borderId="9" xfId="1" applyNumberFormat="1" applyFont="1" applyFill="1" applyBorder="1" applyAlignment="1" applyProtection="1">
      <alignment horizontal="center" vertical="center"/>
      <protection locked="0"/>
    </xf>
    <xf numFmtId="10" fontId="7" fillId="0" borderId="9" xfId="3" applyNumberFormat="1" applyFont="1" applyBorder="1" applyAlignment="1" applyProtection="1">
      <alignment horizontal="center" vertical="center"/>
      <protection locked="0"/>
    </xf>
    <xf numFmtId="10" fontId="6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7" fillId="2" borderId="9" xfId="3" applyFont="1" applyFill="1" applyBorder="1" applyAlignment="1">
      <alignment vertical="center"/>
    </xf>
    <xf numFmtId="167" fontId="6" fillId="7" borderId="9" xfId="3" applyNumberFormat="1" applyFont="1" applyFill="1" applyBorder="1" applyAlignment="1">
      <alignment vertical="center"/>
    </xf>
    <xf numFmtId="10" fontId="6" fillId="7" borderId="9" xfId="3" applyNumberFormat="1" applyFont="1" applyFill="1" applyBorder="1" applyAlignment="1">
      <alignment horizontal="center" vertical="center"/>
    </xf>
    <xf numFmtId="10" fontId="10" fillId="0" borderId="0" xfId="3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10" fillId="0" borderId="0" xfId="3" applyFont="1" applyAlignment="1">
      <alignment vertical="center"/>
    </xf>
    <xf numFmtId="167" fontId="10" fillId="0" borderId="0" xfId="3" applyNumberFormat="1" applyFont="1" applyAlignment="1">
      <alignment vertical="center"/>
    </xf>
    <xf numFmtId="10" fontId="6" fillId="0" borderId="0" xfId="3" applyNumberFormat="1" applyFont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3" fillId="4" borderId="6" xfId="1" applyNumberFormat="1" applyFont="1" applyFill="1" applyBorder="1" applyAlignment="1" applyProtection="1">
      <alignment horizontal="left" vertical="center"/>
      <protection locked="0"/>
    </xf>
    <xf numFmtId="166" fontId="8" fillId="4" borderId="9" xfId="0" applyNumberFormat="1" applyFont="1" applyFill="1" applyBorder="1" applyAlignment="1">
      <alignment vertical="center"/>
    </xf>
    <xf numFmtId="10" fontId="8" fillId="4" borderId="9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0" fontId="8" fillId="0" borderId="2" xfId="0" applyNumberFormat="1" applyFont="1" applyBorder="1" applyAlignment="1">
      <alignment vertical="center"/>
    </xf>
    <xf numFmtId="10" fontId="10" fillId="6" borderId="5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170" fontId="8" fillId="0" borderId="14" xfId="0" applyNumberFormat="1" applyFont="1" applyBorder="1" applyAlignment="1">
      <alignment vertical="center"/>
    </xf>
    <xf numFmtId="170" fontId="8" fillId="0" borderId="1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0" fontId="9" fillId="0" borderId="0" xfId="0" applyNumberFormat="1" applyFont="1" applyAlignment="1">
      <alignment vertical="center"/>
    </xf>
    <xf numFmtId="170" fontId="9" fillId="0" borderId="8" xfId="0" applyNumberFormat="1" applyFont="1" applyBorder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8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6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vertical="center" wrapText="1"/>
    </xf>
    <xf numFmtId="164" fontId="8" fillId="3" borderId="6" xfId="0" applyNumberFormat="1" applyFont="1" applyFill="1" applyBorder="1" applyAlignment="1">
      <alignment vertical="center"/>
    </xf>
    <xf numFmtId="164" fontId="8" fillId="7" borderId="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164" fontId="7" fillId="7" borderId="9" xfId="0" applyNumberFormat="1" applyFont="1" applyFill="1" applyBorder="1" applyAlignment="1">
      <alignment vertical="center"/>
    </xf>
    <xf numFmtId="167" fontId="7" fillId="2" borderId="0" xfId="1" applyNumberFormat="1" applyFont="1" applyFill="1" applyBorder="1" applyAlignment="1">
      <alignment horizontal="center" vertical="center"/>
    </xf>
    <xf numFmtId="168" fontId="8" fillId="3" borderId="7" xfId="0" applyNumberFormat="1" applyFont="1" applyFill="1" applyBorder="1" applyAlignment="1">
      <alignment vertical="center" wrapText="1"/>
    </xf>
    <xf numFmtId="164" fontId="7" fillId="3" borderId="8" xfId="0" applyNumberFormat="1" applyFont="1" applyFill="1" applyBorder="1" applyAlignment="1">
      <alignment vertical="center"/>
    </xf>
    <xf numFmtId="164" fontId="8" fillId="7" borderId="15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7" fillId="2" borderId="7" xfId="0" applyFont="1" applyFill="1" applyBorder="1" applyAlignment="1">
      <alignment vertical="center"/>
    </xf>
    <xf numFmtId="164" fontId="8" fillId="7" borderId="9" xfId="0" applyNumberFormat="1" applyFont="1" applyFill="1" applyBorder="1" applyAlignment="1">
      <alignment vertical="center"/>
    </xf>
    <xf numFmtId="167" fontId="8" fillId="2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44" fontId="9" fillId="0" borderId="0" xfId="2" applyFont="1" applyAlignment="1">
      <alignment vertical="center"/>
    </xf>
    <xf numFmtId="164" fontId="9" fillId="7" borderId="9" xfId="0" applyNumberFormat="1" applyFont="1" applyFill="1" applyBorder="1" applyAlignment="1">
      <alignment horizontal="center" vertical="center"/>
    </xf>
    <xf numFmtId="0" fontId="7" fillId="0" borderId="9" xfId="4" applyFont="1" applyBorder="1" applyAlignment="1">
      <alignment vertical="center" wrapText="1"/>
    </xf>
    <xf numFmtId="0" fontId="8" fillId="2" borderId="15" xfId="0" applyFont="1" applyFill="1" applyBorder="1" applyAlignment="1">
      <alignment vertical="center"/>
    </xf>
    <xf numFmtId="165" fontId="6" fillId="4" borderId="4" xfId="3" applyNumberFormat="1" applyFont="1" applyFill="1" applyBorder="1" applyAlignment="1" applyProtection="1">
      <alignment horizontal="center"/>
      <protection locked="0"/>
    </xf>
    <xf numFmtId="165" fontId="6" fillId="4" borderId="5" xfId="3" applyNumberFormat="1" applyFont="1" applyFill="1" applyBorder="1" applyAlignment="1" applyProtection="1">
      <alignment horizontal="center"/>
      <protection locked="0"/>
    </xf>
    <xf numFmtId="165" fontId="6" fillId="4" borderId="6" xfId="3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164" fontId="8" fillId="2" borderId="27" xfId="0" applyNumberFormat="1" applyFont="1" applyFill="1" applyBorder="1" applyAlignment="1">
      <alignment horizontal="center"/>
    </xf>
    <xf numFmtId="164" fontId="8" fillId="2" borderId="28" xfId="0" applyNumberFormat="1" applyFont="1" applyFill="1" applyBorder="1" applyAlignment="1">
      <alignment horizontal="center"/>
    </xf>
    <xf numFmtId="0" fontId="10" fillId="6" borderId="4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165" fontId="6" fillId="4" borderId="4" xfId="3" applyNumberFormat="1" applyFont="1" applyFill="1" applyBorder="1" applyAlignment="1" applyProtection="1">
      <alignment horizontal="center" vertical="center"/>
      <protection locked="0"/>
    </xf>
    <xf numFmtId="165" fontId="6" fillId="4" borderId="5" xfId="3" applyNumberFormat="1" applyFont="1" applyFill="1" applyBorder="1" applyAlignment="1" applyProtection="1">
      <alignment horizontal="center" vertical="center"/>
      <protection locked="0"/>
    </xf>
    <xf numFmtId="165" fontId="6" fillId="4" borderId="6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7" fillId="2" borderId="22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8" fillId="4" borderId="5" xfId="0" applyFont="1" applyFill="1" applyBorder="1"/>
    <xf numFmtId="0" fontId="8" fillId="4" borderId="6" xfId="0" applyFont="1" applyFill="1" applyBorder="1"/>
    <xf numFmtId="0" fontId="7" fillId="2" borderId="22" xfId="3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175" fontId="17" fillId="8" borderId="4" xfId="0" applyNumberFormat="1" applyFont="1" applyFill="1" applyBorder="1" applyAlignment="1">
      <alignment horizontal="left" vertical="center"/>
    </xf>
    <xf numFmtId="175" fontId="17" fillId="8" borderId="5" xfId="0" applyNumberFormat="1" applyFont="1" applyFill="1" applyBorder="1" applyAlignment="1">
      <alignment horizontal="left" vertical="center"/>
    </xf>
    <xf numFmtId="175" fontId="17" fillId="8" borderId="6" xfId="0" applyNumberFormat="1" applyFont="1" applyFill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174" fontId="16" fillId="9" borderId="4" xfId="2" applyNumberFormat="1" applyFont="1" applyFill="1" applyBorder="1" applyAlignment="1">
      <alignment horizontal="center" vertical="center" wrapText="1"/>
    </xf>
    <xf numFmtId="174" fontId="16" fillId="9" borderId="5" xfId="2" applyNumberFormat="1" applyFont="1" applyFill="1" applyBorder="1" applyAlignment="1">
      <alignment horizontal="center" vertical="center" wrapText="1"/>
    </xf>
    <xf numFmtId="174" fontId="16" fillId="9" borderId="6" xfId="2" applyNumberFormat="1" applyFont="1" applyFill="1" applyBorder="1" applyAlignment="1">
      <alignment horizontal="center" vertical="center" wrapText="1"/>
    </xf>
    <xf numFmtId="174" fontId="18" fillId="0" borderId="1" xfId="2" applyNumberFormat="1" applyFont="1" applyFill="1" applyBorder="1" applyAlignment="1">
      <alignment horizontal="center" vertical="center" wrapText="1"/>
    </xf>
    <xf numFmtId="174" fontId="18" fillId="0" borderId="2" xfId="2" applyNumberFormat="1" applyFont="1" applyFill="1" applyBorder="1" applyAlignment="1">
      <alignment horizontal="center" vertical="center" wrapText="1"/>
    </xf>
    <xf numFmtId="174" fontId="18" fillId="0" borderId="3" xfId="2" applyNumberFormat="1" applyFont="1" applyFill="1" applyBorder="1" applyAlignment="1">
      <alignment horizontal="center" vertical="center" wrapText="1"/>
    </xf>
    <xf numFmtId="174" fontId="16" fillId="8" borderId="4" xfId="2" applyNumberFormat="1" applyFont="1" applyFill="1" applyBorder="1" applyAlignment="1">
      <alignment horizontal="left" vertical="center" wrapText="1"/>
    </xf>
    <xf numFmtId="174" fontId="16" fillId="8" borderId="5" xfId="2" applyNumberFormat="1" applyFont="1" applyFill="1" applyBorder="1" applyAlignment="1">
      <alignment horizontal="left" vertical="center" wrapText="1"/>
    </xf>
    <xf numFmtId="174" fontId="16" fillId="8" borderId="6" xfId="2" applyNumberFormat="1" applyFont="1" applyFill="1" applyBorder="1" applyAlignment="1">
      <alignment horizontal="left" vertical="center" wrapText="1"/>
    </xf>
  </cellXfs>
  <cellStyles count="6">
    <cellStyle name="Komma" xfId="1" builtinId="3"/>
    <cellStyle name="Procent" xfId="5" builtinId="5"/>
    <cellStyle name="Standaard" xfId="0" builtinId="0"/>
    <cellStyle name="Standaard 11" xfId="4" xr:uid="{00000000-0005-0000-0000-000003000000}"/>
    <cellStyle name="Standaard 3" xfId="3" xr:uid="{00000000-0005-0000-0000-000004000000}"/>
    <cellStyle name="Valuta" xfId="2" builtinId="4"/>
  </cellStyles>
  <dxfs count="0"/>
  <tableStyles count="0" defaultTableStyle="TableStyleMedium2" defaultPivotStyle="PivotStyleLight16"/>
  <colors>
    <mruColors>
      <color rgb="FF2B4155"/>
      <color rgb="FFEA99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</xdr:row>
      <xdr:rowOff>104775</xdr:rowOff>
    </xdr:from>
    <xdr:to>
      <xdr:col>2</xdr:col>
      <xdr:colOff>1213696</xdr:colOff>
      <xdr:row>1</xdr:row>
      <xdr:rowOff>922999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DFCB9B2-1C38-49C2-1A69-048781234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95275"/>
          <a:ext cx="775546" cy="81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1</xdr:row>
      <xdr:rowOff>161925</xdr:rowOff>
    </xdr:from>
    <xdr:to>
      <xdr:col>2</xdr:col>
      <xdr:colOff>2320290</xdr:colOff>
      <xdr:row>1</xdr:row>
      <xdr:rowOff>985864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F0FCF1A-B8C1-4E83-857B-B3BB1881C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428625"/>
          <a:ext cx="828675" cy="8220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571501</xdr:colOff>
      <xdr:row>1</xdr:row>
      <xdr:rowOff>161925</xdr:rowOff>
    </xdr:from>
    <xdr:to>
      <xdr:col>4</xdr:col>
      <xdr:colOff>35040</xdr:colOff>
      <xdr:row>2</xdr:row>
      <xdr:rowOff>1905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32064C5-B8EA-44A2-ADB8-F067E15A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428625"/>
          <a:ext cx="806564" cy="792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390111</xdr:colOff>
      <xdr:row>2</xdr:row>
      <xdr:rowOff>49613</xdr:rowOff>
    </xdr:from>
    <xdr:to>
      <xdr:col>2</xdr:col>
      <xdr:colOff>485361</xdr:colOff>
      <xdr:row>2</xdr:row>
      <xdr:rowOff>879267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A68C83E-7357-46E3-A33F-F5F36207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361" y="421088"/>
          <a:ext cx="893445" cy="8353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showGridLines="0" view="pageBreakPreview" zoomScaleNormal="100" zoomScaleSheetLayoutView="100" workbookViewId="0">
      <selection sqref="A1:G1"/>
    </sheetView>
  </sheetViews>
  <sheetFormatPr defaultRowHeight="14.4" x14ac:dyDescent="0.3"/>
  <cols>
    <col min="1" max="1" width="40" bestFit="1" customWidth="1"/>
    <col min="2" max="2" width="20.33203125" customWidth="1"/>
    <col min="3" max="3" width="21.88671875" customWidth="1"/>
    <col min="4" max="4" width="24.5546875" customWidth="1"/>
    <col min="5" max="5" width="3.5546875" style="2" customWidth="1"/>
    <col min="6" max="6" width="22.88671875" customWidth="1"/>
    <col min="7" max="7" width="20.5546875" customWidth="1"/>
  </cols>
  <sheetData>
    <row r="1" spans="1:7" x14ac:dyDescent="0.3">
      <c r="A1" s="137" t="s">
        <v>58</v>
      </c>
      <c r="B1" s="138"/>
      <c r="C1" s="138"/>
      <c r="D1" s="138"/>
      <c r="E1" s="138"/>
      <c r="F1" s="138"/>
      <c r="G1" s="139"/>
    </row>
    <row r="2" spans="1:7" ht="82.5" customHeight="1" x14ac:dyDescent="0.3"/>
    <row r="3" spans="1:7" ht="28.5" customHeight="1" x14ac:dyDescent="0.3">
      <c r="A3" s="140" t="s">
        <v>50</v>
      </c>
      <c r="B3" s="140"/>
      <c r="C3" s="140"/>
      <c r="D3" s="140"/>
      <c r="E3" s="140"/>
      <c r="F3" s="140"/>
      <c r="G3" s="140"/>
    </row>
    <row r="4" spans="1:7" ht="12.75" customHeight="1" thickBot="1" x14ac:dyDescent="0.35"/>
    <row r="5" spans="1:7" ht="69" x14ac:dyDescent="0.3">
      <c r="A5" s="47" t="s">
        <v>48</v>
      </c>
      <c r="B5" s="48" t="s">
        <v>1</v>
      </c>
      <c r="C5" s="49" t="s">
        <v>37</v>
      </c>
      <c r="D5" s="50" t="s">
        <v>11</v>
      </c>
      <c r="E5" s="6"/>
      <c r="F5" s="51" t="s">
        <v>66</v>
      </c>
      <c r="G5" s="50" t="s">
        <v>11</v>
      </c>
    </row>
    <row r="6" spans="1:7" x14ac:dyDescent="0.3">
      <c r="A6" s="7" t="s">
        <v>23</v>
      </c>
      <c r="B6" s="8">
        <v>14</v>
      </c>
      <c r="C6" s="9">
        <v>0</v>
      </c>
      <c r="D6" s="10">
        <f>B6*C6</f>
        <v>0</v>
      </c>
      <c r="E6" s="6"/>
      <c r="F6" s="141"/>
      <c r="G6" s="142"/>
    </row>
    <row r="7" spans="1:7" x14ac:dyDescent="0.3">
      <c r="A7" s="7" t="s">
        <v>56</v>
      </c>
      <c r="B7" s="8">
        <v>14</v>
      </c>
      <c r="C7" s="9">
        <v>0</v>
      </c>
      <c r="D7" s="10">
        <f>B7*C7</f>
        <v>0</v>
      </c>
      <c r="E7" s="6"/>
      <c r="F7" s="11">
        <f>C7</f>
        <v>0</v>
      </c>
      <c r="G7" s="12">
        <f>B7*F7</f>
        <v>0</v>
      </c>
    </row>
    <row r="8" spans="1:7" ht="15" thickBot="1" x14ac:dyDescent="0.35">
      <c r="A8" s="41"/>
      <c r="B8" s="42" t="s">
        <v>6</v>
      </c>
      <c r="C8" s="43">
        <f>SUM(C6:C7)</f>
        <v>0</v>
      </c>
      <c r="D8" s="44">
        <f>SUM(D6:D7)</f>
        <v>0</v>
      </c>
      <c r="E8" s="15"/>
      <c r="F8" s="45" t="s">
        <v>6</v>
      </c>
      <c r="G8" s="46">
        <f>SUM(G7)</f>
        <v>0</v>
      </c>
    </row>
  </sheetData>
  <mergeCells count="3">
    <mergeCell ref="A1:G1"/>
    <mergeCell ref="A3:G3"/>
    <mergeCell ref="F6:G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FD62-6AF0-4E24-8CB0-7D94621D9A76}">
  <dimension ref="A1:G96"/>
  <sheetViews>
    <sheetView showGridLines="0" view="pageBreakPreview" zoomScaleNormal="100" zoomScaleSheetLayoutView="100" workbookViewId="0">
      <selection sqref="A1:G1"/>
    </sheetView>
  </sheetViews>
  <sheetFormatPr defaultColWidth="9.109375" defaultRowHeight="13.8" x14ac:dyDescent="0.3"/>
  <cols>
    <col min="1" max="1" width="28" style="27" customWidth="1"/>
    <col min="2" max="2" width="15.33203125" style="27" customWidth="1"/>
    <col min="3" max="3" width="37.33203125" style="27" bestFit="1" customWidth="1"/>
    <col min="4" max="4" width="18.109375" style="27" customWidth="1"/>
    <col min="5" max="5" width="15.109375" style="27" customWidth="1"/>
    <col min="6" max="6" width="15.6640625" style="27" customWidth="1"/>
    <col min="7" max="7" width="16.5546875" style="27" customWidth="1"/>
    <col min="8" max="8" width="6.109375" style="27" customWidth="1"/>
    <col min="9" max="10" width="11.109375" style="27" customWidth="1"/>
    <col min="11" max="16384" width="9.109375" style="27"/>
  </cols>
  <sheetData>
    <row r="1" spans="1:7" ht="15.75" customHeight="1" x14ac:dyDescent="0.3">
      <c r="A1" s="146" t="s">
        <v>58</v>
      </c>
      <c r="B1" s="147"/>
      <c r="C1" s="147"/>
      <c r="D1" s="147"/>
      <c r="E1" s="147"/>
      <c r="F1" s="147"/>
      <c r="G1" s="148"/>
    </row>
    <row r="2" spans="1:7" ht="93.75" customHeight="1" x14ac:dyDescent="0.3">
      <c r="B2" s="54"/>
    </row>
    <row r="3" spans="1:7" ht="19.95" customHeight="1" x14ac:dyDescent="0.3">
      <c r="A3" s="149" t="str">
        <f>Leaseprijs!A3</f>
        <v>CIZ - Warme Drankenautomaten</v>
      </c>
      <c r="B3" s="149"/>
      <c r="C3" s="149"/>
      <c r="D3" s="149"/>
      <c r="E3" s="149"/>
      <c r="F3" s="149"/>
      <c r="G3" s="149"/>
    </row>
    <row r="4" spans="1:7" ht="18" customHeight="1" x14ac:dyDescent="0.3">
      <c r="B4" s="54"/>
    </row>
    <row r="5" spans="1:7" x14ac:dyDescent="0.3">
      <c r="A5" s="55" t="s">
        <v>39</v>
      </c>
      <c r="B5" s="56"/>
      <c r="C5" s="56"/>
      <c r="D5" s="56"/>
      <c r="E5" s="56"/>
      <c r="F5" s="150"/>
      <c r="G5" s="151"/>
    </row>
    <row r="6" spans="1:7" s="58" customFormat="1" x14ac:dyDescent="0.3">
      <c r="A6" s="55" t="s">
        <v>1</v>
      </c>
      <c r="B6" s="20" t="s">
        <v>14</v>
      </c>
      <c r="C6" s="56" t="s">
        <v>15</v>
      </c>
      <c r="D6" s="150" t="s">
        <v>16</v>
      </c>
      <c r="E6" s="150"/>
      <c r="F6" s="150" t="s">
        <v>17</v>
      </c>
      <c r="G6" s="151"/>
    </row>
    <row r="7" spans="1:7" x14ac:dyDescent="0.3">
      <c r="A7" s="59"/>
      <c r="B7" s="60">
        <f t="shared" ref="B7:B16" si="0">C26</f>
        <v>0.34829027848454913</v>
      </c>
      <c r="C7" s="61" t="str">
        <f t="shared" ref="C7:C16" si="1">A26</f>
        <v>Koffie</v>
      </c>
      <c r="D7" s="62">
        <f>VLOOKUP(C7,Grammagetype2aen3a,2,0)</f>
        <v>0</v>
      </c>
      <c r="E7" s="62">
        <f>D7*$B7</f>
        <v>0</v>
      </c>
      <c r="F7" s="62">
        <f>VLOOKUP(C7,Grammagetype2aen3a,3,0)</f>
        <v>0</v>
      </c>
      <c r="G7" s="62">
        <f t="shared" ref="G7:G10" si="2">F7*$B7</f>
        <v>0</v>
      </c>
    </row>
    <row r="8" spans="1:7" x14ac:dyDescent="0.3">
      <c r="A8" s="59"/>
      <c r="B8" s="60">
        <f t="shared" si="0"/>
        <v>7.6540844733139768E-2</v>
      </c>
      <c r="C8" s="61" t="str">
        <f t="shared" si="1"/>
        <v>Cappuccino</v>
      </c>
      <c r="D8" s="62">
        <f t="shared" ref="D8" si="3">VLOOKUP(C8,Grammagetype2aen3a,2,0)</f>
        <v>0</v>
      </c>
      <c r="E8" s="62">
        <f>D8*$B8</f>
        <v>0</v>
      </c>
      <c r="F8" s="62">
        <f>VLOOKUP(C8,Grammagetype2aen3a,3,0)</f>
        <v>0</v>
      </c>
      <c r="G8" s="62">
        <f t="shared" si="2"/>
        <v>0</v>
      </c>
    </row>
    <row r="9" spans="1:7" x14ac:dyDescent="0.3">
      <c r="A9" s="59"/>
      <c r="B9" s="60">
        <f t="shared" si="0"/>
        <v>0.13692739046706778</v>
      </c>
      <c r="C9" s="61" t="str">
        <f t="shared" si="1"/>
        <v>Espresso</v>
      </c>
      <c r="D9" s="62">
        <f t="shared" ref="D9:D18" si="4">VLOOKUP(C9,Grammagetype2aen3a,2,0)</f>
        <v>0</v>
      </c>
      <c r="E9" s="62">
        <f t="shared" ref="E9:E18" si="5">D9*$B9</f>
        <v>0</v>
      </c>
      <c r="F9" s="62">
        <f t="shared" ref="F9:F18" si="6">VLOOKUP(C9,Grammagetype2aen3a,3,0)</f>
        <v>0</v>
      </c>
      <c r="G9" s="62">
        <f t="shared" si="2"/>
        <v>0</v>
      </c>
    </row>
    <row r="10" spans="1:7" x14ac:dyDescent="0.3">
      <c r="A10" s="59"/>
      <c r="B10" s="60">
        <f t="shared" si="0"/>
        <v>0.14520908791570628</v>
      </c>
      <c r="C10" s="61" t="str">
        <f t="shared" si="1"/>
        <v>Dubbele espresso</v>
      </c>
      <c r="D10" s="62">
        <f t="shared" si="4"/>
        <v>0</v>
      </c>
      <c r="E10" s="62">
        <f t="shared" si="5"/>
        <v>0</v>
      </c>
      <c r="F10" s="62">
        <f t="shared" si="6"/>
        <v>0</v>
      </c>
      <c r="G10" s="62">
        <f t="shared" si="2"/>
        <v>0</v>
      </c>
    </row>
    <row r="11" spans="1:7" x14ac:dyDescent="0.3">
      <c r="A11" s="59"/>
      <c r="B11" s="60">
        <f t="shared" si="0"/>
        <v>2.8536933377236309E-2</v>
      </c>
      <c r="C11" s="61" t="str">
        <f t="shared" si="1"/>
        <v>Ristretto</v>
      </c>
      <c r="D11" s="62">
        <f t="shared" si="4"/>
        <v>0</v>
      </c>
      <c r="E11" s="62">
        <f t="shared" si="5"/>
        <v>0</v>
      </c>
      <c r="F11" s="62">
        <f t="shared" si="6"/>
        <v>0</v>
      </c>
      <c r="G11" s="62">
        <f t="shared" ref="G11:G16" si="7">F11*$B11</f>
        <v>0</v>
      </c>
    </row>
    <row r="12" spans="1:7" x14ac:dyDescent="0.3">
      <c r="A12" s="59"/>
      <c r="B12" s="60">
        <f t="shared" si="0"/>
        <v>0.14923020125522596</v>
      </c>
      <c r="C12" s="61" t="str">
        <f t="shared" si="1"/>
        <v>Lungo</v>
      </c>
      <c r="D12" s="62">
        <f t="shared" ref="D12:D15" si="8">VLOOKUP(C12,Grammagetype2aen3a,2,0)</f>
        <v>0</v>
      </c>
      <c r="E12" s="62">
        <f t="shared" si="5"/>
        <v>0</v>
      </c>
      <c r="F12" s="62">
        <f t="shared" si="6"/>
        <v>0</v>
      </c>
      <c r="G12" s="62">
        <f t="shared" si="7"/>
        <v>0</v>
      </c>
    </row>
    <row r="13" spans="1:7" x14ac:dyDescent="0.3">
      <c r="A13" s="59"/>
      <c r="B13" s="60">
        <f t="shared" si="0"/>
        <v>6.3759092405783219E-3</v>
      </c>
      <c r="C13" s="61" t="str">
        <f t="shared" si="1"/>
        <v>Americano</v>
      </c>
      <c r="D13" s="62">
        <f t="shared" si="8"/>
        <v>0</v>
      </c>
      <c r="E13" s="62">
        <f t="shared" si="5"/>
        <v>0</v>
      </c>
      <c r="F13" s="62">
        <f t="shared" si="6"/>
        <v>0</v>
      </c>
      <c r="G13" s="62">
        <f t="shared" si="7"/>
        <v>0</v>
      </c>
    </row>
    <row r="14" spans="1:7" x14ac:dyDescent="0.3">
      <c r="A14" s="59"/>
      <c r="B14" s="60">
        <f t="shared" si="0"/>
        <v>5.0388641103162012E-3</v>
      </c>
      <c r="C14" s="61" t="str">
        <f t="shared" si="1"/>
        <v>Wiener melange</v>
      </c>
      <c r="D14" s="62">
        <f t="shared" si="8"/>
        <v>0</v>
      </c>
      <c r="E14" s="62">
        <f t="shared" si="5"/>
        <v>0</v>
      </c>
      <c r="F14" s="62">
        <f t="shared" si="6"/>
        <v>0</v>
      </c>
      <c r="G14" s="62">
        <f t="shared" si="7"/>
        <v>0</v>
      </c>
    </row>
    <row r="15" spans="1:7" x14ac:dyDescent="0.3">
      <c r="A15" s="59"/>
      <c r="B15" s="60">
        <f t="shared" si="0"/>
        <v>5.667474880514064E-3</v>
      </c>
      <c r="C15" s="61" t="str">
        <f t="shared" si="1"/>
        <v>Café au lait/koffie verkeerd</v>
      </c>
      <c r="D15" s="62">
        <f t="shared" si="8"/>
        <v>0</v>
      </c>
      <c r="E15" s="62">
        <f t="shared" si="5"/>
        <v>0</v>
      </c>
      <c r="F15" s="62">
        <f t="shared" si="6"/>
        <v>0</v>
      </c>
      <c r="G15" s="62">
        <f t="shared" si="7"/>
        <v>0</v>
      </c>
    </row>
    <row r="16" spans="1:7" x14ac:dyDescent="0.3">
      <c r="A16" s="59"/>
      <c r="B16" s="60">
        <f t="shared" si="0"/>
        <v>7.8117360633001065E-2</v>
      </c>
      <c r="C16" s="61" t="str">
        <f t="shared" si="1"/>
        <v>Chocolademelk</v>
      </c>
      <c r="D16" s="62">
        <f t="shared" si="4"/>
        <v>0</v>
      </c>
      <c r="E16" s="62">
        <f t="shared" si="5"/>
        <v>0</v>
      </c>
      <c r="F16" s="62">
        <f t="shared" si="6"/>
        <v>0</v>
      </c>
      <c r="G16" s="62">
        <f t="shared" si="7"/>
        <v>0</v>
      </c>
    </row>
    <row r="17" spans="1:7" x14ac:dyDescent="0.3">
      <c r="A17" s="59"/>
      <c r="B17" s="60">
        <f>C36</f>
        <v>1.8509094900270404E-2</v>
      </c>
      <c r="C17" s="61" t="str">
        <f>A36</f>
        <v>Latte macchiato</v>
      </c>
      <c r="D17" s="62">
        <f t="shared" ref="D17" si="9">VLOOKUP(C17,Grammagetype2aen3a,2,0)</f>
        <v>0</v>
      </c>
      <c r="E17" s="62">
        <f t="shared" ref="E17" si="10">D17*$B17</f>
        <v>0</v>
      </c>
      <c r="F17" s="62">
        <f t="shared" ref="F17" si="11">VLOOKUP(C17,Grammagetype2aen3a,3,0)</f>
        <v>0</v>
      </c>
      <c r="G17" s="62">
        <f t="shared" ref="G17" si="12">F17*$B17</f>
        <v>0</v>
      </c>
    </row>
    <row r="18" spans="1:7" x14ac:dyDescent="0.3">
      <c r="A18" s="59"/>
      <c r="B18" s="60">
        <f>C37</f>
        <v>1.5565600023947077E-3</v>
      </c>
      <c r="C18" s="61" t="str">
        <f>A37</f>
        <v>Espresso macchiato</v>
      </c>
      <c r="D18" s="62">
        <f t="shared" si="4"/>
        <v>0</v>
      </c>
      <c r="E18" s="62">
        <f t="shared" si="5"/>
        <v>0</v>
      </c>
      <c r="F18" s="62">
        <f t="shared" si="6"/>
        <v>0</v>
      </c>
      <c r="G18" s="62">
        <f>F18*$B18</f>
        <v>0</v>
      </c>
    </row>
    <row r="19" spans="1:7" x14ac:dyDescent="0.3">
      <c r="A19" s="59"/>
      <c r="B19" s="60"/>
      <c r="C19" s="59"/>
      <c r="D19" s="62"/>
      <c r="E19" s="62"/>
      <c r="F19" s="62"/>
      <c r="G19" s="62"/>
    </row>
    <row r="20" spans="1:7" x14ac:dyDescent="0.3">
      <c r="A20" s="63">
        <f>B38</f>
        <v>100221</v>
      </c>
      <c r="B20" s="60">
        <f>SUM(B7:B18)</f>
        <v>0.99999999999999989</v>
      </c>
      <c r="C20" s="59" t="s">
        <v>18</v>
      </c>
      <c r="D20" s="62">
        <f>SUM(D7:D18)</f>
        <v>0</v>
      </c>
      <c r="E20" s="62">
        <f>SUM(E7:E18)</f>
        <v>0</v>
      </c>
      <c r="F20" s="62">
        <f>SUM(F7:F18)</f>
        <v>0</v>
      </c>
      <c r="G20" s="62">
        <f>SUM(G7:G18)</f>
        <v>0</v>
      </c>
    </row>
    <row r="21" spans="1:7" x14ac:dyDescent="0.3">
      <c r="B21" s="64"/>
      <c r="D21" s="65"/>
      <c r="E21" s="65"/>
      <c r="F21" s="65"/>
      <c r="G21" s="65"/>
    </row>
    <row r="22" spans="1:7" s="69" customFormat="1" x14ac:dyDescent="0.3">
      <c r="A22" s="152" t="s">
        <v>40</v>
      </c>
      <c r="B22" s="153"/>
      <c r="C22" s="153"/>
      <c r="D22" s="66"/>
      <c r="E22" s="67">
        <f>SUM(E20:E20)</f>
        <v>0</v>
      </c>
      <c r="F22" s="68"/>
      <c r="G22" s="68">
        <f>SUM(G20:G20)</f>
        <v>0</v>
      </c>
    </row>
    <row r="23" spans="1:7" s="69" customFormat="1" x14ac:dyDescent="0.3">
      <c r="A23" s="70" t="s">
        <v>41</v>
      </c>
      <c r="B23" s="71"/>
      <c r="C23" s="72"/>
      <c r="D23" s="145"/>
      <c r="E23" s="145"/>
      <c r="F23" s="73"/>
      <c r="G23" s="68">
        <f>A20*G22</f>
        <v>0</v>
      </c>
    </row>
    <row r="24" spans="1:7" x14ac:dyDescent="0.3">
      <c r="B24" s="64"/>
      <c r="E24" s="74"/>
      <c r="G24" s="74"/>
    </row>
    <row r="25" spans="1:7" s="16" customFormat="1" ht="41.4" x14ac:dyDescent="0.3">
      <c r="A25" s="17" t="s">
        <v>24</v>
      </c>
      <c r="B25" s="18" t="s">
        <v>73</v>
      </c>
      <c r="C25" s="18" t="s">
        <v>19</v>
      </c>
    </row>
    <row r="26" spans="1:7" ht="14.25" customHeight="1" x14ac:dyDescent="0.3">
      <c r="A26" s="21" t="s">
        <v>4</v>
      </c>
      <c r="B26" s="75">
        <f>32575+2331</f>
        <v>34906</v>
      </c>
      <c r="C26" s="76">
        <f t="shared" ref="C26:C37" si="13">B26/$B$38</f>
        <v>0.34829027848454913</v>
      </c>
      <c r="E26" s="64"/>
    </row>
    <row r="27" spans="1:7" ht="14.25" customHeight="1" x14ac:dyDescent="0.3">
      <c r="A27" s="21" t="s">
        <v>5</v>
      </c>
      <c r="B27" s="75">
        <f>7398+273</f>
        <v>7671</v>
      </c>
      <c r="C27" s="76">
        <f t="shared" si="13"/>
        <v>7.6540844733139768E-2</v>
      </c>
      <c r="E27" s="77"/>
    </row>
    <row r="28" spans="1:7" ht="14.25" customHeight="1" x14ac:dyDescent="0.3">
      <c r="A28" s="21" t="s">
        <v>3</v>
      </c>
      <c r="B28" s="75">
        <f>12345+1378</f>
        <v>13723</v>
      </c>
      <c r="C28" s="76">
        <f t="shared" si="13"/>
        <v>0.13692739046706778</v>
      </c>
      <c r="E28" s="78"/>
      <c r="F28" s="79"/>
      <c r="G28" s="79"/>
    </row>
    <row r="29" spans="1:7" ht="14.25" customHeight="1" x14ac:dyDescent="0.3">
      <c r="A29" s="80" t="s">
        <v>51</v>
      </c>
      <c r="B29" s="75">
        <f>13053+1500</f>
        <v>14553</v>
      </c>
      <c r="C29" s="76">
        <f t="shared" si="13"/>
        <v>0.14520908791570628</v>
      </c>
      <c r="E29" s="53"/>
      <c r="F29" s="53"/>
      <c r="G29" s="79"/>
    </row>
    <row r="30" spans="1:7" ht="14.25" customHeight="1" x14ac:dyDescent="0.3">
      <c r="A30" s="80" t="s">
        <v>53</v>
      </c>
      <c r="B30" s="75">
        <f>2537+323</f>
        <v>2860</v>
      </c>
      <c r="C30" s="76">
        <f t="shared" si="13"/>
        <v>2.8536933377236309E-2</v>
      </c>
      <c r="E30" s="64"/>
      <c r="F30" s="79"/>
      <c r="G30" s="79"/>
    </row>
    <row r="31" spans="1:7" ht="14.25" customHeight="1" x14ac:dyDescent="0.3">
      <c r="A31" s="80" t="s">
        <v>52</v>
      </c>
      <c r="B31" s="75">
        <f>13594+1362</f>
        <v>14956</v>
      </c>
      <c r="C31" s="76">
        <f t="shared" si="13"/>
        <v>0.14923020125522596</v>
      </c>
      <c r="E31" s="52"/>
      <c r="F31" s="52"/>
      <c r="G31" s="79"/>
    </row>
    <row r="32" spans="1:7" ht="14.25" customHeight="1" x14ac:dyDescent="0.3">
      <c r="A32" s="80" t="s">
        <v>54</v>
      </c>
      <c r="B32" s="75">
        <f>609+30</f>
        <v>639</v>
      </c>
      <c r="C32" s="76">
        <f t="shared" si="13"/>
        <v>6.3759092405783219E-3</v>
      </c>
      <c r="E32" s="52"/>
      <c r="F32" s="52"/>
      <c r="G32" s="79"/>
    </row>
    <row r="33" spans="1:7" ht="14.25" customHeight="1" x14ac:dyDescent="0.3">
      <c r="A33" s="80" t="s">
        <v>46</v>
      </c>
      <c r="B33" s="75">
        <f>485+4+16</f>
        <v>505</v>
      </c>
      <c r="C33" s="76">
        <f t="shared" si="13"/>
        <v>5.0388641103162012E-3</v>
      </c>
      <c r="E33" s="52"/>
      <c r="F33" s="52"/>
      <c r="G33" s="79"/>
    </row>
    <row r="34" spans="1:7" ht="14.25" customHeight="1" x14ac:dyDescent="0.3">
      <c r="A34" s="80" t="s">
        <v>47</v>
      </c>
      <c r="B34" s="75">
        <f>547+3+18</f>
        <v>568</v>
      </c>
      <c r="C34" s="76">
        <f t="shared" si="13"/>
        <v>5.667474880514064E-3</v>
      </c>
      <c r="E34" s="64"/>
      <c r="F34" s="79"/>
      <c r="G34" s="79"/>
    </row>
    <row r="35" spans="1:7" ht="14.25" customHeight="1" x14ac:dyDescent="0.3">
      <c r="A35" s="21" t="s">
        <v>26</v>
      </c>
      <c r="B35" s="75">
        <v>7829</v>
      </c>
      <c r="C35" s="76">
        <f t="shared" si="13"/>
        <v>7.8117360633001065E-2</v>
      </c>
      <c r="D35" s="64"/>
      <c r="E35" s="64"/>
      <c r="F35" s="79"/>
      <c r="G35" s="79"/>
    </row>
    <row r="36" spans="1:7" ht="14.25" customHeight="1" x14ac:dyDescent="0.3">
      <c r="A36" s="21" t="s">
        <v>27</v>
      </c>
      <c r="B36" s="75">
        <f>1210+483+117+45</f>
        <v>1855</v>
      </c>
      <c r="C36" s="76">
        <f t="shared" si="13"/>
        <v>1.8509094900270404E-2</v>
      </c>
      <c r="E36" s="64"/>
      <c r="F36" s="79"/>
      <c r="G36" s="79"/>
    </row>
    <row r="37" spans="1:7" ht="14.25" customHeight="1" x14ac:dyDescent="0.3">
      <c r="A37" s="21" t="s">
        <v>55</v>
      </c>
      <c r="B37" s="75">
        <f>141+15</f>
        <v>156</v>
      </c>
      <c r="C37" s="76">
        <f t="shared" si="13"/>
        <v>1.5565600023947077E-3</v>
      </c>
      <c r="E37" s="64"/>
      <c r="F37" s="79"/>
      <c r="G37" s="79"/>
    </row>
    <row r="38" spans="1:7" ht="14.25" customHeight="1" x14ac:dyDescent="0.3">
      <c r="A38" s="35" t="s">
        <v>20</v>
      </c>
      <c r="B38" s="81">
        <f>SUM(B26:B37)</f>
        <v>100221</v>
      </c>
      <c r="C38" s="82">
        <f>SUM(C26:C37)</f>
        <v>0.99999999999999989</v>
      </c>
      <c r="D38" s="83"/>
      <c r="E38" s="84"/>
      <c r="F38" s="85"/>
    </row>
    <row r="39" spans="1:7" x14ac:dyDescent="0.3">
      <c r="A39" s="86"/>
      <c r="B39" s="87"/>
      <c r="C39" s="83"/>
      <c r="D39" s="83"/>
      <c r="E39" s="88"/>
      <c r="F39" s="83"/>
    </row>
    <row r="40" spans="1:7" x14ac:dyDescent="0.3">
      <c r="A40" s="86"/>
      <c r="B40" s="87"/>
      <c r="C40" s="83"/>
      <c r="D40" s="83"/>
      <c r="E40" s="88"/>
      <c r="F40" s="83"/>
    </row>
    <row r="41" spans="1:7" ht="27.6" x14ac:dyDescent="0.3">
      <c r="A41" s="89" t="s">
        <v>42</v>
      </c>
      <c r="B41" s="90"/>
      <c r="C41" s="90" t="s">
        <v>8</v>
      </c>
      <c r="D41" s="5" t="s">
        <v>44</v>
      </c>
      <c r="E41" s="20" t="s">
        <v>21</v>
      </c>
      <c r="F41" s="20" t="s">
        <v>7</v>
      </c>
      <c r="G41" s="57" t="s">
        <v>22</v>
      </c>
    </row>
    <row r="42" spans="1:7" x14ac:dyDescent="0.3">
      <c r="A42" s="91">
        <v>1000</v>
      </c>
      <c r="B42" s="92" t="s">
        <v>2</v>
      </c>
      <c r="C42" s="93" t="s">
        <v>0</v>
      </c>
      <c r="D42" s="94"/>
      <c r="E42" s="95">
        <v>0</v>
      </c>
      <c r="F42" s="96">
        <v>0</v>
      </c>
      <c r="G42" s="62">
        <f t="shared" ref="G42:G43" si="14">E42*(1-$F42)</f>
        <v>0</v>
      </c>
    </row>
    <row r="43" spans="1:7" x14ac:dyDescent="0.3">
      <c r="A43" s="97">
        <v>1000</v>
      </c>
      <c r="B43" s="27" t="s">
        <v>2</v>
      </c>
      <c r="C43" s="98" t="s">
        <v>4</v>
      </c>
      <c r="D43" s="94"/>
      <c r="E43" s="95">
        <v>0</v>
      </c>
      <c r="F43" s="96">
        <v>0</v>
      </c>
      <c r="G43" s="62">
        <f t="shared" si="14"/>
        <v>0</v>
      </c>
    </row>
    <row r="44" spans="1:7" x14ac:dyDescent="0.3">
      <c r="A44" s="99">
        <v>1000</v>
      </c>
      <c r="B44" s="100" t="s">
        <v>2</v>
      </c>
      <c r="C44" s="136" t="s">
        <v>106</v>
      </c>
      <c r="D44" s="94"/>
      <c r="E44" s="95">
        <v>0</v>
      </c>
      <c r="F44" s="96">
        <v>0</v>
      </c>
      <c r="G44" s="62">
        <f t="shared" ref="G44" si="15">E44*(1-$F44)</f>
        <v>0</v>
      </c>
    </row>
    <row r="45" spans="1:7" ht="15" customHeight="1" x14ac:dyDescent="0.3">
      <c r="B45" s="64"/>
    </row>
    <row r="46" spans="1:7" ht="42.75" customHeight="1" x14ac:dyDescent="0.3">
      <c r="A46" s="143" t="s">
        <v>117</v>
      </c>
      <c r="B46" s="144"/>
      <c r="C46" s="90" t="s">
        <v>8</v>
      </c>
      <c r="D46" s="5" t="s">
        <v>44</v>
      </c>
      <c r="E46" s="20" t="s">
        <v>21</v>
      </c>
      <c r="F46" s="20" t="s">
        <v>7</v>
      </c>
      <c r="G46" s="57" t="s">
        <v>22</v>
      </c>
    </row>
    <row r="47" spans="1:7" ht="15" customHeight="1" x14ac:dyDescent="0.3">
      <c r="A47" s="91">
        <v>1000</v>
      </c>
      <c r="B47" s="92" t="s">
        <v>2</v>
      </c>
      <c r="C47" s="23"/>
      <c r="D47" s="94"/>
      <c r="E47" s="95">
        <v>0</v>
      </c>
      <c r="F47" s="96">
        <v>0</v>
      </c>
      <c r="G47" s="62">
        <f t="shared" ref="G47:G49" si="16">E47*(1-$F47)</f>
        <v>0</v>
      </c>
    </row>
    <row r="48" spans="1:7" ht="15" customHeight="1" x14ac:dyDescent="0.3">
      <c r="A48" s="97">
        <v>1000</v>
      </c>
      <c r="B48" s="27" t="s">
        <v>2</v>
      </c>
      <c r="C48" s="23"/>
      <c r="D48" s="94"/>
      <c r="E48" s="95">
        <v>0</v>
      </c>
      <c r="F48" s="96">
        <v>0</v>
      </c>
      <c r="G48" s="62">
        <f t="shared" si="16"/>
        <v>0</v>
      </c>
    </row>
    <row r="49" spans="1:7" ht="15" customHeight="1" x14ac:dyDescent="0.3">
      <c r="A49" s="99">
        <v>1000</v>
      </c>
      <c r="B49" s="100" t="s">
        <v>2</v>
      </c>
      <c r="C49" s="23"/>
      <c r="D49" s="94"/>
      <c r="E49" s="95">
        <v>0</v>
      </c>
      <c r="F49" s="96">
        <v>0</v>
      </c>
      <c r="G49" s="62">
        <f t="shared" si="16"/>
        <v>0</v>
      </c>
    </row>
    <row r="50" spans="1:7" ht="15" customHeight="1" x14ac:dyDescent="0.3">
      <c r="B50" s="64"/>
    </row>
    <row r="51" spans="1:7" ht="10.5" customHeight="1" x14ac:dyDescent="0.3">
      <c r="A51" s="91"/>
      <c r="B51" s="102"/>
      <c r="C51" s="92"/>
      <c r="D51" s="92"/>
      <c r="E51" s="93"/>
    </row>
    <row r="52" spans="1:7" x14ac:dyDescent="0.3">
      <c r="A52" s="19" t="s">
        <v>43</v>
      </c>
      <c r="B52" s="103"/>
      <c r="C52" s="56" t="s">
        <v>8</v>
      </c>
      <c r="D52" s="20" t="s">
        <v>16</v>
      </c>
      <c r="E52" s="57" t="s">
        <v>17</v>
      </c>
    </row>
    <row r="53" spans="1:7" ht="14.4" thickBot="1" x14ac:dyDescent="0.35">
      <c r="A53" s="104"/>
      <c r="B53" s="27" t="s">
        <v>2</v>
      </c>
      <c r="C53" s="105" t="s">
        <v>4</v>
      </c>
      <c r="D53" s="106">
        <f>VLOOKUP(C53,Artikeltype2aen3a,3,0)/1000*A53</f>
        <v>0</v>
      </c>
      <c r="E53" s="107">
        <f>VLOOKUP(C53,Artikeltype2aen3a,5,0)/1000*A53</f>
        <v>0</v>
      </c>
    </row>
    <row r="54" spans="1:7" ht="14.4" thickTop="1" x14ac:dyDescent="0.3">
      <c r="A54" s="97"/>
      <c r="C54" s="108" t="s">
        <v>4</v>
      </c>
      <c r="D54" s="109">
        <f>SUM(D53)</f>
        <v>0</v>
      </c>
      <c r="E54" s="110">
        <f>SUM(E53)</f>
        <v>0</v>
      </c>
    </row>
    <row r="55" spans="1:7" x14ac:dyDescent="0.3">
      <c r="A55" s="97"/>
      <c r="C55" s="108"/>
      <c r="D55" s="109"/>
      <c r="E55" s="110"/>
    </row>
    <row r="56" spans="1:7" x14ac:dyDescent="0.3">
      <c r="A56" s="104"/>
      <c r="B56" s="27" t="s">
        <v>2</v>
      </c>
      <c r="C56" s="27" t="s">
        <v>4</v>
      </c>
      <c r="D56" s="111">
        <f>VLOOKUP(C56,Artikeltype2aen3a,3,0)/1000*A56</f>
        <v>0</v>
      </c>
      <c r="E56" s="112">
        <f>VLOOKUP(C56,Artikeltype2aen3a,5,0)/1000*A56</f>
        <v>0</v>
      </c>
    </row>
    <row r="57" spans="1:7" ht="14.4" thickBot="1" x14ac:dyDescent="0.35">
      <c r="A57" s="104"/>
      <c r="B57" s="27" t="s">
        <v>2</v>
      </c>
      <c r="C57" s="113" t="s">
        <v>106</v>
      </c>
      <c r="D57" s="106">
        <f>VLOOKUP(C57,Artikeltype2aen3a,3,0)/1000*A57</f>
        <v>0</v>
      </c>
      <c r="E57" s="107">
        <f>VLOOKUP(C57,Artikeltype2aen3a,5,0)/1000*A57</f>
        <v>0</v>
      </c>
    </row>
    <row r="58" spans="1:7" ht="14.4" thickTop="1" x14ac:dyDescent="0.3">
      <c r="A58" s="97"/>
      <c r="C58" s="108" t="s">
        <v>5</v>
      </c>
      <c r="D58" s="109">
        <f>SUM(D56:D57)</f>
        <v>0</v>
      </c>
      <c r="E58" s="110">
        <f>SUM(E56:E57)</f>
        <v>0</v>
      </c>
    </row>
    <row r="59" spans="1:7" x14ac:dyDescent="0.3">
      <c r="A59" s="97"/>
      <c r="C59" s="108"/>
      <c r="D59" s="109"/>
      <c r="E59" s="110"/>
    </row>
    <row r="60" spans="1:7" ht="14.4" thickBot="1" x14ac:dyDescent="0.35">
      <c r="A60" s="104"/>
      <c r="B60" s="27" t="s">
        <v>2</v>
      </c>
      <c r="C60" s="113" t="s">
        <v>4</v>
      </c>
      <c r="D60" s="106">
        <f>VLOOKUP(C60,Artikeltype2aen3a,3,0)/1000*A60</f>
        <v>0</v>
      </c>
      <c r="E60" s="107">
        <f>VLOOKUP(C60,Artikeltype2aen3a,5,0)/1000*A60</f>
        <v>0</v>
      </c>
    </row>
    <row r="61" spans="1:7" ht="14.4" thickTop="1" x14ac:dyDescent="0.3">
      <c r="A61" s="97"/>
      <c r="C61" s="108" t="s">
        <v>3</v>
      </c>
      <c r="D61" s="109">
        <f>SUM(D60:D60)</f>
        <v>0</v>
      </c>
      <c r="E61" s="110">
        <f>SUM(E60:E60)</f>
        <v>0</v>
      </c>
    </row>
    <row r="62" spans="1:7" x14ac:dyDescent="0.3">
      <c r="A62" s="97"/>
      <c r="E62" s="98"/>
    </row>
    <row r="63" spans="1:7" ht="14.4" thickBot="1" x14ac:dyDescent="0.35">
      <c r="A63" s="104"/>
      <c r="B63" s="27" t="s">
        <v>2</v>
      </c>
      <c r="C63" s="113" t="s">
        <v>4</v>
      </c>
      <c r="D63" s="106">
        <f>VLOOKUP(C63,Artikeltype2aen3a,3,0)/1000*A63</f>
        <v>0</v>
      </c>
      <c r="E63" s="107">
        <f>VLOOKUP(C63,Artikeltype2aen3a,5,0)/1000*A63</f>
        <v>0</v>
      </c>
    </row>
    <row r="64" spans="1:7" ht="14.4" thickTop="1" x14ac:dyDescent="0.3">
      <c r="A64" s="97"/>
      <c r="C64" s="108" t="s">
        <v>51</v>
      </c>
      <c r="D64" s="109">
        <f>SUM(D63:D63)</f>
        <v>0</v>
      </c>
      <c r="E64" s="110">
        <f>SUM(E63:E63)</f>
        <v>0</v>
      </c>
    </row>
    <row r="65" spans="1:5" x14ac:dyDescent="0.3">
      <c r="A65" s="97"/>
      <c r="C65" s="108"/>
      <c r="D65" s="109"/>
      <c r="E65" s="110"/>
    </row>
    <row r="66" spans="1:5" ht="14.4" thickBot="1" x14ac:dyDescent="0.35">
      <c r="A66" s="104"/>
      <c r="B66" s="27" t="s">
        <v>2</v>
      </c>
      <c r="C66" s="105" t="s">
        <v>4</v>
      </c>
      <c r="D66" s="106">
        <f>VLOOKUP(C66,Artikeltype2aen3a,3,0)/1000*A66</f>
        <v>0</v>
      </c>
      <c r="E66" s="107">
        <f>VLOOKUP(C66,Artikeltype2aen3a,5,0)/1000*A66</f>
        <v>0</v>
      </c>
    </row>
    <row r="67" spans="1:5" ht="14.4" thickTop="1" x14ac:dyDescent="0.3">
      <c r="A67" s="97"/>
      <c r="C67" s="108" t="s">
        <v>53</v>
      </c>
      <c r="D67" s="109">
        <f>SUM(D66)</f>
        <v>0</v>
      </c>
      <c r="E67" s="110">
        <f>SUM(E66)</f>
        <v>0</v>
      </c>
    </row>
    <row r="68" spans="1:5" x14ac:dyDescent="0.3">
      <c r="A68" s="97"/>
      <c r="C68" s="108"/>
      <c r="D68" s="109"/>
      <c r="E68" s="110"/>
    </row>
    <row r="69" spans="1:5" ht="14.4" thickBot="1" x14ac:dyDescent="0.35">
      <c r="A69" s="104"/>
      <c r="B69" s="27" t="s">
        <v>2</v>
      </c>
      <c r="C69" s="113" t="s">
        <v>4</v>
      </c>
      <c r="D69" s="106">
        <f>VLOOKUP(C69,Artikeltype2aen3a,3,0)/1000*A69</f>
        <v>0</v>
      </c>
      <c r="E69" s="107">
        <f>VLOOKUP(C69,Artikeltype2aen3a,5,0)/1000*A69</f>
        <v>0</v>
      </c>
    </row>
    <row r="70" spans="1:5" ht="14.4" thickTop="1" x14ac:dyDescent="0.3">
      <c r="A70" s="97"/>
      <c r="C70" s="108" t="s">
        <v>52</v>
      </c>
      <c r="D70" s="109">
        <f>SUM(D69:D69)</f>
        <v>0</v>
      </c>
      <c r="E70" s="110">
        <f>SUM(E69:E69)</f>
        <v>0</v>
      </c>
    </row>
    <row r="71" spans="1:5" x14ac:dyDescent="0.3">
      <c r="A71" s="97"/>
      <c r="C71" s="108"/>
      <c r="D71" s="109"/>
      <c r="E71" s="110"/>
    </row>
    <row r="72" spans="1:5" ht="14.4" thickBot="1" x14ac:dyDescent="0.35">
      <c r="A72" s="104"/>
      <c r="B72" s="27" t="s">
        <v>2</v>
      </c>
      <c r="C72" s="113" t="s">
        <v>4</v>
      </c>
      <c r="D72" s="106">
        <f>VLOOKUP(C72,Artikeltype2aen3a,3,0)/1000*A72</f>
        <v>0</v>
      </c>
      <c r="E72" s="107">
        <f>VLOOKUP(C72,Artikeltype2aen3a,5,0)/1000*A72</f>
        <v>0</v>
      </c>
    </row>
    <row r="73" spans="1:5" ht="14.4" thickTop="1" x14ac:dyDescent="0.3">
      <c r="A73" s="97"/>
      <c r="C73" s="108" t="s">
        <v>54</v>
      </c>
      <c r="D73" s="109">
        <f>SUM(D72:D72)</f>
        <v>0</v>
      </c>
      <c r="E73" s="110">
        <f>SUM(E72:E72)</f>
        <v>0</v>
      </c>
    </row>
    <row r="74" spans="1:5" x14ac:dyDescent="0.3">
      <c r="A74" s="97"/>
      <c r="E74" s="98"/>
    </row>
    <row r="75" spans="1:5" x14ac:dyDescent="0.3">
      <c r="A75" s="104"/>
      <c r="B75" s="27" t="s">
        <v>2</v>
      </c>
      <c r="C75" s="27" t="s">
        <v>4</v>
      </c>
      <c r="D75" s="111">
        <f>VLOOKUP(C75,Artikeltype2aen3a,3,0)/1000*A75</f>
        <v>0</v>
      </c>
      <c r="E75" s="112">
        <f>VLOOKUP(C75,Artikeltype2aen3a,5,0)/1000*A75</f>
        <v>0</v>
      </c>
    </row>
    <row r="76" spans="1:5" x14ac:dyDescent="0.3">
      <c r="A76" s="104"/>
      <c r="B76" s="27" t="s">
        <v>2</v>
      </c>
      <c r="C76" s="27" t="s">
        <v>106</v>
      </c>
      <c r="D76" s="111">
        <f>VLOOKUP(C76,Artikeltype2aen3a,3,0)/1000*A76</f>
        <v>0</v>
      </c>
      <c r="E76" s="112">
        <f>VLOOKUP(C76,Artikeltype2aen3a,5,0)/1000*A76</f>
        <v>0</v>
      </c>
    </row>
    <row r="77" spans="1:5" ht="14.4" thickBot="1" x14ac:dyDescent="0.35">
      <c r="A77" s="104"/>
      <c r="B77" s="27" t="s">
        <v>2</v>
      </c>
      <c r="C77" s="113" t="s">
        <v>0</v>
      </c>
      <c r="D77" s="106">
        <f>VLOOKUP(C77,Artikeltype2aen3a,3,0)/1000*A77</f>
        <v>0</v>
      </c>
      <c r="E77" s="107">
        <f>VLOOKUP(C77,Artikeltype2aen3a,5,0)/1000*A77</f>
        <v>0</v>
      </c>
    </row>
    <row r="78" spans="1:5" ht="14.4" thickTop="1" x14ac:dyDescent="0.3">
      <c r="A78" s="97"/>
      <c r="C78" s="108" t="s">
        <v>46</v>
      </c>
      <c r="D78" s="109">
        <f>SUM(D75:D77)</f>
        <v>0</v>
      </c>
      <c r="E78" s="110">
        <f>SUM(E75:E77)</f>
        <v>0</v>
      </c>
    </row>
    <row r="79" spans="1:5" x14ac:dyDescent="0.3">
      <c r="A79" s="97"/>
      <c r="C79" s="108"/>
      <c r="D79" s="109"/>
      <c r="E79" s="110"/>
    </row>
    <row r="80" spans="1:5" x14ac:dyDescent="0.3">
      <c r="A80" s="104"/>
      <c r="B80" s="27" t="s">
        <v>2</v>
      </c>
      <c r="C80" s="27" t="s">
        <v>4</v>
      </c>
      <c r="D80" s="111">
        <f>VLOOKUP(C80,Artikeltype2aen3a,3,0)/1000*A80</f>
        <v>0</v>
      </c>
      <c r="E80" s="112">
        <f>VLOOKUP(C80,Artikeltype2aen3a,5,0)/1000*A80</f>
        <v>0</v>
      </c>
    </row>
    <row r="81" spans="1:7" ht="14.4" thickBot="1" x14ac:dyDescent="0.35">
      <c r="A81" s="104"/>
      <c r="B81" s="27" t="s">
        <v>2</v>
      </c>
      <c r="C81" s="113" t="s">
        <v>106</v>
      </c>
      <c r="D81" s="106">
        <f>VLOOKUP(C81,Artikeltype2aen3a,3,0)/1000*A81</f>
        <v>0</v>
      </c>
      <c r="E81" s="107">
        <f>VLOOKUP(C81,Artikeltype2aen3a,5,0)/1000*A81</f>
        <v>0</v>
      </c>
    </row>
    <row r="82" spans="1:7" ht="14.4" thickTop="1" x14ac:dyDescent="0.3">
      <c r="A82" s="97"/>
      <c r="C82" s="108" t="s">
        <v>47</v>
      </c>
      <c r="D82" s="109">
        <f>SUM(D80:D81)</f>
        <v>0</v>
      </c>
      <c r="E82" s="110">
        <f>SUM(E80:E81)</f>
        <v>0</v>
      </c>
    </row>
    <row r="83" spans="1:7" x14ac:dyDescent="0.3">
      <c r="A83" s="97"/>
      <c r="C83" s="108"/>
      <c r="D83" s="109"/>
      <c r="E83" s="110"/>
    </row>
    <row r="84" spans="1:7" x14ac:dyDescent="0.3">
      <c r="A84" s="104"/>
      <c r="B84" s="27" t="s">
        <v>2</v>
      </c>
      <c r="C84" s="27" t="s">
        <v>0</v>
      </c>
      <c r="D84" s="111">
        <f>VLOOKUP(C84,Artikeltype2aen3a,3,0)/1000*A84</f>
        <v>0</v>
      </c>
      <c r="E84" s="112">
        <f>VLOOKUP(C84,Artikeltype2aen3a,5,0)/1000*A84</f>
        <v>0</v>
      </c>
    </row>
    <row r="85" spans="1:7" ht="14.4" thickBot="1" x14ac:dyDescent="0.35">
      <c r="A85" s="104"/>
      <c r="B85" s="27" t="s">
        <v>2</v>
      </c>
      <c r="C85" s="113" t="s">
        <v>106</v>
      </c>
      <c r="D85" s="106">
        <f>VLOOKUP(C85,Artikeltype2aen3a,3,0)/1000*A85</f>
        <v>0</v>
      </c>
      <c r="E85" s="107">
        <f>VLOOKUP(C85,Artikeltype2aen3a,5,0)/1000*A85</f>
        <v>0</v>
      </c>
    </row>
    <row r="86" spans="1:7" ht="14.4" thickTop="1" x14ac:dyDescent="0.3">
      <c r="A86" s="97"/>
      <c r="C86" s="108" t="s">
        <v>26</v>
      </c>
      <c r="D86" s="109">
        <f>SUM(D84:D85)</f>
        <v>0</v>
      </c>
      <c r="E86" s="110">
        <f>SUM(E84:E85)</f>
        <v>0</v>
      </c>
    </row>
    <row r="87" spans="1:7" x14ac:dyDescent="0.3">
      <c r="A87" s="97"/>
      <c r="C87" s="108"/>
      <c r="D87" s="109"/>
      <c r="E87" s="110"/>
    </row>
    <row r="88" spans="1:7" x14ac:dyDescent="0.3">
      <c r="A88" s="104"/>
      <c r="B88" s="27" t="s">
        <v>2</v>
      </c>
      <c r="C88" s="27" t="s">
        <v>4</v>
      </c>
      <c r="D88" s="111">
        <f>VLOOKUP(C88,Artikeltype2aen3a,3,0)/1000*A88</f>
        <v>0</v>
      </c>
      <c r="E88" s="112">
        <f>VLOOKUP(C88,Artikeltype2aen3a,5,0)/1000*A88</f>
        <v>0</v>
      </c>
    </row>
    <row r="89" spans="1:7" ht="14.4" thickBot="1" x14ac:dyDescent="0.35">
      <c r="A89" s="104"/>
      <c r="B89" s="27" t="s">
        <v>2</v>
      </c>
      <c r="C89" s="113" t="s">
        <v>106</v>
      </c>
      <c r="D89" s="106">
        <f>VLOOKUP(C89,Artikeltype2aen3a,3,0)/1000*A89</f>
        <v>0</v>
      </c>
      <c r="E89" s="107">
        <f>VLOOKUP(C89,Artikeltype2aen3a,5,0)/1000*A89</f>
        <v>0</v>
      </c>
    </row>
    <row r="90" spans="1:7" ht="14.4" thickTop="1" x14ac:dyDescent="0.3">
      <c r="A90" s="97"/>
      <c r="C90" s="108" t="s">
        <v>27</v>
      </c>
      <c r="D90" s="109">
        <f>SUM(D88:D89)</f>
        <v>0</v>
      </c>
      <c r="E90" s="110">
        <f>SUM(E88:E89)</f>
        <v>0</v>
      </c>
    </row>
    <row r="91" spans="1:7" x14ac:dyDescent="0.3">
      <c r="A91" s="97"/>
      <c r="C91" s="108"/>
      <c r="D91" s="109"/>
      <c r="E91" s="110"/>
    </row>
    <row r="92" spans="1:7" x14ac:dyDescent="0.3">
      <c r="A92" s="104"/>
      <c r="B92" s="27" t="s">
        <v>2</v>
      </c>
      <c r="C92" s="27" t="s">
        <v>4</v>
      </c>
      <c r="D92" s="111">
        <f>VLOOKUP(C92,Artikeltype2aen3a,3,0)/1000*A92</f>
        <v>0</v>
      </c>
      <c r="E92" s="112">
        <f>VLOOKUP(C92,Artikeltype2aen3a,5,0)/1000*A92</f>
        <v>0</v>
      </c>
    </row>
    <row r="93" spans="1:7" ht="14.4" thickBot="1" x14ac:dyDescent="0.35">
      <c r="A93" s="104"/>
      <c r="B93" s="27" t="s">
        <v>2</v>
      </c>
      <c r="C93" s="113" t="s">
        <v>106</v>
      </c>
      <c r="D93" s="106">
        <f>VLOOKUP(C93,Artikeltype2aen3a,3,0)/1000*A93</f>
        <v>0</v>
      </c>
      <c r="E93" s="107">
        <f>VLOOKUP(C93,Artikeltype2aen3a,5,0)/1000*A93</f>
        <v>0</v>
      </c>
    </row>
    <row r="94" spans="1:7" ht="14.4" thickTop="1" x14ac:dyDescent="0.3">
      <c r="A94" s="97"/>
      <c r="C94" s="108" t="s">
        <v>55</v>
      </c>
      <c r="D94" s="109">
        <f>SUM(D92:D93)</f>
        <v>0</v>
      </c>
      <c r="E94" s="110">
        <f>SUM(E92:E93)</f>
        <v>0</v>
      </c>
      <c r="G94" s="114"/>
    </row>
    <row r="95" spans="1:7" x14ac:dyDescent="0.3">
      <c r="A95" s="99"/>
      <c r="B95" s="100"/>
      <c r="C95" s="100"/>
      <c r="D95" s="100"/>
      <c r="E95" s="101"/>
    </row>
    <row r="96" spans="1:7" x14ac:dyDescent="0.3">
      <c r="A96" s="99"/>
      <c r="B96" s="100"/>
      <c r="C96" s="100"/>
      <c r="D96" s="100"/>
      <c r="E96" s="100"/>
    </row>
  </sheetData>
  <mergeCells count="8">
    <mergeCell ref="A46:B46"/>
    <mergeCell ref="D23:E23"/>
    <mergeCell ref="A1:G1"/>
    <mergeCell ref="A3:G3"/>
    <mergeCell ref="F5:G5"/>
    <mergeCell ref="D6:E6"/>
    <mergeCell ref="F6:G6"/>
    <mergeCell ref="A22:C22"/>
  </mergeCells>
  <pageMargins left="0.7" right="0.7" top="0.75" bottom="0.75" header="0.3" footer="0.3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showGridLines="0" view="pageBreakPreview" zoomScaleNormal="100" zoomScaleSheetLayoutView="100" workbookViewId="0">
      <selection sqref="A1:G1"/>
    </sheetView>
  </sheetViews>
  <sheetFormatPr defaultColWidth="9.109375" defaultRowHeight="13.8" x14ac:dyDescent="0.3"/>
  <cols>
    <col min="1" max="1" width="32.88671875" style="15" bestFit="1" customWidth="1"/>
    <col min="2" max="2" width="19.88671875" style="15" customWidth="1"/>
    <col min="3" max="3" width="24.5546875" style="15" customWidth="1"/>
    <col min="4" max="4" width="20.44140625" style="15" customWidth="1"/>
    <col min="5" max="5" width="21.6640625" style="15" customWidth="1"/>
    <col min="6" max="6" width="20.5546875" style="15" customWidth="1"/>
    <col min="7" max="7" width="21.5546875" style="15" customWidth="1"/>
    <col min="8" max="8" width="22.109375" style="15" customWidth="1"/>
    <col min="9" max="16384" width="9.109375" style="15"/>
  </cols>
  <sheetData>
    <row r="1" spans="1:8" ht="21" customHeight="1" x14ac:dyDescent="0.3">
      <c r="A1" s="146" t="s">
        <v>58</v>
      </c>
      <c r="B1" s="147"/>
      <c r="C1" s="147"/>
      <c r="D1" s="157"/>
      <c r="E1" s="157"/>
      <c r="F1" s="157"/>
      <c r="G1" s="158"/>
    </row>
    <row r="2" spans="1:8" ht="75" customHeight="1" x14ac:dyDescent="0.3">
      <c r="B2" s="1"/>
    </row>
    <row r="3" spans="1:8" x14ac:dyDescent="0.3">
      <c r="A3" s="149" t="str">
        <f>Leaseprijs!A3</f>
        <v>CIZ - Warme Drankenautomaten</v>
      </c>
      <c r="B3" s="149"/>
      <c r="C3" s="149"/>
      <c r="D3" s="149"/>
      <c r="E3" s="149"/>
      <c r="F3" s="149"/>
      <c r="G3" s="149"/>
      <c r="H3" s="149"/>
    </row>
    <row r="4" spans="1:8" x14ac:dyDescent="0.3">
      <c r="A4" s="1"/>
      <c r="B4" s="1"/>
    </row>
    <row r="5" spans="1:8" ht="27.6" x14ac:dyDescent="0.3">
      <c r="A5" s="3" t="s">
        <v>33</v>
      </c>
      <c r="B5" s="3" t="s">
        <v>80</v>
      </c>
      <c r="C5" s="5" t="s">
        <v>90</v>
      </c>
      <c r="D5" s="4" t="s">
        <v>31</v>
      </c>
      <c r="E5" s="5" t="s">
        <v>79</v>
      </c>
      <c r="F5" s="4" t="s">
        <v>7</v>
      </c>
      <c r="G5" s="5" t="s">
        <v>94</v>
      </c>
      <c r="H5" s="5" t="s">
        <v>32</v>
      </c>
    </row>
    <row r="6" spans="1:8" s="27" customFormat="1" x14ac:dyDescent="0.3">
      <c r="A6" s="80" t="s">
        <v>76</v>
      </c>
      <c r="B6" s="80" t="s">
        <v>78</v>
      </c>
      <c r="C6" s="22">
        <v>16</v>
      </c>
      <c r="D6" s="23"/>
      <c r="E6" s="24">
        <v>0</v>
      </c>
      <c r="F6" s="25">
        <v>0</v>
      </c>
      <c r="G6" s="26">
        <f>E6*(1-$F6)</f>
        <v>0</v>
      </c>
      <c r="H6" s="26">
        <f t="shared" ref="H6" si="0">C6*G6</f>
        <v>0</v>
      </c>
    </row>
    <row r="7" spans="1:8" s="27" customFormat="1" x14ac:dyDescent="0.3">
      <c r="A7" s="80" t="s">
        <v>85</v>
      </c>
      <c r="B7" s="80" t="s">
        <v>78</v>
      </c>
      <c r="C7" s="22">
        <v>11</v>
      </c>
      <c r="D7" s="23"/>
      <c r="E7" s="24">
        <v>0</v>
      </c>
      <c r="F7" s="25">
        <v>0</v>
      </c>
      <c r="G7" s="26">
        <f>E7*(1-$F7)</f>
        <v>0</v>
      </c>
      <c r="H7" s="26">
        <f t="shared" ref="H7:H11" si="1">C7*G7</f>
        <v>0</v>
      </c>
    </row>
    <row r="8" spans="1:8" s="27" customFormat="1" x14ac:dyDescent="0.3">
      <c r="A8" s="80" t="s">
        <v>86</v>
      </c>
      <c r="B8" s="80" t="s">
        <v>78</v>
      </c>
      <c r="C8" s="22">
        <v>9</v>
      </c>
      <c r="D8" s="23"/>
      <c r="E8" s="24">
        <v>0</v>
      </c>
      <c r="F8" s="25">
        <v>0</v>
      </c>
      <c r="G8" s="26">
        <f>E8*(1-$F8)</f>
        <v>0</v>
      </c>
      <c r="H8" s="26">
        <f t="shared" si="1"/>
        <v>0</v>
      </c>
    </row>
    <row r="9" spans="1:8" s="27" customFormat="1" x14ac:dyDescent="0.3">
      <c r="A9" s="80" t="s">
        <v>87</v>
      </c>
      <c r="B9" s="80" t="s">
        <v>88</v>
      </c>
      <c r="C9" s="22">
        <v>16</v>
      </c>
      <c r="D9" s="23"/>
      <c r="E9" s="24">
        <v>0</v>
      </c>
      <c r="F9" s="25">
        <v>0</v>
      </c>
      <c r="G9" s="26">
        <f>E9*(1-$F9)</f>
        <v>0</v>
      </c>
      <c r="H9" s="26">
        <f t="shared" ref="H9" si="2">C9*G9</f>
        <v>0</v>
      </c>
    </row>
    <row r="10" spans="1:8" s="27" customFormat="1" x14ac:dyDescent="0.3">
      <c r="A10" s="80" t="s">
        <v>81</v>
      </c>
      <c r="B10" s="80" t="s">
        <v>82</v>
      </c>
      <c r="C10" s="22">
        <v>64</v>
      </c>
      <c r="D10" s="23"/>
      <c r="E10" s="24">
        <v>0</v>
      </c>
      <c r="F10" s="25">
        <v>0</v>
      </c>
      <c r="G10" s="26">
        <f t="shared" ref="G10" si="3">E10*(1-$F10)</f>
        <v>0</v>
      </c>
      <c r="H10" s="26">
        <f t="shared" ref="H10" si="4">C10*G10</f>
        <v>0</v>
      </c>
    </row>
    <row r="11" spans="1:8" s="27" customFormat="1" x14ac:dyDescent="0.3">
      <c r="A11" s="80" t="s">
        <v>83</v>
      </c>
      <c r="B11" s="80" t="s">
        <v>84</v>
      </c>
      <c r="C11" s="22">
        <v>4</v>
      </c>
      <c r="D11" s="23"/>
      <c r="E11" s="24">
        <v>0</v>
      </c>
      <c r="F11" s="25">
        <v>0</v>
      </c>
      <c r="G11" s="26">
        <f t="shared" ref="G11" si="5">E11*(1-$F11)</f>
        <v>0</v>
      </c>
      <c r="H11" s="26">
        <f t="shared" si="1"/>
        <v>0</v>
      </c>
    </row>
    <row r="12" spans="1:8" s="27" customFormat="1" x14ac:dyDescent="0.3">
      <c r="A12" s="80" t="s">
        <v>75</v>
      </c>
      <c r="B12" s="80" t="s">
        <v>77</v>
      </c>
      <c r="C12" s="22">
        <v>14</v>
      </c>
      <c r="D12" s="23"/>
      <c r="E12" s="24">
        <v>0</v>
      </c>
      <c r="F12" s="25">
        <v>0</v>
      </c>
      <c r="G12" s="26">
        <f>E12*(1-$F12)</f>
        <v>0</v>
      </c>
      <c r="H12" s="26">
        <f t="shared" ref="H12" si="6">C12*G12</f>
        <v>0</v>
      </c>
    </row>
    <row r="13" spans="1:8" s="27" customFormat="1" x14ac:dyDescent="0.3">
      <c r="A13" s="35"/>
      <c r="B13" s="35"/>
      <c r="C13" s="36"/>
      <c r="D13" s="36"/>
      <c r="E13" s="37"/>
      <c r="F13" s="38"/>
      <c r="G13" s="39" t="s">
        <v>34</v>
      </c>
      <c r="H13" s="40">
        <f>SUM(H6:H12)</f>
        <v>0</v>
      </c>
    </row>
    <row r="14" spans="1:8" x14ac:dyDescent="0.3">
      <c r="B14" s="1"/>
    </row>
    <row r="15" spans="1:8" ht="27.6" x14ac:dyDescent="0.3">
      <c r="A15" s="3" t="s">
        <v>28</v>
      </c>
      <c r="B15" s="5" t="s">
        <v>80</v>
      </c>
      <c r="C15" s="5" t="s">
        <v>90</v>
      </c>
      <c r="D15" s="4" t="s">
        <v>45</v>
      </c>
      <c r="E15" s="5" t="s">
        <v>89</v>
      </c>
      <c r="F15" s="4" t="s">
        <v>7</v>
      </c>
      <c r="G15" s="5" t="s">
        <v>95</v>
      </c>
      <c r="H15" s="5" t="s">
        <v>32</v>
      </c>
    </row>
    <row r="16" spans="1:8" x14ac:dyDescent="0.3">
      <c r="A16" s="80" t="s">
        <v>107</v>
      </c>
      <c r="B16" s="154" t="s">
        <v>91</v>
      </c>
      <c r="C16" s="22">
        <v>50</v>
      </c>
      <c r="D16" s="23"/>
      <c r="E16" s="24">
        <v>0</v>
      </c>
      <c r="F16" s="25">
        <v>0</v>
      </c>
      <c r="G16" s="26">
        <f>E16*(1-$F16)</f>
        <v>0</v>
      </c>
      <c r="H16" s="26">
        <f t="shared" ref="H16:H25" si="7">C16*G16</f>
        <v>0</v>
      </c>
    </row>
    <row r="17" spans="1:8" x14ac:dyDescent="0.3">
      <c r="A17" s="80" t="s">
        <v>108</v>
      </c>
      <c r="B17" s="155"/>
      <c r="C17" s="22">
        <v>50</v>
      </c>
      <c r="D17" s="23"/>
      <c r="E17" s="24">
        <v>0</v>
      </c>
      <c r="F17" s="25">
        <v>0</v>
      </c>
      <c r="G17" s="26">
        <f>E17*(1-$F17)</f>
        <v>0</v>
      </c>
      <c r="H17" s="26">
        <f t="shared" si="7"/>
        <v>0</v>
      </c>
    </row>
    <row r="18" spans="1:8" x14ac:dyDescent="0.3">
      <c r="A18" s="80" t="s">
        <v>109</v>
      </c>
      <c r="B18" s="155"/>
      <c r="C18" s="22">
        <v>30</v>
      </c>
      <c r="D18" s="23"/>
      <c r="E18" s="24">
        <v>0</v>
      </c>
      <c r="F18" s="25">
        <v>0</v>
      </c>
      <c r="G18" s="26">
        <f t="shared" ref="G18" si="8">E18*(1-$F18)</f>
        <v>0</v>
      </c>
      <c r="H18" s="26">
        <f t="shared" ref="H18" si="9">C18*G18</f>
        <v>0</v>
      </c>
    </row>
    <row r="19" spans="1:8" x14ac:dyDescent="0.3">
      <c r="A19" s="80" t="s">
        <v>110</v>
      </c>
      <c r="B19" s="155"/>
      <c r="C19" s="22">
        <v>41</v>
      </c>
      <c r="D19" s="23"/>
      <c r="E19" s="24">
        <v>0</v>
      </c>
      <c r="F19" s="25">
        <v>0</v>
      </c>
      <c r="G19" s="26">
        <f>E19*(1-$F19)</f>
        <v>0</v>
      </c>
      <c r="H19" s="26">
        <f t="shared" si="7"/>
        <v>0</v>
      </c>
    </row>
    <row r="20" spans="1:8" x14ac:dyDescent="0.3">
      <c r="A20" s="80" t="s">
        <v>112</v>
      </c>
      <c r="B20" s="155"/>
      <c r="C20" s="22">
        <v>34</v>
      </c>
      <c r="D20" s="23"/>
      <c r="E20" s="24">
        <v>0</v>
      </c>
      <c r="F20" s="25">
        <v>0</v>
      </c>
      <c r="G20" s="26">
        <f t="shared" ref="G20:G21" si="10">E20*(1-$F20)</f>
        <v>0</v>
      </c>
      <c r="H20" s="26">
        <f t="shared" ref="H20:H21" si="11">C20*G20</f>
        <v>0</v>
      </c>
    </row>
    <row r="21" spans="1:8" x14ac:dyDescent="0.3">
      <c r="A21" s="80" t="s">
        <v>111</v>
      </c>
      <c r="B21" s="155"/>
      <c r="C21" s="22">
        <v>93</v>
      </c>
      <c r="D21" s="23"/>
      <c r="E21" s="24">
        <v>0</v>
      </c>
      <c r="F21" s="25">
        <v>0</v>
      </c>
      <c r="G21" s="26">
        <f t="shared" si="10"/>
        <v>0</v>
      </c>
      <c r="H21" s="26">
        <f t="shared" si="11"/>
        <v>0</v>
      </c>
    </row>
    <row r="22" spans="1:8" x14ac:dyDescent="0.3">
      <c r="A22" s="80" t="s">
        <v>113</v>
      </c>
      <c r="B22" s="155"/>
      <c r="C22" s="22">
        <v>18</v>
      </c>
      <c r="D22" s="23"/>
      <c r="E22" s="24">
        <v>0</v>
      </c>
      <c r="F22" s="25">
        <v>0</v>
      </c>
      <c r="G22" s="26">
        <f>E22*(1-$F22)</f>
        <v>0</v>
      </c>
      <c r="H22" s="26">
        <f t="shared" si="7"/>
        <v>0</v>
      </c>
    </row>
    <row r="23" spans="1:8" x14ac:dyDescent="0.3">
      <c r="A23" s="80" t="s">
        <v>114</v>
      </c>
      <c r="B23" s="155"/>
      <c r="C23" s="22">
        <v>49</v>
      </c>
      <c r="D23" s="23"/>
      <c r="E23" s="24">
        <v>0</v>
      </c>
      <c r="F23" s="25">
        <v>0</v>
      </c>
      <c r="G23" s="26">
        <f t="shared" ref="G23:G24" si="12">E23*(1-$F23)</f>
        <v>0</v>
      </c>
      <c r="H23" s="26">
        <f t="shared" ref="H23:H24" si="13">C23*G23</f>
        <v>0</v>
      </c>
    </row>
    <row r="24" spans="1:8" x14ac:dyDescent="0.3">
      <c r="A24" s="80" t="s">
        <v>115</v>
      </c>
      <c r="B24" s="155"/>
      <c r="C24" s="22">
        <v>45</v>
      </c>
      <c r="D24" s="23"/>
      <c r="E24" s="24">
        <v>0</v>
      </c>
      <c r="F24" s="25">
        <v>0</v>
      </c>
      <c r="G24" s="26">
        <f t="shared" si="12"/>
        <v>0</v>
      </c>
      <c r="H24" s="26">
        <f t="shared" si="13"/>
        <v>0</v>
      </c>
    </row>
    <row r="25" spans="1:8" x14ac:dyDescent="0.3">
      <c r="A25" s="80" t="s">
        <v>116</v>
      </c>
      <c r="B25" s="156"/>
      <c r="C25" s="22">
        <v>38</v>
      </c>
      <c r="D25" s="23"/>
      <c r="E25" s="24">
        <v>0</v>
      </c>
      <c r="F25" s="25">
        <v>0</v>
      </c>
      <c r="G25" s="26">
        <f>E25*(1-$F25)</f>
        <v>0</v>
      </c>
      <c r="H25" s="26">
        <f t="shared" si="7"/>
        <v>0</v>
      </c>
    </row>
    <row r="26" spans="1:8" x14ac:dyDescent="0.3">
      <c r="A26" s="35"/>
      <c r="B26" s="35"/>
      <c r="C26" s="36"/>
      <c r="D26" s="36"/>
      <c r="E26" s="37"/>
      <c r="F26" s="38"/>
      <c r="G26" s="39" t="s">
        <v>49</v>
      </c>
      <c r="H26" s="40">
        <f>SUM(H16:H25)</f>
        <v>0</v>
      </c>
    </row>
    <row r="27" spans="1:8" x14ac:dyDescent="0.3">
      <c r="B27" s="1"/>
    </row>
    <row r="28" spans="1:8" ht="27.6" x14ac:dyDescent="0.3">
      <c r="A28" s="3" t="s">
        <v>92</v>
      </c>
      <c r="B28" s="5" t="s">
        <v>80</v>
      </c>
      <c r="C28" s="5" t="s">
        <v>90</v>
      </c>
      <c r="D28" s="4" t="s">
        <v>45</v>
      </c>
      <c r="E28" s="5" t="s">
        <v>89</v>
      </c>
      <c r="F28" s="4" t="s">
        <v>7</v>
      </c>
      <c r="G28" s="5" t="s">
        <v>95</v>
      </c>
      <c r="H28" s="5" t="s">
        <v>32</v>
      </c>
    </row>
    <row r="29" spans="1:8" x14ac:dyDescent="0.3">
      <c r="A29" s="80" t="s">
        <v>97</v>
      </c>
      <c r="B29" s="154" t="s">
        <v>96</v>
      </c>
      <c r="C29" s="22">
        <v>15</v>
      </c>
      <c r="D29" s="23"/>
      <c r="E29" s="24">
        <v>0</v>
      </c>
      <c r="F29" s="25">
        <v>0</v>
      </c>
      <c r="G29" s="26">
        <f>E29*(1-$F29)</f>
        <v>0</v>
      </c>
      <c r="H29" s="26">
        <f t="shared" ref="H29:H36" si="14">C29*G29</f>
        <v>0</v>
      </c>
    </row>
    <row r="30" spans="1:8" x14ac:dyDescent="0.3">
      <c r="A30" s="80" t="s">
        <v>98</v>
      </c>
      <c r="B30" s="155"/>
      <c r="C30" s="22">
        <v>38</v>
      </c>
      <c r="D30" s="23"/>
      <c r="E30" s="24">
        <v>0</v>
      </c>
      <c r="F30" s="25">
        <v>0</v>
      </c>
      <c r="G30" s="26">
        <f>E30*(1-$F30)</f>
        <v>0</v>
      </c>
      <c r="H30" s="26">
        <f t="shared" si="14"/>
        <v>0</v>
      </c>
    </row>
    <row r="31" spans="1:8" x14ac:dyDescent="0.3">
      <c r="A31" s="80" t="s">
        <v>99</v>
      </c>
      <c r="B31" s="156"/>
      <c r="C31" s="22">
        <v>15</v>
      </c>
      <c r="D31" s="23"/>
      <c r="E31" s="24">
        <v>0</v>
      </c>
      <c r="F31" s="25">
        <v>0</v>
      </c>
      <c r="G31" s="26">
        <f t="shared" ref="G31" si="15">E31*(1-$F31)</f>
        <v>0</v>
      </c>
      <c r="H31" s="26">
        <f t="shared" si="14"/>
        <v>0</v>
      </c>
    </row>
    <row r="32" spans="1:8" x14ac:dyDescent="0.3">
      <c r="A32" s="80" t="s">
        <v>100</v>
      </c>
      <c r="B32" s="159" t="s">
        <v>101</v>
      </c>
      <c r="C32" s="22">
        <v>72</v>
      </c>
      <c r="D32" s="23"/>
      <c r="E32" s="24">
        <v>0</v>
      </c>
      <c r="F32" s="25">
        <v>0</v>
      </c>
      <c r="G32" s="26">
        <f>E32*(1-$F32)</f>
        <v>0</v>
      </c>
      <c r="H32" s="26">
        <f t="shared" si="14"/>
        <v>0</v>
      </c>
    </row>
    <row r="33" spans="1:8" x14ac:dyDescent="0.3">
      <c r="A33" s="80" t="s">
        <v>102</v>
      </c>
      <c r="B33" s="160"/>
      <c r="C33" s="22">
        <v>92</v>
      </c>
      <c r="D33" s="23"/>
      <c r="E33" s="24">
        <v>0</v>
      </c>
      <c r="F33" s="25">
        <v>0</v>
      </c>
      <c r="G33" s="26">
        <f t="shared" ref="G33:G34" si="16">E33*(1-$F33)</f>
        <v>0</v>
      </c>
      <c r="H33" s="26">
        <f t="shared" si="14"/>
        <v>0</v>
      </c>
    </row>
    <row r="34" spans="1:8" x14ac:dyDescent="0.3">
      <c r="A34" s="80" t="s">
        <v>103</v>
      </c>
      <c r="B34" s="160"/>
      <c r="C34" s="22">
        <v>40</v>
      </c>
      <c r="D34" s="23"/>
      <c r="E34" s="24">
        <v>0</v>
      </c>
      <c r="F34" s="25">
        <v>0</v>
      </c>
      <c r="G34" s="26">
        <f t="shared" si="16"/>
        <v>0</v>
      </c>
      <c r="H34" s="26">
        <f t="shared" si="14"/>
        <v>0</v>
      </c>
    </row>
    <row r="35" spans="1:8" x14ac:dyDescent="0.3">
      <c r="A35" s="80" t="s">
        <v>104</v>
      </c>
      <c r="B35" s="160"/>
      <c r="C35" s="22">
        <v>70</v>
      </c>
      <c r="D35" s="23"/>
      <c r="E35" s="24">
        <v>0</v>
      </c>
      <c r="F35" s="25">
        <v>0</v>
      </c>
      <c r="G35" s="26">
        <f>E35*(1-$F35)</f>
        <v>0</v>
      </c>
      <c r="H35" s="26">
        <f t="shared" si="14"/>
        <v>0</v>
      </c>
    </row>
    <row r="36" spans="1:8" x14ac:dyDescent="0.3">
      <c r="A36" s="80" t="s">
        <v>105</v>
      </c>
      <c r="B36" s="161"/>
      <c r="C36" s="22">
        <v>69</v>
      </c>
      <c r="D36" s="23"/>
      <c r="E36" s="24">
        <v>0</v>
      </c>
      <c r="F36" s="25">
        <v>0</v>
      </c>
      <c r="G36" s="26">
        <f t="shared" ref="G36" si="17">E36*(1-$F36)</f>
        <v>0</v>
      </c>
      <c r="H36" s="26">
        <f t="shared" si="14"/>
        <v>0</v>
      </c>
    </row>
    <row r="37" spans="1:8" x14ac:dyDescent="0.3">
      <c r="A37" s="35"/>
      <c r="B37" s="35"/>
      <c r="C37" s="36"/>
      <c r="D37" s="36"/>
      <c r="E37" s="37"/>
      <c r="F37" s="38"/>
      <c r="G37" s="39" t="s">
        <v>93</v>
      </c>
      <c r="H37" s="40">
        <f>SUM(H29:H36)</f>
        <v>0</v>
      </c>
    </row>
    <row r="38" spans="1:8" x14ac:dyDescent="0.3">
      <c r="B38" s="1"/>
    </row>
    <row r="39" spans="1:8" ht="27.6" x14ac:dyDescent="0.3">
      <c r="A39" s="28" t="s">
        <v>70</v>
      </c>
      <c r="B39" s="29" t="s">
        <v>9</v>
      </c>
      <c r="C39" s="29" t="s">
        <v>10</v>
      </c>
    </row>
    <row r="40" spans="1:8" x14ac:dyDescent="0.3">
      <c r="A40" s="135" t="s">
        <v>71</v>
      </c>
      <c r="B40" s="30">
        <v>0</v>
      </c>
      <c r="C40" s="30">
        <v>0</v>
      </c>
    </row>
    <row r="41" spans="1:8" x14ac:dyDescent="0.3">
      <c r="A41" s="135" t="s">
        <v>72</v>
      </c>
      <c r="B41" s="30">
        <v>0</v>
      </c>
      <c r="C41" s="30">
        <v>0</v>
      </c>
    </row>
    <row r="42" spans="1:8" x14ac:dyDescent="0.3">
      <c r="A42" s="135" t="s">
        <v>74</v>
      </c>
      <c r="B42" s="30">
        <v>0</v>
      </c>
      <c r="C42" s="30">
        <v>0</v>
      </c>
    </row>
  </sheetData>
  <mergeCells count="5">
    <mergeCell ref="B29:B31"/>
    <mergeCell ref="A1:G1"/>
    <mergeCell ref="A3:H3"/>
    <mergeCell ref="B16:B25"/>
    <mergeCell ref="B32:B36"/>
  </mergeCells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8"/>
  <sheetViews>
    <sheetView showGridLines="0" tabSelected="1" view="pageBreakPreview" zoomScaleNormal="100" zoomScaleSheetLayoutView="100" workbookViewId="0">
      <selection activeCell="A2" sqref="A2:E2"/>
    </sheetView>
  </sheetViews>
  <sheetFormatPr defaultColWidth="9.109375" defaultRowHeight="13.8" x14ac:dyDescent="0.3"/>
  <cols>
    <col min="1" max="1" width="47.88671875" style="27" customWidth="1"/>
    <col min="2" max="2" width="11.6640625" style="27" customWidth="1"/>
    <col min="3" max="3" width="16.6640625" style="115" customWidth="1"/>
    <col min="4" max="4" width="16.6640625" style="27" customWidth="1"/>
    <col min="5" max="5" width="21.5546875" style="27" bestFit="1" customWidth="1"/>
    <col min="6" max="16384" width="9.109375" style="27"/>
  </cols>
  <sheetData>
    <row r="1" spans="1:5" ht="15.6" x14ac:dyDescent="0.3">
      <c r="A1" s="176" t="s">
        <v>50</v>
      </c>
      <c r="B1" s="177"/>
      <c r="C1" s="177"/>
      <c r="D1" s="177"/>
      <c r="E1" s="178"/>
    </row>
    <row r="2" spans="1:5" ht="13.5" customHeight="1" x14ac:dyDescent="0.3">
      <c r="A2" s="182" t="s">
        <v>58</v>
      </c>
      <c r="B2" s="183"/>
      <c r="C2" s="183"/>
      <c r="D2" s="183"/>
      <c r="E2" s="184"/>
    </row>
    <row r="3" spans="1:5" ht="82.95" customHeight="1" x14ac:dyDescent="0.3"/>
    <row r="4" spans="1:5" ht="41.4" x14ac:dyDescent="0.3">
      <c r="A4" s="19" t="s">
        <v>35</v>
      </c>
      <c r="B4" s="20" t="s">
        <v>1</v>
      </c>
      <c r="C4" s="13" t="s">
        <v>12</v>
      </c>
      <c r="D4" s="14" t="s">
        <v>13</v>
      </c>
      <c r="E4" s="14" t="s">
        <v>25</v>
      </c>
    </row>
    <row r="5" spans="1:5" ht="15.75" customHeight="1" x14ac:dyDescent="0.3">
      <c r="A5" s="179" t="s">
        <v>29</v>
      </c>
      <c r="B5" s="180"/>
      <c r="C5" s="180"/>
      <c r="D5" s="180"/>
      <c r="E5" s="181"/>
    </row>
    <row r="6" spans="1:5" ht="15.75" customHeight="1" x14ac:dyDescent="0.3">
      <c r="A6" s="116" t="s">
        <v>57</v>
      </c>
      <c r="B6" s="117">
        <f>Leaseprijs!B6</f>
        <v>14</v>
      </c>
      <c r="C6" s="118">
        <f>Leaseprijs!D8</f>
        <v>0</v>
      </c>
      <c r="D6" s="119">
        <f>C6*12</f>
        <v>0</v>
      </c>
      <c r="E6" s="120">
        <f>D6*5</f>
        <v>0</v>
      </c>
    </row>
    <row r="7" spans="1:5" ht="15.75" customHeight="1" x14ac:dyDescent="0.3">
      <c r="A7" s="116" t="s">
        <v>68</v>
      </c>
      <c r="B7" s="122">
        <f>B6</f>
        <v>14</v>
      </c>
      <c r="C7" s="118">
        <f>Leaseprijs!G8</f>
        <v>0</v>
      </c>
      <c r="D7" s="119">
        <f>C7*12</f>
        <v>0</v>
      </c>
      <c r="E7" s="123">
        <f>D7*3</f>
        <v>0</v>
      </c>
    </row>
    <row r="8" spans="1:5" ht="15.75" customHeight="1" x14ac:dyDescent="0.3">
      <c r="A8" s="179" t="s">
        <v>30</v>
      </c>
      <c r="B8" s="180"/>
      <c r="C8" s="180"/>
      <c r="D8" s="180"/>
      <c r="E8" s="181"/>
    </row>
    <row r="9" spans="1:5" ht="15.75" customHeight="1" x14ac:dyDescent="0.3">
      <c r="A9" s="121" t="s">
        <v>38</v>
      </c>
      <c r="B9" s="124">
        <f>Ingrediënten!A20</f>
        <v>100221</v>
      </c>
      <c r="C9" s="125"/>
      <c r="D9" s="126">
        <f>Ingrediënten!G23</f>
        <v>0</v>
      </c>
      <c r="E9" s="127">
        <f>D9*8</f>
        <v>0</v>
      </c>
    </row>
    <row r="10" spans="1:5" ht="15.75" customHeight="1" x14ac:dyDescent="0.3">
      <c r="A10" s="179" t="s">
        <v>36</v>
      </c>
      <c r="B10" s="180"/>
      <c r="C10" s="180"/>
      <c r="D10" s="180"/>
      <c r="E10" s="181"/>
    </row>
    <row r="11" spans="1:5" ht="15.75" customHeight="1" x14ac:dyDescent="0.3">
      <c r="A11" s="129" t="s">
        <v>33</v>
      </c>
      <c r="B11" s="124"/>
      <c r="C11" s="125"/>
      <c r="D11" s="128">
        <f>'Aanvullende kosten'!H13</f>
        <v>0</v>
      </c>
      <c r="E11" s="130">
        <f>D11*8</f>
        <v>0</v>
      </c>
    </row>
    <row r="12" spans="1:5" ht="15.75" customHeight="1" x14ac:dyDescent="0.3">
      <c r="A12" s="129" t="s">
        <v>28</v>
      </c>
      <c r="B12" s="124"/>
      <c r="C12" s="125"/>
      <c r="D12" s="128">
        <f>'Aanvullende kosten'!H26</f>
        <v>0</v>
      </c>
      <c r="E12" s="130">
        <f>D12*8</f>
        <v>0</v>
      </c>
    </row>
    <row r="13" spans="1:5" ht="15.75" customHeight="1" x14ac:dyDescent="0.3">
      <c r="A13" s="129" t="s">
        <v>92</v>
      </c>
      <c r="B13" s="124"/>
      <c r="C13" s="125"/>
      <c r="D13" s="128">
        <f>'Aanvullende kosten'!H37</f>
        <v>0</v>
      </c>
      <c r="E13" s="130">
        <f>D13*8</f>
        <v>0</v>
      </c>
    </row>
    <row r="14" spans="1:5" ht="15.75" customHeight="1" x14ac:dyDescent="0.3">
      <c r="A14" s="179" t="s">
        <v>69</v>
      </c>
      <c r="B14" s="180"/>
      <c r="C14" s="180"/>
      <c r="D14" s="181"/>
      <c r="E14" s="134">
        <f>SUM(E6:E13)</f>
        <v>0</v>
      </c>
    </row>
    <row r="15" spans="1:5" ht="15.75" customHeight="1" x14ac:dyDescent="0.3">
      <c r="A15" s="129" t="s">
        <v>67</v>
      </c>
      <c r="B15" s="131"/>
      <c r="C15" s="108"/>
      <c r="D15" s="108"/>
      <c r="E15" s="108"/>
    </row>
    <row r="16" spans="1:5" ht="15.75" customHeight="1" x14ac:dyDescent="0.3">
      <c r="A16" s="108"/>
      <c r="B16" s="108"/>
      <c r="C16" s="132"/>
      <c r="D16" s="108"/>
      <c r="E16" s="108"/>
    </row>
    <row r="17" spans="1:5" ht="15.75" customHeight="1" x14ac:dyDescent="0.3">
      <c r="A17" s="27" t="s">
        <v>65</v>
      </c>
      <c r="C17" s="132"/>
      <c r="D17" s="108"/>
      <c r="E17" s="133"/>
    </row>
    <row r="18" spans="1:5" ht="15.75" customHeight="1" x14ac:dyDescent="0.3"/>
    <row r="19" spans="1:5" ht="15.75" customHeight="1" x14ac:dyDescent="0.3">
      <c r="A19" s="185" t="s">
        <v>59</v>
      </c>
      <c r="B19" s="186"/>
      <c r="C19" s="186"/>
      <c r="D19" s="187"/>
    </row>
    <row r="20" spans="1:5" ht="15.75" customHeight="1" x14ac:dyDescent="0.3">
      <c r="A20" s="31" t="s">
        <v>60</v>
      </c>
      <c r="B20" s="188"/>
      <c r="C20" s="189"/>
      <c r="D20" s="190"/>
    </row>
    <row r="21" spans="1:5" ht="15.75" customHeight="1" x14ac:dyDescent="0.3">
      <c r="A21" s="31" t="s">
        <v>61</v>
      </c>
      <c r="B21" s="188"/>
      <c r="C21" s="189"/>
      <c r="D21" s="190"/>
    </row>
    <row r="22" spans="1:5" ht="15.75" customHeight="1" x14ac:dyDescent="0.3">
      <c r="A22" s="31" t="s">
        <v>62</v>
      </c>
      <c r="B22" s="32"/>
      <c r="C22" s="33"/>
      <c r="D22" s="34"/>
    </row>
    <row r="23" spans="1:5" ht="15.75" customHeight="1" x14ac:dyDescent="0.3">
      <c r="A23" s="31" t="s">
        <v>63</v>
      </c>
      <c r="B23" s="162"/>
      <c r="C23" s="163"/>
      <c r="D23" s="164"/>
    </row>
    <row r="24" spans="1:5" x14ac:dyDescent="0.3">
      <c r="A24" s="165" t="s">
        <v>64</v>
      </c>
      <c r="B24" s="167"/>
      <c r="C24" s="168"/>
      <c r="D24" s="169"/>
    </row>
    <row r="25" spans="1:5" x14ac:dyDescent="0.3">
      <c r="A25" s="165"/>
      <c r="B25" s="170"/>
      <c r="C25" s="171"/>
      <c r="D25" s="172"/>
    </row>
    <row r="26" spans="1:5" x14ac:dyDescent="0.3">
      <c r="A26" s="165"/>
      <c r="B26" s="170"/>
      <c r="C26" s="171"/>
      <c r="D26" s="172"/>
    </row>
    <row r="27" spans="1:5" x14ac:dyDescent="0.3">
      <c r="A27" s="165"/>
      <c r="B27" s="170"/>
      <c r="C27" s="171"/>
      <c r="D27" s="172"/>
    </row>
    <row r="28" spans="1:5" x14ac:dyDescent="0.3">
      <c r="A28" s="166"/>
      <c r="B28" s="173"/>
      <c r="C28" s="174"/>
      <c r="D28" s="175"/>
    </row>
  </sheetData>
  <mergeCells count="12">
    <mergeCell ref="B23:D23"/>
    <mergeCell ref="A24:A28"/>
    <mergeCell ref="B24:D28"/>
    <mergeCell ref="A1:E1"/>
    <mergeCell ref="A5:E5"/>
    <mergeCell ref="A8:E8"/>
    <mergeCell ref="A10:E10"/>
    <mergeCell ref="A2:E2"/>
    <mergeCell ref="A14:D14"/>
    <mergeCell ref="A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46d3342e-9956-4a28-8e12-395696066593</MigrationWiz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D4726-4246-4CBE-BBFE-72CD3D131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D3ED7-A620-4085-B8A8-8FA5E552829F}">
  <ds:schemaRefs>
    <ds:schemaRef ds:uri="http://purl.org/dc/elements/1.1/"/>
    <ds:schemaRef ds:uri="http://schemas.microsoft.com/office/2006/metadata/properties"/>
    <ds:schemaRef ds:uri="46c995e6-7f53-48aa-a5ad-a9d38912b46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d807127-6dfe-4777-9fc9-8a2ccfc388c3"/>
    <ds:schemaRef ds:uri="http://www.w3.org/XML/1998/namespace"/>
    <ds:schemaRef ds:uri="http://purl.org/dc/dcmitype/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765C48EC-87EE-4B19-8172-EFAEBCB72D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9e134d-d03c-4611-9cd6-7146b693fd91}" enabled="1" method="Privileged" siteId="{607c2ac4-da16-4b70-87ea-0a2909c0dc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Leaseprijs</vt:lpstr>
      <vt:lpstr>Ingrediënten</vt:lpstr>
      <vt:lpstr>Aanvullende kosten</vt:lpstr>
      <vt:lpstr>Totalisatie</vt:lpstr>
      <vt:lpstr>'Aanvullende kosten'!Afdrukbereik</vt:lpstr>
      <vt:lpstr>Leaseprijs!Afdrukbereik</vt:lpstr>
      <vt:lpstr>Totalisatie!Afdrukbereik</vt:lpstr>
      <vt:lpstr>Artikeltype2aen3a</vt:lpstr>
      <vt:lpstr>Grammagetype2aen3a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 Warme Drankenautomaten ArtEZ NvI 1.xlsx</dc:title>
  <dc:creator>moniek</dc:creator>
  <cp:lastModifiedBy>Tim Kisjes | Inkada</cp:lastModifiedBy>
  <cp:lastPrinted>2024-03-05T15:40:53Z</cp:lastPrinted>
  <dcterms:created xsi:type="dcterms:W3CDTF">2015-04-09T06:42:53Z</dcterms:created>
  <dcterms:modified xsi:type="dcterms:W3CDTF">2025-04-23T12:58:06Z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600</vt:r8>
  </property>
</Properties>
</file>