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mc:AlternateContent xmlns:mc="http://schemas.openxmlformats.org/markup-compatibility/2006">
    <mc:Choice Requires="x15">
      <x15ac:absPath xmlns:x15ac="http://schemas.microsoft.com/office/spreadsheetml/2010/11/ac" url="https://adhibeonl.sharepoint.com/sites/SP-Projecten/Shared Documents/Brigantijn/EA MFP (2025)/Werkdocumenten/"/>
    </mc:Choice>
  </mc:AlternateContent>
  <xr:revisionPtr revIDLastSave="1838" documentId="8_{7C5B74E5-23E0-4505-A439-54C1C79F364A}" xr6:coauthVersionLast="47" xr6:coauthVersionMax="47" xr10:uidLastSave="{C16650FA-9C93-4967-82AC-0B6D1EB0B6EF}"/>
  <bookViews>
    <workbookView xWindow="28680" yWindow="-120" windowWidth="29040" windowHeight="15720" activeTab="4" xr2:uid="{5388CAA8-65CB-4AAB-BEFF-7D99F3197186}"/>
  </bookViews>
  <sheets>
    <sheet name="Toelichting" sheetId="2" r:id="rId1"/>
    <sheet name="Brigantijn" sheetId="3" r:id="rId2"/>
    <sheet name="OPONOA" sheetId="1" r:id="rId3"/>
    <sheet name="SOCA" sheetId="4" r:id="rId4"/>
    <sheet name="Symbio" sheetId="5" r:id="rId5"/>
  </sheets>
  <definedNames>
    <definedName name="_xlnm.Print_Area" localSheetId="1">Brigantijn!$A$1:$N$72</definedName>
    <definedName name="_xlnm.Print_Area" localSheetId="2">OPONOA!$A$1:$N$61</definedName>
    <definedName name="_xlnm.Print_Area" localSheetId="3">SOCA!$A$1:$N$47</definedName>
    <definedName name="_xlnm.Print_Area" localSheetId="4">Symbio!$A$1:$N$99</definedName>
    <definedName name="_xlnm.Print_Area" localSheetId="0">Toelichting!$A$1:$C$9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1" i="1" l="1"/>
  <c r="J22" i="1"/>
  <c r="I22" i="1"/>
  <c r="F56" i="5" l="1"/>
  <c r="E56" i="5"/>
  <c r="L8" i="4"/>
  <c r="K4" i="4" a="1"/>
  <c r="K4" i="4" s="1"/>
  <c r="J4" i="4" a="1"/>
  <c r="J4" i="4" s="1"/>
  <c r="I4" i="4" a="1"/>
  <c r="I4" i="4"/>
  <c r="K8" i="4" s="1"/>
  <c r="H4" i="4" a="1"/>
  <c r="H4" i="4" s="1"/>
  <c r="J8" i="4" s="1"/>
  <c r="F4" i="4" a="1"/>
  <c r="F4" i="4" s="1"/>
  <c r="E4" i="4" a="1"/>
  <c r="E4" i="4"/>
  <c r="K3" i="4"/>
  <c r="J3" i="4"/>
  <c r="I8" i="4" l="1"/>
  <c r="F18" i="1"/>
  <c r="E18" i="1"/>
  <c r="I56" i="5"/>
  <c r="K60" i="5" s="1"/>
  <c r="H56" i="5"/>
  <c r="I60" i="5" s="1"/>
  <c r="L60" i="5" l="1"/>
  <c r="J60" i="5"/>
  <c r="I18" i="1"/>
  <c r="H18" i="1"/>
  <c r="K11" i="3"/>
  <c r="K9" i="3"/>
  <c r="K5" i="3"/>
  <c r="K25" i="3"/>
  <c r="K12" i="3"/>
  <c r="K21" i="3"/>
  <c r="K24" i="3"/>
  <c r="K19" i="3"/>
  <c r="K13" i="3"/>
  <c r="K14" i="3"/>
  <c r="K10" i="3"/>
  <c r="K4" i="3"/>
  <c r="K6" i="3"/>
  <c r="K27" i="3"/>
  <c r="K16" i="3"/>
  <c r="K20" i="3"/>
  <c r="K7" i="3"/>
  <c r="K8" i="3"/>
  <c r="K17" i="3"/>
  <c r="K18" i="3"/>
  <c r="K15" i="3"/>
  <c r="K28" i="3"/>
  <c r="K26" i="3"/>
  <c r="K3" i="3"/>
  <c r="K22" i="3"/>
  <c r="K23" i="3"/>
  <c r="J5" i="3"/>
  <c r="J25" i="3"/>
  <c r="J12" i="3"/>
  <c r="J21" i="3"/>
  <c r="J24" i="3"/>
  <c r="J19" i="3"/>
  <c r="J13" i="3"/>
  <c r="J14" i="3"/>
  <c r="J10" i="3"/>
  <c r="J4" i="3"/>
  <c r="J6" i="3"/>
  <c r="J27" i="3"/>
  <c r="J16" i="3"/>
  <c r="J20" i="3"/>
  <c r="J7" i="3"/>
  <c r="J8" i="3"/>
  <c r="J17" i="3"/>
  <c r="J18" i="3"/>
  <c r="J15" i="3"/>
  <c r="J28" i="3"/>
  <c r="J26" i="3"/>
  <c r="J3" i="3"/>
  <c r="J22" i="3"/>
  <c r="J23" i="3"/>
  <c r="J9" i="3"/>
  <c r="J11" i="3"/>
  <c r="K3" i="1"/>
  <c r="K4" i="1"/>
  <c r="K5" i="1"/>
  <c r="K6" i="1"/>
  <c r="K7" i="1"/>
  <c r="K8" i="1"/>
  <c r="K9" i="1"/>
  <c r="K10" i="1"/>
  <c r="K11" i="1"/>
  <c r="K12" i="1"/>
  <c r="K13" i="1"/>
  <c r="K14" i="1"/>
  <c r="K15" i="1"/>
  <c r="K16" i="1"/>
  <c r="K17" i="1"/>
  <c r="J3" i="1"/>
  <c r="J4" i="1"/>
  <c r="J5" i="1"/>
  <c r="J6" i="1"/>
  <c r="J7" i="1"/>
  <c r="J8" i="1"/>
  <c r="J9" i="1"/>
  <c r="J10" i="1"/>
  <c r="J11" i="1"/>
  <c r="J12" i="1"/>
  <c r="J13" i="1"/>
  <c r="J14" i="1"/>
  <c r="J15" i="1"/>
  <c r="J16" i="1"/>
  <c r="J17" i="1"/>
  <c r="K42" i="5"/>
  <c r="K43" i="5"/>
  <c r="K35" i="5"/>
  <c r="K27" i="5"/>
  <c r="K29" i="5"/>
  <c r="K22" i="5"/>
  <c r="K20" i="5"/>
  <c r="K10" i="5"/>
  <c r="K23" i="5"/>
  <c r="K12" i="5"/>
  <c r="K9" i="5"/>
  <c r="K13" i="5"/>
  <c r="K21" i="5"/>
  <c r="K26" i="5"/>
  <c r="K24" i="5"/>
  <c r="K30" i="5"/>
  <c r="K6" i="5"/>
  <c r="K44" i="5"/>
  <c r="K7" i="5"/>
  <c r="K11" i="5"/>
  <c r="K45" i="5"/>
  <c r="K50" i="5"/>
  <c r="K52" i="5"/>
  <c r="K53" i="5"/>
  <c r="K51" i="5"/>
  <c r="K14" i="5"/>
  <c r="K15" i="5"/>
  <c r="K48" i="5"/>
  <c r="K46" i="5"/>
  <c r="K17" i="5"/>
  <c r="K5" i="5"/>
  <c r="K18" i="5"/>
  <c r="K41" i="5"/>
  <c r="K36" i="5"/>
  <c r="K4" i="5"/>
  <c r="K49" i="5"/>
  <c r="K8" i="5"/>
  <c r="K54" i="5"/>
  <c r="K32" i="5"/>
  <c r="K25" i="5"/>
  <c r="K33" i="5"/>
  <c r="K31" i="5"/>
  <c r="K19" i="5"/>
  <c r="K3" i="5"/>
  <c r="K16" i="5"/>
  <c r="K47" i="5"/>
  <c r="K37" i="5"/>
  <c r="K55" i="5"/>
  <c r="K38" i="5"/>
  <c r="K39" i="5"/>
  <c r="K40" i="5"/>
  <c r="K34" i="5"/>
  <c r="J42" i="5"/>
  <c r="J43" i="5"/>
  <c r="J35" i="5"/>
  <c r="J27" i="5"/>
  <c r="J29" i="5"/>
  <c r="J22" i="5"/>
  <c r="J20" i="5"/>
  <c r="J10" i="5"/>
  <c r="J23" i="5"/>
  <c r="J12" i="5"/>
  <c r="J9" i="5"/>
  <c r="J13" i="5"/>
  <c r="J21" i="5"/>
  <c r="J26" i="5"/>
  <c r="J24" i="5"/>
  <c r="J30" i="5"/>
  <c r="J6" i="5"/>
  <c r="J44" i="5"/>
  <c r="J7" i="5"/>
  <c r="J11" i="5"/>
  <c r="J45" i="5"/>
  <c r="J50" i="5"/>
  <c r="J52" i="5"/>
  <c r="J53" i="5"/>
  <c r="J51" i="5"/>
  <c r="J14" i="5"/>
  <c r="J15" i="5"/>
  <c r="J48" i="5"/>
  <c r="J46" i="5"/>
  <c r="J17" i="5"/>
  <c r="J5" i="5"/>
  <c r="J18" i="5"/>
  <c r="J41" i="5"/>
  <c r="J36" i="5"/>
  <c r="J4" i="5"/>
  <c r="J49" i="5"/>
  <c r="J8" i="5"/>
  <c r="J54" i="5"/>
  <c r="J32" i="5"/>
  <c r="J25" i="5"/>
  <c r="J33" i="5"/>
  <c r="J31" i="5"/>
  <c r="J19" i="5"/>
  <c r="J3" i="5"/>
  <c r="J16" i="5"/>
  <c r="J47" i="5"/>
  <c r="J37" i="5"/>
  <c r="J55" i="5"/>
  <c r="J38" i="5"/>
  <c r="J39" i="5"/>
  <c r="J40" i="5"/>
  <c r="J34" i="5"/>
  <c r="J56" i="5" l="1"/>
  <c r="J18" i="1"/>
  <c r="K18" i="1"/>
  <c r="L22" i="1"/>
  <c r="K22" i="1"/>
  <c r="H93" i="5"/>
  <c r="H92" i="5"/>
  <c r="K59" i="5"/>
  <c r="G87" i="5"/>
  <c r="H41" i="4"/>
  <c r="H40" i="4"/>
  <c r="K7" i="4"/>
  <c r="I7" i="4"/>
  <c r="G35" i="4"/>
  <c r="D34" i="4"/>
  <c r="H66" i="3"/>
  <c r="H65" i="3"/>
  <c r="K32" i="3"/>
  <c r="I32" i="3"/>
  <c r="H29" i="3"/>
  <c r="F29" i="3"/>
  <c r="G60" i="3" s="1"/>
  <c r="E29" i="3"/>
  <c r="D59" i="3" s="1"/>
  <c r="J29" i="3"/>
  <c r="I29" i="3"/>
  <c r="J33" i="3" l="1"/>
  <c r="I33" i="3"/>
  <c r="K33" i="3"/>
  <c r="L33" i="3"/>
  <c r="E60" i="3"/>
  <c r="E87" i="5"/>
  <c r="D64" i="3"/>
  <c r="E64" i="3"/>
  <c r="E59" i="3"/>
  <c r="F59" i="3"/>
  <c r="F63" i="3"/>
  <c r="D87" i="5"/>
  <c r="F87" i="5"/>
  <c r="E34" i="4"/>
  <c r="D39" i="4"/>
  <c r="F34" i="4"/>
  <c r="E39" i="4"/>
  <c r="G34" i="4"/>
  <c r="F39" i="4"/>
  <c r="D35" i="4"/>
  <c r="E38" i="4"/>
  <c r="D38" i="4"/>
  <c r="E35" i="4"/>
  <c r="F38" i="4"/>
  <c r="G39" i="4"/>
  <c r="F35" i="4"/>
  <c r="G38" i="4"/>
  <c r="G59" i="3"/>
  <c r="F64" i="3"/>
  <c r="D63" i="3"/>
  <c r="G64" i="3"/>
  <c r="D60" i="3"/>
  <c r="E63" i="3"/>
  <c r="F60" i="3"/>
  <c r="G63" i="3"/>
  <c r="D61" i="3" l="1"/>
  <c r="E37" i="4"/>
  <c r="G36" i="4"/>
  <c r="D37" i="4"/>
  <c r="F61" i="3"/>
  <c r="H87" i="5"/>
  <c r="H34" i="4"/>
  <c r="D36" i="4"/>
  <c r="H38" i="4"/>
  <c r="H39" i="4"/>
  <c r="H35" i="4"/>
  <c r="H64" i="3"/>
  <c r="H59" i="3"/>
  <c r="H60" i="3"/>
  <c r="H63" i="3"/>
  <c r="D86" i="5"/>
  <c r="F86" i="5"/>
  <c r="G90" i="5"/>
  <c r="F90" i="5"/>
  <c r="E90" i="5"/>
  <c r="G91" i="5"/>
  <c r="D90" i="5"/>
  <c r="F91" i="5"/>
  <c r="G86" i="5"/>
  <c r="D91" i="5"/>
  <c r="E86" i="5"/>
  <c r="E91" i="5"/>
  <c r="D88" i="5"/>
  <c r="K29" i="3"/>
  <c r="F37" i="4" l="1"/>
  <c r="G37" i="4"/>
  <c r="E36" i="4"/>
  <c r="F36" i="4"/>
  <c r="G61" i="3"/>
  <c r="E61" i="3"/>
  <c r="H90" i="5"/>
  <c r="H91" i="5"/>
  <c r="H86" i="5"/>
  <c r="G88" i="5"/>
  <c r="F88" i="5"/>
  <c r="E88" i="5"/>
  <c r="D89" i="5"/>
  <c r="D62" i="3"/>
  <c r="G49" i="1"/>
  <c r="F49" i="1"/>
  <c r="E48" i="1"/>
  <c r="H36" i="4" l="1"/>
  <c r="H88" i="5"/>
  <c r="H37" i="4"/>
  <c r="H61" i="3"/>
  <c r="E53" i="1"/>
  <c r="D53" i="1"/>
  <c r="F53" i="1"/>
  <c r="G53" i="1"/>
  <c r="E89" i="5"/>
  <c r="G89" i="5"/>
  <c r="F89" i="5"/>
  <c r="E62" i="3"/>
  <c r="F62" i="3"/>
  <c r="G62" i="3"/>
  <c r="G52" i="1"/>
  <c r="F52" i="1"/>
  <c r="E52" i="1"/>
  <c r="D52" i="1"/>
  <c r="G48" i="1"/>
  <c r="F48" i="1"/>
  <c r="G43" i="4" l="1"/>
  <c r="H53" i="1"/>
  <c r="H89" i="5"/>
  <c r="G95" i="5" s="1"/>
  <c r="H62" i="3"/>
  <c r="G68" i="3" s="1"/>
  <c r="H52" i="1"/>
  <c r="K21" i="1" l="1"/>
  <c r="I21" i="1"/>
  <c r="H54" i="1" l="1"/>
  <c r="H55" i="1"/>
  <c r="E50" i="1" l="1"/>
  <c r="F50" i="1"/>
  <c r="G50" i="1"/>
  <c r="E51" i="1"/>
  <c r="F51" i="1"/>
  <c r="G51" i="1"/>
  <c r="E49" i="1"/>
  <c r="D49" i="1"/>
  <c r="H49" i="1" l="1"/>
  <c r="D50" i="1"/>
  <c r="D48" i="1"/>
  <c r="H48" i="1" s="1"/>
  <c r="H51" i="1" l="1"/>
  <c r="H50" i="1" l="1"/>
  <c r="G57" i="1"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<sst xmlns="http://schemas.openxmlformats.org/spreadsheetml/2006/main" count="739" uniqueCount="265">
  <si>
    <t>Verwijzing</t>
  </si>
  <si>
    <t>Toelichting</t>
  </si>
  <si>
    <t>Algemeen</t>
  </si>
  <si>
    <r>
      <t xml:space="preserve">Deze werkmap bevat meerdere tabbladen, berekeningen en functies. Indien u gebruik wenst te maken van de gegevens uit deze werkmap raden wij u aan te werken met een kopie. De bladen zijn niet beveiligd om u in gelegenheid te stellen uw eigen berekeningen in een kopie te hanteren. </t>
    </r>
    <r>
      <rPr>
        <b/>
        <u/>
        <sz val="11"/>
        <color theme="1"/>
        <rFont val="Calibri"/>
        <family val="2"/>
        <scheme val="minor"/>
      </rPr>
      <t>Echter in het up te loaden document dient de Inschrijver slechts de gevraagde cellen in te vullen en verder geen wijzigingen aan te brengen in gegevens of formules, zulks op risico van het ter zijde leggen door Aanbestedende Dienst van de Inschrijving._x000D_</t>
    </r>
    <r>
      <rPr>
        <u/>
        <sz val="11"/>
        <color theme="1"/>
        <rFont val="Calibri"/>
        <family val="2"/>
        <scheme val="minor"/>
      </rPr>
      <t xml:space="preserve">
</t>
    </r>
  </si>
  <si>
    <t xml:space="preserve">De aantallen en keuze van de MFP per Locatie kunnen na de gunning nog worden aangepast. Deze inventarisatie is gebaseerd op het verbruik en behoefte van 2024.
</t>
  </si>
  <si>
    <r>
      <t>De opgegeven prijzen zijn in overeenstemming met het gestelde in de Uitnodiging to</t>
    </r>
    <r>
      <rPr>
        <sz val="11"/>
        <rFont val="Calibri"/>
        <family val="2"/>
        <scheme val="minor"/>
      </rPr>
      <t xml:space="preserve">t Inschrijving </t>
    </r>
    <r>
      <rPr>
        <sz val="11"/>
        <color theme="1"/>
        <rFont val="Calibri"/>
        <family val="2"/>
        <scheme val="minor"/>
      </rPr>
      <t xml:space="preserve">en de bijlagen (waaronder maar niet beperkt tot het Programma van Eisen). 
</t>
    </r>
  </si>
  <si>
    <t xml:space="preserve">Uitsluitend de roze en groen gekleurde cellen onderaan de werkbladen dienen te worden ingevuld. Aan de hand van formules wordt onderin het werkblad de totaalprijs zichtbaar. Deze totaalprijs wordt gebruikt voor de beoordeling op prijs.
</t>
  </si>
  <si>
    <t xml:space="preserve">Onderaan het tabblad "Prijzenblad" staan enkele voetnoten vermeld. Deze verschaffen de Inschrijver extra informatie over de op te geven prijzen. Elke Inschrijver wordt geadviseerd hier grondig kennis van te nemen.
</t>
  </si>
  <si>
    <t xml:space="preserve">De opgegeven MFP's dienen volledig te voldoen aan het gestelde in de Uitnodiging tot Inschrijving. Indien hierbij wordt geconstateerd dat de verstrekte gegevens onjuist, onwaar of onvolledig zijn, heeft Aanbestedende Dienst het recht om de Inschrijver uit te sluiten van deelname aan deze aanbesteding dan wel het recht om de gesloten Overeenkomst met onmiddellijke ingang te ontbinden.
</t>
  </si>
  <si>
    <t>Invulcellen prijzen</t>
  </si>
  <si>
    <t xml:space="preserve">De groene cellen van alle tabbladen dienen te worden ingevuld. Bovenin ieder tabblad kan het merk + type/model worden aangegeven. Alleen een bedrag (in cijfers) mag worden ingevuld. Een negatief bedrag is niet toegestaan. De opgegeven prijzen dienen reëel en waar te maken zijn.
</t>
  </si>
  <si>
    <t xml:space="preserve">De licht roze cellen op alle tabbladen dienen te worden ingevuld. Alleen een bedrag (in cijfers) mag worden ingevuld. Een negatief bedrag is niet toegestaan. De opgegeven prijzen dienen reëel en waar te maken zijn. Deze bedragen worden niet meegerekend in de Totaalprijs. Viadere kan te zijner tijd besluiten of zij gebruik wenst te maken van de hier opgegeven opties. De prijs is net als de huurprijzen vast gedurende de looptijd van de Overeenkomst.
</t>
  </si>
  <si>
    <t>Naam /model</t>
  </si>
  <si>
    <t xml:space="preserve">einnddatum nieuwe overeenkomst </t>
  </si>
  <si>
    <t>School/ Locatie</t>
  </si>
  <si>
    <t>Adres</t>
  </si>
  <si>
    <t>Postcode</t>
  </si>
  <si>
    <t>Plaats</t>
  </si>
  <si>
    <t>Model 1
(eis M1 t/m M27)</t>
  </si>
  <si>
    <t>Model 2
(eis M1 t/m M27)</t>
  </si>
  <si>
    <t>Datum in gebruikname</t>
  </si>
  <si>
    <t>Zw/w p/j</t>
  </si>
  <si>
    <t>Kleur p/j</t>
  </si>
  <si>
    <t>Zw/w p/m</t>
  </si>
  <si>
    <t>kleur p/m</t>
  </si>
  <si>
    <t>Beekpark</t>
  </si>
  <si>
    <t>Bongerdsweg 2</t>
  </si>
  <si>
    <t>7623 AJ</t>
  </si>
  <si>
    <t>Borne</t>
  </si>
  <si>
    <t xml:space="preserve">Beekpark </t>
  </si>
  <si>
    <t>De Bron</t>
  </si>
  <si>
    <t>Henry Woodstraat 70-72</t>
  </si>
  <si>
    <t>7558 CP</t>
  </si>
  <si>
    <t>Hengelo</t>
  </si>
  <si>
    <t>De Optimist</t>
  </si>
  <si>
    <t>Fioringras 4</t>
  </si>
  <si>
    <t>7623 DR</t>
  </si>
  <si>
    <t>De Rank</t>
  </si>
  <si>
    <t>Elritsplein 100</t>
  </si>
  <si>
    <t>7559 HR</t>
  </si>
  <si>
    <t>De Vonder - Locatie De Horsten</t>
  </si>
  <si>
    <t>Aakamp 1</t>
  </si>
  <si>
    <t>7623 XH</t>
  </si>
  <si>
    <t>De Vonder - Locatie De Veste</t>
  </si>
  <si>
    <t>H.F. Roetgerinklaan 1</t>
  </si>
  <si>
    <t>7623 AX</t>
  </si>
  <si>
    <t>De Welp</t>
  </si>
  <si>
    <t>Koekoekslaan 2-A 2-C</t>
  </si>
  <si>
    <t>7574 CN</t>
  </si>
  <si>
    <t>Markelo</t>
  </si>
  <si>
    <t>De Wheele</t>
  </si>
  <si>
    <t>Welemanstraat 21</t>
  </si>
  <si>
    <t>7622 HB</t>
  </si>
  <si>
    <t>Flora</t>
  </si>
  <si>
    <t>Meidoornhof 2</t>
  </si>
  <si>
    <t>7621 CL</t>
  </si>
  <si>
    <t xml:space="preserve">Stafbureau </t>
  </si>
  <si>
    <t>Jan Tinbergenstraat 111</t>
  </si>
  <si>
    <t>7559 SP</t>
  </si>
  <si>
    <t xml:space="preserve">Hengelo </t>
  </si>
  <si>
    <t>IKC Bentelwijz</t>
  </si>
  <si>
    <t>Burgemeester Buyvoetsplein 70</t>
  </si>
  <si>
    <t>7497 LD</t>
  </si>
  <si>
    <t>Bentelo</t>
  </si>
  <si>
    <t>IKC Erve Hooyerinck</t>
  </si>
  <si>
    <t>Hooyerinksplein 7-9</t>
  </si>
  <si>
    <t>7491 DP</t>
  </si>
  <si>
    <t>Delden</t>
  </si>
  <si>
    <t>IKC Magenta</t>
  </si>
  <si>
    <t>Langestraat 118-B</t>
  </si>
  <si>
    <t>7491 AK</t>
  </si>
  <si>
    <t>IKC Prins Constantijn</t>
  </si>
  <si>
    <t>Rozenstraat 4</t>
  </si>
  <si>
    <t>7471 JN</t>
  </si>
  <si>
    <t>Goor</t>
  </si>
  <si>
    <t>St Aegidius</t>
  </si>
  <si>
    <t>Hertmerweg 26</t>
  </si>
  <si>
    <t>7626 LW</t>
  </si>
  <si>
    <t>Hertme</t>
  </si>
  <si>
    <t>t Oldhof</t>
  </si>
  <si>
    <t>Dingeldeinstraat 7</t>
  </si>
  <si>
    <t>7621 XJ</t>
  </si>
  <si>
    <t>De vaste huurprijs (hardware)</t>
  </si>
  <si>
    <t>Eerste 48 maanden</t>
  </si>
  <si>
    <t>Optiejaar 1</t>
  </si>
  <si>
    <t>Optiejaar 2</t>
  </si>
  <si>
    <t>Optiejaar 3</t>
  </si>
  <si>
    <t>Aantal afdrukken</t>
  </si>
  <si>
    <r>
      <t xml:space="preserve"> Huurprijs</t>
    </r>
    <r>
      <rPr>
        <vertAlign val="superscript"/>
        <sz val="11"/>
        <color theme="1"/>
        <rFont val="Calibri"/>
        <family val="2"/>
        <scheme val="minor"/>
      </rPr>
      <t>1</t>
    </r>
    <r>
      <rPr>
        <sz val="11"/>
        <color theme="1"/>
        <rFont val="Calibri"/>
        <family val="2"/>
        <scheme val="minor"/>
      </rPr>
      <t xml:space="preserve"> per MFP model 1 per maand </t>
    </r>
  </si>
  <si>
    <t>zw/w per optiejaar</t>
  </si>
  <si>
    <t>kleur per optiejaar</t>
  </si>
  <si>
    <r>
      <t>Huurprijs</t>
    </r>
    <r>
      <rPr>
        <vertAlign val="superscript"/>
        <sz val="11"/>
        <color theme="1"/>
        <rFont val="Calibri"/>
        <family val="2"/>
        <scheme val="minor"/>
      </rPr>
      <t>1</t>
    </r>
    <r>
      <rPr>
        <sz val="11"/>
        <color theme="1"/>
        <rFont val="Calibri"/>
        <family val="2"/>
        <scheme val="minor"/>
      </rPr>
      <t xml:space="preserve"> per MFP model 2 per maand </t>
    </r>
  </si>
  <si>
    <t>Model 1 en 2</t>
  </si>
  <si>
    <t>Licentie en maintenance kosten voor software</t>
  </si>
  <si>
    <t>Software per model 1 en 2 per maand (Eis S1 t/m S20)</t>
  </si>
  <si>
    <t xml:space="preserve"> PMS per model 1 en 2 per maand (Eis S1 t/m S20)</t>
  </si>
  <si>
    <t>Afdrukprijs per Afdruk voor zwart/wit en kleur Model 1 en 2</t>
  </si>
  <si>
    <t>Afdrukprijs zwart/wit</t>
  </si>
  <si>
    <t>Deze prijs kan volgens het bepaalde in de Overeenkomst worden geïndexeerd, i.t.t. de overige prijzen</t>
  </si>
  <si>
    <t>Afdrukprijs kleur</t>
  </si>
  <si>
    <t>Totale implementatiekosten (éénmalig)</t>
  </si>
  <si>
    <t>Uitrol</t>
  </si>
  <si>
    <t>Voor alle Locaties (dus alle MFP's), later op factuur te specificeren per Locatie</t>
  </si>
  <si>
    <t>Instructie en training</t>
  </si>
  <si>
    <r>
      <rPr>
        <b/>
        <sz val="11"/>
        <color rgb="FFFF0000"/>
        <rFont val="Calibri"/>
        <family val="2"/>
        <scheme val="minor"/>
      </rPr>
      <t>Opties</t>
    </r>
    <r>
      <rPr>
        <b/>
        <sz val="11"/>
        <color theme="1"/>
        <rFont val="Calibri"/>
        <family val="2"/>
        <scheme val="minor"/>
      </rPr>
      <t xml:space="preserve"> model 1 en 2</t>
    </r>
  </si>
  <si>
    <t>Meerprijs verhuizing² van een MFP per keer</t>
  </si>
  <si>
    <t xml:space="preserve"> (optioneel, telt niet mee in totaalprijs)</t>
  </si>
  <si>
    <t>Meerprijs perforatie unit (2-gaats) model 1 per MFP per maand</t>
  </si>
  <si>
    <t>Meerprijs perforatie unit (2-gaats) model 2 per MFP per maand</t>
  </si>
  <si>
    <t>Meerprijs niet/vouw finisher (bookletmaker³) model 1 per MFP per maand</t>
  </si>
  <si>
    <t>Meerprijs niet/vouw finisher (bookletmaker³) model 2 per MFP per maand</t>
  </si>
  <si>
    <t>Bulklade bij model 1 in plaats van lade 3 + 4 per MFP per maand</t>
  </si>
  <si>
    <r>
      <t>Meerprijs verhuizing</t>
    </r>
    <r>
      <rPr>
        <vertAlign val="superscript"/>
        <sz val="11"/>
        <rFont val="Calibri"/>
        <family val="2"/>
        <scheme val="minor"/>
      </rPr>
      <t>3</t>
    </r>
    <r>
      <rPr>
        <sz val="11"/>
        <rFont val="Calibri"/>
        <family val="2"/>
        <scheme val="minor"/>
      </rPr>
      <t xml:space="preserve"> van een MFP per keer </t>
    </r>
  </si>
  <si>
    <t>Bulklade bij model 2 in plaats van lade 3 + 4 per MFP per maand</t>
  </si>
  <si>
    <t>Meerprijs externe finisher bij model 1 per MFP per maand</t>
  </si>
  <si>
    <t>Meerprijs externe finisher bij model 2 per MFP per maand</t>
  </si>
  <si>
    <t>Omschrijving</t>
  </si>
  <si>
    <t>Subtotaal</t>
  </si>
  <si>
    <t>Totaal model 1: Leaseprijs alle machines</t>
  </si>
  <si>
    <t>Totaal model 2: Leaseprijs alle machines</t>
  </si>
  <si>
    <t>Afdrukkosten zwart/wit model 1 en 2</t>
  </si>
  <si>
    <t>Afdrukken kleur</t>
  </si>
  <si>
    <t>Eenmalige implementatiekosten (uitrol)</t>
  </si>
  <si>
    <t>Eenmalige implementatiekosten (instructie en training)</t>
  </si>
  <si>
    <t>Totaalprijs</t>
  </si>
  <si>
    <r>
      <rPr>
        <vertAlign val="superscript"/>
        <sz val="10"/>
        <color theme="1"/>
        <rFont val="Calibri"/>
        <family val="2"/>
      </rPr>
      <t>1</t>
    </r>
    <r>
      <rPr>
        <sz val="10"/>
        <color theme="1"/>
        <rFont val="Calibri"/>
        <family val="2"/>
      </rPr>
      <t xml:space="preserve"> De opgegeven prijzen dienen te voldoen aan de eisen zoals gesteld in de Uitnodiging tot Inschrijving.</t>
    </r>
  </si>
  <si>
    <r>
      <rPr>
        <vertAlign val="superscript"/>
        <sz val="10"/>
        <color theme="1"/>
        <rFont val="Calibri"/>
        <family val="2"/>
      </rPr>
      <t xml:space="preserve">2 </t>
    </r>
    <r>
      <rPr>
        <sz val="10"/>
        <color theme="1"/>
        <rFont val="Calibri"/>
        <family val="2"/>
      </rPr>
      <t xml:space="preserve">Het gaat hierbij om een verhuizing tussen Locaties van de Opdrachtgever. Het apparaat wordt ontkoppeld verplaatst en opnieuw aangesloten, gereed voor gebruik. </t>
    </r>
  </si>
  <si>
    <r>
      <rPr>
        <vertAlign val="superscript"/>
        <sz val="10"/>
        <color theme="1"/>
        <rFont val="Calibri"/>
        <family val="2"/>
      </rPr>
      <t xml:space="preserve">3 </t>
    </r>
    <r>
      <rPr>
        <sz val="10"/>
        <color theme="1"/>
        <rFont val="Calibri"/>
        <family val="2"/>
      </rPr>
      <t>Het betreft een functie waarbij een A4 vel gevouwen wordt en een nietje in de rug van gevouwen boekje wordt geplaatst. De opgegeven prijs is de meerprijs ten opzichte van de standaardfinisher die is uitgevraagd in de Uitnodiging tot Inschrijving.</t>
    </r>
  </si>
  <si>
    <t>Van Bevervoordestraat 4</t>
  </si>
  <si>
    <t>7275 AG</t>
  </si>
  <si>
    <t>Gelselaar</t>
  </si>
  <si>
    <t>Den Borgweg 2</t>
  </si>
  <si>
    <t>7157 BR</t>
  </si>
  <si>
    <t>Rekken</t>
  </si>
  <si>
    <t>Meidoornstraat 36</t>
  </si>
  <si>
    <t>7151 ZT</t>
  </si>
  <si>
    <t>Eibergen</t>
  </si>
  <si>
    <t>OBS De Driesprong</t>
  </si>
  <si>
    <t>Batsdijk 23</t>
  </si>
  <si>
    <t>7161 SN</t>
  </si>
  <si>
    <t>Ruurlo</t>
  </si>
  <si>
    <t>Kronenburgerstraat 3a</t>
  </si>
  <si>
    <t>7271 GD</t>
  </si>
  <si>
    <t>Borculo</t>
  </si>
  <si>
    <t>OBS De Hofmaat</t>
  </si>
  <si>
    <t>Kievitstraat 112</t>
  </si>
  <si>
    <t>7161 JH</t>
  </si>
  <si>
    <t>Neede</t>
  </si>
  <si>
    <t>OBS De Keikamp</t>
  </si>
  <si>
    <t>Zonnekamp 13</t>
  </si>
  <si>
    <t>7274 AX</t>
  </si>
  <si>
    <t>Geesteren</t>
  </si>
  <si>
    <t>OBS De Marke</t>
  </si>
  <si>
    <t>Bosstraat 10</t>
  </si>
  <si>
    <t>7161 XZ</t>
  </si>
  <si>
    <t>OBS De Voshaar</t>
  </si>
  <si>
    <t>Wolinkweg 6</t>
  </si>
  <si>
    <t>7273 SL</t>
  </si>
  <si>
    <t>Haarlo</t>
  </si>
  <si>
    <t>OBS Kerst Zwart</t>
  </si>
  <si>
    <t>Schoolstraat 11</t>
  </si>
  <si>
    <t>7261 GH</t>
  </si>
  <si>
    <t>OBS Kiezel en Kei</t>
  </si>
  <si>
    <t>t Hambroek 54</t>
  </si>
  <si>
    <t>7271 HB</t>
  </si>
  <si>
    <t>OBS Menno ter Braak</t>
  </si>
  <si>
    <t>Kon. Wilhelminastraat 44</t>
  </si>
  <si>
    <t>7151 CP</t>
  </si>
  <si>
    <t>Heer Rudolfstraat 1</t>
  </si>
  <si>
    <t>7271 XH</t>
  </si>
  <si>
    <t>SBO Diekmaat</t>
  </si>
  <si>
    <t>Wheemerstraat 10</t>
  </si>
  <si>
    <t>7161AN</t>
  </si>
  <si>
    <t>Stafkantoor</t>
  </si>
  <si>
    <t>Jonkerspad 9</t>
  </si>
  <si>
    <t>7271 LC</t>
  </si>
  <si>
    <t>SBO de Welle</t>
  </si>
  <si>
    <t>Winkelsteeg 6</t>
  </si>
  <si>
    <t>7607 AT</t>
  </si>
  <si>
    <t>Almelo</t>
  </si>
  <si>
    <t>Meerprijs verhuizing² van een MFP  per keer</t>
  </si>
  <si>
    <t xml:space="preserve">Basisschool de Horizon
</t>
  </si>
  <si>
    <t>Brusselstraat 15</t>
  </si>
  <si>
    <t>7559 NN</t>
  </si>
  <si>
    <t>Bestuursbureau</t>
  </si>
  <si>
    <t xml:space="preserve">Bestuursbureau
</t>
  </si>
  <si>
    <t xml:space="preserve">De Anninkschool
</t>
  </si>
  <si>
    <t>Bergweg 34</t>
  </si>
  <si>
    <t>7557 BT</t>
  </si>
  <si>
    <t>IKC Aventurijn Locatie Breemarsweg</t>
  </si>
  <si>
    <t>Breemarsweg 483</t>
  </si>
  <si>
    <t>7555 KA</t>
  </si>
  <si>
    <t xml:space="preserve">IKC Aventurijn Locatie Laurastraat </t>
  </si>
  <si>
    <t>Laurastraat 3</t>
  </si>
  <si>
    <t>7555 HW</t>
  </si>
  <si>
    <t xml:space="preserve">IKC Aventurijn Locatie Laurastraat 
</t>
  </si>
  <si>
    <t>IKC Berflo</t>
  </si>
  <si>
    <t>Apolloplein 1</t>
  </si>
  <si>
    <t>7552 VG</t>
  </si>
  <si>
    <t xml:space="preserve">IKC Berflo
</t>
  </si>
  <si>
    <t xml:space="preserve">IKC Dalton - St. Plechelmus
</t>
  </si>
  <si>
    <t>Wilbertstraat 15/a</t>
  </si>
  <si>
    <t>7556 WH</t>
  </si>
  <si>
    <t>Wilbertstraat 15/c</t>
  </si>
  <si>
    <t xml:space="preserve">IKC De Akker
</t>
  </si>
  <si>
    <t>P.C. Hooftlaan 202</t>
  </si>
  <si>
    <t>7552 HE</t>
  </si>
  <si>
    <t xml:space="preserve">IKC de Akker
</t>
  </si>
  <si>
    <t xml:space="preserve">IKC De Bleek
</t>
  </si>
  <si>
    <t>Kerkpad 9</t>
  </si>
  <si>
    <t>7554 PR</t>
  </si>
  <si>
    <t xml:space="preserve">IKC De Esrein Locatie Breemarsweg
</t>
  </si>
  <si>
    <t>Breemarsweg 270</t>
  </si>
  <si>
    <t>7553 HW</t>
  </si>
  <si>
    <t xml:space="preserve">IKC De Esrein Locatie Kerkstraat
</t>
  </si>
  <si>
    <t>Kerkstraat 116</t>
  </si>
  <si>
    <t>7553 VX</t>
  </si>
  <si>
    <t xml:space="preserve">IKC de Esrein Locatie Kerkstraat
</t>
  </si>
  <si>
    <t xml:space="preserve">IKC de Esrein Locatie Kerkstraat
</t>
  </si>
  <si>
    <t xml:space="preserve">IKC De Hunenborg
</t>
  </si>
  <si>
    <t>Old Ruitenborg 31</t>
  </si>
  <si>
    <t>7556 NK</t>
  </si>
  <si>
    <t xml:space="preserve">IKC De Hunenborg
</t>
  </si>
  <si>
    <t xml:space="preserve">IKC de Kiem
</t>
  </si>
  <si>
    <t xml:space="preserve">Klaas de Rookstraat 53 </t>
  </si>
  <si>
    <t>7558 DJ</t>
  </si>
  <si>
    <t>Klaas de Rookstraat 57</t>
  </si>
  <si>
    <t xml:space="preserve">IKC De Wooldermarke
</t>
  </si>
  <si>
    <t>Semmelweisstraat 46</t>
  </si>
  <si>
    <t>7555 NT</t>
  </si>
  <si>
    <t>IKC Hart van Slangenbeek</t>
  </si>
  <si>
    <t>Wezelstraat 75-77</t>
  </si>
  <si>
    <t>7559 AR</t>
  </si>
  <si>
    <t xml:space="preserve">IKC Hart van Slangenbeek
</t>
  </si>
  <si>
    <t>Luxemburgstraat 100</t>
  </si>
  <si>
    <t>7559 NB</t>
  </si>
  <si>
    <t>IKC St. Jan</t>
  </si>
  <si>
    <t>Oude Postweg 55-57</t>
  </si>
  <si>
    <t>7557 DA</t>
  </si>
  <si>
    <t>IKC St. Jan / Dependance</t>
  </si>
  <si>
    <t>Sportlaan Driene 6-1</t>
  </si>
  <si>
    <t xml:space="preserve">IKC 't Eimink
</t>
  </si>
  <si>
    <t>Johan Buziaustraat 14</t>
  </si>
  <si>
    <t>7558 LA</t>
  </si>
  <si>
    <t>IKC Titus Brandsma</t>
  </si>
  <si>
    <t>Drienerstraat 51</t>
  </si>
  <si>
    <t>7551 HL</t>
  </si>
  <si>
    <t xml:space="preserve">IKC Titus Brandsma
</t>
  </si>
  <si>
    <t xml:space="preserve">IKC Titus Brandsma
</t>
  </si>
  <si>
    <t>SBO De Batavier Locatie Elsbeekweg</t>
  </si>
  <si>
    <t>Elsbeekweg 10</t>
  </si>
  <si>
    <t>7557 CC</t>
  </si>
  <si>
    <t>SBO De Batavier Locatie Schutzstraat</t>
  </si>
  <si>
    <t>Schutzstraat 18</t>
  </si>
  <si>
    <t>7557 RH</t>
  </si>
  <si>
    <t xml:space="preserve">Wilbertschool
</t>
  </si>
  <si>
    <t>Ruysdaelstraat 45</t>
  </si>
  <si>
    <t>7556 WS</t>
  </si>
  <si>
    <t>zw/w tot 30-06-2030</t>
  </si>
  <si>
    <r>
      <rPr>
        <vertAlign val="superscript"/>
        <sz val="10"/>
        <color theme="1"/>
        <rFont val="Calibri"/>
        <family val="2"/>
      </rPr>
      <t xml:space="preserve">2 </t>
    </r>
    <r>
      <rPr>
        <sz val="10"/>
        <color theme="1"/>
        <rFont val="Calibri"/>
        <family val="2"/>
      </rPr>
      <t xml:space="preserve">Het gaat hierbij om een verhuizing tussen Locaties van de Opdrachtgever bovenop het aantal verhuizingen genoemd. Het apparaat wordt ontkoppeld verplaatst en opnieuw aangesloten, gereed voor gebruik. </t>
    </r>
  </si>
  <si>
    <t>OBS G.A. v.d. Lugtschool</t>
  </si>
  <si>
    <t>OBS De Berkel</t>
  </si>
  <si>
    <t>OBS Op d'n Esch</t>
  </si>
  <si>
    <t>OBS H.W. Heuvelschool</t>
  </si>
  <si>
    <t>OBS Noord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</si>
</sst>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_ * #,##0_ ;_ * \-#,##0_ ;_ * &quot;-&quot;??_ ;_ @_ "/>
    <numFmt numFmtId="165" formatCode="_ &quot;€&quot;\ * #,##0.0000_ ;_ &quot;€&quot;\ * \-#,##0.0000_ ;_ &quot;€&quot;\ * &quot;-&quot;??_ ;_ @_ "/>
    <numFmt numFmtId="166" formatCode="_ [$€-413]\ * #,##0.00_ ;_ [$€-413]\ * \-#,##0.00_ ;_ [$€-413]\ * &quot;-&quot;??_ ;_ @_ "/>
    <numFmt numFmtId="167" formatCode="_ [$€-2]\ * #,##0.00_ ;_ [$€-2]\ * \-#,##0.00_ ;_ [$€-2]\ * &quot;-&quot;??_ ;_ @_ "/>
    <numFmt numFmtId="168" formatCode="&quot;zw/w tot&quot;\ d/m/yyyy"/>
    <numFmt numFmtId="169" formatCode="&quot;kleur tot&quot;\ d/m/yyyy"/>
    <numFmt numFmtId="170" formatCode="&quot;# zw/w afdrukken M1 tot&quot;\ d/m/yyyy"/>
    <numFmt numFmtId="171" formatCode="_ &quot;€&quot;\ * #,##0.000000_ ;_ &quot;€&quot;\ * \-#,##0.000000_ ;_ &quot;€&quot;\ * &quot;-&quot;??_ ;_ @_ "/>
  </numFmts>
  <fonts count="27" x14ac:knownFonts="1">
    <font>
      <sz val="11"/>
      <color theme="1"/>
      <name val="Calibri Light"/>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Light"/>
      <family val="2"/>
    </font>
    <font>
      <sz val="8"/>
      <name val="Calibri Light"/>
      <family val="2"/>
    </font>
    <font>
      <b/>
      <sz val="11"/>
      <color theme="1"/>
      <name val="Calibri Light"/>
      <family val="2"/>
    </font>
    <font>
      <sz val="11"/>
      <name val="Calibri"/>
      <family val="2"/>
      <scheme val="minor"/>
    </font>
    <font>
      <sz val="16"/>
      <color theme="1"/>
      <name val="Calibri"/>
      <family val="2"/>
      <scheme val="minor"/>
    </font>
    <font>
      <b/>
      <u/>
      <sz val="11"/>
      <color theme="1"/>
      <name val="Calibri"/>
      <family val="2"/>
      <scheme val="minor"/>
    </font>
    <font>
      <u/>
      <sz val="11"/>
      <color theme="1"/>
      <name val="Calibri"/>
      <family val="2"/>
      <scheme val="minor"/>
    </font>
    <font>
      <b/>
      <sz val="16"/>
      <name val="Calibri"/>
      <family val="2"/>
      <scheme val="minor"/>
    </font>
    <font>
      <sz val="14"/>
      <color rgb="FFFF0000"/>
      <name val="Calibri Light"/>
      <family val="2"/>
    </font>
    <font>
      <sz val="10"/>
      <color theme="1"/>
      <name val="Calibri"/>
      <family val="2"/>
    </font>
    <font>
      <sz val="11"/>
      <color theme="1"/>
      <name val="Calibri"/>
      <family val="2"/>
    </font>
    <font>
      <sz val="18"/>
      <color theme="1"/>
      <name val="Calibri"/>
      <family val="2"/>
    </font>
    <font>
      <b/>
      <sz val="18"/>
      <name val="Calibri"/>
      <family val="2"/>
    </font>
    <font>
      <vertAlign val="superscript"/>
      <sz val="10"/>
      <color theme="1"/>
      <name val="Calibri"/>
      <family val="2"/>
    </font>
    <font>
      <b/>
      <sz val="11"/>
      <color theme="0"/>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vertAlign val="superscript"/>
      <sz val="11"/>
      <color theme="1"/>
      <name val="Calibri"/>
      <family val="2"/>
      <scheme val="minor"/>
    </font>
    <font>
      <vertAlign val="superscript"/>
      <sz val="11"/>
      <name val="Calibri"/>
      <family val="2"/>
      <scheme val="minor"/>
    </font>
    <font>
      <b/>
      <sz val="11"/>
      <name val="Calibri"/>
      <family val="2"/>
      <scheme val="minor"/>
    </font>
    <font>
      <sz val="11"/>
      <color rgb="FF000000"/>
      <name val="Aptos Narrow"/>
      <family val="2"/>
    </font>
    <font>
      <sz val="11"/>
      <name val="Aptos Narrow"/>
      <family val="2"/>
    </font>
  </fonts>
  <fills count="10">
    <fill>
      <patternFill patternType="none"/>
    </fill>
    <fill>
      <patternFill patternType="gray125"/>
    </fill>
    <fill>
      <patternFill patternType="solid">
        <fgColor theme="7" tint="0.79998168889431442"/>
        <bgColor indexed="64"/>
      </patternFill>
    </fill>
    <fill>
      <patternFill patternType="solid">
        <fgColor theme="2" tint="-4.9989318521683403E-2"/>
        <bgColor indexed="64"/>
      </patternFill>
    </fill>
    <fill>
      <patternFill patternType="solid">
        <fgColor rgb="FF00FF99"/>
        <bgColor indexed="64"/>
      </patternFill>
    </fill>
    <fill>
      <patternFill patternType="solid">
        <fgColor rgb="FFFFC000"/>
        <bgColor theme="4"/>
      </patternFill>
    </fill>
    <fill>
      <patternFill patternType="solid">
        <fgColor rgb="FFFFC000"/>
        <bgColor indexed="64"/>
      </patternFill>
    </fill>
    <fill>
      <patternFill patternType="solid">
        <fgColor theme="5"/>
        <bgColor indexed="64"/>
      </patternFill>
    </fill>
    <fill>
      <patternFill patternType="solid">
        <fgColor rgb="FFFFCCFF"/>
        <bgColor indexed="64"/>
      </patternFill>
    </fill>
    <fill>
      <patternFill patternType="solid">
        <fgColor theme="3"/>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thin">
        <color theme="5" tint="0.39997558519241921"/>
      </top>
      <bottom style="thin">
        <color theme="5" tint="0.39997558519241921"/>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diagonal/>
    </border>
  </borders>
  <cellStyleXfs count="4">
    <xf numFmtId="0" fontId="0"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134">
    <xf numFmtId="0" fontId="0" fillId="0" borderId="0" xfId="0"/>
    <xf numFmtId="0" fontId="0" fillId="0" borderId="0" xfId="0" applyAlignment="1">
      <alignment horizontal="right"/>
    </xf>
    <xf numFmtId="0" fontId="8" fillId="0" borderId="1" xfId="0" applyFont="1" applyBorder="1" applyAlignment="1">
      <alignment vertical="center"/>
    </xf>
    <xf numFmtId="44" fontId="8" fillId="0" borderId="1" xfId="2" applyFont="1" applyFill="1" applyBorder="1" applyAlignment="1" applyProtection="1">
      <alignment vertical="center" wrapText="1"/>
      <protection locked="0"/>
    </xf>
    <xf numFmtId="0" fontId="6" fillId="0" borderId="0" xfId="0" applyFont="1" applyAlignment="1">
      <alignment horizontal="right"/>
    </xf>
    <xf numFmtId="0" fontId="0" fillId="0" borderId="0" xfId="0" applyAlignment="1">
      <alignment horizontal="center" vertical="center"/>
    </xf>
    <xf numFmtId="166" fontId="8" fillId="4" borderId="1" xfId="2" applyNumberFormat="1" applyFont="1" applyFill="1" applyBorder="1" applyAlignment="1" applyProtection="1">
      <alignment horizontal="left" vertical="center"/>
      <protection locked="0"/>
    </xf>
    <xf numFmtId="0" fontId="6" fillId="0" borderId="0" xfId="0" applyFont="1" applyAlignment="1">
      <alignment horizontal="right" vertical="center"/>
    </xf>
    <xf numFmtId="0" fontId="12" fillId="0" borderId="0" xfId="0" applyFont="1"/>
    <xf numFmtId="0" fontId="11" fillId="7" borderId="1" xfId="0" applyFont="1" applyFill="1" applyBorder="1"/>
    <xf numFmtId="44" fontId="8" fillId="8" borderId="1" xfId="2" applyFont="1" applyFill="1" applyBorder="1" applyAlignment="1" applyProtection="1">
      <alignment vertical="center" wrapText="1"/>
      <protection locked="0"/>
    </xf>
    <xf numFmtId="0" fontId="14" fillId="0" borderId="0" xfId="0" applyFont="1"/>
    <xf numFmtId="167" fontId="14" fillId="0" borderId="0" xfId="0" applyNumberFormat="1" applyFont="1" applyProtection="1">
      <protection hidden="1"/>
    </xf>
    <xf numFmtId="164" fontId="14" fillId="0" borderId="0" xfId="1" applyNumberFormat="1" applyFont="1" applyAlignment="1" applyProtection="1">
      <alignment vertical="center"/>
      <protection hidden="1"/>
    </xf>
    <xf numFmtId="44" fontId="15" fillId="0" borderId="0" xfId="0" applyNumberFormat="1" applyFont="1" applyAlignment="1" applyProtection="1">
      <alignment horizontal="center"/>
      <protection hidden="1"/>
    </xf>
    <xf numFmtId="0" fontId="14" fillId="0" borderId="0" xfId="0" applyFont="1" applyAlignment="1" applyProtection="1">
      <alignment horizontal="center"/>
      <protection hidden="1"/>
    </xf>
    <xf numFmtId="0" fontId="16" fillId="6" borderId="14" xfId="0" applyFont="1" applyFill="1" applyBorder="1" applyAlignment="1" applyProtection="1">
      <alignment horizontal="center" vertical="center"/>
      <protection hidden="1"/>
    </xf>
    <xf numFmtId="0" fontId="13" fillId="0" borderId="0" xfId="0" applyFont="1" applyAlignment="1" applyProtection="1">
      <alignment horizontal="left"/>
      <protection hidden="1"/>
    </xf>
    <xf numFmtId="0" fontId="14" fillId="0" borderId="0" xfId="0" applyFont="1" applyAlignment="1" applyProtection="1">
      <alignment horizontal="left" wrapText="1"/>
      <protection hidden="1"/>
    </xf>
    <xf numFmtId="0" fontId="13" fillId="0" borderId="0" xfId="0" applyFont="1" applyProtection="1">
      <protection hidden="1"/>
    </xf>
    <xf numFmtId="0" fontId="14" fillId="0" borderId="0" xfId="0" applyFont="1" applyProtection="1">
      <protection hidden="1"/>
    </xf>
    <xf numFmtId="44" fontId="14" fillId="0" borderId="0" xfId="0" applyNumberFormat="1" applyFont="1"/>
    <xf numFmtId="9" fontId="14" fillId="0" borderId="0" xfId="3" applyFont="1"/>
    <xf numFmtId="0" fontId="3" fillId="0" borderId="0" xfId="0" applyFont="1"/>
    <xf numFmtId="0" fontId="20" fillId="7" borderId="15" xfId="0" applyFont="1" applyFill="1" applyBorder="1" applyAlignment="1">
      <alignment horizontal="right" vertical="center" wrapText="1"/>
    </xf>
    <xf numFmtId="0" fontId="19" fillId="0" borderId="0" xfId="0" applyFont="1"/>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xf>
    <xf numFmtId="0" fontId="20" fillId="0" borderId="0" xfId="0" applyFont="1" applyAlignment="1">
      <alignment horizontal="right" vertical="center"/>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44" fontId="18" fillId="7" borderId="2" xfId="2" applyFont="1" applyFill="1" applyBorder="1" applyAlignment="1" applyProtection="1">
      <alignment horizontal="center" vertical="center"/>
      <protection hidden="1"/>
    </xf>
    <xf numFmtId="166" fontId="7" fillId="4" borderId="1" xfId="3" applyNumberFormat="1" applyFont="1" applyFill="1" applyBorder="1" applyAlignment="1" applyProtection="1">
      <alignment horizontal="center" vertical="center"/>
      <protection locked="0"/>
    </xf>
    <xf numFmtId="168" fontId="18" fillId="7" borderId="3" xfId="0" applyNumberFormat="1" applyFont="1" applyFill="1" applyBorder="1" applyAlignment="1" applyProtection="1">
      <alignment horizontal="center" vertical="center" wrapText="1"/>
      <protection hidden="1"/>
    </xf>
    <xf numFmtId="0" fontId="18" fillId="7" borderId="3" xfId="0" applyFont="1" applyFill="1" applyBorder="1" applyAlignment="1" applyProtection="1">
      <alignment horizontal="center" vertical="center" wrapText="1"/>
      <protection hidden="1"/>
    </xf>
    <xf numFmtId="169" fontId="18" fillId="7" borderId="3" xfId="0" applyNumberFormat="1" applyFont="1" applyFill="1" applyBorder="1" applyAlignment="1" applyProtection="1">
      <alignment horizontal="center" vertical="center" wrapText="1"/>
      <protection hidden="1"/>
    </xf>
    <xf numFmtId="0" fontId="18" fillId="7" borderId="4" xfId="0" applyFont="1" applyFill="1" applyBorder="1" applyAlignment="1" applyProtection="1">
      <alignment horizontal="center" vertical="center" wrapText="1"/>
      <protection hidden="1"/>
    </xf>
    <xf numFmtId="164" fontId="20" fillId="2" borderId="1" xfId="0" applyNumberFormat="1" applyFont="1" applyFill="1" applyBorder="1" applyAlignment="1" applyProtection="1">
      <alignment vertical="center"/>
      <protection hidden="1"/>
    </xf>
    <xf numFmtId="166" fontId="7" fillId="0" borderId="0" xfId="3" applyNumberFormat="1" applyFont="1" applyFill="1" applyBorder="1" applyAlignment="1" applyProtection="1">
      <alignment horizontal="center" vertical="center"/>
      <protection locked="0"/>
    </xf>
    <xf numFmtId="164" fontId="20" fillId="2" borderId="0" xfId="0" applyNumberFormat="1" applyFont="1" applyFill="1" applyAlignment="1" applyProtection="1">
      <alignment vertical="center"/>
      <protection hidden="1"/>
    </xf>
    <xf numFmtId="0" fontId="7" fillId="0" borderId="0" xfId="0" applyFont="1" applyAlignment="1">
      <alignment vertical="center"/>
    </xf>
    <xf numFmtId="44" fontId="7" fillId="4" borderId="1" xfId="2" applyFont="1" applyFill="1" applyBorder="1" applyAlignment="1" applyProtection="1">
      <alignment horizontal="center" vertical="center"/>
      <protection locked="0"/>
    </xf>
    <xf numFmtId="44" fontId="7" fillId="0" borderId="0" xfId="2" applyFont="1" applyFill="1" applyBorder="1" applyAlignment="1" applyProtection="1">
      <alignment horizontal="center" vertical="center"/>
      <protection locked="0"/>
    </xf>
    <xf numFmtId="165" fontId="7" fillId="4" borderId="1" xfId="2" applyNumberFormat="1" applyFont="1" applyFill="1" applyBorder="1" applyAlignment="1" applyProtection="1">
      <alignment horizontal="center" vertical="center"/>
      <protection locked="0"/>
    </xf>
    <xf numFmtId="165" fontId="7" fillId="0" borderId="0" xfId="2" applyNumberFormat="1" applyFont="1" applyFill="1" applyBorder="1" applyAlignment="1" applyProtection="1">
      <alignment horizontal="center" vertical="center"/>
      <protection locked="0"/>
    </xf>
    <xf numFmtId="166" fontId="7" fillId="8" borderId="4" xfId="2" applyNumberFormat="1" applyFont="1" applyFill="1" applyBorder="1" applyAlignment="1" applyProtection="1">
      <alignment horizontal="center" vertical="center"/>
      <protection locked="0"/>
    </xf>
    <xf numFmtId="164" fontId="19" fillId="0" borderId="0" xfId="1" applyNumberFormat="1" applyFont="1" applyAlignment="1" applyProtection="1">
      <alignment vertical="center"/>
      <protection hidden="1"/>
    </xf>
    <xf numFmtId="166" fontId="7" fillId="8" borderId="1" xfId="2" applyNumberFormat="1" applyFont="1" applyFill="1" applyBorder="1" applyAlignment="1" applyProtection="1">
      <alignment horizontal="center" vertical="center"/>
      <protection locked="0"/>
    </xf>
    <xf numFmtId="166" fontId="7" fillId="0" borderId="0" xfId="2" applyNumberFormat="1" applyFont="1" applyFill="1" applyBorder="1" applyAlignment="1" applyProtection="1">
      <alignment horizontal="center" vertical="center"/>
      <protection locked="0"/>
    </xf>
    <xf numFmtId="0" fontId="24" fillId="5" borderId="7" xfId="0" applyFont="1" applyFill="1" applyBorder="1" applyAlignment="1">
      <alignment horizontal="right" vertical="center"/>
    </xf>
    <xf numFmtId="0" fontId="24" fillId="5" borderId="7" xfId="0" applyFont="1" applyFill="1" applyBorder="1" applyAlignment="1">
      <alignment horizontal="center" vertical="center" wrapText="1"/>
    </xf>
    <xf numFmtId="0" fontId="24" fillId="5" borderId="7" xfId="0" applyFont="1" applyFill="1" applyBorder="1" applyAlignment="1">
      <alignment horizontal="center" vertical="center"/>
    </xf>
    <xf numFmtId="164" fontId="24" fillId="5" borderId="8" xfId="1" applyNumberFormat="1" applyFont="1" applyFill="1" applyBorder="1" applyAlignment="1">
      <alignment horizontal="center" vertical="center"/>
    </xf>
    <xf numFmtId="44" fontId="20" fillId="3" borderId="10" xfId="2" applyFont="1" applyFill="1" applyBorder="1" applyAlignment="1">
      <alignment vertical="center"/>
    </xf>
    <xf numFmtId="44" fontId="20" fillId="0" borderId="10" xfId="2" applyFont="1" applyFill="1" applyBorder="1" applyAlignment="1">
      <alignment vertical="center"/>
    </xf>
    <xf numFmtId="0" fontId="19" fillId="3" borderId="9" xfId="0" applyFont="1" applyFill="1" applyBorder="1" applyAlignment="1">
      <alignment vertical="center"/>
    </xf>
    <xf numFmtId="0" fontId="19" fillId="0" borderId="9" xfId="0" applyFont="1" applyBorder="1" applyAlignment="1">
      <alignment vertical="center"/>
    </xf>
    <xf numFmtId="0" fontId="19" fillId="0" borderId="0" xfId="0" applyFont="1" applyAlignment="1">
      <alignment vertical="center"/>
    </xf>
    <xf numFmtId="0" fontId="7" fillId="0" borderId="11" xfId="0" applyFont="1" applyBorder="1" applyAlignment="1">
      <alignment vertical="center"/>
    </xf>
    <xf numFmtId="0" fontId="7" fillId="0" borderId="12" xfId="0" applyFont="1" applyBorder="1" applyAlignment="1">
      <alignment horizontal="right" vertical="center"/>
    </xf>
    <xf numFmtId="44" fontId="20" fillId="0" borderId="13" xfId="2" applyFont="1" applyFill="1" applyBorder="1" applyAlignment="1">
      <alignment vertical="center"/>
    </xf>
    <xf numFmtId="0" fontId="7" fillId="0" borderId="0" xfId="0" applyFont="1"/>
    <xf numFmtId="0" fontId="20" fillId="0" borderId="0" xfId="0" applyFont="1" applyAlignment="1">
      <alignment horizontal="right"/>
    </xf>
    <xf numFmtId="0" fontId="20" fillId="0" borderId="1" xfId="0" applyFont="1" applyBorder="1" applyAlignment="1">
      <alignment horizontal="center" wrapText="1"/>
    </xf>
    <xf numFmtId="0" fontId="20" fillId="0" borderId="1" xfId="0" applyFont="1" applyBorder="1" applyAlignment="1">
      <alignment horizontal="center"/>
    </xf>
    <xf numFmtId="166" fontId="7" fillId="4" borderId="1" xfId="3" applyNumberFormat="1" applyFont="1" applyFill="1" applyBorder="1" applyAlignment="1" applyProtection="1">
      <alignment horizontal="center"/>
      <protection locked="0"/>
    </xf>
    <xf numFmtId="44" fontId="7" fillId="4" borderId="1" xfId="2" applyFont="1" applyFill="1" applyBorder="1" applyAlignment="1" applyProtection="1">
      <alignment horizontal="center"/>
      <protection locked="0"/>
    </xf>
    <xf numFmtId="44" fontId="7" fillId="0" borderId="0" xfId="2" applyFont="1" applyFill="1" applyBorder="1" applyAlignment="1" applyProtection="1">
      <alignment horizontal="center"/>
      <protection locked="0"/>
    </xf>
    <xf numFmtId="165" fontId="7" fillId="4" borderId="1" xfId="2" applyNumberFormat="1" applyFont="1" applyFill="1" applyBorder="1" applyAlignment="1" applyProtection="1">
      <alignment horizontal="center"/>
      <protection locked="0"/>
    </xf>
    <xf numFmtId="165" fontId="7" fillId="0" borderId="0" xfId="2" applyNumberFormat="1" applyFont="1" applyFill="1" applyBorder="1" applyAlignment="1" applyProtection="1">
      <alignment horizontal="center"/>
      <protection locked="0"/>
    </xf>
    <xf numFmtId="166" fontId="7" fillId="8" borderId="4" xfId="2" applyNumberFormat="1" applyFont="1" applyFill="1" applyBorder="1" applyAlignment="1" applyProtection="1">
      <alignment horizontal="center"/>
      <protection locked="0"/>
    </xf>
    <xf numFmtId="164" fontId="19" fillId="0" borderId="0" xfId="1" applyNumberFormat="1" applyFont="1" applyProtection="1">
      <protection hidden="1"/>
    </xf>
    <xf numFmtId="166" fontId="7" fillId="8" borderId="1" xfId="2" applyNumberFormat="1" applyFont="1" applyFill="1" applyBorder="1" applyAlignment="1" applyProtection="1">
      <alignment horizontal="center"/>
      <protection locked="0"/>
    </xf>
    <xf numFmtId="166" fontId="7" fillId="0" borderId="0" xfId="2" applyNumberFormat="1" applyFont="1" applyFill="1" applyBorder="1" applyAlignment="1" applyProtection="1">
      <alignment horizontal="center"/>
      <protection locked="0"/>
    </xf>
    <xf numFmtId="0" fontId="19" fillId="3" borderId="9" xfId="0" applyFont="1" applyFill="1" applyBorder="1"/>
    <xf numFmtId="0" fontId="19" fillId="0" borderId="9" xfId="0" applyFont="1" applyBorder="1"/>
    <xf numFmtId="0" fontId="7" fillId="0" borderId="11" xfId="0" applyFont="1" applyBorder="1"/>
    <xf numFmtId="0" fontId="25" fillId="0" borderId="0" xfId="0" applyFont="1"/>
    <xf numFmtId="0" fontId="26" fillId="0" borderId="18" xfId="0" applyFont="1" applyBorder="1"/>
    <xf numFmtId="0" fontId="26" fillId="0" borderId="0" xfId="0" applyFont="1"/>
    <xf numFmtId="0" fontId="2" fillId="0" borderId="1" xfId="0" applyFont="1" applyBorder="1" applyAlignment="1">
      <alignment wrapText="1"/>
    </xf>
    <xf numFmtId="0" fontId="2" fillId="0" borderId="1" xfId="0" applyFont="1" applyBorder="1" applyAlignment="1">
      <alignment vertical="top" wrapText="1"/>
    </xf>
    <xf numFmtId="0" fontId="2" fillId="0" borderId="0" xfId="0" applyFont="1"/>
    <xf numFmtId="0" fontId="2" fillId="4" borderId="1" xfId="0" applyFont="1" applyFill="1" applyBorder="1" applyAlignment="1">
      <alignment horizontal="center" vertical="center"/>
    </xf>
    <xf numFmtId="170" fontId="2" fillId="0" borderId="0" xfId="0" applyNumberFormat="1" applyFont="1" applyAlignment="1">
      <alignment wrapText="1"/>
    </xf>
    <xf numFmtId="0" fontId="2" fillId="0" borderId="0" xfId="0" applyFont="1" applyAlignment="1">
      <alignment horizontal="right"/>
    </xf>
    <xf numFmtId="14" fontId="2" fillId="0" borderId="0" xfId="0" applyNumberFormat="1" applyFont="1"/>
    <xf numFmtId="0" fontId="2" fillId="0" borderId="0" xfId="0" applyFont="1" applyAlignment="1">
      <alignment horizontal="left" vertical="center" wrapText="1"/>
    </xf>
    <xf numFmtId="0" fontId="2" fillId="0" borderId="0" xfId="0" applyFont="1" applyAlignment="1">
      <alignment horizontal="left" wrapText="1"/>
    </xf>
    <xf numFmtId="0" fontId="2" fillId="0" borderId="0" xfId="0" applyFont="1" applyAlignment="1">
      <alignment horizontal="center" wrapText="1"/>
    </xf>
    <xf numFmtId="164" fontId="2" fillId="0" borderId="0" xfId="1" applyNumberFormat="1" applyFont="1" applyAlignment="1">
      <alignment horizontal="left" vertical="center"/>
    </xf>
    <xf numFmtId="0" fontId="2" fillId="0" borderId="0" xfId="0" applyFont="1" applyAlignment="1">
      <alignment vertical="center"/>
    </xf>
    <xf numFmtId="0" fontId="2" fillId="0" borderId="0" xfId="0" applyFont="1" applyAlignment="1">
      <alignment horizontal="center" vertical="center"/>
    </xf>
    <xf numFmtId="14" fontId="2" fillId="0" borderId="0" xfId="0" applyNumberFormat="1" applyFont="1" applyAlignment="1">
      <alignment horizontal="center" vertical="center"/>
    </xf>
    <xf numFmtId="164" fontId="2" fillId="0" borderId="0" xfId="1" applyNumberFormat="1" applyFont="1" applyAlignment="1">
      <alignment horizontal="center" vertical="center"/>
    </xf>
    <xf numFmtId="164" fontId="2" fillId="0" borderId="0" xfId="1" applyNumberFormat="1" applyFont="1" applyAlignment="1">
      <alignment horizontal="center" vertical="center" wrapText="1"/>
    </xf>
    <xf numFmtId="164" fontId="2" fillId="0" borderId="0" xfId="1" applyNumberFormat="1" applyFont="1" applyFill="1" applyAlignment="1">
      <alignment horizontal="left" vertical="center"/>
    </xf>
    <xf numFmtId="0" fontId="2" fillId="0" borderId="0" xfId="0" applyFont="1" applyAlignment="1">
      <alignment horizontal="left" vertical="center"/>
    </xf>
    <xf numFmtId="164" fontId="2" fillId="0" borderId="0" xfId="0" applyNumberFormat="1" applyFont="1" applyAlignment="1">
      <alignment horizontal="center" vertical="center"/>
    </xf>
    <xf numFmtId="164" fontId="2" fillId="0" borderId="0" xfId="1" quotePrefix="1" applyNumberFormat="1" applyFont="1" applyAlignment="1">
      <alignment horizontal="left" vertical="center"/>
    </xf>
    <xf numFmtId="164" fontId="2" fillId="0" borderId="0" xfId="0" applyNumberFormat="1" applyFont="1" applyAlignment="1">
      <alignment horizontal="right" vertical="center"/>
    </xf>
    <xf numFmtId="0" fontId="2" fillId="0" borderId="0" xfId="0" applyFont="1" applyAlignment="1">
      <alignment vertical="center" wrapText="1"/>
    </xf>
    <xf numFmtId="0" fontId="2" fillId="0" borderId="0" xfId="0" applyFont="1" applyAlignment="1">
      <alignment horizontal="right" vertical="center"/>
    </xf>
    <xf numFmtId="44" fontId="2" fillId="0" borderId="0" xfId="2" applyFont="1" applyFill="1" applyBorder="1" applyAlignment="1" applyProtection="1">
      <alignment vertical="center"/>
      <protection locked="0"/>
    </xf>
    <xf numFmtId="164" fontId="2" fillId="0" borderId="0" xfId="1" applyNumberFormat="1" applyFont="1" applyAlignment="1" applyProtection="1">
      <alignment vertical="center"/>
      <protection hidden="1"/>
    </xf>
    <xf numFmtId="0" fontId="2" fillId="6" borderId="6" xfId="0" applyFont="1" applyFill="1" applyBorder="1" applyAlignment="1">
      <alignment horizontal="right" vertical="center"/>
    </xf>
    <xf numFmtId="0" fontId="2" fillId="3" borderId="9" xfId="0" applyFont="1" applyFill="1" applyBorder="1" applyAlignment="1">
      <alignment vertical="center"/>
    </xf>
    <xf numFmtId="0" fontId="2" fillId="3" borderId="5" xfId="0" applyFont="1" applyFill="1" applyBorder="1" applyAlignment="1">
      <alignment horizontal="right" vertical="center"/>
    </xf>
    <xf numFmtId="44" fontId="2" fillId="3" borderId="5" xfId="2" applyFont="1" applyFill="1" applyBorder="1" applyAlignment="1">
      <alignment horizontal="center" vertical="center"/>
    </xf>
    <xf numFmtId="0" fontId="2" fillId="0" borderId="9" xfId="0" applyFont="1" applyBorder="1" applyAlignment="1">
      <alignment vertical="center"/>
    </xf>
    <xf numFmtId="0" fontId="2" fillId="0" borderId="5" xfId="0" applyFont="1" applyBorder="1" applyAlignment="1">
      <alignment horizontal="right" vertical="center"/>
    </xf>
    <xf numFmtId="44" fontId="2" fillId="0" borderId="5" xfId="2" applyFont="1" applyFill="1" applyBorder="1" applyAlignment="1">
      <alignment horizontal="center" vertical="center"/>
    </xf>
    <xf numFmtId="44" fontId="2" fillId="9" borderId="5" xfId="2" applyFont="1" applyFill="1" applyBorder="1" applyAlignment="1">
      <alignment horizontal="center" vertical="center"/>
    </xf>
    <xf numFmtId="44" fontId="2" fillId="9" borderId="12" xfId="0" applyNumberFormat="1" applyFont="1" applyFill="1" applyBorder="1" applyAlignment="1">
      <alignment horizontal="center" vertical="center"/>
    </xf>
    <xf numFmtId="164" fontId="2" fillId="0" borderId="0" xfId="1" applyNumberFormat="1" applyFont="1" applyAlignment="1">
      <alignment vertical="center"/>
    </xf>
    <xf numFmtId="164" fontId="2" fillId="0" borderId="0" xfId="1" applyNumberFormat="1" applyFont="1" applyFill="1" applyAlignment="1">
      <alignment horizontal="center" vertical="center"/>
    </xf>
    <xf numFmtId="167" fontId="2" fillId="0" borderId="0" xfId="0" applyNumberFormat="1" applyFont="1" applyAlignment="1" applyProtection="1">
      <alignment vertical="center"/>
      <protection hidden="1"/>
    </xf>
    <xf numFmtId="44" fontId="2" fillId="0" borderId="0" xfId="0" applyNumberFormat="1" applyFont="1" applyAlignment="1" applyProtection="1">
      <alignment horizontal="center" vertical="center"/>
      <protection hidden="1"/>
    </xf>
    <xf numFmtId="167" fontId="2" fillId="0" borderId="0" xfId="0" applyNumberFormat="1" applyFont="1" applyProtection="1">
      <protection hidden="1"/>
    </xf>
    <xf numFmtId="44" fontId="2" fillId="0" borderId="0" xfId="0" applyNumberFormat="1" applyFont="1" applyAlignment="1" applyProtection="1">
      <alignment horizontal="center"/>
      <protection hidden="1"/>
    </xf>
    <xf numFmtId="164" fontId="2" fillId="0" borderId="0" xfId="1" applyNumberFormat="1" applyFont="1"/>
    <xf numFmtId="164" fontId="2" fillId="0" borderId="0" xfId="0" applyNumberFormat="1" applyFont="1" applyAlignment="1">
      <alignment horizontal="center"/>
    </xf>
    <xf numFmtId="0" fontId="2" fillId="0" borderId="0" xfId="0" applyFont="1" applyAlignment="1">
      <alignment wrapText="1"/>
    </xf>
    <xf numFmtId="44" fontId="2" fillId="0" borderId="0" xfId="2" applyFont="1" applyFill="1" applyBorder="1" applyProtection="1">
      <protection locked="0"/>
    </xf>
    <xf numFmtId="164" fontId="2" fillId="0" borderId="0" xfId="1" applyNumberFormat="1" applyFont="1" applyProtection="1">
      <protection hidden="1"/>
    </xf>
    <xf numFmtId="0" fontId="2" fillId="6" borderId="6" xfId="0" applyFont="1" applyFill="1" applyBorder="1" applyAlignment="1">
      <alignment horizontal="right"/>
    </xf>
    <xf numFmtId="0" fontId="2" fillId="3" borderId="9" xfId="0" applyFont="1" applyFill="1" applyBorder="1"/>
    <xf numFmtId="0" fontId="2" fillId="0" borderId="9" xfId="0" applyFont="1" applyBorder="1"/>
    <xf numFmtId="171" fontId="7" fillId="4" borderId="1" xfId="2" applyNumberFormat="1" applyFont="1" applyFill="1" applyBorder="1" applyAlignment="1" applyProtection="1">
      <alignment horizontal="center"/>
      <protection locked="0"/>
    </xf>
    <xf numFmtId="44" fontId="16" fillId="6" borderId="16" xfId="2" applyFont="1" applyFill="1" applyBorder="1" applyAlignment="1" applyProtection="1">
      <alignment horizontal="center" vertical="center"/>
      <protection hidden="1"/>
    </xf>
    <xf numFmtId="44" fontId="16" fillId="6" borderId="17" xfId="2" applyFont="1" applyFill="1" applyBorder="1" applyAlignment="1" applyProtection="1">
      <alignment horizontal="center" vertical="center"/>
      <protection hidden="1"/>
    </xf>
    <xf numFmtId="0" fontId="2" fillId="0" borderId="0" xfId="0" applyFont="1" applyAlignment="1">
      <alignment horizontal="right" vertical="center"/>
    </xf>
    <xf numFmtId="0" fontId="2" fillId="0" borderId="0" xfId="0" applyFont="1" applyAlignment="1">
      <alignment horizontal="right"/>
    </xf>
  </cellXfs>
  <cellStyles count="4">
    <cellStyle name="Komma" xfId="1" builtinId="3"/>
    <cellStyle name="Procent" xfId="3" builtinId="5"/>
    <cellStyle name="Standaard" xfId="0" builtinId="0"/>
    <cellStyle name="Valuta" xfId="2" builtinId="4"/>
  </cellStyles>
  <dxfs count="102">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strike val="0"/>
        <outline val="0"/>
        <shadow val="0"/>
        <u val="none"/>
        <sz val="11"/>
        <name val="Calibri"/>
        <family val="2"/>
        <scheme val="minor"/>
      </font>
    </dxf>
    <dxf>
      <font>
        <b val="0"/>
        <i val="0"/>
        <strike val="0"/>
        <condense val="0"/>
        <extend val="0"/>
        <outline val="0"/>
        <shadow val="0"/>
        <u val="none"/>
        <vertAlign val="baseline"/>
        <sz val="11"/>
        <color theme="1"/>
        <name val="Calibri"/>
        <family val="2"/>
        <scheme val="minor"/>
      </font>
    </dxf>
    <dxf>
      <font>
        <strike val="0"/>
        <outline val="0"/>
        <shadow val="0"/>
        <u val="none"/>
        <sz val="1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sz val="1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sz val="1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strike val="0"/>
        <outline val="0"/>
        <shadow val="0"/>
        <u val="none"/>
        <sz val="11"/>
        <name val="Calibri"/>
        <family val="2"/>
        <scheme val="minor"/>
      </font>
    </dxf>
    <dxf>
      <font>
        <strike val="0"/>
        <outline val="0"/>
        <shadow val="0"/>
        <u val="none"/>
        <sz val="11"/>
        <name val="Calibri"/>
        <family val="2"/>
        <scheme val="minor"/>
      </font>
    </dxf>
    <dxf>
      <font>
        <strike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right" vertical="center" textRotation="0" wrapText="0" indent="0" justifyLastLine="0" shrinkToFit="0" readingOrder="0"/>
    </dxf>
    <dxf>
      <font>
        <strike val="0"/>
        <outline val="0"/>
        <shadow val="0"/>
        <u val="none"/>
        <vertAlign val="baseline"/>
        <sz val="11"/>
        <color theme="1"/>
        <name val="Calibri"/>
        <family val="2"/>
        <scheme val="minor"/>
      </font>
      <numFmt numFmtId="164" formatCode="_ * #,##0_ ;_ * \-#,##0_ ;_ * &quot;-&quot;??_ ;_ @_ "/>
      <alignment horizontal="center"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center" vertical="center" textRotation="0" wrapText="0" indent="0" justifyLastLine="0" shrinkToFit="0" readingOrder="0"/>
    </dxf>
    <dxf>
      <font>
        <strike val="0"/>
        <outline val="0"/>
        <shadow val="0"/>
        <u val="none"/>
        <vertAlign val="baseline"/>
        <sz val="11"/>
        <color theme="1"/>
        <name val="Calibri"/>
        <family val="2"/>
        <scheme val="minor"/>
      </font>
      <numFmt numFmtId="0" formatCode="General"/>
      <alignment horizontal="center"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color theme="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strike val="0"/>
        <outline val="0"/>
        <shadow val="0"/>
        <u val="none"/>
        <vertAlign val="baseline"/>
        <sz val="11"/>
        <color theme="1"/>
        <name val="Calibri"/>
        <family val="2"/>
        <scheme val="minor"/>
      </font>
      <alignment vertical="center" textRotation="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alignment horizontal="general" vertical="center" textRotation="0" wrapText="0" indent="0" justifyLastLine="0" shrinkToFit="0" readingOrder="0"/>
    </dxf>
    <dxf>
      <font>
        <b val="0"/>
        <i val="0"/>
        <strike val="0"/>
        <condense val="0"/>
        <extend val="0"/>
        <outline val="0"/>
        <shadow val="0"/>
        <u val="none"/>
        <vertAlign val="baseline"/>
        <sz val="11"/>
        <color theme="1"/>
        <name val="Calibri"/>
        <family val="2"/>
        <scheme val="minor"/>
      </font>
      <numFmt numFmtId="164" formatCode="_ * #,##0_ ;_ * \-#,##0_ ;_ * &quot;-&quot;??_ ;_ @_ "/>
      <alignment horizontal="left" vertical="center" textRotation="0" wrapText="0" indent="0" justifyLastLine="0" shrinkToFit="0" readingOrder="0"/>
    </dxf>
    <dxf>
      <font>
        <strike val="0"/>
        <outline val="0"/>
        <shadow val="0"/>
        <u val="none"/>
        <sz val="11"/>
        <name val="Calibri"/>
        <family val="2"/>
        <scheme val="minor"/>
      </font>
    </dxf>
    <dxf>
      <font>
        <strike val="0"/>
        <outline val="0"/>
        <shadow val="0"/>
        <u val="none"/>
        <vertAlign val="baseline"/>
        <sz val="11"/>
        <color theme="1"/>
        <name val="Calibri"/>
        <family val="2"/>
        <scheme val="minor"/>
      </font>
    </dxf>
    <dxf>
      <font>
        <strike val="0"/>
        <outline val="0"/>
        <shadow val="0"/>
        <u val="none"/>
        <vertAlign val="baseline"/>
        <sz val="11"/>
        <color theme="1"/>
        <name val="Calibri"/>
        <family val="2"/>
        <scheme val="minor"/>
      </font>
      <fill>
        <patternFill patternType="none">
          <fgColor indexed="64"/>
          <bgColor auto="1"/>
        </patternFill>
      </fill>
      <alignment horizontal="left" vertical="center" textRotation="0" wrapText="1" indent="0" justifyLastLine="0" shrinkToFit="0" readingOrder="0"/>
    </dxf>
  </dxfs>
  <tableStyles count="0" defaultTableStyle="TableStyleMedium2" defaultPivotStyle="PivotStyleLight16"/>
  <colors>
    <mruColors>
      <color rgb="FFFFCCFF"/>
      <color rgb="FFFFEFFF"/>
      <color rgb="FF00FF99"/>
      <color rgb="FFCE1884"/>
      <color rgb="FFCDFFEB"/>
      <color rgb="FFCDFFEC"/>
      <color rgb="FFA7FFDB"/>
      <color rgb="FFEFFF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 Id="rId14" Type="http://schemas.openxmlformats.org/officeDocument/2006/relationships/customXml" Target="../customXml/item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96008A7-44EF-4BC2-98DD-8D0DF1382145}" name="KOE" displayName="KOE" ref="A2:K29" totalsRowCount="1" headerRowDxfId="101" dataDxfId="100" totalsRowDxfId="99">
  <autoFilter ref="A2:K28"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A3:K28">
    <sortCondition ref="A2:A28"/>
  </sortState>
  <tableColumns count="11">
    <tableColumn id="23" xr3:uid="{CFE7B3CA-A4DB-41D6-8008-FA957B4C09AC}" name="School/ Locatie" dataDxfId="98" totalsRowDxfId="97" dataCellStyle="Komma"/>
    <tableColumn id="3" xr3:uid="{13354C20-C6C7-4A6F-9CB0-6D735BB38DA2}" name="Adres" dataDxfId="96" totalsRowDxfId="95" dataCellStyle="Komma"/>
    <tableColumn id="5" xr3:uid="{41727450-9FB6-41CA-AB90-F127D9D0EE84}" name="Postcode" dataDxfId="94" totalsRowDxfId="93"/>
    <tableColumn id="6" xr3:uid="{EEE31EC2-7B49-4A11-B271-BD39CD53EDC8}" name="Plaats" dataDxfId="92" totalsRowDxfId="91"/>
    <tableColumn id="10" xr3:uid="{8B728D03-6800-458A-9534-A9A7FE2B5C5C}" name="Model 1_x000a_(eis M1 t/m M27)" totalsRowFunction="sum" dataDxfId="90" totalsRowDxfId="89"/>
    <tableColumn id="14" xr3:uid="{EFC8F131-4CB1-42A7-A529-49CD8102235E}" name="Model 2_x000a_(eis M1 t/m M27)" totalsRowFunction="sum" dataDxfId="88" totalsRowDxfId="87"/>
    <tableColumn id="11" xr3:uid="{4F5EE7E3-15CE-4296-A6F2-1EF504C05EC9}" name="Datum in gebruikname" dataDxfId="86" totalsRowDxfId="85"/>
    <tableColumn id="8" xr3:uid="{2489581F-0788-4587-8E9D-FDE3E0EB065D}" name="Zw/w p/j" totalsRowFunction="sum" dataDxfId="84" totalsRowDxfId="83" dataCellStyle="Komma"/>
    <tableColumn id="7" xr3:uid="{6B806D64-012A-4BEE-AF55-0412E00439EB}" name="Kleur p/j" totalsRowFunction="sum" dataDxfId="82" totalsRowDxfId="81" dataCellStyle="Komma"/>
    <tableColumn id="12" xr3:uid="{88B4D6B4-6C68-4F8B-BF37-F40A322AE8DA}" name="Zw/w p/m" totalsRowFunction="sum" dataDxfId="80" totalsRowDxfId="79" dataCellStyle="Komma">
      <calculatedColumnFormula>KOE[[#This Row],[Zw/w p/j]]/12</calculatedColumnFormula>
    </tableColumn>
    <tableColumn id="13" xr3:uid="{77AEFFB4-967F-4AB4-A6B1-DC7EB22F36CF}" name="kleur p/m" totalsRowFunction="sum" dataDxfId="78" totalsRowDxfId="77" dataCellStyle="Komma">
      <calculatedColumnFormula>KOE[[#This Row],[Kleur p/j]]/12</calculatedColumnFormula>
    </tableColumn>
  </tableColumns>
  <tableStyleInfo name="TableStyleMedium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7501831-FC0E-48D9-979B-EBA9A87B5908}" name="Consent" displayName="Consent" ref="A2:K18" totalsRowCount="1" headerRowDxfId="76" dataDxfId="75" totalsRowDxfId="74">
  <autoFilter ref="A2:K17"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A3:K17">
    <sortCondition ref="A2:A17"/>
  </sortState>
  <tableColumns count="11">
    <tableColumn id="23" xr3:uid="{1F14B62E-B6C3-45D3-8D5E-F0FC43CF901A}" name="School/ Locatie" dataDxfId="73" totalsRowDxfId="72" dataCellStyle="Komma"/>
    <tableColumn id="3" xr3:uid="{ACBDCDE2-B427-4672-AD6B-BA3973BFCBA2}" name="Adres" dataDxfId="71" totalsRowDxfId="70" dataCellStyle="Komma"/>
    <tableColumn id="5" xr3:uid="{DA3E7444-5F60-4F02-82DE-934A5CBC2D96}" name="Postcode" dataDxfId="69" totalsRowDxfId="68"/>
    <tableColumn id="6" xr3:uid="{625FF3B3-5EA3-4758-9668-4F079A0F2C14}" name="Plaats" dataDxfId="67" totalsRowDxfId="66"/>
    <tableColumn id="10" xr3:uid="{04727A6C-FCA0-438E-AF4E-2ACAADBF3B6A}" name="Model 1_x000a_(eis M1 t/m M27)" totalsRowFunction="custom" dataDxfId="65" totalsRowDxfId="64">
      <totalsRowFormula>SUM(Consent[Model 1
(eis M1 t/m M27)])</totalsRowFormula>
    </tableColumn>
    <tableColumn id="14" xr3:uid="{BECC558B-3A02-4B2C-9F26-125C30EA087A}" name="Model 2_x000a_(eis M1 t/m M27)" totalsRowFunction="custom" dataDxfId="63" totalsRowDxfId="62">
      <totalsRowFormula>SUM(Consent[Model 2
(eis M1 t/m M27)])</totalsRowFormula>
    </tableColumn>
    <tableColumn id="11" xr3:uid="{A7A382A9-D7D8-4B7F-9C82-4B7CE941AB69}" name="Datum in gebruikname" dataDxfId="61" totalsRowDxfId="60"/>
    <tableColumn id="8" xr3:uid="{0340CAB5-FB04-4E6C-9414-97DF5857A5DE}" name="Zw/w p/j" totalsRowFunction="custom" dataDxfId="59" totalsRowDxfId="58" dataCellStyle="Komma">
      <totalsRowFormula>SUM(H3:H17)</totalsRowFormula>
    </tableColumn>
    <tableColumn id="7" xr3:uid="{E1CFDB08-1088-4470-8F44-BF837186B8DE}" name="Kleur p/j" totalsRowFunction="custom" dataDxfId="57" totalsRowDxfId="56" dataCellStyle="Komma">
      <totalsRowFormula>SUM(I3:I17)</totalsRowFormula>
    </tableColumn>
    <tableColumn id="12" xr3:uid="{9216B3BD-27C0-49CC-91CF-7D28552ED699}" name="Zw/w p/m" totalsRowFunction="custom" dataDxfId="55" totalsRowDxfId="54" dataCellStyle="Komma">
      <calculatedColumnFormula>Consent[[#This Row],[Zw/w p/j]]/12</calculatedColumnFormula>
      <totalsRowFormula>SUM(Consent[Zw/w p/m])</totalsRowFormula>
    </tableColumn>
    <tableColumn id="13" xr3:uid="{D4A116E2-14C4-4703-B53D-5E4E3F2DFAC8}" name="kleur p/m" totalsRowFunction="custom" dataDxfId="53" totalsRowDxfId="52" dataCellStyle="Komma">
      <calculatedColumnFormula>Consent[[#This Row],[Kleur p/j]]/12</calculatedColumnFormula>
      <totalsRowFormula>SUM(Consent[kleur p/m])</totalsRowFormula>
    </tableColumn>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320840B3-F737-45DF-9CF6-CA0AC6E0CC41}" name="VCO" displayName="VCO" ref="A2:K4" totalsRowCount="1" headerRowDxfId="51" dataDxfId="50" totalsRowDxfId="49">
  <autoFilter ref="A2:K3"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tableColumns count="11">
    <tableColumn id="23" xr3:uid="{3CF6952C-DF0A-4D6F-8469-1CFD9714186B}" name="School/ Locatie" dataDxfId="48" totalsRowDxfId="47" dataCellStyle="Komma"/>
    <tableColumn id="3" xr3:uid="{7EF7B897-00D2-4B25-A7D3-A3394B06C6C4}" name="Adres" dataDxfId="46" totalsRowDxfId="45" dataCellStyle="Komma"/>
    <tableColumn id="5" xr3:uid="{F31F297E-BA0B-4DDA-ADE4-1DDD5AC17511}" name="Postcode" dataDxfId="44" totalsRowDxfId="43"/>
    <tableColumn id="6" xr3:uid="{975DE669-D551-48E0-B971-DD7D36190DC9}" name="Plaats" dataDxfId="42" totalsRowDxfId="41"/>
    <tableColumn id="10" xr3:uid="{6B445D57-1DFD-4EAA-BCDC-97E845C6B948}" name="Model 1_x000a_(eis M1 t/m M27)" totalsRowFunction="custom" dataDxfId="40" totalsRowDxfId="39">
      <totalsRowFormula array="1">VCO[Model 1
(eis M1 t/m M27)]</totalsRowFormula>
    </tableColumn>
    <tableColumn id="14" xr3:uid="{704778CC-3476-4D67-9346-D0BB24367935}" name="Model 2_x000a_(eis M1 t/m M27)" totalsRowFunction="custom" dataDxfId="38" totalsRowDxfId="37">
      <totalsRowFormula array="1">VCO[Model 2
(eis M1 t/m M27)]</totalsRowFormula>
    </tableColumn>
    <tableColumn id="11" xr3:uid="{C259F13E-F022-4BC3-8F9B-D10349C1D1CF}" name="Datum in gebruikname" dataDxfId="36" totalsRowDxfId="35"/>
    <tableColumn id="8" xr3:uid="{D598BC6F-CDFD-4F69-B170-0A22CCE4E31B}" name="Zw/w p/j" totalsRowFunction="custom" dataDxfId="34" totalsRowDxfId="33" dataCellStyle="Komma">
      <totalsRowFormula array="1">VCO[Zw/w p/j]</totalsRowFormula>
    </tableColumn>
    <tableColumn id="7" xr3:uid="{37E35168-FAC0-4074-ABA2-BC1ABA845CD3}" name="Kleur p/j" totalsRowFunction="custom" dataDxfId="32" totalsRowDxfId="31" dataCellStyle="Komma">
      <totalsRowFormula array="1">VCO[Kleur p/j]</totalsRowFormula>
    </tableColumn>
    <tableColumn id="12" xr3:uid="{6F394808-C9CA-425B-AA65-255317FB49E2}" name="Zw/w p/m" totalsRowFunction="custom" dataDxfId="30" totalsRowDxfId="29" dataCellStyle="Komma">
      <calculatedColumnFormula>VCO[[#This Row],[Zw/w p/j]]/12</calculatedColumnFormula>
      <totalsRowFormula array="1">VCO[Zw/w p/m]</totalsRowFormula>
    </tableColumn>
    <tableColumn id="13" xr3:uid="{FA457DC4-3720-47AF-8B25-5A8B00D12942}" name="kleur p/m" totalsRowFunction="custom" dataDxfId="28" totalsRowDxfId="27" dataCellStyle="Komma">
      <calculatedColumnFormula>VCO[[#This Row],[Kleur p/j]]/12</calculatedColumnFormula>
      <totalsRowFormula array="1">VCO[kleur p/m]</totalsRowFormula>
    </tableColumn>
  </tableColumns>
  <tableStyleInfo name="TableStyleMedium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75D839AA-569A-4461-A1D9-5BD3AE83529E}" name="Poolster" displayName="Poolster" ref="A2:K56" totalsRowCount="1" headerRowDxfId="26" dataDxfId="25" totalsRowDxfId="24">
  <autoFilter ref="A2:K55" xr:uid="{CADFCF0A-E35B-45F3-B540-F38A4A7BEF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autoFilter>
  <sortState xmlns:xlrd2="http://schemas.microsoft.com/office/spreadsheetml/2017/richdata2" ref="A3:K55">
    <sortCondition ref="A2:A55"/>
  </sortState>
  <tableColumns count="11">
    <tableColumn id="23" xr3:uid="{18BE41CB-20B8-46B5-8606-432C90329690}" name="School/ Locatie" dataDxfId="23" totalsRowDxfId="22" dataCellStyle="Komma"/>
    <tableColumn id="3" xr3:uid="{853893DF-A369-4DD0-BF25-48C58D453E82}" name="Adres" dataDxfId="21" totalsRowDxfId="20" dataCellStyle="Komma"/>
    <tableColumn id="5" xr3:uid="{307FE28B-C621-4CF1-9503-E518C699AE70}" name="Postcode" dataDxfId="19" totalsRowDxfId="18"/>
    <tableColumn id="6" xr3:uid="{A06D140B-5F39-4BF9-800A-3C0038D733ED}" name="Plaats" dataDxfId="17" totalsRowDxfId="16"/>
    <tableColumn id="10" xr3:uid="{5BF6695C-43ED-4B1E-9CB0-DDFF358FBB2F}" name="Model 1_x000a_(eis M1 t/m M27)" totalsRowFunction="custom" dataDxfId="15" totalsRowDxfId="14">
      <totalsRowFormula>SUM(Poolster[Model 1
(eis M1 t/m M27)])</totalsRowFormula>
    </tableColumn>
    <tableColumn id="14" xr3:uid="{F4B86985-9F58-44AC-B99A-DA236DF1D179}" name="Model 2_x000a_(eis M1 t/m M27)" totalsRowFunction="custom" dataDxfId="13" totalsRowDxfId="12">
      <totalsRowFormula>SUM(Poolster[Model 2
(eis M1 t/m M27)])</totalsRowFormula>
    </tableColumn>
    <tableColumn id="11" xr3:uid="{A4F5BC18-774C-4009-835A-82FA7C206708}" name="Datum in gebruikname" dataDxfId="11" totalsRowDxfId="10"/>
    <tableColumn id="8" xr3:uid="{1F1FE042-C148-45BB-B2B8-B687C761E97E}" name="Zw/w p/j" totalsRowFunction="sum" dataDxfId="9" totalsRowDxfId="8" dataCellStyle="Komma"/>
    <tableColumn id="7" xr3:uid="{108BB036-F941-4836-9966-248AA70457B0}" name="Kleur p/j" totalsRowFunction="sum" dataDxfId="7" totalsRowDxfId="6" dataCellStyle="Komma"/>
    <tableColumn id="12" xr3:uid="{2FEEB85F-8BA1-40C0-90B0-E1B6733070FD}" name="Zw/w p/m" totalsRowFunction="custom" dataDxfId="5" totalsRowDxfId="4" dataCellStyle="Komma">
      <calculatedColumnFormula>Poolster[[#This Row],[Zw/w p/j]]/12</calculatedColumnFormula>
      <totalsRowFormula>SUM(Poolster[Zw/w p/m])</totalsRowFormula>
    </tableColumn>
    <tableColumn id="13" xr3:uid="{72C634D2-AB40-40E8-96A0-292E4036EB9D}" name="kleur p/m" dataDxfId="3" totalsRowDxfId="2" dataCellStyle="Komma">
      <calculatedColumnFormula>Poolster[[#This Row],[Kleur p/j]]/12</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Kantoorthema">
  <a:themeElements>
    <a:clrScheme name="Aangepast 3">
      <a:dk1>
        <a:srgbClr val="000000"/>
      </a:dk1>
      <a:lt1>
        <a:srgbClr val="FFFFFF"/>
      </a:lt1>
      <a:dk2>
        <a:srgbClr val="7F7F7F"/>
      </a:dk2>
      <a:lt2>
        <a:srgbClr val="FFFFFF"/>
      </a:lt2>
      <a:accent1>
        <a:srgbClr val="0087C9"/>
      </a:accent1>
      <a:accent2>
        <a:srgbClr val="00A0D1"/>
      </a:accent2>
      <a:accent3>
        <a:srgbClr val="002E60"/>
      </a:accent3>
      <a:accent4>
        <a:srgbClr val="FFFFFF"/>
      </a:accent4>
      <a:accent5>
        <a:srgbClr val="FFFFFF"/>
      </a:accent5>
      <a:accent6>
        <a:srgbClr val="FFFF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1F17E0-36F6-4DB4-B6A6-AAF045D904B5}">
  <sheetPr>
    <pageSetUpPr fitToPage="1"/>
  </sheetPr>
  <dimension ref="A1:D57"/>
  <sheetViews>
    <sheetView showGridLines="0" topLeftCell="A6" zoomScaleNormal="100" workbookViewId="0">
      <selection activeCell="B10" sqref="B10"/>
    </sheetView>
  </sheetViews>
  <sheetFormatPr defaultRowHeight="14.4" x14ac:dyDescent="0.3"/>
  <cols>
    <col min="1" max="1" width="30.44140625" bestFit="1" customWidth="1"/>
    <col min="2" max="2" width="105.109375" customWidth="1"/>
    <col min="3" max="3" width="2.109375" customWidth="1"/>
    <col min="4" max="4" width="9.44140625" bestFit="1" customWidth="1"/>
  </cols>
  <sheetData>
    <row r="1" spans="1:4" ht="21" x14ac:dyDescent="0.4">
      <c r="A1" s="9" t="s">
        <v>0</v>
      </c>
      <c r="B1" s="9" t="s">
        <v>1</v>
      </c>
    </row>
    <row r="2" spans="1:4" ht="86.4" x14ac:dyDescent="0.3">
      <c r="A2" s="2" t="s">
        <v>2</v>
      </c>
      <c r="B2" s="81" t="s">
        <v>3</v>
      </c>
    </row>
    <row r="3" spans="1:4" ht="43.2" x14ac:dyDescent="0.3">
      <c r="A3" s="2" t="s">
        <v>2</v>
      </c>
      <c r="B3" s="81" t="s">
        <v>4</v>
      </c>
    </row>
    <row r="4" spans="1:4" ht="43.2" x14ac:dyDescent="0.3">
      <c r="A4" s="2" t="s">
        <v>2</v>
      </c>
      <c r="B4" s="81" t="s">
        <v>5</v>
      </c>
    </row>
    <row r="5" spans="1:4" ht="59.4" customHeight="1" x14ac:dyDescent="0.3">
      <c r="A5" s="2" t="s">
        <v>2</v>
      </c>
      <c r="B5" s="81" t="s">
        <v>6</v>
      </c>
    </row>
    <row r="6" spans="1:4" ht="43.2" x14ac:dyDescent="0.3">
      <c r="A6" s="2" t="s">
        <v>2</v>
      </c>
      <c r="B6" s="82" t="s">
        <v>7</v>
      </c>
    </row>
    <row r="7" spans="1:4" ht="72" x14ac:dyDescent="0.3">
      <c r="A7" s="3" t="s">
        <v>2</v>
      </c>
      <c r="B7" s="81" t="s">
        <v>8</v>
      </c>
    </row>
    <row r="8" spans="1:4" ht="57.6" x14ac:dyDescent="0.3">
      <c r="A8" s="6" t="s">
        <v>9</v>
      </c>
      <c r="B8" s="81" t="s">
        <v>10</v>
      </c>
    </row>
    <row r="9" spans="1:4" ht="72" x14ac:dyDescent="0.3">
      <c r="A9" s="10" t="s">
        <v>9</v>
      </c>
      <c r="B9" s="82" t="s">
        <v>11</v>
      </c>
    </row>
    <row r="11" spans="1:4" x14ac:dyDescent="0.3">
      <c r="D11" s="7"/>
    </row>
    <row r="12" spans="1:4" x14ac:dyDescent="0.3">
      <c r="D12" s="1"/>
    </row>
    <row r="13" spans="1:4" x14ac:dyDescent="0.3">
      <c r="D13" s="1"/>
    </row>
    <row r="14" spans="1:4" x14ac:dyDescent="0.3">
      <c r="D14" s="1"/>
    </row>
    <row r="15" spans="1:4" x14ac:dyDescent="0.3">
      <c r="D15" s="1"/>
    </row>
    <row r="16" spans="1:4" x14ac:dyDescent="0.3">
      <c r="D16" s="1"/>
    </row>
    <row r="17" spans="3:4" x14ac:dyDescent="0.3">
      <c r="D17" s="1"/>
    </row>
    <row r="18" spans="3:4" x14ac:dyDescent="0.3">
      <c r="D18" s="1"/>
    </row>
    <row r="19" spans="3:4" x14ac:dyDescent="0.3">
      <c r="D19" s="1"/>
    </row>
    <row r="20" spans="3:4" x14ac:dyDescent="0.3">
      <c r="D20" s="4"/>
    </row>
    <row r="21" spans="3:4" x14ac:dyDescent="0.3">
      <c r="D21" s="4"/>
    </row>
    <row r="23" spans="3:4" x14ac:dyDescent="0.3">
      <c r="C23" s="5"/>
      <c r="D23" s="7"/>
    </row>
    <row r="24" spans="3:4" x14ac:dyDescent="0.3">
      <c r="C24" s="1"/>
      <c r="D24" s="1"/>
    </row>
    <row r="25" spans="3:4" x14ac:dyDescent="0.3">
      <c r="C25" s="1"/>
      <c r="D25" s="1"/>
    </row>
    <row r="26" spans="3:4" x14ac:dyDescent="0.3">
      <c r="C26" s="1"/>
      <c r="D26" s="1"/>
    </row>
    <row r="27" spans="3:4" x14ac:dyDescent="0.3">
      <c r="C27" s="1"/>
      <c r="D27" s="1"/>
    </row>
    <row r="28" spans="3:4" x14ac:dyDescent="0.3">
      <c r="C28" s="1"/>
      <c r="D28" s="1"/>
    </row>
    <row r="29" spans="3:4" x14ac:dyDescent="0.3">
      <c r="C29" s="1"/>
      <c r="D29" s="1"/>
    </row>
    <row r="30" spans="3:4" x14ac:dyDescent="0.3">
      <c r="C30" s="1"/>
      <c r="D30" s="1"/>
    </row>
    <row r="31" spans="3:4" x14ac:dyDescent="0.3">
      <c r="C31" s="4"/>
      <c r="D31" s="1"/>
    </row>
    <row r="32" spans="3:4" x14ac:dyDescent="0.3">
      <c r="C32" s="4"/>
      <c r="D32" s="4"/>
    </row>
    <row r="33" spans="1:4" ht="18" x14ac:dyDescent="0.35">
      <c r="D33" s="8"/>
    </row>
    <row r="34" spans="1:4" x14ac:dyDescent="0.3">
      <c r="A34" s="1"/>
      <c r="B34" s="5"/>
      <c r="C34" s="7"/>
      <c r="D34" s="4"/>
    </row>
    <row r="35" spans="1:4" x14ac:dyDescent="0.3">
      <c r="A35" s="1"/>
      <c r="B35" s="1"/>
      <c r="C35" s="1"/>
      <c r="D35" s="4"/>
    </row>
    <row r="36" spans="1:4" x14ac:dyDescent="0.3">
      <c r="A36" s="1"/>
      <c r="B36" s="1"/>
      <c r="C36" s="1"/>
    </row>
    <row r="37" spans="1:4" x14ac:dyDescent="0.3">
      <c r="A37" s="1"/>
      <c r="B37" s="1"/>
      <c r="C37" s="1"/>
      <c r="D37" s="7"/>
    </row>
    <row r="38" spans="1:4" x14ac:dyDescent="0.3">
      <c r="A38" s="1"/>
      <c r="B38" s="1"/>
      <c r="C38" s="1"/>
      <c r="D38" s="1"/>
    </row>
    <row r="39" spans="1:4" x14ac:dyDescent="0.3">
      <c r="A39" s="1"/>
      <c r="B39" s="1"/>
      <c r="C39" s="1"/>
      <c r="D39" s="1"/>
    </row>
    <row r="40" spans="1:4" x14ac:dyDescent="0.3">
      <c r="A40" s="1"/>
      <c r="B40" s="1"/>
      <c r="C40" s="1"/>
      <c r="D40" s="1"/>
    </row>
    <row r="41" spans="1:4" x14ac:dyDescent="0.3">
      <c r="A41" s="1"/>
      <c r="B41" s="1"/>
      <c r="C41" s="1"/>
      <c r="D41" s="1"/>
    </row>
    <row r="42" spans="1:4" x14ac:dyDescent="0.3">
      <c r="A42" s="1"/>
      <c r="B42" s="1"/>
      <c r="C42" s="1"/>
      <c r="D42" s="1"/>
    </row>
    <row r="43" spans="1:4" x14ac:dyDescent="0.3">
      <c r="A43" s="1"/>
      <c r="B43" s="1"/>
      <c r="C43" s="4"/>
      <c r="D43" s="1"/>
    </row>
    <row r="44" spans="1:4" x14ac:dyDescent="0.3">
      <c r="A44" s="1"/>
      <c r="B44" s="1"/>
      <c r="C44" s="4"/>
      <c r="D44" s="1"/>
    </row>
    <row r="45" spans="1:4" x14ac:dyDescent="0.3">
      <c r="A45" s="1"/>
      <c r="B45" s="1"/>
      <c r="C45" s="4"/>
      <c r="D45" s="1"/>
    </row>
    <row r="46" spans="1:4" ht="18" x14ac:dyDescent="0.35">
      <c r="D46" s="8"/>
    </row>
    <row r="47" spans="1:4" x14ac:dyDescent="0.3">
      <c r="C47" s="7"/>
    </row>
    <row r="48" spans="1:4" x14ac:dyDescent="0.3">
      <c r="C48" s="1"/>
    </row>
    <row r="49" spans="3:3" x14ac:dyDescent="0.3">
      <c r="C49" s="1"/>
    </row>
    <row r="50" spans="3:3" x14ac:dyDescent="0.3">
      <c r="C50" s="1"/>
    </row>
    <row r="51" spans="3:3" x14ac:dyDescent="0.3">
      <c r="C51" s="1"/>
    </row>
    <row r="52" spans="3:3" x14ac:dyDescent="0.3">
      <c r="C52" s="1"/>
    </row>
    <row r="53" spans="3:3" x14ac:dyDescent="0.3">
      <c r="C53" s="1"/>
    </row>
    <row r="54" spans="3:3" x14ac:dyDescent="0.3">
      <c r="C54" s="1"/>
    </row>
    <row r="55" spans="3:3" x14ac:dyDescent="0.3">
      <c r="C55" s="1"/>
    </row>
    <row r="56" spans="3:3" x14ac:dyDescent="0.3">
      <c r="C56" s="4"/>
    </row>
    <row r="57" spans="3:3" x14ac:dyDescent="0.3">
      <c r="C57" s="4"/>
    </row>
  </sheetData>
  <pageMargins left="0.23622047244094491" right="0.62992125984251968" top="0.74803149606299213" bottom="0.74803149606299213" header="0.31496062992125984" footer="0.31496062992125984"/>
  <pageSetup paperSize="9" scale="7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7C6D7F-126A-4D7A-B35A-BC83258D6686}">
  <sheetPr>
    <tabColor theme="4" tint="0.79998168889431442"/>
    <pageSetUpPr fitToPage="1"/>
  </sheetPr>
  <dimension ref="A1:V73"/>
  <sheetViews>
    <sheetView showGridLines="0" zoomScale="90" zoomScaleNormal="90" workbookViewId="0">
      <pane xSplit="2" ySplit="2" topLeftCell="C31" activePane="bottomRight" state="frozen"/>
      <selection pane="topRight" activeCell="J53" sqref="J53:L54"/>
      <selection pane="bottomLeft" activeCell="J53" sqref="J53:L54"/>
      <selection pane="bottomRight" activeCell="D49" sqref="D49"/>
    </sheetView>
  </sheetViews>
  <sheetFormatPr defaultColWidth="8.77734375" defaultRowHeight="14.4" x14ac:dyDescent="0.3"/>
  <cols>
    <col min="1" max="1" width="29.33203125" style="11" bestFit="1" customWidth="1"/>
    <col min="2" max="2" width="25.88671875" style="11" customWidth="1"/>
    <col min="3" max="4" width="20.88671875" style="11" customWidth="1"/>
    <col min="5" max="5" width="21.44140625" style="11" customWidth="1"/>
    <col min="6" max="7" width="20.88671875" style="11" customWidth="1"/>
    <col min="8" max="8" width="18.109375" style="11" customWidth="1"/>
    <col min="9" max="9" width="19.21875" style="11" customWidth="1"/>
    <col min="10" max="12" width="18.109375" style="11" customWidth="1"/>
    <col min="13" max="20" width="20.6640625" style="11" customWidth="1"/>
    <col min="21" max="22" width="21.6640625" style="11" customWidth="1"/>
    <col min="23" max="27" width="19.33203125" style="11" customWidth="1"/>
    <col min="28" max="28" width="9.109375" style="11" bestFit="1" customWidth="1"/>
    <col min="29" max="29" width="10.109375" style="11" bestFit="1" customWidth="1"/>
    <col min="30" max="16384" width="8.77734375" style="11"/>
  </cols>
  <sheetData>
    <row r="1" spans="1:20" s="23" customFormat="1" x14ac:dyDescent="0.3">
      <c r="A1" s="83"/>
      <c r="B1" s="83"/>
      <c r="C1" s="83"/>
      <c r="D1" s="24" t="s">
        <v>12</v>
      </c>
      <c r="E1" s="84"/>
      <c r="F1" s="84"/>
      <c r="G1" s="25"/>
      <c r="H1" s="25"/>
      <c r="I1" s="25"/>
      <c r="J1" s="83"/>
      <c r="K1" s="83"/>
      <c r="L1" s="83"/>
      <c r="M1" s="85"/>
      <c r="N1" s="86" t="s">
        <v>13</v>
      </c>
      <c r="O1" s="87">
        <v>47391</v>
      </c>
      <c r="P1" s="83"/>
      <c r="Q1" s="83"/>
      <c r="R1" s="83"/>
      <c r="S1" s="83"/>
      <c r="T1" s="83"/>
    </row>
    <row r="2" spans="1:20" s="26" customFormat="1" ht="28.8" x14ac:dyDescent="0.3">
      <c r="A2" s="88" t="s">
        <v>14</v>
      </c>
      <c r="B2" s="88" t="s">
        <v>15</v>
      </c>
      <c r="C2" s="88" t="s">
        <v>16</v>
      </c>
      <c r="D2" s="88" t="s">
        <v>17</v>
      </c>
      <c r="E2" s="89" t="s">
        <v>18</v>
      </c>
      <c r="F2" s="89" t="s">
        <v>19</v>
      </c>
      <c r="G2" s="89" t="s">
        <v>20</v>
      </c>
      <c r="H2" s="90" t="s">
        <v>21</v>
      </c>
      <c r="I2" s="90" t="s">
        <v>22</v>
      </c>
      <c r="J2" s="90" t="s">
        <v>23</v>
      </c>
      <c r="K2" s="90" t="s">
        <v>24</v>
      </c>
      <c r="L2" s="88"/>
      <c r="M2" s="88"/>
      <c r="N2" s="88"/>
      <c r="O2" s="88"/>
      <c r="P2" s="88"/>
      <c r="Q2" s="88"/>
      <c r="R2" s="88"/>
      <c r="S2" s="88"/>
      <c r="T2" s="88"/>
    </row>
    <row r="3" spans="1:20" s="28" customFormat="1" ht="16.5" customHeight="1" x14ac:dyDescent="0.3">
      <c r="A3" s="91" t="s">
        <v>25</v>
      </c>
      <c r="B3" s="79" t="s">
        <v>26</v>
      </c>
      <c r="C3" s="92" t="s">
        <v>27</v>
      </c>
      <c r="D3" s="92" t="s">
        <v>28</v>
      </c>
      <c r="E3" s="93">
        <v>1</v>
      </c>
      <c r="F3" s="93"/>
      <c r="G3" s="94">
        <v>45931</v>
      </c>
      <c r="H3" s="80">
        <v>8574</v>
      </c>
      <c r="I3" s="80">
        <v>66024</v>
      </c>
      <c r="J3" s="95">
        <f>KOE[[#This Row],[Zw/w p/j]]/12</f>
        <v>714.5</v>
      </c>
      <c r="K3" s="95">
        <f>KOE[[#This Row],[Kleur p/j]]/12</f>
        <v>5502</v>
      </c>
      <c r="L3" s="92"/>
      <c r="M3" s="92"/>
      <c r="N3" s="92"/>
      <c r="O3" s="92"/>
      <c r="P3" s="92"/>
      <c r="Q3" s="92"/>
      <c r="R3" s="92"/>
      <c r="S3" s="92"/>
      <c r="T3" s="92"/>
    </row>
    <row r="4" spans="1:20" s="28" customFormat="1" ht="16.5" customHeight="1" x14ac:dyDescent="0.3">
      <c r="A4" s="91" t="s">
        <v>29</v>
      </c>
      <c r="B4" s="79" t="s">
        <v>26</v>
      </c>
      <c r="C4" s="92" t="s">
        <v>27</v>
      </c>
      <c r="D4" s="92" t="s">
        <v>28</v>
      </c>
      <c r="E4" s="93">
        <v>1</v>
      </c>
      <c r="F4" s="93"/>
      <c r="G4" s="94">
        <v>45931</v>
      </c>
      <c r="H4" s="80">
        <v>42721</v>
      </c>
      <c r="I4" s="80">
        <v>105455</v>
      </c>
      <c r="J4" s="95">
        <f>KOE[[#This Row],[Zw/w p/j]]/12</f>
        <v>3560.0833333333335</v>
      </c>
      <c r="K4" s="95">
        <f>KOE[[#This Row],[Kleur p/j]]/12</f>
        <v>8787.9166666666661</v>
      </c>
      <c r="L4" s="92"/>
      <c r="M4" s="92"/>
      <c r="N4" s="92"/>
      <c r="O4" s="92"/>
      <c r="P4" s="92"/>
      <c r="Q4" s="92"/>
      <c r="R4" s="92"/>
      <c r="S4" s="92"/>
      <c r="T4" s="92"/>
    </row>
    <row r="5" spans="1:20" s="28" customFormat="1" ht="16.5" customHeight="1" x14ac:dyDescent="0.3">
      <c r="A5" s="91" t="s">
        <v>30</v>
      </c>
      <c r="B5" s="79" t="s">
        <v>31</v>
      </c>
      <c r="C5" s="92" t="s">
        <v>32</v>
      </c>
      <c r="D5" s="92" t="s">
        <v>33</v>
      </c>
      <c r="E5" s="93"/>
      <c r="F5" s="93">
        <v>1</v>
      </c>
      <c r="G5" s="94">
        <v>45931</v>
      </c>
      <c r="H5" s="80">
        <v>104308</v>
      </c>
      <c r="I5" s="80">
        <v>65044</v>
      </c>
      <c r="J5" s="96">
        <f>KOE[[#This Row],[Zw/w p/j]]/12</f>
        <v>8692.3333333333339</v>
      </c>
      <c r="K5" s="95">
        <f>KOE[[#This Row],[Kleur p/j]]/12</f>
        <v>5420.333333333333</v>
      </c>
      <c r="L5" s="92"/>
      <c r="M5" s="92"/>
      <c r="N5" s="92"/>
      <c r="O5" s="92"/>
      <c r="P5" s="92"/>
      <c r="Q5" s="92"/>
      <c r="R5" s="92"/>
      <c r="S5" s="92"/>
      <c r="T5" s="92"/>
    </row>
    <row r="6" spans="1:20" s="28" customFormat="1" ht="16.5" customHeight="1" x14ac:dyDescent="0.3">
      <c r="A6" s="91" t="s">
        <v>34</v>
      </c>
      <c r="B6" s="79" t="s">
        <v>35</v>
      </c>
      <c r="C6" s="92" t="s">
        <v>36</v>
      </c>
      <c r="D6" s="92" t="s">
        <v>28</v>
      </c>
      <c r="E6" s="93">
        <v>1</v>
      </c>
      <c r="F6" s="93"/>
      <c r="G6" s="94">
        <v>45931</v>
      </c>
      <c r="H6" s="80">
        <v>33953</v>
      </c>
      <c r="I6" s="80">
        <v>42312</v>
      </c>
      <c r="J6" s="96">
        <f>KOE[[#This Row],[Zw/w p/j]]/12</f>
        <v>2829.4166666666665</v>
      </c>
      <c r="K6" s="95">
        <f>KOE[[#This Row],[Kleur p/j]]/12</f>
        <v>3526</v>
      </c>
      <c r="L6" s="92"/>
      <c r="M6" s="92"/>
      <c r="N6" s="92"/>
      <c r="O6" s="92"/>
      <c r="P6" s="92"/>
      <c r="Q6" s="92"/>
      <c r="R6" s="92"/>
      <c r="S6" s="92"/>
      <c r="T6" s="92"/>
    </row>
    <row r="7" spans="1:20" s="28" customFormat="1" ht="16.5" customHeight="1" x14ac:dyDescent="0.3">
      <c r="A7" s="91" t="s">
        <v>34</v>
      </c>
      <c r="B7" s="79" t="s">
        <v>35</v>
      </c>
      <c r="C7" s="92" t="s">
        <v>36</v>
      </c>
      <c r="D7" s="92" t="s">
        <v>28</v>
      </c>
      <c r="E7" s="93">
        <v>1</v>
      </c>
      <c r="F7" s="93"/>
      <c r="G7" s="94">
        <v>45931</v>
      </c>
      <c r="H7" s="80">
        <v>28607</v>
      </c>
      <c r="I7" s="80">
        <v>34362</v>
      </c>
      <c r="J7" s="96">
        <f>KOE[[#This Row],[Zw/w p/j]]/12</f>
        <v>2383.9166666666665</v>
      </c>
      <c r="K7" s="95">
        <f>KOE[[#This Row],[Kleur p/j]]/12</f>
        <v>2863.5</v>
      </c>
      <c r="L7" s="92"/>
      <c r="M7" s="92"/>
      <c r="N7" s="92"/>
      <c r="O7" s="92"/>
      <c r="P7" s="92"/>
      <c r="Q7" s="92"/>
      <c r="R7" s="92"/>
      <c r="S7" s="92"/>
      <c r="T7" s="92"/>
    </row>
    <row r="8" spans="1:20" s="28" customFormat="1" ht="16.5" customHeight="1" x14ac:dyDescent="0.3">
      <c r="A8" s="91" t="s">
        <v>34</v>
      </c>
      <c r="B8" s="79" t="s">
        <v>35</v>
      </c>
      <c r="C8" s="92" t="s">
        <v>36</v>
      </c>
      <c r="D8" s="92" t="s">
        <v>28</v>
      </c>
      <c r="E8" s="93">
        <v>1</v>
      </c>
      <c r="F8" s="93"/>
      <c r="G8" s="94">
        <v>45931</v>
      </c>
      <c r="H8" s="80">
        <v>43807</v>
      </c>
      <c r="I8" s="80">
        <v>38559</v>
      </c>
      <c r="J8" s="95">
        <f>KOE[[#This Row],[Zw/w p/j]]/12</f>
        <v>3650.5833333333335</v>
      </c>
      <c r="K8" s="95">
        <f>KOE[[#This Row],[Kleur p/j]]/12</f>
        <v>3213.25</v>
      </c>
      <c r="L8" s="92"/>
      <c r="M8" s="92"/>
      <c r="N8" s="92"/>
      <c r="O8" s="92"/>
      <c r="P8" s="92"/>
      <c r="Q8" s="92"/>
      <c r="R8" s="92"/>
      <c r="S8" s="92"/>
      <c r="T8" s="92"/>
    </row>
    <row r="9" spans="1:20" s="28" customFormat="1" ht="16.5" customHeight="1" x14ac:dyDescent="0.3">
      <c r="A9" s="91" t="s">
        <v>37</v>
      </c>
      <c r="B9" s="79" t="s">
        <v>38</v>
      </c>
      <c r="C9" s="92" t="s">
        <v>39</v>
      </c>
      <c r="D9" s="92" t="s">
        <v>33</v>
      </c>
      <c r="E9" s="93">
        <v>1</v>
      </c>
      <c r="F9" s="93"/>
      <c r="G9" s="94">
        <v>45931</v>
      </c>
      <c r="H9" s="80">
        <v>43468</v>
      </c>
      <c r="I9" s="80">
        <v>54249</v>
      </c>
      <c r="J9" s="95">
        <f>KOE[[#This Row],[Zw/w p/j]]/12</f>
        <v>3622.3333333333335</v>
      </c>
      <c r="K9" s="95">
        <f>KOE[[#This Row],[Kleur p/j]]/12</f>
        <v>4520.75</v>
      </c>
      <c r="L9" s="92"/>
      <c r="M9" s="92"/>
      <c r="N9" s="92"/>
      <c r="O9" s="92"/>
      <c r="P9" s="92"/>
      <c r="Q9" s="92"/>
      <c r="R9" s="92"/>
      <c r="S9" s="92"/>
      <c r="T9" s="92"/>
    </row>
    <row r="10" spans="1:20" s="28" customFormat="1" ht="16.5" customHeight="1" x14ac:dyDescent="0.3">
      <c r="A10" s="91" t="s">
        <v>37</v>
      </c>
      <c r="B10" s="79" t="s">
        <v>38</v>
      </c>
      <c r="C10" s="92" t="s">
        <v>39</v>
      </c>
      <c r="D10" s="92" t="s">
        <v>33</v>
      </c>
      <c r="E10" s="93"/>
      <c r="F10" s="93">
        <v>1</v>
      </c>
      <c r="G10" s="94">
        <v>45931</v>
      </c>
      <c r="H10" s="80">
        <v>98418</v>
      </c>
      <c r="I10" s="80">
        <v>56266</v>
      </c>
      <c r="J10" s="96">
        <f>KOE[[#This Row],[Zw/w p/j]]/12</f>
        <v>8201.5</v>
      </c>
      <c r="K10" s="95">
        <f>KOE[[#This Row],[Kleur p/j]]/12</f>
        <v>4688.833333333333</v>
      </c>
      <c r="L10" s="92"/>
      <c r="M10" s="92"/>
      <c r="N10" s="92"/>
      <c r="O10" s="92"/>
      <c r="P10" s="92"/>
      <c r="Q10" s="92"/>
      <c r="R10" s="92"/>
      <c r="S10" s="92"/>
      <c r="T10" s="92"/>
    </row>
    <row r="11" spans="1:20" s="28" customFormat="1" ht="16.5" customHeight="1" x14ac:dyDescent="0.3">
      <c r="A11" s="91" t="s">
        <v>40</v>
      </c>
      <c r="B11" s="79" t="s">
        <v>41</v>
      </c>
      <c r="C11" s="88" t="s">
        <v>42</v>
      </c>
      <c r="D11" s="88" t="s">
        <v>28</v>
      </c>
      <c r="E11" s="93"/>
      <c r="F11" s="93">
        <v>1</v>
      </c>
      <c r="G11" s="94">
        <v>45931</v>
      </c>
      <c r="H11" s="80">
        <v>89534</v>
      </c>
      <c r="I11" s="80">
        <v>152258</v>
      </c>
      <c r="J11" s="96">
        <f>KOE[[#This Row],[Zw/w p/j]]/12</f>
        <v>7461.166666666667</v>
      </c>
      <c r="K11" s="96">
        <f>KOE[[#This Row],[Kleur p/j]]/12</f>
        <v>12688.166666666666</v>
      </c>
      <c r="L11" s="92"/>
      <c r="M11" s="92"/>
      <c r="N11" s="92"/>
      <c r="O11" s="92"/>
      <c r="P11" s="92"/>
      <c r="Q11" s="92"/>
      <c r="R11" s="92"/>
      <c r="S11" s="92"/>
      <c r="T11" s="92"/>
    </row>
    <row r="12" spans="1:20" s="28" customFormat="1" ht="16.5" customHeight="1" x14ac:dyDescent="0.3">
      <c r="A12" s="91" t="s">
        <v>40</v>
      </c>
      <c r="B12" s="79" t="s">
        <v>41</v>
      </c>
      <c r="C12" s="92" t="s">
        <v>42</v>
      </c>
      <c r="D12" s="92" t="s">
        <v>28</v>
      </c>
      <c r="E12" s="93"/>
      <c r="F12" s="93">
        <v>1</v>
      </c>
      <c r="G12" s="94">
        <v>45931</v>
      </c>
      <c r="H12" s="80">
        <v>74164</v>
      </c>
      <c r="I12" s="80">
        <v>85099</v>
      </c>
      <c r="J12" s="96">
        <f>KOE[[#This Row],[Zw/w p/j]]/12</f>
        <v>6180.333333333333</v>
      </c>
      <c r="K12" s="95">
        <f>KOE[[#This Row],[Kleur p/j]]/12</f>
        <v>7091.583333333333</v>
      </c>
      <c r="L12" s="92"/>
      <c r="M12" s="92"/>
      <c r="N12" s="92"/>
      <c r="O12" s="92"/>
      <c r="P12" s="92"/>
      <c r="Q12" s="92"/>
      <c r="R12" s="92"/>
      <c r="S12" s="92"/>
      <c r="T12" s="92"/>
    </row>
    <row r="13" spans="1:20" s="28" customFormat="1" ht="16.5" customHeight="1" x14ac:dyDescent="0.3">
      <c r="A13" s="91" t="s">
        <v>43</v>
      </c>
      <c r="B13" s="79" t="s">
        <v>44</v>
      </c>
      <c r="C13" s="92" t="s">
        <v>45</v>
      </c>
      <c r="D13" s="92" t="s">
        <v>28</v>
      </c>
      <c r="E13" s="93"/>
      <c r="F13" s="93">
        <v>1</v>
      </c>
      <c r="G13" s="94">
        <v>45931</v>
      </c>
      <c r="H13" s="80">
        <v>84745</v>
      </c>
      <c r="I13" s="80">
        <v>14588</v>
      </c>
      <c r="J13" s="96">
        <f>KOE[[#This Row],[Zw/w p/j]]/12</f>
        <v>7062.083333333333</v>
      </c>
      <c r="K13" s="95">
        <f>KOE[[#This Row],[Kleur p/j]]/12</f>
        <v>1215.6666666666667</v>
      </c>
      <c r="L13" s="92"/>
      <c r="M13" s="92"/>
      <c r="N13" s="92"/>
      <c r="O13" s="92"/>
      <c r="P13" s="92"/>
      <c r="Q13" s="92"/>
      <c r="R13" s="92"/>
      <c r="S13" s="92"/>
      <c r="T13" s="92"/>
    </row>
    <row r="14" spans="1:20" s="28" customFormat="1" ht="16.5" customHeight="1" x14ac:dyDescent="0.3">
      <c r="A14" s="91" t="s">
        <v>43</v>
      </c>
      <c r="B14" s="79" t="s">
        <v>44</v>
      </c>
      <c r="C14" s="92" t="s">
        <v>45</v>
      </c>
      <c r="D14" s="92" t="s">
        <v>28</v>
      </c>
      <c r="E14" s="93"/>
      <c r="F14" s="93">
        <v>1</v>
      </c>
      <c r="G14" s="94">
        <v>45931</v>
      </c>
      <c r="H14" s="80">
        <v>36672</v>
      </c>
      <c r="I14" s="80">
        <v>77862</v>
      </c>
      <c r="J14" s="95">
        <f>KOE[[#This Row],[Zw/w p/j]]/12</f>
        <v>3056</v>
      </c>
      <c r="K14" s="95">
        <f>KOE[[#This Row],[Kleur p/j]]/12</f>
        <v>6488.5</v>
      </c>
      <c r="L14" s="92"/>
      <c r="M14" s="92"/>
      <c r="N14" s="92"/>
      <c r="O14" s="92"/>
      <c r="P14" s="92"/>
      <c r="Q14" s="92"/>
      <c r="R14" s="92"/>
      <c r="S14" s="92"/>
      <c r="T14" s="92"/>
    </row>
    <row r="15" spans="1:20" s="28" customFormat="1" ht="16.5" customHeight="1" x14ac:dyDescent="0.3">
      <c r="A15" s="91" t="s">
        <v>43</v>
      </c>
      <c r="B15" s="79" t="s">
        <v>44</v>
      </c>
      <c r="C15" s="92" t="s">
        <v>45</v>
      </c>
      <c r="D15" s="88" t="s">
        <v>28</v>
      </c>
      <c r="E15" s="93">
        <v>1</v>
      </c>
      <c r="F15" s="93"/>
      <c r="G15" s="94">
        <v>45931</v>
      </c>
      <c r="H15" s="80">
        <v>23779</v>
      </c>
      <c r="I15" s="80">
        <v>30305</v>
      </c>
      <c r="J15" s="96">
        <f>KOE[[#This Row],[Zw/w p/j]]/12</f>
        <v>1981.5833333333333</v>
      </c>
      <c r="K15" s="95">
        <f>KOE[[#This Row],[Kleur p/j]]/12</f>
        <v>2525.4166666666665</v>
      </c>
      <c r="L15" s="92"/>
      <c r="M15" s="92"/>
      <c r="N15" s="92"/>
      <c r="O15" s="92"/>
      <c r="P15" s="92"/>
      <c r="Q15" s="92"/>
      <c r="R15" s="92"/>
      <c r="S15" s="92"/>
      <c r="T15" s="92"/>
    </row>
    <row r="16" spans="1:20" s="28" customFormat="1" ht="16.5" customHeight="1" x14ac:dyDescent="0.3">
      <c r="A16" s="91" t="s">
        <v>46</v>
      </c>
      <c r="B16" s="79" t="s">
        <v>47</v>
      </c>
      <c r="C16" s="92" t="s">
        <v>48</v>
      </c>
      <c r="D16" s="92" t="s">
        <v>49</v>
      </c>
      <c r="E16" s="93">
        <v>1</v>
      </c>
      <c r="F16" s="93"/>
      <c r="G16" s="94">
        <v>45931</v>
      </c>
      <c r="H16" s="80">
        <v>56022</v>
      </c>
      <c r="I16" s="80">
        <v>82700</v>
      </c>
      <c r="J16" s="96">
        <f>KOE[[#This Row],[Zw/w p/j]]/12</f>
        <v>4668.5</v>
      </c>
      <c r="K16" s="95">
        <f>KOE[[#This Row],[Kleur p/j]]/12</f>
        <v>6891.666666666667</v>
      </c>
      <c r="L16" s="92"/>
      <c r="M16" s="92"/>
      <c r="N16" s="92"/>
      <c r="O16" s="92"/>
      <c r="P16" s="92"/>
      <c r="Q16" s="92"/>
      <c r="R16" s="92"/>
      <c r="S16" s="92"/>
      <c r="T16" s="92"/>
    </row>
    <row r="17" spans="1:22" s="28" customFormat="1" ht="16.5" customHeight="1" x14ac:dyDescent="0.3">
      <c r="A17" s="91" t="s">
        <v>50</v>
      </c>
      <c r="B17" s="79" t="s">
        <v>51</v>
      </c>
      <c r="C17" s="92" t="s">
        <v>52</v>
      </c>
      <c r="D17" s="92" t="s">
        <v>28</v>
      </c>
      <c r="E17" s="93">
        <v>1</v>
      </c>
      <c r="F17" s="93"/>
      <c r="G17" s="94">
        <v>45931</v>
      </c>
      <c r="H17" s="80">
        <v>75210</v>
      </c>
      <c r="I17" s="80">
        <v>11873</v>
      </c>
      <c r="J17" s="96">
        <f>KOE[[#This Row],[Zw/w p/j]]/12</f>
        <v>6267.5</v>
      </c>
      <c r="K17" s="95">
        <f>KOE[[#This Row],[Kleur p/j]]/12</f>
        <v>989.41666666666663</v>
      </c>
      <c r="L17" s="92"/>
      <c r="M17" s="92"/>
      <c r="N17" s="92"/>
      <c r="O17" s="92"/>
      <c r="P17" s="92"/>
      <c r="Q17" s="92"/>
      <c r="R17" s="92"/>
      <c r="S17" s="92"/>
      <c r="T17" s="92"/>
      <c r="U17" s="92"/>
      <c r="V17" s="92"/>
    </row>
    <row r="18" spans="1:22" s="28" customFormat="1" ht="16.5" customHeight="1" x14ac:dyDescent="0.3">
      <c r="A18" s="91" t="s">
        <v>50</v>
      </c>
      <c r="B18" s="79" t="s">
        <v>51</v>
      </c>
      <c r="C18" s="92" t="s">
        <v>52</v>
      </c>
      <c r="D18" s="92" t="s">
        <v>28</v>
      </c>
      <c r="E18" s="93">
        <v>1</v>
      </c>
      <c r="F18" s="93"/>
      <c r="G18" s="94">
        <v>45931</v>
      </c>
      <c r="H18" s="80">
        <v>129176</v>
      </c>
      <c r="I18" s="80">
        <v>42802</v>
      </c>
      <c r="J18" s="95">
        <f>KOE[[#This Row],[Zw/w p/j]]/12</f>
        <v>10764.666666666666</v>
      </c>
      <c r="K18" s="95">
        <f>KOE[[#This Row],[Kleur p/j]]/12</f>
        <v>3566.8333333333335</v>
      </c>
      <c r="L18" s="92"/>
      <c r="M18" s="92"/>
      <c r="N18" s="92"/>
      <c r="O18" s="92"/>
      <c r="P18" s="92"/>
      <c r="Q18" s="92"/>
      <c r="R18" s="92"/>
      <c r="S18" s="92"/>
      <c r="T18" s="92"/>
      <c r="U18" s="92"/>
      <c r="V18" s="92"/>
    </row>
    <row r="19" spans="1:22" s="28" customFormat="1" ht="16.5" customHeight="1" x14ac:dyDescent="0.3">
      <c r="A19" s="91" t="s">
        <v>53</v>
      </c>
      <c r="B19" s="79" t="s">
        <v>54</v>
      </c>
      <c r="C19" s="92" t="s">
        <v>55</v>
      </c>
      <c r="D19" s="92" t="s">
        <v>28</v>
      </c>
      <c r="E19" s="93"/>
      <c r="F19" s="93">
        <v>1</v>
      </c>
      <c r="G19" s="94">
        <v>45931</v>
      </c>
      <c r="H19" s="80">
        <v>67991</v>
      </c>
      <c r="I19" s="80">
        <v>46228</v>
      </c>
      <c r="J19" s="95">
        <f>KOE[[#This Row],[Zw/w p/j]]/12</f>
        <v>5665.916666666667</v>
      </c>
      <c r="K19" s="95">
        <f>KOE[[#This Row],[Kleur p/j]]/12</f>
        <v>3852.3333333333335</v>
      </c>
      <c r="L19" s="92"/>
      <c r="M19" s="92"/>
      <c r="N19" s="92"/>
      <c r="O19" s="92"/>
      <c r="P19" s="92"/>
      <c r="Q19" s="92"/>
      <c r="R19" s="92"/>
      <c r="S19" s="92"/>
      <c r="T19" s="92"/>
      <c r="U19" s="92"/>
      <c r="V19" s="92"/>
    </row>
    <row r="20" spans="1:22" s="27" customFormat="1" ht="16.5" customHeight="1" x14ac:dyDescent="0.3">
      <c r="A20" s="97" t="s">
        <v>56</v>
      </c>
      <c r="B20" s="79" t="s">
        <v>57</v>
      </c>
      <c r="C20" s="92" t="s">
        <v>58</v>
      </c>
      <c r="D20" s="92" t="s">
        <v>59</v>
      </c>
      <c r="E20" s="93">
        <v>1</v>
      </c>
      <c r="F20" s="93"/>
      <c r="G20" s="94">
        <v>45931</v>
      </c>
      <c r="H20" s="80">
        <v>9263</v>
      </c>
      <c r="I20" s="80">
        <v>6008</v>
      </c>
      <c r="J20" s="95">
        <f>KOE[[#This Row],[Zw/w p/j]]/12</f>
        <v>771.91666666666663</v>
      </c>
      <c r="K20" s="95">
        <f>KOE[[#This Row],[Kleur p/j]]/12</f>
        <v>500.66666666666669</v>
      </c>
      <c r="L20" s="98"/>
      <c r="M20" s="98"/>
      <c r="N20" s="98"/>
      <c r="O20" s="98"/>
      <c r="P20" s="98"/>
      <c r="Q20" s="98"/>
      <c r="R20" s="98"/>
      <c r="S20" s="98"/>
      <c r="T20" s="98"/>
      <c r="U20" s="98"/>
      <c r="V20" s="98"/>
    </row>
    <row r="21" spans="1:22" s="27" customFormat="1" ht="16.5" customHeight="1" x14ac:dyDescent="0.3">
      <c r="A21" s="91" t="s">
        <v>60</v>
      </c>
      <c r="B21" s="79" t="s">
        <v>61</v>
      </c>
      <c r="C21" s="92" t="s">
        <v>62</v>
      </c>
      <c r="D21" s="92" t="s">
        <v>63</v>
      </c>
      <c r="E21" s="93"/>
      <c r="F21" s="93">
        <v>1</v>
      </c>
      <c r="G21" s="94">
        <v>45931</v>
      </c>
      <c r="H21" s="80">
        <v>100381</v>
      </c>
      <c r="I21" s="80">
        <v>215433</v>
      </c>
      <c r="J21" s="95">
        <f>KOE[[#This Row],[Zw/w p/j]]/12</f>
        <v>8365.0833333333339</v>
      </c>
      <c r="K21" s="95">
        <f>KOE[[#This Row],[Kleur p/j]]/12</f>
        <v>17952.75</v>
      </c>
      <c r="L21" s="98"/>
      <c r="M21" s="98"/>
      <c r="N21" s="98"/>
      <c r="O21" s="98"/>
      <c r="P21" s="98"/>
      <c r="Q21" s="98"/>
      <c r="R21" s="98"/>
      <c r="S21" s="98"/>
      <c r="T21" s="98"/>
      <c r="U21" s="98"/>
      <c r="V21" s="98"/>
    </row>
    <row r="22" spans="1:22" s="27" customFormat="1" ht="16.5" customHeight="1" x14ac:dyDescent="0.3">
      <c r="A22" s="91" t="s">
        <v>64</v>
      </c>
      <c r="B22" s="79" t="s">
        <v>65</v>
      </c>
      <c r="C22" s="92" t="s">
        <v>66</v>
      </c>
      <c r="D22" s="92" t="s">
        <v>67</v>
      </c>
      <c r="E22" s="93">
        <v>1</v>
      </c>
      <c r="F22" s="93"/>
      <c r="G22" s="94">
        <v>45931</v>
      </c>
      <c r="H22" s="80">
        <v>94827</v>
      </c>
      <c r="I22" s="80">
        <v>67962</v>
      </c>
      <c r="J22" s="96">
        <f>KOE[[#This Row],[Zw/w p/j]]/12</f>
        <v>7902.25</v>
      </c>
      <c r="K22" s="95">
        <f>KOE[[#This Row],[Kleur p/j]]/12</f>
        <v>5663.5</v>
      </c>
      <c r="L22" s="99"/>
      <c r="M22" s="99"/>
      <c r="N22" s="98"/>
      <c r="O22" s="98"/>
      <c r="P22" s="98"/>
      <c r="Q22" s="98"/>
      <c r="R22" s="98"/>
      <c r="S22" s="98"/>
      <c r="T22" s="98"/>
      <c r="U22" s="98"/>
      <c r="V22" s="98"/>
    </row>
    <row r="23" spans="1:22" s="27" customFormat="1" ht="16.5" customHeight="1" x14ac:dyDescent="0.3">
      <c r="A23" s="91" t="s">
        <v>64</v>
      </c>
      <c r="B23" s="79" t="s">
        <v>65</v>
      </c>
      <c r="C23" s="92" t="s">
        <v>66</v>
      </c>
      <c r="D23" s="92" t="s">
        <v>67</v>
      </c>
      <c r="E23" s="93">
        <v>1</v>
      </c>
      <c r="F23" s="93"/>
      <c r="G23" s="94">
        <v>45931</v>
      </c>
      <c r="H23" s="80">
        <v>91075</v>
      </c>
      <c r="I23" s="80">
        <v>48406</v>
      </c>
      <c r="J23" s="95">
        <f>KOE[[#This Row],[Zw/w p/j]]/12</f>
        <v>7589.583333333333</v>
      </c>
      <c r="K23" s="95">
        <f>KOE[[#This Row],[Kleur p/j]]/12</f>
        <v>4033.8333333333335</v>
      </c>
      <c r="L23" s="92"/>
      <c r="M23" s="92"/>
      <c r="N23" s="98"/>
      <c r="O23" s="98"/>
      <c r="P23" s="98"/>
      <c r="Q23" s="98"/>
      <c r="R23" s="98"/>
      <c r="S23" s="98"/>
      <c r="T23" s="98"/>
      <c r="U23" s="98"/>
      <c r="V23" s="98"/>
    </row>
    <row r="24" spans="1:22" s="27" customFormat="1" ht="16.5" customHeight="1" x14ac:dyDescent="0.3">
      <c r="A24" s="91" t="s">
        <v>68</v>
      </c>
      <c r="B24" s="79" t="s">
        <v>69</v>
      </c>
      <c r="C24" s="92" t="s">
        <v>70</v>
      </c>
      <c r="D24" s="92" t="s">
        <v>67</v>
      </c>
      <c r="E24" s="93"/>
      <c r="F24" s="93">
        <v>1</v>
      </c>
      <c r="G24" s="94">
        <v>45931</v>
      </c>
      <c r="H24" s="80">
        <v>197478</v>
      </c>
      <c r="I24" s="80">
        <v>52639</v>
      </c>
      <c r="J24" s="96">
        <f>KOE[[#This Row],[Zw/w p/j]]/12</f>
        <v>16456.5</v>
      </c>
      <c r="K24" s="95">
        <f>KOE[[#This Row],[Kleur p/j]]/12</f>
        <v>4386.583333333333</v>
      </c>
      <c r="L24" s="92"/>
      <c r="M24" s="92"/>
      <c r="N24" s="98"/>
      <c r="O24" s="98"/>
      <c r="P24" s="98"/>
      <c r="Q24" s="98"/>
      <c r="R24" s="98"/>
      <c r="S24" s="98"/>
      <c r="T24" s="98"/>
      <c r="U24" s="98"/>
      <c r="V24" s="98"/>
    </row>
    <row r="25" spans="1:22" s="27" customFormat="1" ht="16.5" customHeight="1" x14ac:dyDescent="0.3">
      <c r="A25" s="91" t="s">
        <v>71</v>
      </c>
      <c r="B25" s="79" t="s">
        <v>72</v>
      </c>
      <c r="C25" s="92" t="s">
        <v>73</v>
      </c>
      <c r="D25" s="92" t="s">
        <v>74</v>
      </c>
      <c r="E25" s="93"/>
      <c r="F25" s="93">
        <v>1</v>
      </c>
      <c r="G25" s="94">
        <v>45931</v>
      </c>
      <c r="H25" s="80">
        <v>85216</v>
      </c>
      <c r="I25" s="80">
        <v>44570</v>
      </c>
      <c r="J25" s="95">
        <f>KOE[[#This Row],[Zw/w p/j]]/12</f>
        <v>7101.333333333333</v>
      </c>
      <c r="K25" s="95">
        <f>KOE[[#This Row],[Kleur p/j]]/12</f>
        <v>3714.1666666666665</v>
      </c>
      <c r="L25" s="92"/>
      <c r="M25" s="92"/>
      <c r="N25" s="98"/>
      <c r="O25" s="98"/>
      <c r="P25" s="98"/>
      <c r="Q25" s="98"/>
      <c r="R25" s="98"/>
      <c r="S25" s="98"/>
      <c r="T25" s="98"/>
      <c r="U25" s="98"/>
      <c r="V25" s="98"/>
    </row>
    <row r="26" spans="1:22" s="28" customFormat="1" ht="16.5" customHeight="1" x14ac:dyDescent="0.3">
      <c r="A26" s="91" t="s">
        <v>75</v>
      </c>
      <c r="B26" s="79" t="s">
        <v>76</v>
      </c>
      <c r="C26" s="92" t="s">
        <v>77</v>
      </c>
      <c r="D26" s="92" t="s">
        <v>78</v>
      </c>
      <c r="E26" s="93">
        <v>1</v>
      </c>
      <c r="F26" s="93"/>
      <c r="G26" s="94">
        <v>45931</v>
      </c>
      <c r="H26" s="80">
        <v>7052</v>
      </c>
      <c r="I26" s="80">
        <v>21119</v>
      </c>
      <c r="J26" s="96">
        <f>KOE[[#This Row],[Zw/w p/j]]/12</f>
        <v>587.66666666666663</v>
      </c>
      <c r="K26" s="95">
        <f>KOE[[#This Row],[Kleur p/j]]/12</f>
        <v>1759.9166666666667</v>
      </c>
      <c r="L26" s="92"/>
      <c r="M26" s="92"/>
      <c r="N26" s="92"/>
      <c r="O26" s="92"/>
      <c r="P26" s="92"/>
      <c r="Q26" s="92"/>
      <c r="R26" s="92"/>
      <c r="S26" s="92"/>
      <c r="T26" s="92"/>
      <c r="U26" s="92"/>
      <c r="V26" s="92"/>
    </row>
    <row r="27" spans="1:22" s="28" customFormat="1" ht="16.5" customHeight="1" x14ac:dyDescent="0.3">
      <c r="A27" s="100" t="s">
        <v>79</v>
      </c>
      <c r="B27" s="79" t="s">
        <v>80</v>
      </c>
      <c r="C27" s="92" t="s">
        <v>81</v>
      </c>
      <c r="D27" s="92" t="s">
        <v>28</v>
      </c>
      <c r="E27" s="93">
        <v>1</v>
      </c>
      <c r="F27" s="93"/>
      <c r="G27" s="94">
        <v>45931</v>
      </c>
      <c r="H27" s="80">
        <v>11416</v>
      </c>
      <c r="I27" s="80">
        <v>34202</v>
      </c>
      <c r="J27" s="95">
        <f>KOE[[#This Row],[Zw/w p/j]]/12</f>
        <v>951.33333333333337</v>
      </c>
      <c r="K27" s="95">
        <f>KOE[[#This Row],[Kleur p/j]]/12</f>
        <v>2850.1666666666665</v>
      </c>
      <c r="L27" s="92"/>
      <c r="M27" s="92"/>
      <c r="N27" s="92"/>
      <c r="O27" s="92"/>
      <c r="P27" s="92"/>
      <c r="Q27" s="92"/>
      <c r="R27" s="92"/>
      <c r="S27" s="92"/>
      <c r="T27" s="92"/>
      <c r="U27" s="92"/>
      <c r="V27" s="92"/>
    </row>
    <row r="28" spans="1:22" s="28" customFormat="1" ht="16.5" customHeight="1" x14ac:dyDescent="0.3">
      <c r="A28" s="100" t="s">
        <v>79</v>
      </c>
      <c r="B28" s="80" t="s">
        <v>80</v>
      </c>
      <c r="C28" s="92" t="s">
        <v>81</v>
      </c>
      <c r="D28" s="92" t="s">
        <v>28</v>
      </c>
      <c r="E28" s="93">
        <v>1</v>
      </c>
      <c r="F28" s="93"/>
      <c r="G28" s="94">
        <v>45931</v>
      </c>
      <c r="H28" s="80">
        <v>70421</v>
      </c>
      <c r="I28" s="80">
        <v>45515</v>
      </c>
      <c r="J28" s="95">
        <f>KOE[[#This Row],[Zw/w p/j]]/12</f>
        <v>5868.416666666667</v>
      </c>
      <c r="K28" s="95">
        <f>KOE[[#This Row],[Kleur p/j]]/12</f>
        <v>3792.9166666666665</v>
      </c>
      <c r="L28" s="92"/>
      <c r="M28" s="92"/>
      <c r="N28" s="92"/>
      <c r="O28" s="92"/>
      <c r="P28" s="92"/>
      <c r="Q28" s="92"/>
      <c r="R28" s="92"/>
      <c r="S28" s="92"/>
      <c r="T28" s="92"/>
      <c r="U28" s="92"/>
      <c r="V28" s="92"/>
    </row>
    <row r="29" spans="1:22" s="28" customFormat="1" ht="16.5" customHeight="1" x14ac:dyDescent="0.3">
      <c r="A29" s="92"/>
      <c r="B29" s="92"/>
      <c r="C29" s="92"/>
      <c r="D29" s="92"/>
      <c r="E29" s="93">
        <f>SUBTOTAL(109,KOE[Model 1
(eis M1 t/m M27)])</f>
        <v>16</v>
      </c>
      <c r="F29" s="93">
        <f>SUBTOTAL(109,KOE[Model 2
(eis M1 t/m M27)])</f>
        <v>10</v>
      </c>
      <c r="G29" s="93"/>
      <c r="H29" s="101">
        <f>SUBTOTAL(109,KOE[Zw/w p/j])</f>
        <v>1708278</v>
      </c>
      <c r="I29" s="101">
        <f>SUBTOTAL(109,KOE[Kleur p/j])</f>
        <v>1541840</v>
      </c>
      <c r="J29" s="101">
        <f>SUBTOTAL(109,KOE[Zw/w p/m])</f>
        <v>142356.5</v>
      </c>
      <c r="K29" s="101">
        <f>SUBTOTAL(109,KOE[kleur p/m])</f>
        <v>128486.66666666669</v>
      </c>
      <c r="L29" s="92"/>
      <c r="M29" s="92"/>
      <c r="N29" s="92"/>
      <c r="O29" s="92"/>
      <c r="P29" s="92"/>
      <c r="Q29" s="92"/>
      <c r="R29" s="92"/>
      <c r="S29" s="92"/>
      <c r="T29" s="92"/>
      <c r="U29" s="92"/>
      <c r="V29" s="92"/>
    </row>
    <row r="30" spans="1:22" s="28" customFormat="1" ht="16.5" customHeight="1" x14ac:dyDescent="0.3">
      <c r="A30" s="92"/>
      <c r="B30" s="92"/>
      <c r="C30" s="92"/>
      <c r="D30" s="93"/>
      <c r="E30" s="93"/>
      <c r="F30" s="93"/>
      <c r="G30" s="93"/>
      <c r="H30" s="93"/>
      <c r="I30" s="99"/>
      <c r="J30" s="99"/>
      <c r="K30" s="99"/>
      <c r="L30" s="99"/>
      <c r="M30" s="99"/>
      <c r="N30" s="99"/>
      <c r="O30" s="99"/>
      <c r="P30" s="99"/>
      <c r="Q30" s="99"/>
      <c r="R30" s="99"/>
      <c r="S30" s="99"/>
      <c r="T30" s="92"/>
      <c r="U30" s="92"/>
      <c r="V30" s="92"/>
    </row>
    <row r="31" spans="1:22" s="28" customFormat="1" ht="22.95" customHeight="1" x14ac:dyDescent="0.3">
      <c r="A31" s="92"/>
      <c r="B31" s="92"/>
      <c r="C31" s="29" t="s">
        <v>82</v>
      </c>
      <c r="D31" s="30" t="s">
        <v>83</v>
      </c>
      <c r="E31" s="31" t="s">
        <v>84</v>
      </c>
      <c r="F31" s="31" t="s">
        <v>85</v>
      </c>
      <c r="G31" s="31" t="s">
        <v>86</v>
      </c>
      <c r="H31" s="92"/>
      <c r="I31" s="32" t="s">
        <v>87</v>
      </c>
      <c r="J31" s="32" t="s">
        <v>87</v>
      </c>
      <c r="K31" s="32" t="s">
        <v>87</v>
      </c>
      <c r="L31" s="32" t="s">
        <v>87</v>
      </c>
      <c r="M31" s="92"/>
      <c r="N31" s="92"/>
      <c r="O31" s="92"/>
      <c r="P31" s="92"/>
      <c r="Q31" s="92"/>
      <c r="R31" s="92"/>
      <c r="S31" s="92"/>
      <c r="T31" s="92"/>
      <c r="U31" s="92"/>
      <c r="V31" s="92"/>
    </row>
    <row r="32" spans="1:22" s="28" customFormat="1" ht="27" customHeight="1" x14ac:dyDescent="0.3">
      <c r="A32" s="102"/>
      <c r="B32" s="102"/>
      <c r="C32" s="103" t="s">
        <v>88</v>
      </c>
      <c r="D32" s="33">
        <v>0</v>
      </c>
      <c r="E32" s="33">
        <v>0</v>
      </c>
      <c r="F32" s="33">
        <v>0</v>
      </c>
      <c r="G32" s="33">
        <v>0</v>
      </c>
      <c r="H32" s="92"/>
      <c r="I32" s="34">
        <f>O1</f>
        <v>47391</v>
      </c>
      <c r="J32" s="35" t="s">
        <v>89</v>
      </c>
      <c r="K32" s="36">
        <f>O1</f>
        <v>47391</v>
      </c>
      <c r="L32" s="37" t="s">
        <v>90</v>
      </c>
      <c r="M32" s="92"/>
      <c r="N32" s="92"/>
      <c r="O32" s="92"/>
      <c r="P32" s="92"/>
      <c r="Q32" s="92"/>
      <c r="R32" s="92"/>
      <c r="S32" s="92"/>
      <c r="T32" s="92"/>
      <c r="U32" s="92"/>
      <c r="V32" s="92"/>
    </row>
    <row r="33" spans="1:12" s="28" customFormat="1" ht="16.5" customHeight="1" x14ac:dyDescent="0.3">
      <c r="A33" s="92"/>
      <c r="B33" s="102"/>
      <c r="C33" s="103" t="s">
        <v>91</v>
      </c>
      <c r="D33" s="33">
        <v>0</v>
      </c>
      <c r="E33" s="33">
        <v>0</v>
      </c>
      <c r="F33" s="33">
        <v>0</v>
      </c>
      <c r="G33" s="33">
        <v>0</v>
      </c>
      <c r="H33" s="29" t="s">
        <v>92</v>
      </c>
      <c r="I33" s="38">
        <f>KOE[[#Totals],[Zw/w p/j]]*4</f>
        <v>6833112</v>
      </c>
      <c r="J33" s="38">
        <f>KOE[[#Totals],[Zw/w p/j]]</f>
        <v>1708278</v>
      </c>
      <c r="K33" s="38">
        <f>KOE[[#Totals],[Kleur p/j]]*4</f>
        <v>6167360</v>
      </c>
      <c r="L33" s="38">
        <f>KOE[[#Totals],[Kleur p/j]]</f>
        <v>1541840</v>
      </c>
    </row>
    <row r="34" spans="1:12" s="28" customFormat="1" ht="16.5" customHeight="1" x14ac:dyDescent="0.3">
      <c r="A34" s="92"/>
      <c r="B34" s="102"/>
      <c r="C34" s="103"/>
      <c r="D34" s="39"/>
      <c r="E34" s="39"/>
      <c r="F34" s="39"/>
      <c r="G34" s="39"/>
      <c r="H34" s="29"/>
      <c r="I34" s="40"/>
      <c r="J34" s="40"/>
      <c r="K34" s="40"/>
      <c r="L34" s="40"/>
    </row>
    <row r="35" spans="1:12" s="28" customFormat="1" ht="16.5" customHeight="1" x14ac:dyDescent="0.3">
      <c r="A35" s="103"/>
      <c r="B35" s="103"/>
      <c r="C35" s="29" t="s">
        <v>93</v>
      </c>
      <c r="D35" s="41"/>
      <c r="E35" s="41"/>
      <c r="F35" s="41"/>
      <c r="G35" s="41"/>
      <c r="H35" s="92"/>
      <c r="I35" s="92"/>
      <c r="J35" s="92"/>
      <c r="K35" s="92"/>
      <c r="L35" s="92"/>
    </row>
    <row r="36" spans="1:12" s="28" customFormat="1" ht="16.5" customHeight="1" x14ac:dyDescent="0.3">
      <c r="A36" s="103"/>
      <c r="B36" s="103"/>
      <c r="C36" s="103" t="s">
        <v>94</v>
      </c>
      <c r="D36" s="42">
        <v>0</v>
      </c>
      <c r="E36" s="42">
        <v>0</v>
      </c>
      <c r="F36" s="42">
        <v>0</v>
      </c>
      <c r="G36" s="42">
        <v>0</v>
      </c>
      <c r="H36" s="92"/>
      <c r="I36" s="92"/>
      <c r="J36" s="43"/>
      <c r="K36" s="92"/>
      <c r="L36" s="92"/>
    </row>
    <row r="37" spans="1:12" s="28" customFormat="1" ht="16.5" customHeight="1" x14ac:dyDescent="0.3">
      <c r="A37" s="103"/>
      <c r="B37" s="103"/>
      <c r="C37" s="103" t="s">
        <v>95</v>
      </c>
      <c r="D37" s="42">
        <v>0</v>
      </c>
      <c r="E37" s="42">
        <v>0</v>
      </c>
      <c r="F37" s="42">
        <v>0</v>
      </c>
      <c r="G37" s="42">
        <v>0</v>
      </c>
      <c r="H37" s="92"/>
      <c r="I37" s="92"/>
      <c r="J37" s="43"/>
      <c r="K37" s="92"/>
      <c r="L37" s="92"/>
    </row>
    <row r="38" spans="1:12" s="28" customFormat="1" ht="16.5" customHeight="1" x14ac:dyDescent="0.3">
      <c r="A38" s="103"/>
      <c r="B38" s="103"/>
      <c r="C38" s="103"/>
      <c r="D38" s="43"/>
      <c r="E38" s="43"/>
      <c r="F38" s="43"/>
      <c r="G38" s="92"/>
      <c r="H38" s="92"/>
      <c r="I38" s="92"/>
      <c r="J38" s="43"/>
      <c r="K38" s="92"/>
      <c r="L38" s="92"/>
    </row>
    <row r="39" spans="1:12" s="28" customFormat="1" ht="16.5" customHeight="1" x14ac:dyDescent="0.3">
      <c r="A39" s="92"/>
      <c r="B39" s="92"/>
      <c r="C39" s="29" t="s">
        <v>96</v>
      </c>
      <c r="D39" s="41"/>
      <c r="E39" s="41"/>
      <c r="F39" s="41"/>
      <c r="G39" s="41"/>
      <c r="H39" s="92"/>
      <c r="I39" s="40"/>
      <c r="J39" s="40"/>
      <c r="K39" s="40"/>
      <c r="L39" s="40"/>
    </row>
    <row r="40" spans="1:12" s="28" customFormat="1" ht="16.5" customHeight="1" x14ac:dyDescent="0.3">
      <c r="A40" s="92"/>
      <c r="B40" s="92"/>
      <c r="C40" s="103" t="s">
        <v>97</v>
      </c>
      <c r="D40" s="44">
        <v>0</v>
      </c>
      <c r="E40" s="104" t="s">
        <v>98</v>
      </c>
      <c r="F40" s="45"/>
      <c r="G40" s="45"/>
      <c r="H40" s="92"/>
      <c r="I40" s="40"/>
      <c r="J40" s="92"/>
      <c r="K40" s="92"/>
      <c r="L40" s="92"/>
    </row>
    <row r="41" spans="1:12" s="28" customFormat="1" ht="16.5" customHeight="1" x14ac:dyDescent="0.3">
      <c r="A41" s="92"/>
      <c r="B41" s="92"/>
      <c r="C41" s="103" t="s">
        <v>99</v>
      </c>
      <c r="D41" s="44">
        <v>0</v>
      </c>
      <c r="E41" s="104" t="s">
        <v>98</v>
      </c>
      <c r="F41" s="45"/>
      <c r="G41" s="45"/>
      <c r="H41" s="92"/>
      <c r="I41" s="92"/>
      <c r="J41" s="92"/>
      <c r="K41" s="92"/>
      <c r="L41" s="92"/>
    </row>
    <row r="42" spans="1:12" s="28" customFormat="1" ht="16.5" customHeight="1" x14ac:dyDescent="0.3">
      <c r="A42" s="103"/>
      <c r="B42" s="103"/>
      <c r="C42" s="103"/>
      <c r="D42" s="41"/>
      <c r="E42" s="41"/>
      <c r="F42" s="41"/>
      <c r="G42" s="41"/>
      <c r="H42" s="92"/>
      <c r="I42" s="92"/>
      <c r="J42" s="92"/>
      <c r="K42" s="92"/>
      <c r="L42" s="92"/>
    </row>
    <row r="43" spans="1:12" s="28" customFormat="1" ht="16.5" customHeight="1" x14ac:dyDescent="0.3">
      <c r="A43" s="103"/>
      <c r="B43" s="103"/>
      <c r="C43" s="29" t="s">
        <v>100</v>
      </c>
      <c r="D43" s="43"/>
      <c r="E43" s="43"/>
      <c r="F43" s="43"/>
      <c r="G43" s="43"/>
      <c r="H43" s="92"/>
      <c r="I43" s="92"/>
      <c r="J43" s="92"/>
      <c r="K43" s="92"/>
      <c r="L43" s="92"/>
    </row>
    <row r="44" spans="1:12" s="28" customFormat="1" ht="16.5" customHeight="1" x14ac:dyDescent="0.3">
      <c r="A44" s="132" t="s">
        <v>101</v>
      </c>
      <c r="B44" s="132"/>
      <c r="C44" s="132"/>
      <c r="D44" s="42">
        <v>0</v>
      </c>
      <c r="E44" s="104" t="s">
        <v>102</v>
      </c>
      <c r="F44" s="43"/>
      <c r="G44" s="43"/>
      <c r="H44" s="92"/>
      <c r="I44" s="92"/>
      <c r="J44" s="92"/>
      <c r="K44" s="92"/>
      <c r="L44" s="92"/>
    </row>
    <row r="45" spans="1:12" s="28" customFormat="1" ht="16.5" customHeight="1" x14ac:dyDescent="0.3">
      <c r="A45" s="132" t="s">
        <v>103</v>
      </c>
      <c r="B45" s="132"/>
      <c r="C45" s="132"/>
      <c r="D45" s="42">
        <v>0</v>
      </c>
      <c r="E45" s="104" t="s">
        <v>102</v>
      </c>
      <c r="F45" s="43"/>
      <c r="G45" s="43"/>
      <c r="H45" s="92"/>
      <c r="I45" s="92"/>
      <c r="J45" s="92"/>
      <c r="K45" s="92"/>
      <c r="L45" s="92"/>
    </row>
    <row r="46" spans="1:12" s="28" customFormat="1" ht="16.5" customHeight="1" x14ac:dyDescent="0.3">
      <c r="A46" s="103"/>
      <c r="B46" s="103"/>
      <c r="C46" s="103"/>
      <c r="D46" s="103"/>
      <c r="E46" s="104"/>
      <c r="F46" s="43"/>
      <c r="G46" s="43"/>
      <c r="H46" s="92"/>
      <c r="I46" s="92"/>
      <c r="J46" s="92"/>
      <c r="K46" s="92"/>
      <c r="L46" s="92"/>
    </row>
    <row r="47" spans="1:12" s="28" customFormat="1" ht="16.5" customHeight="1" x14ac:dyDescent="0.3">
      <c r="A47" s="103"/>
      <c r="B47" s="103"/>
      <c r="C47" s="29" t="s">
        <v>104</v>
      </c>
      <c r="D47" s="30" t="s">
        <v>83</v>
      </c>
      <c r="E47" s="31" t="s">
        <v>84</v>
      </c>
      <c r="F47" s="31" t="s">
        <v>85</v>
      </c>
      <c r="G47" s="31" t="s">
        <v>86</v>
      </c>
      <c r="H47" s="92"/>
      <c r="I47" s="92"/>
      <c r="J47" s="92"/>
      <c r="K47" s="92"/>
      <c r="L47" s="92"/>
    </row>
    <row r="48" spans="1:12" s="28" customFormat="1" ht="16.5" customHeight="1" x14ac:dyDescent="0.3">
      <c r="A48" s="132" t="s">
        <v>105</v>
      </c>
      <c r="B48" s="132"/>
      <c r="C48" s="132"/>
      <c r="D48" s="46">
        <v>0</v>
      </c>
      <c r="E48" s="46">
        <v>0</v>
      </c>
      <c r="F48" s="46">
        <v>0</v>
      </c>
      <c r="G48" s="46">
        <v>0</v>
      </c>
      <c r="H48" s="47" t="s">
        <v>106</v>
      </c>
      <c r="I48" s="92"/>
      <c r="J48" s="92"/>
      <c r="K48" s="92"/>
      <c r="L48" s="92"/>
    </row>
    <row r="49" spans="1:12" s="28" customFormat="1" ht="16.5" customHeight="1" x14ac:dyDescent="0.3">
      <c r="A49" s="132" t="s">
        <v>107</v>
      </c>
      <c r="B49" s="132"/>
      <c r="C49" s="132"/>
      <c r="D49" s="48">
        <v>0</v>
      </c>
      <c r="E49" s="48">
        <v>0</v>
      </c>
      <c r="F49" s="48">
        <v>0</v>
      </c>
      <c r="G49" s="48">
        <v>0</v>
      </c>
      <c r="H49" s="47" t="s">
        <v>106</v>
      </c>
      <c r="I49" s="92"/>
      <c r="J49" s="92"/>
      <c r="K49" s="92"/>
      <c r="L49" s="92"/>
    </row>
    <row r="50" spans="1:12" s="28" customFormat="1" ht="16.5" customHeight="1" x14ac:dyDescent="0.3">
      <c r="A50" s="132" t="s">
        <v>108</v>
      </c>
      <c r="B50" s="132"/>
      <c r="C50" s="132"/>
      <c r="D50" s="48">
        <v>0</v>
      </c>
      <c r="E50" s="48">
        <v>0</v>
      </c>
      <c r="F50" s="48">
        <v>0</v>
      </c>
      <c r="G50" s="48">
        <v>0</v>
      </c>
      <c r="H50" s="47" t="s">
        <v>106</v>
      </c>
      <c r="I50" s="92"/>
      <c r="J50" s="92"/>
      <c r="K50" s="92"/>
      <c r="L50" s="92"/>
    </row>
    <row r="51" spans="1:12" s="28" customFormat="1" ht="16.5" customHeight="1" x14ac:dyDescent="0.3">
      <c r="A51" s="132" t="s">
        <v>109</v>
      </c>
      <c r="B51" s="132"/>
      <c r="C51" s="132"/>
      <c r="D51" s="48">
        <v>0</v>
      </c>
      <c r="E51" s="48">
        <v>0</v>
      </c>
      <c r="F51" s="48">
        <v>0</v>
      </c>
      <c r="G51" s="48">
        <v>0</v>
      </c>
      <c r="H51" s="47" t="s">
        <v>106</v>
      </c>
      <c r="I51" s="92"/>
      <c r="J51" s="92"/>
      <c r="K51" s="92"/>
      <c r="L51" s="92"/>
    </row>
    <row r="52" spans="1:12" s="28" customFormat="1" ht="16.5" customHeight="1" x14ac:dyDescent="0.3">
      <c r="A52" s="132" t="s">
        <v>110</v>
      </c>
      <c r="B52" s="132"/>
      <c r="C52" s="132"/>
      <c r="D52" s="48">
        <v>0</v>
      </c>
      <c r="E52" s="48">
        <v>0</v>
      </c>
      <c r="F52" s="48">
        <v>0</v>
      </c>
      <c r="G52" s="48">
        <v>0</v>
      </c>
      <c r="H52" s="47" t="s">
        <v>106</v>
      </c>
      <c r="I52" s="92"/>
      <c r="J52" s="92"/>
      <c r="K52" s="92"/>
      <c r="L52" s="92"/>
    </row>
    <row r="53" spans="1:12" s="28" customFormat="1" ht="16.5" customHeight="1" x14ac:dyDescent="0.3">
      <c r="A53" s="132" t="s">
        <v>111</v>
      </c>
      <c r="B53" s="132" t="s">
        <v>112</v>
      </c>
      <c r="C53" s="132"/>
      <c r="D53" s="48">
        <v>0</v>
      </c>
      <c r="E53" s="48">
        <v>0</v>
      </c>
      <c r="F53" s="48">
        <v>0</v>
      </c>
      <c r="G53" s="48">
        <v>0</v>
      </c>
      <c r="H53" s="47" t="s">
        <v>106</v>
      </c>
      <c r="I53" s="92"/>
      <c r="J53" s="92"/>
      <c r="K53" s="92"/>
      <c r="L53" s="92"/>
    </row>
    <row r="54" spans="1:12" s="28" customFormat="1" ht="16.5" customHeight="1" x14ac:dyDescent="0.3">
      <c r="A54" s="132" t="s">
        <v>113</v>
      </c>
      <c r="B54" s="132" t="s">
        <v>112</v>
      </c>
      <c r="C54" s="132"/>
      <c r="D54" s="48">
        <v>0</v>
      </c>
      <c r="E54" s="48">
        <v>0</v>
      </c>
      <c r="F54" s="48">
        <v>0</v>
      </c>
      <c r="G54" s="48">
        <v>0</v>
      </c>
      <c r="H54" s="47" t="s">
        <v>106</v>
      </c>
      <c r="I54" s="92"/>
      <c r="J54" s="92"/>
      <c r="K54" s="92"/>
      <c r="L54" s="92"/>
    </row>
    <row r="55" spans="1:12" s="28" customFormat="1" ht="16.5" customHeight="1" x14ac:dyDescent="0.3">
      <c r="A55" s="132" t="s">
        <v>114</v>
      </c>
      <c r="B55" s="132" t="s">
        <v>112</v>
      </c>
      <c r="C55" s="132"/>
      <c r="D55" s="48">
        <v>0</v>
      </c>
      <c r="E55" s="48">
        <v>0</v>
      </c>
      <c r="F55" s="48">
        <v>0</v>
      </c>
      <c r="G55" s="48">
        <v>0</v>
      </c>
      <c r="H55" s="47" t="s">
        <v>106</v>
      </c>
      <c r="I55" s="92"/>
      <c r="J55" s="92"/>
      <c r="K55" s="92"/>
      <c r="L55" s="92"/>
    </row>
    <row r="56" spans="1:12" s="28" customFormat="1" ht="16.5" customHeight="1" x14ac:dyDescent="0.3">
      <c r="A56" s="132" t="s">
        <v>115</v>
      </c>
      <c r="B56" s="132" t="s">
        <v>112</v>
      </c>
      <c r="C56" s="132"/>
      <c r="D56" s="48">
        <v>0</v>
      </c>
      <c r="E56" s="48">
        <v>0</v>
      </c>
      <c r="F56" s="48">
        <v>0</v>
      </c>
      <c r="G56" s="48">
        <v>0</v>
      </c>
      <c r="H56" s="47" t="s">
        <v>106</v>
      </c>
      <c r="I56" s="92"/>
      <c r="J56" s="92"/>
      <c r="K56" s="92"/>
      <c r="L56" s="92"/>
    </row>
    <row r="57" spans="1:12" s="28" customFormat="1" ht="16.5" customHeight="1" thickBot="1" x14ac:dyDescent="0.35">
      <c r="A57" s="103"/>
      <c r="B57" s="103"/>
      <c r="C57" s="103"/>
      <c r="D57" s="49"/>
      <c r="E57" s="49"/>
      <c r="F57" s="49"/>
      <c r="G57" s="49"/>
      <c r="H57" s="105"/>
      <c r="I57" s="92"/>
      <c r="J57" s="92"/>
      <c r="K57" s="92"/>
      <c r="L57" s="92"/>
    </row>
    <row r="58" spans="1:12" s="28" customFormat="1" ht="16.5" customHeight="1" x14ac:dyDescent="0.3">
      <c r="A58" s="92"/>
      <c r="B58" s="106"/>
      <c r="C58" s="50" t="s">
        <v>116</v>
      </c>
      <c r="D58" s="51" t="s">
        <v>83</v>
      </c>
      <c r="E58" s="52" t="s">
        <v>84</v>
      </c>
      <c r="F58" s="52" t="s">
        <v>85</v>
      </c>
      <c r="G58" s="52" t="s">
        <v>86</v>
      </c>
      <c r="H58" s="53" t="s">
        <v>117</v>
      </c>
      <c r="I58" s="92"/>
      <c r="J58" s="92"/>
      <c r="K58" s="92"/>
      <c r="L58" s="92"/>
    </row>
    <row r="59" spans="1:12" s="23" customFormat="1" ht="16.5" customHeight="1" x14ac:dyDescent="0.3">
      <c r="A59" s="83"/>
      <c r="B59" s="107"/>
      <c r="C59" s="108" t="s">
        <v>118</v>
      </c>
      <c r="D59" s="109">
        <f>D32*KOE[[#Totals],[Model 1
(eis M1 t/m M27)]]*48</f>
        <v>0</v>
      </c>
      <c r="E59" s="109">
        <f>E32*KOE[[#Totals],[Model 1
(eis M1 t/m M27)]]*12</f>
        <v>0</v>
      </c>
      <c r="F59" s="109">
        <f>F32*KOE[[#Totals],[Model 1
(eis M1 t/m M27)]]*12</f>
        <v>0</v>
      </c>
      <c r="G59" s="109">
        <f>G32*KOE[[#Totals],[Model 1
(eis M1 t/m M27)]]*12</f>
        <v>0</v>
      </c>
      <c r="H59" s="54">
        <f>SUM(Brigantijn!$D59:$G59)</f>
        <v>0</v>
      </c>
      <c r="I59" s="83"/>
      <c r="J59" s="83"/>
      <c r="K59" s="83"/>
      <c r="L59" s="83"/>
    </row>
    <row r="60" spans="1:12" s="23" customFormat="1" ht="16.5" customHeight="1" x14ac:dyDescent="0.3">
      <c r="A60" s="83"/>
      <c r="B60" s="110"/>
      <c r="C60" s="111" t="s">
        <v>119</v>
      </c>
      <c r="D60" s="112">
        <f>D33*KOE[[#Totals],[Model 2
(eis M1 t/m M27)]]*48</f>
        <v>0</v>
      </c>
      <c r="E60" s="112">
        <f>E33*KOE[[#Totals],[Model 2
(eis M1 t/m M27)]]*12</f>
        <v>0</v>
      </c>
      <c r="F60" s="112">
        <f>F33*KOE[[#Totals],[Model 2
(eis M1 t/m M27)]]*12</f>
        <v>0</v>
      </c>
      <c r="G60" s="112">
        <f>G33*KOE[[#Totals],[Model 2
(eis M1 t/m M27)]]*12</f>
        <v>0</v>
      </c>
      <c r="H60" s="55">
        <f>SUM(Brigantijn!$D60:$G60)</f>
        <v>0</v>
      </c>
      <c r="I60" s="83"/>
      <c r="J60" s="83"/>
      <c r="K60" s="83"/>
      <c r="L60" s="83"/>
    </row>
    <row r="61" spans="1:12" s="23" customFormat="1" ht="16.5" customHeight="1" x14ac:dyDescent="0.3">
      <c r="A61" s="83"/>
      <c r="B61" s="56"/>
      <c r="C61" s="108" t="s">
        <v>120</v>
      </c>
      <c r="D61" s="109">
        <f>D40*I33</f>
        <v>0</v>
      </c>
      <c r="E61" s="109">
        <f>$D$40*$J$33</f>
        <v>0</v>
      </c>
      <c r="F61" s="109">
        <f t="shared" ref="F61:G61" si="0">$D$40*$J$33</f>
        <v>0</v>
      </c>
      <c r="G61" s="109">
        <f t="shared" si="0"/>
        <v>0</v>
      </c>
      <c r="H61" s="54">
        <f>SUM(Brigantijn!$D61:$G61)</f>
        <v>0</v>
      </c>
      <c r="I61" s="83"/>
      <c r="J61" s="83"/>
      <c r="K61" s="83"/>
      <c r="L61" s="83"/>
    </row>
    <row r="62" spans="1:12" s="23" customFormat="1" ht="16.5" customHeight="1" x14ac:dyDescent="0.3">
      <c r="A62" s="83"/>
      <c r="B62" s="57"/>
      <c r="C62" s="111" t="s">
        <v>121</v>
      </c>
      <c r="D62" s="112">
        <f>D41*K33</f>
        <v>0</v>
      </c>
      <c r="E62" s="112">
        <f>$D$41*$L$33</f>
        <v>0</v>
      </c>
      <c r="F62" s="112">
        <f t="shared" ref="F62:G62" si="1">$D$41*$L$33</f>
        <v>0</v>
      </c>
      <c r="G62" s="112">
        <f t="shared" si="1"/>
        <v>0</v>
      </c>
      <c r="H62" s="55">
        <f>SUM(Brigantijn!$D62:$G62)</f>
        <v>0</v>
      </c>
      <c r="I62" s="83"/>
      <c r="J62" s="83"/>
      <c r="K62" s="83"/>
      <c r="L62" s="83"/>
    </row>
    <row r="63" spans="1:12" s="23" customFormat="1" ht="16.5" customHeight="1" x14ac:dyDescent="0.3">
      <c r="A63" s="83"/>
      <c r="B63" s="56"/>
      <c r="C63" s="108" t="s">
        <v>94</v>
      </c>
      <c r="D63" s="109">
        <f>D36*(KOE[[#Totals],[Model 1
(eis M1 t/m M27)]]+KOE[[#Totals],[Model 2
(eis M1 t/m M27)]])*48</f>
        <v>0</v>
      </c>
      <c r="E63" s="109">
        <f>E36*(KOE[[#Totals],[Model 1
(eis M1 t/m M27)]]+KOE[[#Totals],[Model 2
(eis M1 t/m M27)]])*12</f>
        <v>0</v>
      </c>
      <c r="F63" s="109">
        <f>F36*(KOE[[#Totals],[Model 1
(eis M1 t/m M27)]]+KOE[[#Totals],[Model 2
(eis M1 t/m M27)]])*12</f>
        <v>0</v>
      </c>
      <c r="G63" s="109">
        <f>G36*(KOE[[#Totals],[Model 1
(eis M1 t/m M27)]]+KOE[[#Totals],[Model 2
(eis M1 t/m M27)]])*12</f>
        <v>0</v>
      </c>
      <c r="H63" s="54">
        <f>SUM(D63:G63)</f>
        <v>0</v>
      </c>
      <c r="I63" s="83"/>
      <c r="J63" s="83"/>
      <c r="K63" s="83"/>
      <c r="L63" s="83"/>
    </row>
    <row r="64" spans="1:12" s="23" customFormat="1" ht="16.5" customHeight="1" x14ac:dyDescent="0.3">
      <c r="A64" s="83"/>
      <c r="B64" s="57"/>
      <c r="C64" s="111" t="s">
        <v>95</v>
      </c>
      <c r="D64" s="112">
        <f>D37*(KOE[[#Totals],[Model 1
(eis M1 t/m M27)]]+KOE[[#Totals],[Model 2
(eis M1 t/m M27)]])*48</f>
        <v>0</v>
      </c>
      <c r="E64" s="112">
        <f>E37*(KOE[[#Totals],[Model 1
(eis M1 t/m M27)]]+KOE[[#Totals],[Model 2
(eis M1 t/m M27)]])*12</f>
        <v>0</v>
      </c>
      <c r="F64" s="112">
        <f>F37*(KOE[[#Totals],[Model 1
(eis M1 t/m M27)]]+KOE[[#Totals],[Model 2
(eis M1 t/m M27)]])*12</f>
        <v>0</v>
      </c>
      <c r="G64" s="112">
        <f>G37*(KOE[[#Totals],[Model 1
(eis M1 t/m M27)]]+KOE[[#Totals],[Model 2
(eis M1 t/m M27)]])*12</f>
        <v>0</v>
      </c>
      <c r="H64" s="55">
        <f>SUM(D64:G64)</f>
        <v>0</v>
      </c>
      <c r="I64" s="83"/>
      <c r="J64" s="83"/>
      <c r="K64" s="83"/>
      <c r="L64" s="83"/>
    </row>
    <row r="65" spans="1:12" s="23" customFormat="1" ht="16.5" customHeight="1" x14ac:dyDescent="0.3">
      <c r="A65" s="25"/>
      <c r="B65" s="56"/>
      <c r="C65" s="108" t="s">
        <v>122</v>
      </c>
      <c r="D65" s="113"/>
      <c r="E65" s="113"/>
      <c r="F65" s="113"/>
      <c r="G65" s="113"/>
      <c r="H65" s="54">
        <f>D44</f>
        <v>0</v>
      </c>
      <c r="I65" s="25"/>
      <c r="J65" s="83"/>
      <c r="K65" s="83"/>
      <c r="L65" s="83"/>
    </row>
    <row r="66" spans="1:12" s="23" customFormat="1" ht="16.5" customHeight="1" thickBot="1" x14ac:dyDescent="0.35">
      <c r="A66" s="62"/>
      <c r="B66" s="59"/>
      <c r="C66" s="60" t="s">
        <v>123</v>
      </c>
      <c r="D66" s="114"/>
      <c r="E66" s="114"/>
      <c r="F66" s="114"/>
      <c r="G66" s="114"/>
      <c r="H66" s="61">
        <f>D45</f>
        <v>0</v>
      </c>
      <c r="I66" s="83"/>
      <c r="J66" s="83"/>
      <c r="K66" s="83"/>
      <c r="L66" s="83"/>
    </row>
    <row r="67" spans="1:12" ht="16.5" customHeight="1" thickBot="1" x14ac:dyDescent="0.5">
      <c r="A67" s="12"/>
      <c r="B67" s="13"/>
      <c r="D67" s="14"/>
      <c r="E67" s="14"/>
      <c r="F67" s="14"/>
      <c r="G67" s="14"/>
    </row>
    <row r="68" spans="1:12" ht="24" thickBot="1" x14ac:dyDescent="0.35">
      <c r="D68" s="15"/>
      <c r="F68" s="16" t="s">
        <v>124</v>
      </c>
      <c r="G68" s="130">
        <f>SUM(H59:H66)</f>
        <v>0</v>
      </c>
      <c r="H68" s="131"/>
      <c r="J68" s="21"/>
      <c r="K68" s="22"/>
      <c r="L68" s="22"/>
    </row>
    <row r="69" spans="1:12" x14ac:dyDescent="0.3">
      <c r="J69" s="21"/>
    </row>
    <row r="70" spans="1:12" ht="15" x14ac:dyDescent="0.3">
      <c r="B70" s="17" t="s">
        <v>125</v>
      </c>
      <c r="I70" s="18"/>
    </row>
    <row r="71" spans="1:12" ht="15" x14ac:dyDescent="0.3">
      <c r="B71" s="17" t="s">
        <v>126</v>
      </c>
      <c r="C71" s="18"/>
      <c r="D71" s="18"/>
      <c r="E71" s="18"/>
      <c r="F71" s="18"/>
      <c r="G71" s="18"/>
      <c r="H71" s="18"/>
      <c r="I71" s="18"/>
    </row>
    <row r="72" spans="1:12" ht="15" x14ac:dyDescent="0.3">
      <c r="B72" s="19" t="s">
        <v>127</v>
      </c>
      <c r="C72" s="18"/>
      <c r="D72" s="18"/>
      <c r="E72" s="18"/>
      <c r="F72" s="18"/>
      <c r="G72" s="18"/>
      <c r="H72" s="18"/>
      <c r="I72" s="20"/>
    </row>
    <row r="73" spans="1:12" x14ac:dyDescent="0.3">
      <c r="D73" s="20"/>
      <c r="E73" s="20"/>
      <c r="F73" s="20"/>
      <c r="G73" s="20"/>
      <c r="H73" s="20"/>
      <c r="I73" s="20"/>
    </row>
  </sheetData>
  <mergeCells count="12">
    <mergeCell ref="G68:H68"/>
    <mergeCell ref="A44:C44"/>
    <mergeCell ref="A45:C45"/>
    <mergeCell ref="A48:C48"/>
    <mergeCell ref="A49:C49"/>
    <mergeCell ref="A50:C50"/>
    <mergeCell ref="A51:C51"/>
    <mergeCell ref="A52:C52"/>
    <mergeCell ref="A53:C53"/>
    <mergeCell ref="A54:C54"/>
    <mergeCell ref="A55:C55"/>
    <mergeCell ref="A56:C56"/>
  </mergeCells>
  <conditionalFormatting sqref="H28">
    <cfRule type="duplicateValues" dxfId="1" priority="5"/>
  </conditionalFormatting>
  <conditionalFormatting sqref="V30:X52 M3:O29">
    <cfRule type="duplicateValues" dxfId="0" priority="6"/>
  </conditionalFormatting>
  <pageMargins left="0.23622047244094491" right="0.23622047244094491" top="0.74803149606299213" bottom="0.74803149606299213" header="0.31496062992125984" footer="0.31496062992125984"/>
  <pageSetup paperSize="9" scale="29"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B0B0C6-B925-4AE0-9E83-74FE8E11F3C7}">
  <sheetPr>
    <tabColor theme="4" tint="0.79998168889431442"/>
    <pageSetUpPr fitToPage="1"/>
  </sheetPr>
  <dimension ref="A1:U81"/>
  <sheetViews>
    <sheetView showGridLines="0" zoomScale="90" zoomScaleNormal="90" workbookViewId="0">
      <pane xSplit="2" ySplit="2" topLeftCell="C27" activePane="bottomRight" state="frozen"/>
      <selection pane="topRight" activeCell="J53" sqref="J53:L54"/>
      <selection pane="bottomLeft" activeCell="J53" sqref="J53:L54"/>
      <selection pane="bottomRight" activeCell="D40" sqref="D40"/>
    </sheetView>
  </sheetViews>
  <sheetFormatPr defaultColWidth="8.77734375" defaultRowHeight="14.4" x14ac:dyDescent="0.3"/>
  <cols>
    <col min="1" max="2" width="25.88671875" style="11" customWidth="1"/>
    <col min="3" max="4" width="20.88671875" style="11" customWidth="1"/>
    <col min="5" max="5" width="21.44140625" style="11" customWidth="1"/>
    <col min="6" max="6" width="20.88671875" style="11" customWidth="1"/>
    <col min="7" max="7" width="20.6640625" style="11" customWidth="1"/>
    <col min="8" max="8" width="18.109375" style="11" customWidth="1"/>
    <col min="9" max="9" width="19.44140625" style="11" customWidth="1"/>
    <col min="10" max="12" width="18.109375" style="11" customWidth="1"/>
    <col min="13" max="20" width="20.6640625" style="11" customWidth="1"/>
    <col min="21" max="21" width="21.6640625" style="11" customWidth="1"/>
    <col min="22" max="23" width="19.33203125" style="11" customWidth="1"/>
    <col min="24" max="24" width="9.109375" style="11" bestFit="1" customWidth="1"/>
    <col min="25" max="25" width="10.109375" style="11" bestFit="1" customWidth="1"/>
    <col min="26" max="16384" width="8.77734375" style="11"/>
  </cols>
  <sheetData>
    <row r="1" spans="1:20" s="23" customFormat="1" x14ac:dyDescent="0.3">
      <c r="A1" s="83"/>
      <c r="B1" s="83"/>
      <c r="C1" s="83"/>
      <c r="D1" s="24" t="s">
        <v>12</v>
      </c>
      <c r="E1" s="84"/>
      <c r="F1" s="84"/>
      <c r="G1" s="25"/>
      <c r="H1" s="25"/>
      <c r="I1" s="25"/>
      <c r="J1" s="83"/>
      <c r="K1" s="83"/>
      <c r="L1" s="83"/>
      <c r="M1" s="85"/>
      <c r="N1" s="86" t="s">
        <v>13</v>
      </c>
      <c r="O1" s="87">
        <v>47542</v>
      </c>
      <c r="P1" s="83"/>
      <c r="Q1" s="83"/>
      <c r="R1" s="83"/>
      <c r="S1" s="83"/>
      <c r="T1" s="83"/>
    </row>
    <row r="2" spans="1:20" s="26" customFormat="1" ht="28.8" x14ac:dyDescent="0.3">
      <c r="A2" s="88" t="s">
        <v>14</v>
      </c>
      <c r="B2" s="88" t="s">
        <v>15</v>
      </c>
      <c r="C2" s="88" t="s">
        <v>16</v>
      </c>
      <c r="D2" s="88" t="s">
        <v>17</v>
      </c>
      <c r="E2" s="89" t="s">
        <v>18</v>
      </c>
      <c r="F2" s="89" t="s">
        <v>19</v>
      </c>
      <c r="G2" s="89" t="s">
        <v>20</v>
      </c>
      <c r="H2" s="90" t="s">
        <v>21</v>
      </c>
      <c r="I2" s="90" t="s">
        <v>22</v>
      </c>
      <c r="J2" s="90" t="s">
        <v>23</v>
      </c>
      <c r="K2" s="90" t="s">
        <v>24</v>
      </c>
      <c r="L2" s="88"/>
      <c r="M2" s="88"/>
      <c r="N2" s="88"/>
      <c r="O2" s="88"/>
      <c r="P2" s="88"/>
      <c r="Q2" s="88"/>
      <c r="R2" s="88"/>
      <c r="S2" s="88"/>
      <c r="T2" s="88"/>
    </row>
    <row r="3" spans="1:20" s="28" customFormat="1" ht="16.5" customHeight="1" x14ac:dyDescent="0.3">
      <c r="A3" s="78" t="s">
        <v>260</v>
      </c>
      <c r="B3" s="115" t="s">
        <v>128</v>
      </c>
      <c r="C3" s="92" t="s">
        <v>129</v>
      </c>
      <c r="D3" s="92" t="s">
        <v>130</v>
      </c>
      <c r="E3" s="93">
        <v>1</v>
      </c>
      <c r="F3" s="93"/>
      <c r="G3" s="94">
        <v>46082</v>
      </c>
      <c r="H3" s="78">
        <v>16909</v>
      </c>
      <c r="I3" s="78">
        <v>20698</v>
      </c>
      <c r="J3" s="95">
        <f>Consent[[#This Row],[Zw/w p/j]]/12</f>
        <v>1409.0833333333333</v>
      </c>
      <c r="K3" s="95">
        <f>Consent[[#This Row],[Kleur p/j]]/12</f>
        <v>1724.8333333333333</v>
      </c>
      <c r="L3" s="92"/>
      <c r="M3" s="92"/>
      <c r="N3" s="92"/>
      <c r="O3" s="92"/>
      <c r="P3" s="92"/>
      <c r="Q3" s="92"/>
      <c r="R3" s="92"/>
      <c r="S3" s="92"/>
      <c r="T3" s="92"/>
    </row>
    <row r="4" spans="1:20" s="28" customFormat="1" ht="16.5" customHeight="1" x14ac:dyDescent="0.3">
      <c r="A4" s="78" t="s">
        <v>261</v>
      </c>
      <c r="B4" s="115" t="s">
        <v>131</v>
      </c>
      <c r="C4" s="92" t="s">
        <v>132</v>
      </c>
      <c r="D4" s="92" t="s">
        <v>133</v>
      </c>
      <c r="E4" s="93">
        <v>1</v>
      </c>
      <c r="F4" s="93"/>
      <c r="G4" s="94">
        <v>46082</v>
      </c>
      <c r="H4" s="78">
        <v>45608</v>
      </c>
      <c r="I4" s="78">
        <v>21170</v>
      </c>
      <c r="J4" s="95">
        <f>Consent[[#This Row],[Zw/w p/j]]/12</f>
        <v>3800.6666666666665</v>
      </c>
      <c r="K4" s="95">
        <f>Consent[[#This Row],[Kleur p/j]]/12</f>
        <v>1764.1666666666667</v>
      </c>
      <c r="L4" s="92"/>
      <c r="M4" s="92"/>
      <c r="N4" s="92"/>
      <c r="O4" s="92"/>
      <c r="P4" s="92"/>
      <c r="Q4" s="92"/>
      <c r="R4" s="92"/>
      <c r="S4" s="92"/>
      <c r="T4" s="92"/>
    </row>
    <row r="5" spans="1:20" s="28" customFormat="1" ht="16.5" customHeight="1" x14ac:dyDescent="0.3">
      <c r="A5" s="78" t="s">
        <v>262</v>
      </c>
      <c r="B5" s="115" t="s">
        <v>134</v>
      </c>
      <c r="C5" s="92" t="s">
        <v>135</v>
      </c>
      <c r="D5" s="92" t="s">
        <v>136</v>
      </c>
      <c r="E5" s="93"/>
      <c r="F5" s="93">
        <v>1</v>
      </c>
      <c r="G5" s="94">
        <v>46082</v>
      </c>
      <c r="H5" s="78">
        <v>69920</v>
      </c>
      <c r="I5" s="78">
        <v>24378</v>
      </c>
      <c r="J5" s="95">
        <f>Consent[[#This Row],[Zw/w p/j]]/12</f>
        <v>5826.666666666667</v>
      </c>
      <c r="K5" s="95">
        <f>Consent[[#This Row],[Kleur p/j]]/12</f>
        <v>2031.5</v>
      </c>
      <c r="L5" s="92"/>
      <c r="M5" s="92"/>
      <c r="N5" s="92"/>
      <c r="O5" s="92"/>
      <c r="P5" s="92"/>
      <c r="Q5" s="92"/>
      <c r="R5" s="92"/>
      <c r="S5" s="92"/>
      <c r="T5" s="92"/>
    </row>
    <row r="6" spans="1:20" s="28" customFormat="1" ht="16.5" customHeight="1" x14ac:dyDescent="0.3">
      <c r="A6" s="78" t="s">
        <v>137</v>
      </c>
      <c r="B6" s="115" t="s">
        <v>138</v>
      </c>
      <c r="C6" s="92" t="s">
        <v>139</v>
      </c>
      <c r="D6" s="92" t="s">
        <v>140</v>
      </c>
      <c r="E6" s="93">
        <v>1</v>
      </c>
      <c r="F6" s="93"/>
      <c r="G6" s="94">
        <v>46082</v>
      </c>
      <c r="H6" s="78">
        <v>35569</v>
      </c>
      <c r="I6" s="78">
        <v>24130</v>
      </c>
      <c r="J6" s="95">
        <f>Consent[[#This Row],[Zw/w p/j]]/12</f>
        <v>2964.0833333333335</v>
      </c>
      <c r="K6" s="95">
        <f>Consent[[#This Row],[Kleur p/j]]/12</f>
        <v>2010.8333333333333</v>
      </c>
      <c r="L6" s="92"/>
      <c r="M6" s="92"/>
      <c r="N6" s="92"/>
      <c r="O6" s="92"/>
      <c r="P6" s="92"/>
      <c r="Q6" s="92"/>
      <c r="R6" s="92"/>
      <c r="S6" s="92"/>
      <c r="T6" s="92"/>
    </row>
    <row r="7" spans="1:20" s="28" customFormat="1" ht="16.5" customHeight="1" x14ac:dyDescent="0.3">
      <c r="A7" s="78" t="s">
        <v>263</v>
      </c>
      <c r="B7" s="91" t="s">
        <v>141</v>
      </c>
      <c r="C7" s="92" t="s">
        <v>142</v>
      </c>
      <c r="D7" s="92" t="s">
        <v>143</v>
      </c>
      <c r="E7" s="93"/>
      <c r="F7" s="93">
        <v>1</v>
      </c>
      <c r="G7" s="94">
        <v>46082</v>
      </c>
      <c r="H7" s="78">
        <v>116259</v>
      </c>
      <c r="I7" s="78">
        <v>40887</v>
      </c>
      <c r="J7" s="95">
        <f>Consent[[#This Row],[Zw/w p/j]]/12</f>
        <v>9688.25</v>
      </c>
      <c r="K7" s="95">
        <f>Consent[[#This Row],[Kleur p/j]]/12</f>
        <v>3407.25</v>
      </c>
      <c r="L7" s="92"/>
      <c r="M7" s="92"/>
      <c r="N7" s="92"/>
      <c r="O7" s="92"/>
      <c r="P7" s="92"/>
      <c r="Q7" s="92"/>
      <c r="R7" s="92"/>
      <c r="S7" s="92"/>
      <c r="T7" s="92"/>
    </row>
    <row r="8" spans="1:20" s="28" customFormat="1" ht="16.5" customHeight="1" x14ac:dyDescent="0.3">
      <c r="A8" s="78" t="s">
        <v>144</v>
      </c>
      <c r="B8" s="91" t="s">
        <v>145</v>
      </c>
      <c r="C8" s="92" t="s">
        <v>146</v>
      </c>
      <c r="D8" s="92" t="s">
        <v>147</v>
      </c>
      <c r="E8" s="93">
        <v>1</v>
      </c>
      <c r="F8" s="93"/>
      <c r="G8" s="94">
        <v>46082</v>
      </c>
      <c r="H8" s="78">
        <v>67396</v>
      </c>
      <c r="I8" s="78">
        <v>41080</v>
      </c>
      <c r="J8" s="95">
        <f>Consent[[#This Row],[Zw/w p/j]]/12</f>
        <v>5616.333333333333</v>
      </c>
      <c r="K8" s="95">
        <f>Consent[[#This Row],[Kleur p/j]]/12</f>
        <v>3423.3333333333335</v>
      </c>
      <c r="L8" s="92"/>
      <c r="M8" s="92"/>
      <c r="N8" s="92"/>
      <c r="O8" s="92"/>
      <c r="P8" s="92"/>
      <c r="Q8" s="92"/>
      <c r="R8" s="92"/>
      <c r="S8" s="92"/>
      <c r="T8" s="92"/>
    </row>
    <row r="9" spans="1:20" s="28" customFormat="1" ht="16.5" customHeight="1" x14ac:dyDescent="0.3">
      <c r="A9" s="78" t="s">
        <v>148</v>
      </c>
      <c r="B9" s="91" t="s">
        <v>149</v>
      </c>
      <c r="C9" s="92" t="s">
        <v>150</v>
      </c>
      <c r="D9" s="92" t="s">
        <v>151</v>
      </c>
      <c r="E9" s="93">
        <v>1</v>
      </c>
      <c r="F9" s="93"/>
      <c r="G9" s="94">
        <v>46082</v>
      </c>
      <c r="H9" s="78">
        <v>45917</v>
      </c>
      <c r="I9" s="78">
        <v>15026</v>
      </c>
      <c r="J9" s="95">
        <f>Consent[[#This Row],[Zw/w p/j]]/12</f>
        <v>3826.4166666666665</v>
      </c>
      <c r="K9" s="95">
        <f>Consent[[#This Row],[Kleur p/j]]/12</f>
        <v>1252.1666666666667</v>
      </c>
      <c r="L9" s="92"/>
      <c r="M9" s="92"/>
      <c r="N9" s="92"/>
      <c r="O9" s="92"/>
      <c r="P9" s="92"/>
      <c r="Q9" s="92"/>
      <c r="R9" s="92"/>
      <c r="S9" s="92"/>
      <c r="T9" s="92"/>
    </row>
    <row r="10" spans="1:20" s="28" customFormat="1" ht="16.5" customHeight="1" x14ac:dyDescent="0.3">
      <c r="A10" s="78" t="s">
        <v>152</v>
      </c>
      <c r="B10" s="91" t="s">
        <v>153</v>
      </c>
      <c r="C10" s="92" t="s">
        <v>154</v>
      </c>
      <c r="D10" s="92" t="s">
        <v>147</v>
      </c>
      <c r="E10" s="93">
        <v>1</v>
      </c>
      <c r="F10" s="93"/>
      <c r="G10" s="94">
        <v>46082</v>
      </c>
      <c r="H10" s="78">
        <v>54908</v>
      </c>
      <c r="I10" s="78">
        <v>13220</v>
      </c>
      <c r="J10" s="95">
        <f>Consent[[#This Row],[Zw/w p/j]]/12</f>
        <v>4575.666666666667</v>
      </c>
      <c r="K10" s="95">
        <f>Consent[[#This Row],[Kleur p/j]]/12</f>
        <v>1101.6666666666667</v>
      </c>
      <c r="L10" s="92"/>
      <c r="M10" s="92"/>
      <c r="N10" s="92"/>
      <c r="O10" s="92"/>
      <c r="P10" s="92"/>
      <c r="Q10" s="92"/>
      <c r="R10" s="92"/>
      <c r="S10" s="92"/>
      <c r="T10" s="92"/>
    </row>
    <row r="11" spans="1:20" s="28" customFormat="1" ht="16.5" customHeight="1" x14ac:dyDescent="0.3">
      <c r="A11" s="78" t="s">
        <v>155</v>
      </c>
      <c r="B11" s="91" t="s">
        <v>156</v>
      </c>
      <c r="C11" s="92" t="s">
        <v>157</v>
      </c>
      <c r="D11" s="92" t="s">
        <v>158</v>
      </c>
      <c r="E11" s="93">
        <v>1</v>
      </c>
      <c r="F11" s="93"/>
      <c r="G11" s="94">
        <v>46082</v>
      </c>
      <c r="H11" s="78">
        <v>27915</v>
      </c>
      <c r="I11" s="78">
        <v>22494</v>
      </c>
      <c r="J11" s="95">
        <f>Consent[[#This Row],[Zw/w p/j]]/12</f>
        <v>2326.25</v>
      </c>
      <c r="K11" s="95">
        <f>Consent[[#This Row],[Kleur p/j]]/12</f>
        <v>1874.5</v>
      </c>
      <c r="L11" s="92"/>
      <c r="M11" s="92"/>
      <c r="N11" s="92"/>
      <c r="O11" s="92"/>
      <c r="P11" s="92"/>
      <c r="Q11" s="92"/>
      <c r="R11" s="92"/>
      <c r="S11" s="92"/>
      <c r="T11" s="92"/>
    </row>
    <row r="12" spans="1:20" s="28" customFormat="1" ht="16.5" customHeight="1" x14ac:dyDescent="0.3">
      <c r="A12" s="78" t="s">
        <v>159</v>
      </c>
      <c r="B12" s="91" t="s">
        <v>160</v>
      </c>
      <c r="C12" s="92" t="s">
        <v>161</v>
      </c>
      <c r="D12" s="92" t="s">
        <v>140</v>
      </c>
      <c r="E12" s="93">
        <v>1</v>
      </c>
      <c r="F12" s="93"/>
      <c r="G12" s="94">
        <v>46082</v>
      </c>
      <c r="H12" s="78">
        <v>87940</v>
      </c>
      <c r="I12" s="78">
        <v>47287</v>
      </c>
      <c r="J12" s="95">
        <f>Consent[[#This Row],[Zw/w p/j]]/12</f>
        <v>7328.333333333333</v>
      </c>
      <c r="K12" s="95">
        <f>Consent[[#This Row],[Kleur p/j]]/12</f>
        <v>3940.5833333333335</v>
      </c>
      <c r="L12" s="92"/>
      <c r="M12" s="92"/>
      <c r="N12" s="92"/>
      <c r="O12" s="92"/>
      <c r="P12" s="92"/>
      <c r="Q12" s="92"/>
      <c r="R12" s="92"/>
      <c r="S12" s="92"/>
      <c r="T12" s="92"/>
    </row>
    <row r="13" spans="1:20" s="28" customFormat="1" ht="16.5" customHeight="1" x14ac:dyDescent="0.3">
      <c r="A13" s="78" t="s">
        <v>162</v>
      </c>
      <c r="B13" s="100" t="s">
        <v>163</v>
      </c>
      <c r="C13" s="92" t="s">
        <v>164</v>
      </c>
      <c r="D13" s="92" t="s">
        <v>143</v>
      </c>
      <c r="E13" s="93">
        <v>1</v>
      </c>
      <c r="F13" s="93"/>
      <c r="G13" s="94">
        <v>46082</v>
      </c>
      <c r="H13" s="78">
        <v>13449</v>
      </c>
      <c r="I13" s="78">
        <v>16877</v>
      </c>
      <c r="J13" s="95">
        <f>Consent[[#This Row],[Zw/w p/j]]/12</f>
        <v>1120.75</v>
      </c>
      <c r="K13" s="95">
        <f>Consent[[#This Row],[Kleur p/j]]/12</f>
        <v>1406.4166666666667</v>
      </c>
      <c r="L13" s="92"/>
      <c r="M13" s="92"/>
      <c r="N13" s="92"/>
      <c r="O13" s="92"/>
      <c r="P13" s="92"/>
      <c r="Q13" s="92"/>
      <c r="R13" s="92"/>
      <c r="S13" s="92"/>
      <c r="T13" s="92"/>
    </row>
    <row r="14" spans="1:20" s="28" customFormat="1" ht="16.5" customHeight="1" x14ac:dyDescent="0.3">
      <c r="A14" s="78" t="s">
        <v>165</v>
      </c>
      <c r="B14" s="91" t="s">
        <v>166</v>
      </c>
      <c r="C14" s="92" t="s">
        <v>167</v>
      </c>
      <c r="D14" s="92" t="s">
        <v>136</v>
      </c>
      <c r="E14" s="93"/>
      <c r="F14" s="93">
        <v>1</v>
      </c>
      <c r="G14" s="94">
        <v>46082</v>
      </c>
      <c r="H14" s="78">
        <v>49597</v>
      </c>
      <c r="I14" s="78">
        <v>19450</v>
      </c>
      <c r="J14" s="95">
        <f>Consent[[#This Row],[Zw/w p/j]]/12</f>
        <v>4133.083333333333</v>
      </c>
      <c r="K14" s="95">
        <f>Consent[[#This Row],[Kleur p/j]]/12</f>
        <v>1620.8333333333333</v>
      </c>
      <c r="L14" s="92"/>
      <c r="M14" s="92"/>
      <c r="N14" s="92"/>
      <c r="O14" s="92"/>
      <c r="P14" s="92"/>
      <c r="Q14" s="92"/>
      <c r="R14" s="92"/>
      <c r="S14" s="92"/>
      <c r="T14" s="92"/>
    </row>
    <row r="15" spans="1:20" s="28" customFormat="1" ht="16.5" customHeight="1" x14ac:dyDescent="0.3">
      <c r="A15" s="78" t="s">
        <v>264</v>
      </c>
      <c r="B15" s="91" t="s">
        <v>168</v>
      </c>
      <c r="C15" s="92" t="s">
        <v>169</v>
      </c>
      <c r="D15" s="92" t="s">
        <v>143</v>
      </c>
      <c r="E15" s="93">
        <v>1</v>
      </c>
      <c r="F15" s="93"/>
      <c r="G15" s="94">
        <v>46082</v>
      </c>
      <c r="H15" s="78">
        <v>71299</v>
      </c>
      <c r="I15" s="78">
        <v>38168</v>
      </c>
      <c r="J15" s="95">
        <f>Consent[[#This Row],[Zw/w p/j]]/12</f>
        <v>5941.583333333333</v>
      </c>
      <c r="K15" s="95">
        <f>Consent[[#This Row],[Kleur p/j]]/12</f>
        <v>3180.6666666666665</v>
      </c>
      <c r="L15" s="92"/>
      <c r="M15" s="92"/>
      <c r="N15" s="92"/>
      <c r="O15" s="92"/>
      <c r="P15" s="92"/>
      <c r="Q15" s="92"/>
      <c r="R15" s="92"/>
      <c r="S15" s="92"/>
      <c r="T15" s="92"/>
    </row>
    <row r="16" spans="1:20" s="28" customFormat="1" ht="16.5" customHeight="1" x14ac:dyDescent="0.3">
      <c r="A16" s="78" t="s">
        <v>170</v>
      </c>
      <c r="B16" s="91" t="s">
        <v>171</v>
      </c>
      <c r="C16" s="92" t="s">
        <v>172</v>
      </c>
      <c r="D16" s="92" t="s">
        <v>147</v>
      </c>
      <c r="E16" s="93">
        <v>1</v>
      </c>
      <c r="F16" s="93">
        <v>1</v>
      </c>
      <c r="G16" s="94">
        <v>46082</v>
      </c>
      <c r="H16" s="78">
        <v>153081</v>
      </c>
      <c r="I16" s="78">
        <v>161649</v>
      </c>
      <c r="J16" s="95">
        <f>Consent[[#This Row],[Zw/w p/j]]/12</f>
        <v>12756.75</v>
      </c>
      <c r="K16" s="95">
        <f>Consent[[#This Row],[Kleur p/j]]/12</f>
        <v>13470.75</v>
      </c>
      <c r="L16" s="92"/>
      <c r="M16" s="92"/>
      <c r="N16" s="92"/>
      <c r="O16" s="92"/>
      <c r="P16" s="92"/>
      <c r="Q16" s="92"/>
      <c r="R16" s="92"/>
      <c r="S16" s="92"/>
      <c r="T16" s="92"/>
    </row>
    <row r="17" spans="1:21" s="28" customFormat="1" ht="16.5" customHeight="1" x14ac:dyDescent="0.3">
      <c r="A17" s="78" t="s">
        <v>173</v>
      </c>
      <c r="B17" s="97" t="s">
        <v>174</v>
      </c>
      <c r="C17" s="92" t="s">
        <v>175</v>
      </c>
      <c r="D17" s="92" t="s">
        <v>143</v>
      </c>
      <c r="E17" s="93">
        <v>1</v>
      </c>
      <c r="F17" s="93"/>
      <c r="G17" s="94">
        <v>46082</v>
      </c>
      <c r="H17" s="78">
        <v>26954</v>
      </c>
      <c r="I17" s="78">
        <v>9997</v>
      </c>
      <c r="J17" s="116">
        <f>Consent[[#This Row],[Zw/w p/j]]/12</f>
        <v>2246.1666666666665</v>
      </c>
      <c r="K17" s="116">
        <f>Consent[[#This Row],[Kleur p/j]]/12</f>
        <v>833.08333333333337</v>
      </c>
      <c r="L17" s="92"/>
      <c r="M17" s="92"/>
      <c r="N17" s="92"/>
      <c r="O17" s="92"/>
      <c r="P17" s="92"/>
      <c r="Q17" s="92"/>
      <c r="R17" s="92"/>
      <c r="S17" s="92"/>
      <c r="T17" s="92"/>
      <c r="U17" s="92"/>
    </row>
    <row r="18" spans="1:21" s="28" customFormat="1" ht="16.5" customHeight="1" x14ac:dyDescent="0.3">
      <c r="A18" s="92"/>
      <c r="B18" s="92"/>
      <c r="C18" s="92"/>
      <c r="D18" s="92"/>
      <c r="E18" s="93">
        <f>SUM(Consent[Model 1
(eis M1 t/m M27)])</f>
        <v>12</v>
      </c>
      <c r="F18" s="93">
        <f>SUM(Consent[Model 2
(eis M1 t/m M27)])</f>
        <v>4</v>
      </c>
      <c r="G18" s="93"/>
      <c r="H18" s="101">
        <f>SUM(H3:H17)</f>
        <v>882721</v>
      </c>
      <c r="I18" s="101">
        <f>SUM(I3:I17)</f>
        <v>516511</v>
      </c>
      <c r="J18" s="101">
        <f>SUM(Consent[Zw/w p/m])</f>
        <v>73560.083333333343</v>
      </c>
      <c r="K18" s="101">
        <f>SUM(Consent[kleur p/m])</f>
        <v>43042.583333333336</v>
      </c>
      <c r="L18" s="92"/>
      <c r="M18" s="92"/>
      <c r="N18" s="92"/>
      <c r="O18" s="92"/>
      <c r="P18" s="92"/>
      <c r="Q18" s="92"/>
      <c r="R18" s="92"/>
      <c r="S18" s="92"/>
      <c r="T18" s="92"/>
      <c r="U18" s="92"/>
    </row>
    <row r="19" spans="1:21" s="27" customFormat="1" ht="16.5" customHeight="1" x14ac:dyDescent="0.3">
      <c r="A19" s="92"/>
      <c r="B19" s="92"/>
      <c r="C19" s="92"/>
      <c r="D19" s="93"/>
      <c r="E19" s="93"/>
      <c r="F19" s="93"/>
      <c r="G19" s="93"/>
      <c r="H19" s="93"/>
      <c r="I19" s="99"/>
      <c r="J19" s="99"/>
      <c r="K19" s="99"/>
      <c r="L19" s="99"/>
      <c r="M19" s="99"/>
      <c r="N19" s="99"/>
      <c r="O19" s="99"/>
      <c r="P19" s="99"/>
      <c r="Q19" s="99"/>
      <c r="R19" s="99"/>
      <c r="S19" s="99"/>
      <c r="T19" s="92"/>
      <c r="U19" s="98"/>
    </row>
    <row r="20" spans="1:21" s="27" customFormat="1" ht="24.6" customHeight="1" x14ac:dyDescent="0.3">
      <c r="A20" s="92"/>
      <c r="B20" s="92"/>
      <c r="C20" s="29" t="s">
        <v>82</v>
      </c>
      <c r="D20" s="30" t="s">
        <v>83</v>
      </c>
      <c r="E20" s="31" t="s">
        <v>84</v>
      </c>
      <c r="F20" s="31" t="s">
        <v>85</v>
      </c>
      <c r="G20" s="31" t="s">
        <v>86</v>
      </c>
      <c r="H20" s="92"/>
      <c r="I20" s="32" t="s">
        <v>87</v>
      </c>
      <c r="J20" s="32" t="s">
        <v>87</v>
      </c>
      <c r="K20" s="32" t="s">
        <v>87</v>
      </c>
      <c r="L20" s="32" t="s">
        <v>87</v>
      </c>
      <c r="M20" s="92"/>
      <c r="N20" s="92"/>
      <c r="O20" s="92"/>
      <c r="P20" s="92"/>
      <c r="Q20" s="92"/>
      <c r="R20" s="92"/>
      <c r="S20" s="92"/>
      <c r="T20" s="92"/>
      <c r="U20" s="98"/>
    </row>
    <row r="21" spans="1:21" s="27" customFormat="1" ht="28.2" customHeight="1" x14ac:dyDescent="0.3">
      <c r="A21" s="102"/>
      <c r="B21" s="102"/>
      <c r="C21" s="103" t="s">
        <v>88</v>
      </c>
      <c r="D21" s="33">
        <v>0</v>
      </c>
      <c r="E21" s="33">
        <v>0</v>
      </c>
      <c r="F21" s="33">
        <v>0</v>
      </c>
      <c r="G21" s="33">
        <v>0</v>
      </c>
      <c r="H21" s="92"/>
      <c r="I21" s="34">
        <f>O1</f>
        <v>47542</v>
      </c>
      <c r="J21" s="35" t="s">
        <v>89</v>
      </c>
      <c r="K21" s="36">
        <f>O1</f>
        <v>47542</v>
      </c>
      <c r="L21" s="37" t="s">
        <v>90</v>
      </c>
      <c r="M21" s="92"/>
      <c r="N21" s="92"/>
      <c r="O21" s="92"/>
      <c r="P21" s="92"/>
      <c r="Q21" s="92"/>
      <c r="R21" s="92"/>
      <c r="S21" s="92"/>
      <c r="T21" s="92"/>
      <c r="U21" s="98"/>
    </row>
    <row r="22" spans="1:21" s="27" customFormat="1" ht="16.5" customHeight="1" x14ac:dyDescent="0.3">
      <c r="A22" s="92"/>
      <c r="B22" s="102"/>
      <c r="C22" s="103" t="s">
        <v>91</v>
      </c>
      <c r="D22" s="33">
        <v>0</v>
      </c>
      <c r="E22" s="33">
        <v>0</v>
      </c>
      <c r="F22" s="33">
        <v>0</v>
      </c>
      <c r="G22" s="33">
        <v>0</v>
      </c>
      <c r="H22" s="29" t="s">
        <v>92</v>
      </c>
      <c r="I22" s="38">
        <f>Consent[[#Totals],[Zw/w p/j]]*4</f>
        <v>3530884</v>
      </c>
      <c r="J22" s="38">
        <f>Consent[[#Totals],[Zw/w p/j]]</f>
        <v>882721</v>
      </c>
      <c r="K22" s="38">
        <f>Consent[[#Totals],[Kleur p/j]]*4</f>
        <v>2066044</v>
      </c>
      <c r="L22" s="38">
        <f>Consent[[#Totals],[Kleur p/j]]</f>
        <v>516511</v>
      </c>
      <c r="M22" s="92"/>
      <c r="N22" s="92"/>
      <c r="O22" s="92"/>
      <c r="P22" s="92"/>
      <c r="Q22" s="92"/>
      <c r="R22" s="92"/>
      <c r="S22" s="92"/>
      <c r="T22" s="92"/>
      <c r="U22" s="98"/>
    </row>
    <row r="23" spans="1:21" s="27" customFormat="1" ht="16.5" customHeight="1" x14ac:dyDescent="0.3">
      <c r="A23" s="92"/>
      <c r="B23" s="102"/>
      <c r="C23" s="103"/>
      <c r="D23" s="39"/>
      <c r="E23" s="39"/>
      <c r="F23" s="39"/>
      <c r="G23" s="39"/>
      <c r="H23" s="29"/>
      <c r="I23" s="40"/>
      <c r="J23" s="40"/>
      <c r="K23" s="40"/>
      <c r="L23" s="40"/>
      <c r="M23" s="92"/>
      <c r="N23" s="92"/>
      <c r="O23" s="92"/>
      <c r="P23" s="92"/>
      <c r="Q23" s="92"/>
      <c r="R23" s="92"/>
      <c r="S23" s="92"/>
      <c r="T23" s="92"/>
      <c r="U23" s="98"/>
    </row>
    <row r="24" spans="1:21" s="27" customFormat="1" ht="16.5" customHeight="1" x14ac:dyDescent="0.3">
      <c r="A24" s="103"/>
      <c r="B24" s="103"/>
      <c r="C24" s="29" t="s">
        <v>93</v>
      </c>
      <c r="D24" s="62"/>
      <c r="E24" s="41"/>
      <c r="F24" s="41"/>
      <c r="G24" s="41"/>
      <c r="H24" s="92"/>
      <c r="I24" s="92"/>
      <c r="J24" s="92"/>
      <c r="K24" s="92"/>
      <c r="L24" s="92"/>
      <c r="M24" s="92"/>
      <c r="N24" s="92"/>
      <c r="O24" s="92"/>
      <c r="P24" s="92"/>
      <c r="Q24" s="92"/>
      <c r="R24" s="92"/>
      <c r="S24" s="92"/>
      <c r="T24" s="92"/>
      <c r="U24" s="98"/>
    </row>
    <row r="25" spans="1:21" s="27" customFormat="1" ht="16.5" customHeight="1" x14ac:dyDescent="0.3">
      <c r="A25" s="103"/>
      <c r="B25" s="103"/>
      <c r="C25" s="103" t="s">
        <v>94</v>
      </c>
      <c r="D25" s="67">
        <v>0</v>
      </c>
      <c r="E25" s="67">
        <v>0</v>
      </c>
      <c r="F25" s="67">
        <v>0</v>
      </c>
      <c r="G25" s="67">
        <v>0</v>
      </c>
      <c r="H25" s="92"/>
      <c r="I25" s="92"/>
      <c r="J25" s="43"/>
      <c r="K25" s="92"/>
      <c r="L25" s="92"/>
      <c r="M25" s="92"/>
      <c r="N25" s="92"/>
      <c r="O25" s="92"/>
      <c r="P25" s="92"/>
      <c r="Q25" s="92"/>
      <c r="R25" s="92"/>
      <c r="S25" s="92"/>
      <c r="T25" s="92"/>
      <c r="U25" s="98"/>
    </row>
    <row r="26" spans="1:21" s="27" customFormat="1" ht="16.5" customHeight="1" x14ac:dyDescent="0.3">
      <c r="A26" s="103"/>
      <c r="B26" s="103"/>
      <c r="C26" s="103" t="s">
        <v>95</v>
      </c>
      <c r="D26" s="67">
        <v>0</v>
      </c>
      <c r="E26" s="67">
        <v>0</v>
      </c>
      <c r="F26" s="67">
        <v>0</v>
      </c>
      <c r="G26" s="67">
        <v>0</v>
      </c>
      <c r="H26" s="92"/>
      <c r="I26" s="92"/>
      <c r="J26" s="43"/>
      <c r="K26" s="92"/>
      <c r="L26" s="92"/>
      <c r="M26" s="92"/>
      <c r="N26" s="92"/>
      <c r="O26" s="92"/>
      <c r="P26" s="92"/>
      <c r="Q26" s="92"/>
      <c r="R26" s="92"/>
      <c r="S26" s="92"/>
      <c r="T26" s="92"/>
      <c r="U26" s="98"/>
    </row>
    <row r="27" spans="1:21" s="27" customFormat="1" ht="16.5" customHeight="1" x14ac:dyDescent="0.3">
      <c r="A27" s="103"/>
      <c r="B27" s="103"/>
      <c r="C27" s="103"/>
      <c r="D27" s="68"/>
      <c r="E27" s="43"/>
      <c r="F27" s="43"/>
      <c r="G27" s="92"/>
      <c r="H27" s="92"/>
      <c r="I27" s="92"/>
      <c r="J27" s="43"/>
      <c r="K27" s="92"/>
      <c r="L27" s="92"/>
      <c r="M27" s="92"/>
      <c r="N27" s="92"/>
      <c r="O27" s="92"/>
      <c r="P27" s="92"/>
      <c r="Q27" s="92"/>
      <c r="R27" s="92"/>
      <c r="S27" s="92"/>
      <c r="T27" s="92"/>
      <c r="U27" s="98"/>
    </row>
    <row r="28" spans="1:21" s="27" customFormat="1" ht="16.5" customHeight="1" x14ac:dyDescent="0.3">
      <c r="A28" s="92"/>
      <c r="B28" s="92"/>
      <c r="C28" s="29" t="s">
        <v>96</v>
      </c>
      <c r="D28" s="62"/>
      <c r="E28" s="41"/>
      <c r="F28" s="41"/>
      <c r="G28" s="41"/>
      <c r="H28" s="92"/>
      <c r="I28" s="40"/>
      <c r="J28" s="40"/>
      <c r="K28" s="40"/>
      <c r="L28" s="40"/>
      <c r="M28" s="92"/>
      <c r="N28" s="92"/>
      <c r="O28" s="92"/>
      <c r="P28" s="92"/>
      <c r="Q28" s="92"/>
      <c r="R28" s="92"/>
      <c r="S28" s="92"/>
      <c r="T28" s="92"/>
      <c r="U28" s="98"/>
    </row>
    <row r="29" spans="1:21" s="27" customFormat="1" ht="16.5" customHeight="1" x14ac:dyDescent="0.3">
      <c r="A29" s="92"/>
      <c r="B29" s="92"/>
      <c r="C29" s="103" t="s">
        <v>97</v>
      </c>
      <c r="D29" s="129">
        <v>0</v>
      </c>
      <c r="E29" s="104" t="s">
        <v>98</v>
      </c>
      <c r="F29" s="45"/>
      <c r="G29" s="45"/>
      <c r="H29" s="92"/>
      <c r="I29" s="40"/>
      <c r="J29" s="92"/>
      <c r="K29" s="92"/>
      <c r="L29" s="92"/>
      <c r="M29" s="92"/>
      <c r="N29" s="92"/>
      <c r="O29" s="92"/>
      <c r="P29" s="92"/>
      <c r="Q29" s="92"/>
      <c r="R29" s="92"/>
      <c r="S29" s="92"/>
      <c r="T29" s="92"/>
      <c r="U29" s="98"/>
    </row>
    <row r="30" spans="1:21" s="27" customFormat="1" ht="16.5" customHeight="1" x14ac:dyDescent="0.3">
      <c r="A30" s="92"/>
      <c r="B30" s="92"/>
      <c r="C30" s="103" t="s">
        <v>99</v>
      </c>
      <c r="D30" s="129">
        <v>0</v>
      </c>
      <c r="E30" s="104" t="s">
        <v>98</v>
      </c>
      <c r="F30" s="45"/>
      <c r="G30" s="45"/>
      <c r="H30" s="92"/>
      <c r="I30" s="92"/>
      <c r="J30" s="92"/>
      <c r="K30" s="92"/>
      <c r="L30" s="92"/>
      <c r="M30" s="92"/>
      <c r="N30" s="92"/>
      <c r="O30" s="92"/>
      <c r="P30" s="92"/>
      <c r="Q30" s="92"/>
      <c r="R30" s="92"/>
      <c r="S30" s="92"/>
      <c r="T30" s="92"/>
      <c r="U30" s="98"/>
    </row>
    <row r="31" spans="1:21" s="27" customFormat="1" ht="16.5" customHeight="1" x14ac:dyDescent="0.3">
      <c r="A31" s="103"/>
      <c r="B31" s="103"/>
      <c r="C31" s="103"/>
      <c r="D31" s="62"/>
      <c r="E31" s="41"/>
      <c r="F31" s="41"/>
      <c r="G31" s="41"/>
      <c r="H31" s="92"/>
      <c r="I31" s="92"/>
      <c r="J31" s="92"/>
      <c r="K31" s="92"/>
      <c r="L31" s="92"/>
      <c r="M31" s="92"/>
      <c r="N31" s="92"/>
      <c r="O31" s="92"/>
      <c r="P31" s="92"/>
      <c r="Q31" s="92"/>
      <c r="R31" s="92"/>
      <c r="S31" s="92"/>
      <c r="T31" s="92"/>
      <c r="U31" s="98"/>
    </row>
    <row r="32" spans="1:21" s="27" customFormat="1" ht="16.5" customHeight="1" x14ac:dyDescent="0.3">
      <c r="A32" s="103"/>
      <c r="B32" s="103"/>
      <c r="C32" s="29" t="s">
        <v>100</v>
      </c>
      <c r="D32" s="68"/>
      <c r="E32" s="43"/>
      <c r="F32" s="43"/>
      <c r="G32" s="43"/>
      <c r="H32" s="92"/>
      <c r="I32" s="92"/>
      <c r="J32" s="92"/>
      <c r="K32" s="92"/>
      <c r="L32" s="92"/>
      <c r="M32" s="92"/>
      <c r="N32" s="92"/>
      <c r="O32" s="92"/>
      <c r="P32" s="92"/>
      <c r="Q32" s="92"/>
      <c r="R32" s="92"/>
      <c r="S32" s="92"/>
      <c r="T32" s="92"/>
      <c r="U32" s="99"/>
    </row>
    <row r="33" spans="1:21" s="27" customFormat="1" ht="16.5" customHeight="1" x14ac:dyDescent="0.3">
      <c r="A33" s="132" t="s">
        <v>101</v>
      </c>
      <c r="B33" s="132"/>
      <c r="C33" s="132"/>
      <c r="D33" s="67">
        <v>0</v>
      </c>
      <c r="E33" s="104" t="s">
        <v>102</v>
      </c>
      <c r="F33" s="43"/>
      <c r="G33" s="43"/>
      <c r="H33" s="92"/>
      <c r="I33" s="92"/>
      <c r="J33" s="92"/>
      <c r="K33" s="92"/>
      <c r="L33" s="92"/>
      <c r="M33" s="92"/>
      <c r="N33" s="92"/>
      <c r="O33" s="92"/>
      <c r="P33" s="92"/>
      <c r="Q33" s="92"/>
      <c r="R33" s="92"/>
      <c r="S33" s="92"/>
      <c r="T33" s="92"/>
      <c r="U33" s="92"/>
    </row>
    <row r="34" spans="1:21" s="27" customFormat="1" ht="16.5" customHeight="1" x14ac:dyDescent="0.3">
      <c r="A34" s="132" t="s">
        <v>103</v>
      </c>
      <c r="B34" s="132"/>
      <c r="C34" s="132"/>
      <c r="D34" s="67">
        <v>0</v>
      </c>
      <c r="E34" s="104" t="s">
        <v>102</v>
      </c>
      <c r="F34" s="43"/>
      <c r="G34" s="43"/>
      <c r="H34" s="92"/>
      <c r="I34" s="92"/>
      <c r="J34" s="92"/>
      <c r="K34" s="92"/>
      <c r="L34" s="92"/>
      <c r="M34" s="92"/>
      <c r="N34" s="92"/>
      <c r="O34" s="92"/>
      <c r="P34" s="92"/>
      <c r="Q34" s="92"/>
      <c r="R34" s="92"/>
      <c r="S34" s="92"/>
      <c r="T34" s="92"/>
      <c r="U34" s="92"/>
    </row>
    <row r="35" spans="1:21" s="27" customFormat="1" ht="16.5" customHeight="1" x14ac:dyDescent="0.3">
      <c r="A35" s="103"/>
      <c r="B35" s="103"/>
      <c r="C35" s="103"/>
      <c r="D35" s="103"/>
      <c r="E35" s="104"/>
      <c r="F35" s="43"/>
      <c r="G35" s="43"/>
      <c r="H35" s="92"/>
      <c r="I35" s="92"/>
      <c r="J35" s="92"/>
      <c r="K35" s="92"/>
      <c r="L35" s="92"/>
      <c r="M35" s="92"/>
      <c r="N35" s="92"/>
      <c r="O35" s="92"/>
      <c r="P35" s="92"/>
      <c r="Q35" s="92"/>
      <c r="R35" s="92"/>
      <c r="S35" s="92"/>
      <c r="T35" s="92"/>
      <c r="U35" s="92"/>
    </row>
    <row r="36" spans="1:21" s="27" customFormat="1" ht="16.5" customHeight="1" x14ac:dyDescent="0.3">
      <c r="A36" s="103"/>
      <c r="B36" s="103"/>
      <c r="C36" s="29" t="s">
        <v>104</v>
      </c>
      <c r="D36" s="30" t="s">
        <v>83</v>
      </c>
      <c r="E36" s="31" t="s">
        <v>84</v>
      </c>
      <c r="F36" s="31" t="s">
        <v>85</v>
      </c>
      <c r="G36" s="31" t="s">
        <v>86</v>
      </c>
      <c r="H36" s="92"/>
      <c r="I36" s="92"/>
      <c r="J36" s="92"/>
      <c r="K36" s="92"/>
      <c r="L36" s="92"/>
      <c r="M36" s="92"/>
      <c r="N36" s="92"/>
      <c r="O36" s="92"/>
      <c r="P36" s="92"/>
      <c r="Q36" s="92"/>
      <c r="R36" s="92"/>
      <c r="S36" s="92"/>
      <c r="T36" s="92"/>
      <c r="U36" s="92"/>
    </row>
    <row r="37" spans="1:21" s="28" customFormat="1" ht="16.5" customHeight="1" x14ac:dyDescent="0.3">
      <c r="A37" s="132" t="s">
        <v>105</v>
      </c>
      <c r="B37" s="132"/>
      <c r="C37" s="132"/>
      <c r="D37" s="46">
        <v>0</v>
      </c>
      <c r="E37" s="46">
        <v>0</v>
      </c>
      <c r="F37" s="46">
        <v>0</v>
      </c>
      <c r="G37" s="46">
        <v>0</v>
      </c>
      <c r="H37" s="47" t="s">
        <v>106</v>
      </c>
      <c r="I37" s="92"/>
      <c r="J37" s="92"/>
      <c r="K37" s="92"/>
      <c r="L37" s="92"/>
      <c r="M37" s="92"/>
      <c r="N37" s="92"/>
      <c r="O37" s="92"/>
      <c r="P37" s="92"/>
      <c r="Q37" s="92"/>
      <c r="R37" s="92"/>
      <c r="S37" s="92"/>
      <c r="T37" s="92"/>
      <c r="U37" s="92"/>
    </row>
    <row r="38" spans="1:21" s="28" customFormat="1" ht="16.5" customHeight="1" x14ac:dyDescent="0.3">
      <c r="A38" s="132" t="s">
        <v>107</v>
      </c>
      <c r="B38" s="132"/>
      <c r="C38" s="132"/>
      <c r="D38" s="48">
        <v>0</v>
      </c>
      <c r="E38" s="48">
        <v>0</v>
      </c>
      <c r="F38" s="48">
        <v>0</v>
      </c>
      <c r="G38" s="48">
        <v>0</v>
      </c>
      <c r="H38" s="47" t="s">
        <v>106</v>
      </c>
      <c r="I38" s="92"/>
      <c r="J38" s="92"/>
      <c r="K38" s="92"/>
      <c r="L38" s="92"/>
      <c r="M38" s="92"/>
      <c r="N38" s="92"/>
      <c r="O38" s="92"/>
      <c r="P38" s="92"/>
      <c r="Q38" s="92"/>
      <c r="R38" s="92"/>
      <c r="S38" s="92"/>
      <c r="T38" s="92"/>
      <c r="U38" s="92"/>
    </row>
    <row r="39" spans="1:21" s="28" customFormat="1" ht="16.5" customHeight="1" x14ac:dyDescent="0.3">
      <c r="A39" s="132" t="s">
        <v>108</v>
      </c>
      <c r="B39" s="132"/>
      <c r="C39" s="132"/>
      <c r="D39" s="48">
        <v>0</v>
      </c>
      <c r="E39" s="48">
        <v>0</v>
      </c>
      <c r="F39" s="48">
        <v>0</v>
      </c>
      <c r="G39" s="48">
        <v>0</v>
      </c>
      <c r="H39" s="47" t="s">
        <v>106</v>
      </c>
      <c r="I39" s="92"/>
      <c r="J39" s="92"/>
      <c r="K39" s="92"/>
      <c r="L39" s="92"/>
      <c r="M39" s="92"/>
      <c r="N39" s="92"/>
      <c r="O39" s="92"/>
      <c r="P39" s="92"/>
      <c r="Q39" s="92"/>
      <c r="R39" s="92"/>
      <c r="S39" s="92"/>
      <c r="T39" s="92"/>
      <c r="U39" s="92"/>
    </row>
    <row r="40" spans="1:21" s="28" customFormat="1" ht="16.5" customHeight="1" x14ac:dyDescent="0.3">
      <c r="A40" s="132" t="s">
        <v>109</v>
      </c>
      <c r="B40" s="132"/>
      <c r="C40" s="132"/>
      <c r="D40" s="48">
        <v>0</v>
      </c>
      <c r="E40" s="48">
        <v>0</v>
      </c>
      <c r="F40" s="48">
        <v>0</v>
      </c>
      <c r="G40" s="48">
        <v>0</v>
      </c>
      <c r="H40" s="47" t="s">
        <v>106</v>
      </c>
      <c r="I40" s="92"/>
      <c r="J40" s="92"/>
      <c r="K40" s="92"/>
      <c r="L40" s="92"/>
      <c r="M40" s="92"/>
      <c r="N40" s="92"/>
      <c r="O40" s="92"/>
      <c r="P40" s="92"/>
      <c r="Q40" s="92"/>
      <c r="R40" s="92"/>
      <c r="S40" s="92"/>
      <c r="T40" s="92"/>
      <c r="U40" s="92"/>
    </row>
    <row r="41" spans="1:21" s="28" customFormat="1" ht="16.5" customHeight="1" x14ac:dyDescent="0.3">
      <c r="A41" s="132" t="s">
        <v>110</v>
      </c>
      <c r="B41" s="132"/>
      <c r="C41" s="132"/>
      <c r="D41" s="48">
        <v>0</v>
      </c>
      <c r="E41" s="48">
        <v>0</v>
      </c>
      <c r="F41" s="48">
        <v>0</v>
      </c>
      <c r="G41" s="48">
        <v>0</v>
      </c>
      <c r="H41" s="47" t="s">
        <v>106</v>
      </c>
      <c r="I41" s="92"/>
      <c r="J41" s="92"/>
      <c r="K41" s="92"/>
      <c r="L41" s="92"/>
      <c r="M41" s="92"/>
      <c r="N41" s="92"/>
      <c r="O41" s="92"/>
      <c r="P41" s="92"/>
      <c r="Q41" s="92"/>
      <c r="R41" s="92"/>
      <c r="S41" s="92"/>
      <c r="T41" s="92"/>
      <c r="U41" s="92"/>
    </row>
    <row r="42" spans="1:21" s="28" customFormat="1" ht="16.5" customHeight="1" x14ac:dyDescent="0.3">
      <c r="A42" s="132" t="s">
        <v>111</v>
      </c>
      <c r="B42" s="132" t="s">
        <v>112</v>
      </c>
      <c r="C42" s="132"/>
      <c r="D42" s="48">
        <v>0</v>
      </c>
      <c r="E42" s="48">
        <v>0</v>
      </c>
      <c r="F42" s="48">
        <v>0</v>
      </c>
      <c r="G42" s="48">
        <v>0</v>
      </c>
      <c r="H42" s="47" t="s">
        <v>106</v>
      </c>
      <c r="I42" s="92"/>
      <c r="J42" s="92"/>
      <c r="K42" s="92"/>
      <c r="L42" s="92"/>
      <c r="M42" s="92"/>
      <c r="N42" s="92"/>
      <c r="O42" s="92"/>
      <c r="P42" s="92"/>
      <c r="Q42" s="92"/>
      <c r="R42" s="92"/>
      <c r="S42" s="92"/>
      <c r="T42" s="92"/>
      <c r="U42" s="92"/>
    </row>
    <row r="43" spans="1:21" s="28" customFormat="1" ht="16.5" customHeight="1" x14ac:dyDescent="0.3">
      <c r="A43" s="132" t="s">
        <v>113</v>
      </c>
      <c r="B43" s="132" t="s">
        <v>112</v>
      </c>
      <c r="C43" s="132"/>
      <c r="D43" s="48">
        <v>0</v>
      </c>
      <c r="E43" s="48">
        <v>0</v>
      </c>
      <c r="F43" s="48">
        <v>0</v>
      </c>
      <c r="G43" s="48">
        <v>0</v>
      </c>
      <c r="H43" s="47" t="s">
        <v>106</v>
      </c>
      <c r="I43" s="92"/>
      <c r="J43" s="92"/>
      <c r="K43" s="92"/>
      <c r="L43" s="92"/>
      <c r="M43" s="92"/>
      <c r="N43" s="92"/>
      <c r="O43" s="92"/>
      <c r="P43" s="92"/>
      <c r="Q43" s="92"/>
      <c r="R43" s="92"/>
      <c r="S43" s="92"/>
      <c r="T43" s="92"/>
      <c r="U43" s="92"/>
    </row>
    <row r="44" spans="1:21" s="28" customFormat="1" ht="16.5" customHeight="1" x14ac:dyDescent="0.3">
      <c r="A44" s="132" t="s">
        <v>114</v>
      </c>
      <c r="B44" s="132" t="s">
        <v>112</v>
      </c>
      <c r="C44" s="132"/>
      <c r="D44" s="48">
        <v>0</v>
      </c>
      <c r="E44" s="48">
        <v>0</v>
      </c>
      <c r="F44" s="48">
        <v>0</v>
      </c>
      <c r="G44" s="48">
        <v>0</v>
      </c>
      <c r="H44" s="47" t="s">
        <v>106</v>
      </c>
      <c r="I44" s="92"/>
      <c r="J44" s="92"/>
      <c r="K44" s="92"/>
      <c r="L44" s="92"/>
      <c r="M44" s="92"/>
      <c r="N44" s="92"/>
      <c r="O44" s="92"/>
      <c r="P44" s="92"/>
      <c r="Q44" s="92"/>
      <c r="R44" s="92"/>
      <c r="S44" s="92"/>
      <c r="T44" s="92"/>
      <c r="U44" s="92"/>
    </row>
    <row r="45" spans="1:21" s="28" customFormat="1" ht="16.5" customHeight="1" x14ac:dyDescent="0.3">
      <c r="A45" s="132" t="s">
        <v>115</v>
      </c>
      <c r="B45" s="132" t="s">
        <v>112</v>
      </c>
      <c r="C45" s="132"/>
      <c r="D45" s="48">
        <v>0</v>
      </c>
      <c r="E45" s="48">
        <v>0</v>
      </c>
      <c r="F45" s="48">
        <v>0</v>
      </c>
      <c r="G45" s="48">
        <v>0</v>
      </c>
      <c r="H45" s="47" t="s">
        <v>106</v>
      </c>
      <c r="I45" s="92"/>
      <c r="J45" s="92"/>
      <c r="K45" s="92"/>
      <c r="L45" s="92"/>
      <c r="M45" s="92"/>
      <c r="N45" s="92"/>
      <c r="O45" s="92"/>
      <c r="P45" s="92"/>
      <c r="Q45" s="92"/>
      <c r="R45" s="92"/>
      <c r="S45" s="92"/>
      <c r="T45" s="92"/>
      <c r="U45" s="92"/>
    </row>
    <row r="46" spans="1:21" s="28" customFormat="1" ht="16.5" customHeight="1" x14ac:dyDescent="0.3">
      <c r="A46" s="103"/>
      <c r="B46" s="103"/>
      <c r="C46" s="103"/>
      <c r="D46" s="49"/>
      <c r="E46" s="49"/>
      <c r="F46" s="49"/>
      <c r="G46" s="49"/>
      <c r="H46" s="105"/>
      <c r="I46" s="92"/>
      <c r="J46" s="92"/>
      <c r="K46" s="92"/>
      <c r="L46" s="92"/>
      <c r="M46" s="92"/>
      <c r="N46" s="92"/>
      <c r="O46" s="92"/>
      <c r="P46" s="92"/>
      <c r="Q46" s="92"/>
      <c r="R46" s="92"/>
      <c r="S46" s="92"/>
      <c r="T46" s="92"/>
      <c r="U46" s="92"/>
    </row>
    <row r="47" spans="1:21" s="28" customFormat="1" ht="16.5" customHeight="1" x14ac:dyDescent="0.3">
      <c r="A47" s="92"/>
      <c r="B47" s="106"/>
      <c r="C47" s="50" t="s">
        <v>116</v>
      </c>
      <c r="D47" s="51" t="s">
        <v>83</v>
      </c>
      <c r="E47" s="52" t="s">
        <v>84</v>
      </c>
      <c r="F47" s="52" t="s">
        <v>85</v>
      </c>
      <c r="G47" s="52" t="s">
        <v>86</v>
      </c>
      <c r="H47" s="53" t="s">
        <v>117</v>
      </c>
      <c r="I47" s="92"/>
      <c r="J47" s="92"/>
      <c r="K47" s="92"/>
      <c r="L47" s="92"/>
      <c r="M47" s="92"/>
      <c r="N47" s="92"/>
      <c r="O47" s="92"/>
      <c r="P47" s="92"/>
      <c r="Q47" s="92"/>
      <c r="R47" s="92"/>
      <c r="S47" s="92"/>
      <c r="T47" s="92"/>
      <c r="U47" s="92"/>
    </row>
    <row r="48" spans="1:21" s="28" customFormat="1" ht="16.5" customHeight="1" x14ac:dyDescent="0.3">
      <c r="A48" s="92"/>
      <c r="B48" s="107"/>
      <c r="C48" s="108" t="s">
        <v>118</v>
      </c>
      <c r="D48" s="109">
        <f>D21*Consent[[#Totals],[Model 1
(eis M1 t/m M27)]]*48</f>
        <v>0</v>
      </c>
      <c r="E48" s="109">
        <f>E21*Consent[[#Totals],[Model 1
(eis M1 t/m M27)]]*12</f>
        <v>0</v>
      </c>
      <c r="F48" s="109">
        <f>F21*Consent[[#Totals],[Model 1
(eis M1 t/m M27)]]*12</f>
        <v>0</v>
      </c>
      <c r="G48" s="109">
        <f>G21*Consent[[#Totals],[Model 1
(eis M1 t/m M27)]]*12</f>
        <v>0</v>
      </c>
      <c r="H48" s="54">
        <f>SUM(OPONOA!$D48:$G48)</f>
        <v>0</v>
      </c>
      <c r="I48" s="92"/>
      <c r="J48" s="92"/>
      <c r="K48" s="92"/>
      <c r="L48" s="92"/>
      <c r="M48" s="92"/>
      <c r="N48" s="92"/>
      <c r="O48" s="92"/>
      <c r="P48" s="92"/>
      <c r="Q48" s="92"/>
      <c r="R48" s="92"/>
      <c r="S48" s="92"/>
      <c r="T48" s="92"/>
      <c r="U48" s="92"/>
    </row>
    <row r="49" spans="1:20" s="28" customFormat="1" ht="16.5" customHeight="1" x14ac:dyDescent="0.3">
      <c r="A49" s="92"/>
      <c r="B49" s="110"/>
      <c r="C49" s="111" t="s">
        <v>119</v>
      </c>
      <c r="D49" s="112">
        <f>D22*Consent[[#Totals],[Model 2
(eis M1 t/m M27)]]*48</f>
        <v>0</v>
      </c>
      <c r="E49" s="112">
        <f>E22*Consent[[#Totals],[Model 2
(eis M1 t/m M27)]]*12</f>
        <v>0</v>
      </c>
      <c r="F49" s="112">
        <f>F22*Consent[[#Totals],[Model 2
(eis M1 t/m M27)]]*12</f>
        <v>0</v>
      </c>
      <c r="G49" s="112">
        <f>G22*Consent[[#Totals],[Model 2
(eis M1 t/m M27)]]*12</f>
        <v>0</v>
      </c>
      <c r="H49" s="55">
        <f>SUM(OPONOA!$D49:$G49)</f>
        <v>0</v>
      </c>
      <c r="I49" s="92"/>
      <c r="J49" s="92"/>
      <c r="K49" s="92"/>
      <c r="L49" s="92"/>
      <c r="M49" s="92"/>
      <c r="N49" s="92"/>
      <c r="O49" s="92"/>
      <c r="P49" s="92"/>
      <c r="Q49" s="92"/>
      <c r="R49" s="92"/>
      <c r="S49" s="92"/>
      <c r="T49" s="92"/>
    </row>
    <row r="50" spans="1:20" s="28" customFormat="1" ht="16.5" customHeight="1" x14ac:dyDescent="0.3">
      <c r="A50" s="92"/>
      <c r="B50" s="56"/>
      <c r="C50" s="108" t="s">
        <v>120</v>
      </c>
      <c r="D50" s="109">
        <f>D29*I22</f>
        <v>0</v>
      </c>
      <c r="E50" s="109">
        <f>$D$29*$J$22</f>
        <v>0</v>
      </c>
      <c r="F50" s="109">
        <f t="shared" ref="F50:G50" si="0">$D$29*$J$22</f>
        <v>0</v>
      </c>
      <c r="G50" s="109">
        <f t="shared" si="0"/>
        <v>0</v>
      </c>
      <c r="H50" s="54">
        <f>SUM(OPONOA!$D50:$G50)</f>
        <v>0</v>
      </c>
      <c r="I50" s="92"/>
      <c r="J50" s="92"/>
      <c r="K50" s="92"/>
      <c r="L50" s="92"/>
      <c r="M50" s="92"/>
      <c r="N50" s="92"/>
      <c r="O50" s="92"/>
      <c r="P50" s="92"/>
      <c r="Q50" s="92"/>
      <c r="R50" s="92"/>
      <c r="S50" s="92"/>
      <c r="T50" s="92"/>
    </row>
    <row r="51" spans="1:20" s="28" customFormat="1" ht="16.5" customHeight="1" x14ac:dyDescent="0.3">
      <c r="A51" s="92"/>
      <c r="B51" s="57"/>
      <c r="C51" s="111" t="s">
        <v>121</v>
      </c>
      <c r="D51" s="112">
        <f>D30*K22</f>
        <v>0</v>
      </c>
      <c r="E51" s="112">
        <f>$D$30*$L$22</f>
        <v>0</v>
      </c>
      <c r="F51" s="112">
        <f t="shared" ref="F51:G51" si="1">$D$30*$L$22</f>
        <v>0</v>
      </c>
      <c r="G51" s="112">
        <f t="shared" si="1"/>
        <v>0</v>
      </c>
      <c r="H51" s="55">
        <f>SUM(OPONOA!$D51:$G51)</f>
        <v>0</v>
      </c>
      <c r="I51" s="92"/>
      <c r="J51" s="92"/>
      <c r="K51" s="92"/>
      <c r="L51" s="92"/>
      <c r="M51" s="92"/>
      <c r="N51" s="92"/>
      <c r="O51" s="92"/>
      <c r="P51" s="92"/>
      <c r="Q51" s="92"/>
      <c r="R51" s="92"/>
      <c r="S51" s="92"/>
      <c r="T51" s="92"/>
    </row>
    <row r="52" spans="1:20" s="28" customFormat="1" ht="16.5" customHeight="1" x14ac:dyDescent="0.3">
      <c r="A52" s="92"/>
      <c r="B52" s="56"/>
      <c r="C52" s="108" t="s">
        <v>94</v>
      </c>
      <c r="D52" s="109">
        <f>D25*(Consent[[#Totals],[Model 1
(eis M1 t/m M27)]]+Consent[[#Totals],[Model 2
(eis M1 t/m M27)]])*48</f>
        <v>0</v>
      </c>
      <c r="E52" s="109">
        <f>E25*(Consent[[#Totals],[Model 1
(eis M1 t/m M27)]]+Consent[[#Totals],[Model 2
(eis M1 t/m M27)]])*12</f>
        <v>0</v>
      </c>
      <c r="F52" s="109">
        <f>F25*(Consent[[#Totals],[Model 1
(eis M1 t/m M27)]]+Consent[[#Totals],[Model 2
(eis M1 t/m M27)]])*12</f>
        <v>0</v>
      </c>
      <c r="G52" s="109">
        <f>G25*(Consent[[#Totals],[Model 1
(eis M1 t/m M27)]]+Consent[[#Totals],[Model 2
(eis M1 t/m M27)]])*12</f>
        <v>0</v>
      </c>
      <c r="H52" s="54">
        <f>SUM(D52:G52)</f>
        <v>0</v>
      </c>
      <c r="I52" s="92"/>
      <c r="J52" s="92"/>
      <c r="K52" s="92"/>
      <c r="L52" s="92"/>
      <c r="M52" s="92"/>
      <c r="N52" s="92"/>
      <c r="O52" s="92"/>
      <c r="P52" s="92"/>
      <c r="Q52" s="92"/>
      <c r="R52" s="92"/>
      <c r="S52" s="92"/>
      <c r="T52" s="92"/>
    </row>
    <row r="53" spans="1:20" s="28" customFormat="1" ht="16.5" customHeight="1" x14ac:dyDescent="0.3">
      <c r="A53" s="92"/>
      <c r="B53" s="57"/>
      <c r="C53" s="111" t="s">
        <v>95</v>
      </c>
      <c r="D53" s="112">
        <f>D26*(Consent[[#Totals],[Model 1
(eis M1 t/m M27)]]+Consent[[#Totals],[Model 2
(eis M1 t/m M27)]])*48</f>
        <v>0</v>
      </c>
      <c r="E53" s="112">
        <f>E26*(Consent[[#Totals],[Model 1
(eis M1 t/m M27)]]+Consent[[#Totals],[Model 2
(eis M1 t/m M27)]])*12</f>
        <v>0</v>
      </c>
      <c r="F53" s="112">
        <f>F26*(Consent[[#Totals],[Model 1
(eis M1 t/m M27)]]+Consent[[#Totals],[Model 2
(eis M1 t/m M27)]])*12</f>
        <v>0</v>
      </c>
      <c r="G53" s="112">
        <f>G26*(Consent[[#Totals],[Model 1
(eis M1 t/m M27)]]+Consent[[#Totals],[Model 2
(eis M1 t/m M27)]])*12</f>
        <v>0</v>
      </c>
      <c r="H53" s="55">
        <f>SUM(D53:G53)</f>
        <v>0</v>
      </c>
      <c r="I53" s="92"/>
      <c r="J53" s="92"/>
      <c r="K53" s="92"/>
      <c r="L53" s="92"/>
      <c r="M53" s="92"/>
      <c r="N53" s="92"/>
      <c r="O53" s="92"/>
      <c r="P53" s="92"/>
      <c r="Q53" s="92"/>
      <c r="R53" s="92"/>
      <c r="S53" s="92"/>
      <c r="T53" s="92"/>
    </row>
    <row r="54" spans="1:20" s="28" customFormat="1" ht="16.5" customHeight="1" x14ac:dyDescent="0.3">
      <c r="A54" s="58"/>
      <c r="B54" s="56"/>
      <c r="C54" s="108" t="s">
        <v>122</v>
      </c>
      <c r="D54" s="113"/>
      <c r="E54" s="113"/>
      <c r="F54" s="113"/>
      <c r="G54" s="113"/>
      <c r="H54" s="54">
        <f>D33</f>
        <v>0</v>
      </c>
      <c r="I54" s="58"/>
      <c r="J54" s="92"/>
      <c r="K54" s="92"/>
      <c r="L54" s="92"/>
      <c r="M54" s="92"/>
      <c r="N54" s="92"/>
      <c r="O54" s="92"/>
      <c r="P54" s="92"/>
      <c r="Q54" s="92"/>
      <c r="R54" s="92"/>
      <c r="S54" s="92"/>
      <c r="T54" s="92"/>
    </row>
    <row r="55" spans="1:20" s="28" customFormat="1" ht="16.5" customHeight="1" x14ac:dyDescent="0.3">
      <c r="A55" s="41"/>
      <c r="B55" s="59"/>
      <c r="C55" s="60" t="s">
        <v>123</v>
      </c>
      <c r="D55" s="114"/>
      <c r="E55" s="114"/>
      <c r="F55" s="114"/>
      <c r="G55" s="114"/>
      <c r="H55" s="61">
        <f>D34</f>
        <v>0</v>
      </c>
      <c r="I55" s="92"/>
      <c r="J55" s="92"/>
      <c r="K55" s="92"/>
      <c r="L55" s="92"/>
      <c r="M55" s="92"/>
      <c r="N55" s="92"/>
      <c r="O55" s="92"/>
      <c r="P55" s="92"/>
      <c r="Q55" s="92"/>
      <c r="R55" s="92"/>
      <c r="S55" s="92"/>
      <c r="T55" s="92"/>
    </row>
    <row r="56" spans="1:20" s="28" customFormat="1" ht="16.5" customHeight="1" x14ac:dyDescent="0.3">
      <c r="A56" s="117"/>
      <c r="B56" s="105"/>
      <c r="C56" s="92"/>
      <c r="D56" s="118"/>
      <c r="E56" s="118"/>
      <c r="F56" s="118"/>
      <c r="G56" s="118"/>
      <c r="H56" s="92"/>
      <c r="I56" s="92"/>
      <c r="J56" s="92"/>
      <c r="K56" s="92"/>
      <c r="L56" s="92"/>
      <c r="M56" s="92"/>
      <c r="N56" s="92"/>
      <c r="O56" s="92"/>
      <c r="P56" s="92"/>
      <c r="Q56" s="92"/>
      <c r="R56" s="92"/>
      <c r="S56" s="92"/>
      <c r="T56" s="92"/>
    </row>
    <row r="57" spans="1:20" s="28" customFormat="1" ht="16.5" customHeight="1" x14ac:dyDescent="0.3">
      <c r="A57" s="11"/>
      <c r="B57" s="11"/>
      <c r="C57" s="11"/>
      <c r="D57" s="15"/>
      <c r="E57" s="11"/>
      <c r="F57" s="16" t="s">
        <v>124</v>
      </c>
      <c r="G57" s="130">
        <f>SUM(H48:H56)</f>
        <v>0</v>
      </c>
      <c r="H57" s="131"/>
      <c r="I57" s="11"/>
      <c r="J57" s="21"/>
      <c r="K57" s="22"/>
      <c r="L57" s="22"/>
      <c r="M57" s="11"/>
      <c r="N57" s="11"/>
      <c r="O57" s="11"/>
      <c r="P57" s="11"/>
      <c r="Q57" s="11"/>
      <c r="R57" s="11"/>
      <c r="S57" s="11"/>
      <c r="T57" s="11"/>
    </row>
    <row r="58" spans="1:20" s="28" customFormat="1" ht="16.5" customHeight="1" x14ac:dyDescent="0.3">
      <c r="A58" s="11"/>
      <c r="B58" s="11"/>
      <c r="C58" s="11"/>
      <c r="D58" s="11"/>
      <c r="E58" s="11"/>
      <c r="F58" s="11"/>
      <c r="G58" s="11"/>
      <c r="H58" s="11"/>
      <c r="I58" s="11"/>
      <c r="J58" s="21"/>
      <c r="K58" s="11"/>
      <c r="L58" s="11"/>
      <c r="M58" s="11"/>
      <c r="N58" s="11"/>
      <c r="O58" s="11"/>
      <c r="P58" s="11"/>
      <c r="Q58" s="11"/>
      <c r="R58" s="11"/>
      <c r="S58" s="11"/>
      <c r="T58" s="11"/>
    </row>
    <row r="59" spans="1:20" s="28" customFormat="1" ht="16.5" customHeight="1" x14ac:dyDescent="0.3">
      <c r="A59" s="11"/>
      <c r="B59" s="17" t="s">
        <v>125</v>
      </c>
      <c r="C59" s="11"/>
      <c r="D59" s="11"/>
      <c r="E59" s="11"/>
      <c r="F59" s="11"/>
      <c r="G59" s="11"/>
      <c r="H59" s="11"/>
      <c r="I59" s="18"/>
      <c r="J59" s="11"/>
      <c r="K59" s="11"/>
      <c r="L59" s="11"/>
      <c r="M59" s="11"/>
      <c r="N59" s="11"/>
      <c r="O59" s="11"/>
      <c r="P59" s="11"/>
      <c r="Q59" s="11"/>
      <c r="R59" s="11"/>
      <c r="S59" s="11"/>
      <c r="T59" s="11"/>
    </row>
    <row r="60" spans="1:20" s="28" customFormat="1" ht="16.5" customHeight="1" x14ac:dyDescent="0.3">
      <c r="A60" s="11"/>
      <c r="B60" s="17" t="s">
        <v>126</v>
      </c>
      <c r="C60" s="18"/>
      <c r="D60" s="18"/>
      <c r="E60" s="18"/>
      <c r="F60" s="18"/>
      <c r="G60" s="18"/>
      <c r="H60" s="18"/>
      <c r="I60" s="18"/>
      <c r="J60" s="11"/>
      <c r="K60" s="11"/>
      <c r="L60" s="11"/>
      <c r="M60" s="11"/>
      <c r="N60" s="11"/>
      <c r="O60" s="11"/>
      <c r="P60" s="11"/>
      <c r="Q60" s="11"/>
      <c r="R60" s="11"/>
      <c r="S60" s="11"/>
      <c r="T60" s="11"/>
    </row>
    <row r="61" spans="1:20" s="28" customFormat="1" ht="16.5" customHeight="1" x14ac:dyDescent="0.3">
      <c r="A61" s="11"/>
      <c r="B61" s="19" t="s">
        <v>127</v>
      </c>
      <c r="C61" s="18"/>
      <c r="D61" s="18"/>
      <c r="E61" s="18"/>
      <c r="F61" s="18"/>
      <c r="G61" s="18"/>
      <c r="H61" s="18"/>
      <c r="I61" s="20"/>
      <c r="J61" s="11"/>
      <c r="K61" s="11"/>
      <c r="L61" s="11"/>
      <c r="M61" s="11"/>
      <c r="N61" s="11"/>
      <c r="O61" s="11"/>
      <c r="P61" s="11"/>
      <c r="Q61" s="11"/>
      <c r="R61" s="11"/>
      <c r="S61" s="11"/>
      <c r="T61" s="11"/>
    </row>
    <row r="62" spans="1:20" s="28" customFormat="1" ht="16.5" customHeight="1" x14ac:dyDescent="0.3">
      <c r="A62" s="11"/>
      <c r="B62" s="11"/>
      <c r="C62" s="11"/>
      <c r="D62" s="20"/>
      <c r="E62" s="20"/>
      <c r="F62" s="20"/>
      <c r="G62" s="20"/>
      <c r="H62" s="20"/>
      <c r="I62" s="20"/>
      <c r="J62" s="11"/>
      <c r="K62" s="11"/>
      <c r="L62" s="11"/>
      <c r="M62" s="11"/>
      <c r="N62" s="11"/>
      <c r="O62" s="11"/>
      <c r="P62" s="11"/>
      <c r="Q62" s="11"/>
      <c r="R62" s="11"/>
      <c r="S62" s="11"/>
      <c r="T62" s="11"/>
    </row>
    <row r="63" spans="1:20" s="28" customFormat="1" ht="16.5" customHeight="1" x14ac:dyDescent="0.3">
      <c r="A63" s="11"/>
      <c r="B63" s="11"/>
      <c r="C63" s="11"/>
      <c r="D63" s="11"/>
      <c r="E63" s="11"/>
      <c r="F63" s="11"/>
      <c r="G63" s="11"/>
      <c r="H63" s="11"/>
      <c r="I63" s="11"/>
      <c r="J63" s="11"/>
      <c r="K63" s="11"/>
      <c r="L63" s="11"/>
      <c r="M63" s="11"/>
      <c r="N63" s="11"/>
      <c r="O63" s="11"/>
      <c r="P63" s="11"/>
      <c r="Q63" s="11"/>
      <c r="R63" s="11"/>
      <c r="S63" s="11"/>
      <c r="T63" s="11"/>
    </row>
    <row r="64" spans="1:20" s="28" customFormat="1" ht="16.5" customHeight="1" x14ac:dyDescent="0.3">
      <c r="A64" s="11"/>
      <c r="B64" s="11"/>
      <c r="C64" s="11"/>
      <c r="D64" s="11"/>
      <c r="E64" s="11"/>
      <c r="F64" s="11"/>
      <c r="G64" s="11"/>
      <c r="H64" s="11"/>
      <c r="I64" s="11"/>
      <c r="J64" s="11"/>
      <c r="K64" s="11"/>
      <c r="L64" s="11"/>
      <c r="M64" s="11"/>
      <c r="N64" s="11"/>
      <c r="O64" s="11"/>
      <c r="P64" s="11"/>
      <c r="Q64" s="11"/>
      <c r="R64" s="11"/>
      <c r="S64" s="11"/>
      <c r="T64" s="11"/>
    </row>
    <row r="65" spans="1:20" s="28" customFormat="1" ht="16.5" customHeight="1" x14ac:dyDescent="0.3">
      <c r="A65" s="11"/>
      <c r="B65" s="11"/>
      <c r="C65" s="11"/>
      <c r="D65" s="11"/>
      <c r="E65" s="11"/>
      <c r="F65" s="11"/>
      <c r="G65" s="11"/>
      <c r="H65" s="11"/>
      <c r="I65" s="11"/>
      <c r="J65" s="11"/>
      <c r="K65" s="11"/>
      <c r="L65" s="11"/>
      <c r="M65" s="11"/>
      <c r="N65" s="11"/>
      <c r="O65" s="11"/>
      <c r="P65" s="11"/>
      <c r="Q65" s="11"/>
      <c r="R65" s="11"/>
      <c r="S65" s="11"/>
      <c r="T65" s="11"/>
    </row>
    <row r="66" spans="1:20" s="28" customFormat="1" ht="16.5" customHeight="1" x14ac:dyDescent="0.3">
      <c r="A66" s="11"/>
      <c r="B66" s="11"/>
      <c r="C66" s="11"/>
      <c r="D66" s="11"/>
      <c r="E66" s="11"/>
      <c r="F66" s="11"/>
      <c r="G66" s="11"/>
      <c r="H66" s="11"/>
      <c r="I66" s="11"/>
      <c r="J66" s="11"/>
      <c r="K66" s="11"/>
      <c r="L66" s="11"/>
      <c r="M66" s="11"/>
      <c r="N66" s="11"/>
      <c r="O66" s="11"/>
      <c r="P66" s="11"/>
      <c r="Q66" s="11"/>
      <c r="R66" s="11"/>
      <c r="S66" s="11"/>
      <c r="T66" s="11"/>
    </row>
    <row r="67" spans="1:20" s="28" customFormat="1" ht="16.5" customHeight="1" x14ac:dyDescent="0.3">
      <c r="A67" s="11"/>
      <c r="B67" s="11"/>
      <c r="C67" s="11"/>
      <c r="D67" s="11"/>
      <c r="E67" s="11"/>
      <c r="F67" s="11"/>
      <c r="G67" s="11"/>
      <c r="H67" s="11"/>
      <c r="I67" s="11"/>
      <c r="J67" s="11"/>
      <c r="K67" s="11"/>
      <c r="L67" s="11"/>
      <c r="M67" s="11"/>
      <c r="N67" s="11"/>
      <c r="O67" s="11"/>
      <c r="P67" s="11"/>
      <c r="Q67" s="11"/>
      <c r="R67" s="11"/>
      <c r="S67" s="11"/>
      <c r="T67" s="11"/>
    </row>
    <row r="68" spans="1:20" s="28" customFormat="1" ht="16.5" customHeight="1" x14ac:dyDescent="0.3">
      <c r="A68" s="11"/>
      <c r="B68" s="11"/>
      <c r="C68" s="11"/>
      <c r="D68" s="11"/>
      <c r="E68" s="11"/>
      <c r="F68" s="11"/>
      <c r="G68" s="11"/>
      <c r="H68" s="11"/>
      <c r="I68" s="11"/>
      <c r="J68" s="11"/>
      <c r="K68" s="11"/>
      <c r="L68" s="11"/>
      <c r="M68" s="11"/>
      <c r="N68" s="11"/>
      <c r="O68" s="11"/>
      <c r="P68" s="11"/>
      <c r="Q68" s="11"/>
      <c r="R68" s="11"/>
      <c r="S68" s="11"/>
      <c r="T68" s="11"/>
    </row>
    <row r="69" spans="1:20" s="28" customFormat="1" ht="16.5" customHeight="1" x14ac:dyDescent="0.3">
      <c r="A69" s="11"/>
      <c r="B69" s="11"/>
      <c r="C69" s="11"/>
      <c r="D69" s="11"/>
      <c r="E69" s="11"/>
      <c r="F69" s="11"/>
      <c r="G69" s="11"/>
      <c r="H69" s="11"/>
      <c r="I69" s="11"/>
      <c r="J69" s="11"/>
      <c r="K69" s="11"/>
      <c r="L69" s="11"/>
      <c r="M69" s="11"/>
      <c r="N69" s="11"/>
      <c r="O69" s="11"/>
      <c r="P69" s="11"/>
      <c r="Q69" s="11"/>
      <c r="R69" s="11"/>
      <c r="S69" s="11"/>
      <c r="T69" s="11"/>
    </row>
    <row r="70" spans="1:20" s="28" customFormat="1" ht="16.5" customHeight="1" x14ac:dyDescent="0.3">
      <c r="A70" s="11"/>
      <c r="B70" s="11"/>
      <c r="C70" s="11"/>
      <c r="D70" s="11"/>
      <c r="E70" s="11"/>
      <c r="F70" s="11"/>
      <c r="G70" s="11"/>
      <c r="H70" s="11"/>
      <c r="I70" s="11"/>
      <c r="J70" s="11"/>
      <c r="K70" s="11"/>
      <c r="L70" s="11"/>
      <c r="M70" s="11"/>
      <c r="N70" s="11"/>
      <c r="O70" s="11"/>
      <c r="P70" s="11"/>
      <c r="Q70" s="11"/>
      <c r="R70" s="11"/>
      <c r="S70" s="11"/>
      <c r="T70" s="11"/>
    </row>
    <row r="71" spans="1:20" s="28" customFormat="1" ht="16.5" customHeight="1" x14ac:dyDescent="0.3">
      <c r="A71" s="11"/>
      <c r="B71" s="11"/>
      <c r="C71" s="11"/>
      <c r="D71" s="11"/>
      <c r="E71" s="11"/>
      <c r="F71" s="11"/>
      <c r="G71" s="11"/>
      <c r="H71" s="11"/>
      <c r="I71" s="11"/>
      <c r="J71" s="11"/>
      <c r="K71" s="11"/>
      <c r="L71" s="11"/>
      <c r="M71" s="11"/>
      <c r="N71" s="11"/>
      <c r="O71" s="11"/>
      <c r="P71" s="11"/>
      <c r="Q71" s="11"/>
      <c r="R71" s="11"/>
      <c r="S71" s="11"/>
      <c r="T71" s="11"/>
    </row>
    <row r="72" spans="1:20" s="28" customFormat="1" ht="16.5" customHeight="1" x14ac:dyDescent="0.3">
      <c r="A72" s="11"/>
      <c r="B72" s="11"/>
      <c r="C72" s="11"/>
      <c r="D72" s="11"/>
      <c r="E72" s="11"/>
      <c r="F72" s="11"/>
      <c r="G72" s="11"/>
      <c r="H72" s="11"/>
      <c r="I72" s="11"/>
      <c r="J72" s="11"/>
      <c r="K72" s="11"/>
      <c r="L72" s="11"/>
      <c r="M72" s="11"/>
      <c r="N72" s="11"/>
      <c r="O72" s="11"/>
      <c r="P72" s="11"/>
      <c r="Q72" s="11"/>
      <c r="R72" s="11"/>
      <c r="S72" s="11"/>
      <c r="T72" s="11"/>
    </row>
    <row r="73" spans="1:20" s="28" customFormat="1" ht="16.5" customHeight="1" x14ac:dyDescent="0.3">
      <c r="A73" s="11"/>
      <c r="B73" s="11"/>
      <c r="C73" s="11"/>
      <c r="D73" s="11"/>
      <c r="E73" s="11"/>
      <c r="F73" s="11"/>
      <c r="G73" s="11"/>
      <c r="H73" s="11"/>
      <c r="I73" s="11"/>
      <c r="J73" s="11"/>
      <c r="K73" s="11"/>
      <c r="L73" s="11"/>
      <c r="M73" s="11"/>
      <c r="N73" s="11"/>
      <c r="O73" s="11"/>
      <c r="P73" s="11"/>
      <c r="Q73" s="11"/>
      <c r="R73" s="11"/>
      <c r="S73" s="11"/>
      <c r="T73" s="11"/>
    </row>
    <row r="74" spans="1:20" s="28" customFormat="1" ht="16.5" customHeight="1" x14ac:dyDescent="0.3">
      <c r="A74" s="11"/>
      <c r="B74" s="11"/>
      <c r="C74" s="11"/>
      <c r="D74" s="11"/>
      <c r="E74" s="11"/>
      <c r="F74" s="11"/>
      <c r="G74" s="11"/>
      <c r="H74" s="11"/>
      <c r="I74" s="11"/>
      <c r="J74" s="11"/>
      <c r="K74" s="11"/>
      <c r="L74" s="11"/>
      <c r="M74" s="11"/>
      <c r="N74" s="11"/>
      <c r="O74" s="11"/>
      <c r="P74" s="11"/>
      <c r="Q74" s="11"/>
      <c r="R74" s="11"/>
      <c r="S74" s="11"/>
      <c r="T74" s="11"/>
    </row>
    <row r="75" spans="1:20" s="28" customFormat="1" ht="16.5" customHeight="1" x14ac:dyDescent="0.3">
      <c r="A75" s="11"/>
      <c r="B75" s="11"/>
      <c r="C75" s="11"/>
      <c r="D75" s="11"/>
      <c r="E75" s="11"/>
      <c r="F75" s="11"/>
      <c r="G75" s="11"/>
      <c r="H75" s="11"/>
      <c r="I75" s="11"/>
      <c r="J75" s="11"/>
      <c r="K75" s="11"/>
      <c r="L75" s="11"/>
      <c r="M75" s="11"/>
      <c r="N75" s="11"/>
      <c r="O75" s="11"/>
      <c r="P75" s="11"/>
      <c r="Q75" s="11"/>
      <c r="R75" s="11"/>
      <c r="S75" s="11"/>
      <c r="T75" s="11"/>
    </row>
    <row r="76" spans="1:20" s="28" customFormat="1" ht="16.5" customHeight="1" x14ac:dyDescent="0.3">
      <c r="A76" s="11"/>
      <c r="B76" s="11"/>
      <c r="C76" s="11"/>
      <c r="D76" s="11"/>
      <c r="E76" s="11"/>
      <c r="F76" s="11"/>
      <c r="G76" s="11"/>
      <c r="H76" s="11"/>
      <c r="I76" s="11"/>
      <c r="J76" s="11"/>
      <c r="K76" s="11"/>
      <c r="L76" s="11"/>
      <c r="M76" s="11"/>
      <c r="N76" s="11"/>
      <c r="O76" s="11"/>
      <c r="P76" s="11"/>
      <c r="Q76" s="11"/>
      <c r="R76" s="11"/>
      <c r="S76" s="11"/>
      <c r="T76" s="11"/>
    </row>
    <row r="77" spans="1:20" s="28" customFormat="1" ht="16.5" customHeight="1" x14ac:dyDescent="0.3">
      <c r="A77" s="11"/>
      <c r="B77" s="11"/>
      <c r="C77" s="11"/>
      <c r="D77" s="11"/>
      <c r="E77" s="11"/>
      <c r="F77" s="11"/>
      <c r="G77" s="11"/>
      <c r="H77" s="11"/>
      <c r="I77" s="11"/>
      <c r="J77" s="11"/>
      <c r="K77" s="11"/>
      <c r="L77" s="11"/>
      <c r="M77" s="11"/>
      <c r="N77" s="11"/>
      <c r="O77" s="11"/>
      <c r="P77" s="11"/>
      <c r="Q77" s="11"/>
      <c r="R77" s="11"/>
      <c r="S77" s="11"/>
      <c r="T77" s="11"/>
    </row>
    <row r="78" spans="1:20" s="28" customFormat="1" ht="16.5" customHeight="1" x14ac:dyDescent="0.3">
      <c r="A78" s="11"/>
      <c r="B78" s="11"/>
      <c r="C78" s="11"/>
      <c r="D78" s="11"/>
      <c r="E78" s="11"/>
      <c r="F78" s="11"/>
      <c r="G78" s="11"/>
      <c r="H78" s="11"/>
      <c r="I78" s="11"/>
      <c r="J78" s="11"/>
      <c r="K78" s="11"/>
      <c r="L78" s="11"/>
      <c r="M78" s="11"/>
      <c r="N78" s="11"/>
      <c r="O78" s="11"/>
      <c r="P78" s="11"/>
      <c r="Q78" s="11"/>
      <c r="R78" s="11"/>
      <c r="S78" s="11"/>
      <c r="T78" s="11"/>
    </row>
    <row r="79" spans="1:20" s="28" customFormat="1" ht="16.5" customHeight="1" x14ac:dyDescent="0.3">
      <c r="A79" s="11"/>
      <c r="B79" s="11"/>
      <c r="C79" s="11"/>
      <c r="D79" s="11"/>
      <c r="E79" s="11"/>
      <c r="F79" s="11"/>
      <c r="G79" s="11"/>
      <c r="H79" s="11"/>
      <c r="I79" s="11"/>
      <c r="J79" s="11"/>
      <c r="K79" s="11"/>
      <c r="L79" s="11"/>
      <c r="M79" s="11"/>
      <c r="N79" s="11"/>
      <c r="O79" s="11"/>
      <c r="P79" s="11"/>
      <c r="Q79" s="11"/>
      <c r="R79" s="11"/>
      <c r="S79" s="11"/>
      <c r="T79" s="11"/>
    </row>
    <row r="80" spans="1:20" s="28" customFormat="1" ht="16.5" customHeight="1" x14ac:dyDescent="0.3">
      <c r="A80" s="11"/>
      <c r="B80" s="11"/>
      <c r="C80" s="11"/>
      <c r="D80" s="11"/>
      <c r="E80" s="11"/>
      <c r="F80" s="11"/>
      <c r="G80" s="11"/>
      <c r="H80" s="11"/>
      <c r="I80" s="11"/>
      <c r="J80" s="11"/>
      <c r="K80" s="11"/>
      <c r="L80" s="11"/>
      <c r="M80" s="11"/>
      <c r="N80" s="11"/>
      <c r="O80" s="11"/>
      <c r="P80" s="11"/>
      <c r="Q80" s="11"/>
      <c r="R80" s="11"/>
      <c r="S80" s="11"/>
      <c r="T80" s="11"/>
    </row>
    <row r="81" spans="1:20" s="28" customFormat="1" ht="16.5" customHeight="1" x14ac:dyDescent="0.3">
      <c r="A81" s="11"/>
      <c r="B81" s="11"/>
      <c r="C81" s="11"/>
      <c r="D81" s="11"/>
      <c r="E81" s="11"/>
      <c r="F81" s="11"/>
      <c r="G81" s="11"/>
      <c r="H81" s="11"/>
      <c r="I81" s="11"/>
      <c r="J81" s="11"/>
      <c r="K81" s="11"/>
      <c r="L81" s="11"/>
      <c r="M81" s="11"/>
      <c r="N81" s="11"/>
      <c r="O81" s="11"/>
      <c r="P81" s="11"/>
      <c r="Q81" s="11"/>
      <c r="R81" s="11"/>
      <c r="S81" s="11"/>
      <c r="T81" s="11"/>
    </row>
  </sheetData>
  <mergeCells count="12">
    <mergeCell ref="G57:H57"/>
    <mergeCell ref="A45:C45"/>
    <mergeCell ref="A37:C37"/>
    <mergeCell ref="A38:C38"/>
    <mergeCell ref="A39:C39"/>
    <mergeCell ref="A40:C40"/>
    <mergeCell ref="A41:C41"/>
    <mergeCell ref="A33:C33"/>
    <mergeCell ref="A34:C34"/>
    <mergeCell ref="A42:C42"/>
    <mergeCell ref="A43:C43"/>
    <mergeCell ref="A44:C44"/>
  </mergeCells>
  <phoneticPr fontId="5" type="noConversion"/>
  <pageMargins left="0.23622047244094491" right="0.23622047244094491" top="0.74803149606299213" bottom="0.74803149606299213" header="0.31496062992125984" footer="0.31496062992125984"/>
  <pageSetup paperSize="9" scale="29"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EA229-8E3C-471B-8D00-1BAA00CF7E25}">
  <sheetPr>
    <tabColor theme="4" tint="0.79998168889431442"/>
    <pageSetUpPr fitToPage="1"/>
  </sheetPr>
  <dimension ref="A1:V67"/>
  <sheetViews>
    <sheetView showGridLines="0" zoomScale="90" zoomScaleNormal="90" workbookViewId="0">
      <pane xSplit="2" ySplit="2" topLeftCell="C23" activePane="bottomRight" state="frozen"/>
      <selection pane="topRight" activeCell="H1" sqref="H1:L1048576"/>
      <selection pane="bottomLeft" activeCell="H1" sqref="H1:L1048576"/>
      <selection pane="bottomRight" activeCell="E25" sqref="E25"/>
    </sheetView>
  </sheetViews>
  <sheetFormatPr defaultColWidth="8.77734375" defaultRowHeight="14.4" x14ac:dyDescent="0.3"/>
  <cols>
    <col min="1" max="2" width="25.88671875" style="11" customWidth="1"/>
    <col min="3" max="4" width="20.88671875" style="11" customWidth="1"/>
    <col min="5" max="5" width="21.44140625" style="11" customWidth="1"/>
    <col min="6" max="7" width="20.88671875" style="11" customWidth="1"/>
    <col min="8" max="8" width="18.109375" style="11" customWidth="1"/>
    <col min="9" max="9" width="19.6640625" style="11" customWidth="1"/>
    <col min="10" max="12" width="18.109375" style="11" customWidth="1"/>
    <col min="13" max="20" width="20.6640625" style="11" customWidth="1"/>
    <col min="21" max="22" width="21.6640625" style="11" customWidth="1"/>
    <col min="23" max="27" width="19.33203125" style="11" customWidth="1"/>
    <col min="28" max="28" width="9.109375" style="11" bestFit="1" customWidth="1"/>
    <col min="29" max="29" width="10.109375" style="11" bestFit="1" customWidth="1"/>
    <col min="30" max="16384" width="8.77734375" style="11"/>
  </cols>
  <sheetData>
    <row r="1" spans="1:20" s="23" customFormat="1" x14ac:dyDescent="0.3">
      <c r="A1" s="83"/>
      <c r="B1" s="83"/>
      <c r="C1" s="83"/>
      <c r="D1" s="24" t="s">
        <v>12</v>
      </c>
      <c r="E1" s="84"/>
      <c r="F1" s="84"/>
      <c r="G1" s="25"/>
      <c r="H1" s="25"/>
      <c r="I1" s="25"/>
      <c r="J1" s="83"/>
      <c r="K1" s="83"/>
      <c r="L1" s="83"/>
      <c r="M1" s="85"/>
      <c r="N1" s="86" t="s">
        <v>13</v>
      </c>
      <c r="O1" s="87">
        <v>47514</v>
      </c>
      <c r="P1" s="83"/>
      <c r="Q1" s="83"/>
      <c r="R1" s="83"/>
      <c r="S1" s="83"/>
      <c r="T1" s="83"/>
    </row>
    <row r="2" spans="1:20" s="26" customFormat="1" ht="28.8" x14ac:dyDescent="0.3">
      <c r="A2" s="88" t="s">
        <v>14</v>
      </c>
      <c r="B2" s="88" t="s">
        <v>15</v>
      </c>
      <c r="C2" s="88" t="s">
        <v>16</v>
      </c>
      <c r="D2" s="88" t="s">
        <v>17</v>
      </c>
      <c r="E2" s="89" t="s">
        <v>18</v>
      </c>
      <c r="F2" s="89" t="s">
        <v>19</v>
      </c>
      <c r="G2" s="89" t="s">
        <v>20</v>
      </c>
      <c r="H2" s="90" t="s">
        <v>21</v>
      </c>
      <c r="I2" s="90" t="s">
        <v>22</v>
      </c>
      <c r="J2" s="90" t="s">
        <v>23</v>
      </c>
      <c r="K2" s="90" t="s">
        <v>24</v>
      </c>
      <c r="L2" s="88"/>
      <c r="M2" s="88"/>
      <c r="N2" s="88"/>
      <c r="O2" s="88"/>
      <c r="P2" s="88"/>
      <c r="Q2" s="88"/>
      <c r="R2" s="88"/>
      <c r="S2" s="88"/>
      <c r="T2" s="88"/>
    </row>
    <row r="3" spans="1:20" s="28" customFormat="1" ht="16.5" customHeight="1" x14ac:dyDescent="0.3">
      <c r="A3" s="98" t="s">
        <v>176</v>
      </c>
      <c r="B3" s="115" t="s">
        <v>177</v>
      </c>
      <c r="C3" s="92" t="s">
        <v>178</v>
      </c>
      <c r="D3" s="92" t="s">
        <v>179</v>
      </c>
      <c r="E3" s="93">
        <v>1</v>
      </c>
      <c r="F3" s="93">
        <v>1</v>
      </c>
      <c r="G3" s="94">
        <v>46054</v>
      </c>
      <c r="H3" s="95">
        <v>165941</v>
      </c>
      <c r="I3" s="95">
        <v>247692</v>
      </c>
      <c r="J3" s="95">
        <f>VCO[[#This Row],[Zw/w p/j]]/12</f>
        <v>13828.416666666666</v>
      </c>
      <c r="K3" s="95">
        <f>VCO[[#This Row],[Kleur p/j]]/12</f>
        <v>20641</v>
      </c>
      <c r="L3" s="92"/>
      <c r="M3" s="92"/>
      <c r="N3" s="92"/>
      <c r="O3" s="92"/>
      <c r="P3" s="92"/>
      <c r="Q3" s="92"/>
      <c r="R3" s="92"/>
      <c r="S3" s="92"/>
      <c r="T3" s="92"/>
    </row>
    <row r="4" spans="1:20" s="27" customFormat="1" ht="16.5" customHeight="1" x14ac:dyDescent="0.3">
      <c r="A4" s="92"/>
      <c r="B4" s="92"/>
      <c r="C4" s="92"/>
      <c r="D4" s="92"/>
      <c r="E4" s="93" cm="1">
        <f t="array" ref="E4">VCO[Model 1
(eis M1 t/m M27)]</f>
        <v>1</v>
      </c>
      <c r="F4" s="93" cm="1">
        <f t="array" ref="F4">VCO[Model 2
(eis M1 t/m M27)]</f>
        <v>1</v>
      </c>
      <c r="G4" s="93"/>
      <c r="H4" s="101" cm="1">
        <f t="array" ref="H4">VCO[Zw/w p/j]</f>
        <v>165941</v>
      </c>
      <c r="I4" s="101" cm="1">
        <f t="array" ref="I4">VCO[Kleur p/j]</f>
        <v>247692</v>
      </c>
      <c r="J4" s="101" cm="1">
        <f t="array" ref="J4">VCO[Zw/w p/m]</f>
        <v>13828.416666666666</v>
      </c>
      <c r="K4" s="101" cm="1">
        <f t="array" ref="K4">VCO[kleur p/m]</f>
        <v>20641</v>
      </c>
      <c r="L4" s="98"/>
      <c r="M4" s="98"/>
      <c r="N4" s="98"/>
      <c r="O4" s="98"/>
      <c r="P4" s="98"/>
      <c r="Q4" s="98"/>
      <c r="R4" s="98"/>
      <c r="S4" s="98"/>
      <c r="T4" s="98"/>
    </row>
    <row r="5" spans="1:20" s="27" customFormat="1" ht="16.5" customHeight="1" x14ac:dyDescent="0.3">
      <c r="A5" s="92"/>
      <c r="B5" s="92"/>
      <c r="C5" s="92"/>
      <c r="D5" s="93"/>
      <c r="E5" s="93"/>
      <c r="F5" s="93"/>
      <c r="G5" s="93"/>
      <c r="H5" s="93"/>
      <c r="I5" s="99"/>
      <c r="J5" s="99"/>
      <c r="K5" s="99"/>
      <c r="L5" s="99"/>
      <c r="M5" s="99"/>
      <c r="N5" s="99"/>
      <c r="O5" s="99"/>
      <c r="P5" s="99"/>
      <c r="Q5" s="99"/>
      <c r="R5" s="99"/>
      <c r="S5" s="99"/>
      <c r="T5" s="92"/>
    </row>
    <row r="6" spans="1:20" s="27" customFormat="1" ht="19.95" customHeight="1" x14ac:dyDescent="0.3">
      <c r="A6" s="92"/>
      <c r="B6" s="92"/>
      <c r="C6" s="29" t="s">
        <v>82</v>
      </c>
      <c r="D6" s="30" t="s">
        <v>83</v>
      </c>
      <c r="E6" s="31" t="s">
        <v>84</v>
      </c>
      <c r="F6" s="31" t="s">
        <v>85</v>
      </c>
      <c r="G6" s="31" t="s">
        <v>86</v>
      </c>
      <c r="H6" s="92"/>
      <c r="I6" s="32" t="s">
        <v>87</v>
      </c>
      <c r="J6" s="32" t="s">
        <v>87</v>
      </c>
      <c r="K6" s="32" t="s">
        <v>87</v>
      </c>
      <c r="L6" s="32" t="s">
        <v>87</v>
      </c>
      <c r="M6" s="92"/>
      <c r="N6" s="92"/>
      <c r="O6" s="92"/>
      <c r="P6" s="92"/>
      <c r="Q6" s="92"/>
      <c r="R6" s="92"/>
      <c r="S6" s="92"/>
      <c r="T6" s="92"/>
    </row>
    <row r="7" spans="1:20" s="27" customFormat="1" ht="16.5" customHeight="1" x14ac:dyDescent="0.3">
      <c r="A7" s="102"/>
      <c r="B7" s="102"/>
      <c r="C7" s="103" t="s">
        <v>88</v>
      </c>
      <c r="D7" s="33">
        <v>0</v>
      </c>
      <c r="E7" s="33">
        <v>0</v>
      </c>
      <c r="F7" s="33">
        <v>0</v>
      </c>
      <c r="G7" s="33">
        <v>0</v>
      </c>
      <c r="H7" s="92"/>
      <c r="I7" s="34">
        <f>O1</f>
        <v>47514</v>
      </c>
      <c r="J7" s="35" t="s">
        <v>89</v>
      </c>
      <c r="K7" s="36">
        <f>O1</f>
        <v>47514</v>
      </c>
      <c r="L7" s="37" t="s">
        <v>90</v>
      </c>
      <c r="M7" s="92"/>
      <c r="N7" s="92"/>
      <c r="O7" s="92"/>
      <c r="P7" s="92"/>
      <c r="Q7" s="92"/>
      <c r="R7" s="92"/>
      <c r="S7" s="92"/>
      <c r="T7" s="92"/>
    </row>
    <row r="8" spans="1:20" s="27" customFormat="1" ht="16.5" customHeight="1" x14ac:dyDescent="0.3">
      <c r="A8" s="92"/>
      <c r="B8" s="102"/>
      <c r="C8" s="103" t="s">
        <v>91</v>
      </c>
      <c r="D8" s="33">
        <v>0</v>
      </c>
      <c r="E8" s="33">
        <v>0</v>
      </c>
      <c r="F8" s="33">
        <v>0</v>
      </c>
      <c r="G8" s="33">
        <v>0</v>
      </c>
      <c r="H8" s="29" t="s">
        <v>92</v>
      </c>
      <c r="I8" s="38">
        <f>VCO[[#Totals],[Zw/w p/j]]*4</f>
        <v>663764</v>
      </c>
      <c r="J8" s="38">
        <f>VCO[[#Totals],[Zw/w p/j]]</f>
        <v>165941</v>
      </c>
      <c r="K8" s="38">
        <f>VCO[[#Totals],[Kleur p/j]]*4</f>
        <v>990768</v>
      </c>
      <c r="L8" s="38">
        <f>VCO[[#Totals],[Kleur p/j]]</f>
        <v>247692</v>
      </c>
      <c r="M8" s="92"/>
      <c r="N8" s="92"/>
      <c r="O8" s="92"/>
      <c r="P8" s="92"/>
      <c r="Q8" s="92"/>
      <c r="R8" s="92"/>
      <c r="S8" s="92"/>
      <c r="T8" s="92"/>
    </row>
    <row r="9" spans="1:20" s="27" customFormat="1" ht="16.5" customHeight="1" x14ac:dyDescent="0.3">
      <c r="A9" s="92"/>
      <c r="B9" s="102"/>
      <c r="C9" s="103"/>
      <c r="D9" s="39"/>
      <c r="E9" s="39"/>
      <c r="F9" s="39"/>
      <c r="G9" s="39"/>
      <c r="H9" s="29"/>
      <c r="I9" s="40"/>
      <c r="J9" s="40"/>
      <c r="K9" s="40"/>
      <c r="L9" s="40"/>
      <c r="M9" s="92"/>
      <c r="N9" s="92"/>
      <c r="O9" s="92"/>
      <c r="P9" s="92"/>
      <c r="Q9" s="92"/>
      <c r="R9" s="92"/>
      <c r="S9" s="92"/>
      <c r="T9" s="92"/>
    </row>
    <row r="10" spans="1:20" s="27" customFormat="1" ht="16.5" customHeight="1" x14ac:dyDescent="0.3">
      <c r="A10" s="103"/>
      <c r="B10" s="103"/>
      <c r="C10" s="29" t="s">
        <v>93</v>
      </c>
      <c r="D10" s="62"/>
      <c r="E10" s="41"/>
      <c r="F10" s="41"/>
      <c r="G10" s="41"/>
      <c r="H10" s="92"/>
      <c r="I10" s="92"/>
      <c r="J10" s="92"/>
      <c r="K10" s="92"/>
      <c r="L10" s="92"/>
      <c r="M10" s="92"/>
      <c r="N10" s="92"/>
      <c r="O10" s="92"/>
      <c r="P10" s="92"/>
      <c r="Q10" s="92"/>
      <c r="R10" s="92"/>
      <c r="S10" s="92"/>
      <c r="T10" s="92"/>
    </row>
    <row r="11" spans="1:20" s="27" customFormat="1" ht="16.5" customHeight="1" x14ac:dyDescent="0.3">
      <c r="A11" s="103"/>
      <c r="B11" s="103"/>
      <c r="C11" s="103" t="s">
        <v>94</v>
      </c>
      <c r="D11" s="67">
        <v>0</v>
      </c>
      <c r="E11" s="42">
        <v>0</v>
      </c>
      <c r="F11" s="42">
        <v>0</v>
      </c>
      <c r="G11" s="42">
        <v>0</v>
      </c>
      <c r="H11" s="92"/>
      <c r="I11" s="92"/>
      <c r="J11" s="43"/>
      <c r="K11" s="92"/>
      <c r="L11" s="92"/>
      <c r="M11" s="92"/>
      <c r="N11" s="92"/>
      <c r="O11" s="92"/>
      <c r="P11" s="92"/>
      <c r="Q11" s="92"/>
      <c r="R11" s="92"/>
      <c r="S11" s="92"/>
      <c r="T11" s="92"/>
    </row>
    <row r="12" spans="1:20" s="27" customFormat="1" ht="16.5" customHeight="1" x14ac:dyDescent="0.3">
      <c r="A12" s="103"/>
      <c r="B12" s="103"/>
      <c r="C12" s="103" t="s">
        <v>95</v>
      </c>
      <c r="D12" s="67">
        <v>0</v>
      </c>
      <c r="E12" s="42">
        <v>0</v>
      </c>
      <c r="F12" s="42">
        <v>0</v>
      </c>
      <c r="G12" s="42">
        <v>0</v>
      </c>
      <c r="H12" s="92"/>
      <c r="I12" s="92"/>
      <c r="J12" s="43"/>
      <c r="K12" s="92"/>
      <c r="L12" s="92"/>
      <c r="M12" s="92"/>
      <c r="N12" s="92"/>
      <c r="O12" s="92"/>
      <c r="P12" s="92"/>
      <c r="Q12" s="92"/>
      <c r="R12" s="92"/>
      <c r="S12" s="92"/>
      <c r="T12" s="92"/>
    </row>
    <row r="13" spans="1:20" s="27" customFormat="1" ht="16.5" customHeight="1" x14ac:dyDescent="0.3">
      <c r="A13" s="103"/>
      <c r="B13" s="103"/>
      <c r="C13" s="103"/>
      <c r="D13" s="68"/>
      <c r="E13" s="43"/>
      <c r="F13" s="43"/>
      <c r="G13" s="92"/>
      <c r="H13" s="92"/>
      <c r="I13" s="92"/>
      <c r="J13" s="43"/>
      <c r="K13" s="92"/>
      <c r="L13" s="92"/>
      <c r="M13" s="92"/>
      <c r="N13" s="92"/>
      <c r="O13" s="92"/>
      <c r="P13" s="92"/>
      <c r="Q13" s="92"/>
      <c r="R13" s="92"/>
      <c r="S13" s="92"/>
      <c r="T13" s="92"/>
    </row>
    <row r="14" spans="1:20" s="27" customFormat="1" ht="16.5" customHeight="1" x14ac:dyDescent="0.3">
      <c r="A14" s="92"/>
      <c r="B14" s="92"/>
      <c r="C14" s="29" t="s">
        <v>96</v>
      </c>
      <c r="D14" s="62"/>
      <c r="E14" s="41"/>
      <c r="F14" s="41"/>
      <c r="G14" s="41"/>
      <c r="H14" s="92"/>
      <c r="I14" s="40"/>
      <c r="J14" s="40"/>
      <c r="K14" s="40"/>
      <c r="L14" s="40"/>
      <c r="M14" s="92"/>
      <c r="N14" s="92"/>
      <c r="O14" s="92"/>
      <c r="P14" s="92"/>
      <c r="Q14" s="92"/>
      <c r="R14" s="92"/>
      <c r="S14" s="92"/>
      <c r="T14" s="92"/>
    </row>
    <row r="15" spans="1:20" s="27" customFormat="1" ht="16.5" customHeight="1" x14ac:dyDescent="0.3">
      <c r="A15" s="92"/>
      <c r="B15" s="92"/>
      <c r="C15" s="103" t="s">
        <v>97</v>
      </c>
      <c r="D15" s="69">
        <v>0</v>
      </c>
      <c r="E15" s="104" t="s">
        <v>98</v>
      </c>
      <c r="F15" s="45"/>
      <c r="G15" s="45"/>
      <c r="H15" s="92"/>
      <c r="I15" s="40"/>
      <c r="J15" s="92"/>
      <c r="K15" s="92"/>
      <c r="L15" s="92"/>
      <c r="M15" s="92"/>
      <c r="N15" s="92"/>
      <c r="O15" s="92"/>
      <c r="P15" s="92"/>
      <c r="Q15" s="92"/>
      <c r="R15" s="92"/>
      <c r="S15" s="92"/>
      <c r="T15" s="92"/>
    </row>
    <row r="16" spans="1:20" s="27" customFormat="1" ht="16.5" customHeight="1" x14ac:dyDescent="0.3">
      <c r="A16" s="92"/>
      <c r="B16" s="92"/>
      <c r="C16" s="103" t="s">
        <v>99</v>
      </c>
      <c r="D16" s="69">
        <v>0</v>
      </c>
      <c r="E16" s="104" t="s">
        <v>98</v>
      </c>
      <c r="F16" s="45"/>
      <c r="G16" s="45"/>
      <c r="H16" s="92"/>
      <c r="I16" s="92"/>
      <c r="J16" s="92"/>
      <c r="K16" s="92"/>
      <c r="L16" s="92"/>
      <c r="M16" s="92"/>
      <c r="N16" s="92"/>
      <c r="O16" s="92"/>
      <c r="P16" s="92"/>
      <c r="Q16" s="92"/>
      <c r="R16" s="92"/>
      <c r="S16" s="92"/>
      <c r="T16" s="92"/>
    </row>
    <row r="17" spans="1:22" s="27" customFormat="1" ht="16.5" customHeight="1" x14ac:dyDescent="0.3">
      <c r="A17" s="103"/>
      <c r="B17" s="103"/>
      <c r="C17" s="103"/>
      <c r="D17" s="62"/>
      <c r="E17" s="41"/>
      <c r="F17" s="41"/>
      <c r="G17" s="41"/>
      <c r="H17" s="92"/>
      <c r="I17" s="92"/>
      <c r="J17" s="92"/>
      <c r="K17" s="92"/>
      <c r="L17" s="92"/>
      <c r="M17" s="92"/>
      <c r="N17" s="92"/>
      <c r="O17" s="92"/>
      <c r="P17" s="92"/>
      <c r="Q17" s="92"/>
      <c r="R17" s="92"/>
      <c r="S17" s="92"/>
      <c r="T17" s="92"/>
      <c r="U17" s="98"/>
      <c r="V17" s="98"/>
    </row>
    <row r="18" spans="1:22" s="27" customFormat="1" ht="16.5" customHeight="1" x14ac:dyDescent="0.3">
      <c r="A18" s="103"/>
      <c r="B18" s="103"/>
      <c r="C18" s="29" t="s">
        <v>100</v>
      </c>
      <c r="D18" s="68"/>
      <c r="E18" s="43"/>
      <c r="F18" s="43"/>
      <c r="G18" s="43"/>
      <c r="H18" s="92"/>
      <c r="I18" s="92"/>
      <c r="J18" s="92"/>
      <c r="K18" s="92"/>
      <c r="L18" s="92"/>
      <c r="M18" s="92"/>
      <c r="N18" s="92"/>
      <c r="O18" s="92"/>
      <c r="P18" s="92"/>
      <c r="Q18" s="92"/>
      <c r="R18" s="92"/>
      <c r="S18" s="92"/>
      <c r="T18" s="92"/>
      <c r="U18" s="98"/>
      <c r="V18" s="98"/>
    </row>
    <row r="19" spans="1:22" s="27" customFormat="1" ht="16.5" customHeight="1" x14ac:dyDescent="0.3">
      <c r="A19" s="132" t="s">
        <v>101</v>
      </c>
      <c r="B19" s="132"/>
      <c r="C19" s="132"/>
      <c r="D19" s="67">
        <v>0</v>
      </c>
      <c r="E19" s="104" t="s">
        <v>102</v>
      </c>
      <c r="F19" s="43"/>
      <c r="G19" s="43"/>
      <c r="H19" s="92"/>
      <c r="I19" s="92"/>
      <c r="J19" s="92"/>
      <c r="K19" s="92"/>
      <c r="L19" s="92"/>
      <c r="M19" s="92"/>
      <c r="N19" s="92"/>
      <c r="O19" s="92"/>
      <c r="P19" s="92"/>
      <c r="Q19" s="92"/>
      <c r="R19" s="92"/>
      <c r="S19" s="92"/>
      <c r="T19" s="92"/>
      <c r="U19" s="98"/>
      <c r="V19" s="98"/>
    </row>
    <row r="20" spans="1:22" s="27" customFormat="1" ht="16.5" customHeight="1" x14ac:dyDescent="0.3">
      <c r="A20" s="132" t="s">
        <v>103</v>
      </c>
      <c r="B20" s="132"/>
      <c r="C20" s="132"/>
      <c r="D20" s="67">
        <v>0</v>
      </c>
      <c r="E20" s="104" t="s">
        <v>102</v>
      </c>
      <c r="F20" s="43"/>
      <c r="G20" s="43"/>
      <c r="H20" s="92"/>
      <c r="I20" s="92"/>
      <c r="J20" s="92"/>
      <c r="K20" s="92"/>
      <c r="L20" s="92"/>
      <c r="M20" s="92"/>
      <c r="N20" s="92"/>
      <c r="O20" s="92"/>
      <c r="P20" s="92"/>
      <c r="Q20" s="92"/>
      <c r="R20" s="92"/>
      <c r="S20" s="92"/>
      <c r="T20" s="92"/>
      <c r="U20" s="98"/>
      <c r="V20" s="98"/>
    </row>
    <row r="21" spans="1:22" s="27" customFormat="1" ht="16.5" customHeight="1" x14ac:dyDescent="0.3">
      <c r="A21" s="103"/>
      <c r="B21" s="103"/>
      <c r="C21" s="103"/>
      <c r="D21" s="103"/>
      <c r="E21" s="104"/>
      <c r="F21" s="43"/>
      <c r="G21" s="43"/>
      <c r="H21" s="92"/>
      <c r="I21" s="92"/>
      <c r="J21" s="92"/>
      <c r="K21" s="92"/>
      <c r="L21" s="92"/>
      <c r="M21" s="92"/>
      <c r="N21" s="92"/>
      <c r="O21" s="92"/>
      <c r="P21" s="92"/>
      <c r="Q21" s="92"/>
      <c r="R21" s="92"/>
      <c r="S21" s="92"/>
      <c r="T21" s="92"/>
      <c r="U21" s="99"/>
      <c r="V21" s="99"/>
    </row>
    <row r="22" spans="1:22" s="27" customFormat="1" ht="16.5" customHeight="1" x14ac:dyDescent="0.3">
      <c r="A22" s="103"/>
      <c r="B22" s="103"/>
      <c r="C22" s="29" t="s">
        <v>104</v>
      </c>
      <c r="D22" s="30" t="s">
        <v>83</v>
      </c>
      <c r="E22" s="31" t="s">
        <v>84</v>
      </c>
      <c r="F22" s="31" t="s">
        <v>85</v>
      </c>
      <c r="G22" s="31" t="s">
        <v>86</v>
      </c>
      <c r="H22" s="92"/>
      <c r="I22" s="92"/>
      <c r="J22" s="92"/>
      <c r="K22" s="92"/>
      <c r="L22" s="92"/>
      <c r="M22" s="92"/>
      <c r="N22" s="92"/>
      <c r="O22" s="92"/>
      <c r="P22" s="92"/>
      <c r="Q22" s="92"/>
      <c r="R22" s="92"/>
      <c r="S22" s="92"/>
      <c r="T22" s="92"/>
      <c r="U22" s="92"/>
      <c r="V22" s="92"/>
    </row>
    <row r="23" spans="1:22" s="27" customFormat="1" ht="16.5" customHeight="1" x14ac:dyDescent="0.3">
      <c r="A23" s="132" t="s">
        <v>180</v>
      </c>
      <c r="B23" s="132"/>
      <c r="C23" s="132"/>
      <c r="D23" s="46">
        <v>0</v>
      </c>
      <c r="E23" s="46">
        <v>0</v>
      </c>
      <c r="F23" s="46">
        <v>0</v>
      </c>
      <c r="G23" s="46">
        <v>0</v>
      </c>
      <c r="H23" s="47" t="s">
        <v>106</v>
      </c>
      <c r="I23" s="92"/>
      <c r="J23" s="92"/>
      <c r="K23" s="92"/>
      <c r="L23" s="92"/>
      <c r="M23" s="92"/>
      <c r="N23" s="92"/>
      <c r="O23" s="92"/>
      <c r="P23" s="92"/>
      <c r="Q23" s="92"/>
      <c r="R23" s="92"/>
      <c r="S23" s="92"/>
      <c r="T23" s="92"/>
      <c r="U23" s="92"/>
      <c r="V23" s="92"/>
    </row>
    <row r="24" spans="1:22" s="27" customFormat="1" ht="16.5" customHeight="1" x14ac:dyDescent="0.3">
      <c r="A24" s="132" t="s">
        <v>107</v>
      </c>
      <c r="B24" s="132"/>
      <c r="C24" s="132"/>
      <c r="D24" s="48">
        <v>0</v>
      </c>
      <c r="E24" s="48">
        <v>0</v>
      </c>
      <c r="F24" s="48">
        <v>0</v>
      </c>
      <c r="G24" s="48">
        <v>0</v>
      </c>
      <c r="H24" s="47" t="s">
        <v>106</v>
      </c>
      <c r="I24" s="92"/>
      <c r="J24" s="92"/>
      <c r="K24" s="92"/>
      <c r="L24" s="92"/>
      <c r="M24" s="92"/>
      <c r="N24" s="92"/>
      <c r="O24" s="92"/>
      <c r="P24" s="92"/>
      <c r="Q24" s="92"/>
      <c r="R24" s="92"/>
      <c r="S24" s="92"/>
      <c r="T24" s="92"/>
      <c r="U24" s="92"/>
      <c r="V24" s="92"/>
    </row>
    <row r="25" spans="1:22" s="27" customFormat="1" ht="16.5" customHeight="1" x14ac:dyDescent="0.3">
      <c r="A25" s="132" t="s">
        <v>108</v>
      </c>
      <c r="B25" s="132"/>
      <c r="C25" s="132"/>
      <c r="D25" s="48">
        <v>0</v>
      </c>
      <c r="E25" s="48">
        <v>0</v>
      </c>
      <c r="F25" s="48">
        <v>0</v>
      </c>
      <c r="G25" s="48">
        <v>0</v>
      </c>
      <c r="H25" s="47" t="s">
        <v>106</v>
      </c>
      <c r="I25" s="92"/>
      <c r="J25" s="92"/>
      <c r="K25" s="92"/>
      <c r="L25" s="92"/>
      <c r="M25" s="92"/>
      <c r="N25" s="92"/>
      <c r="O25" s="92"/>
      <c r="P25" s="92"/>
      <c r="Q25" s="92"/>
      <c r="R25" s="92"/>
      <c r="S25" s="92"/>
      <c r="T25" s="92"/>
      <c r="U25" s="92"/>
      <c r="V25" s="92"/>
    </row>
    <row r="26" spans="1:22" s="28" customFormat="1" ht="16.5" customHeight="1" x14ac:dyDescent="0.3">
      <c r="A26" s="132" t="s">
        <v>109</v>
      </c>
      <c r="B26" s="132"/>
      <c r="C26" s="132"/>
      <c r="D26" s="48">
        <v>0</v>
      </c>
      <c r="E26" s="48">
        <v>0</v>
      </c>
      <c r="F26" s="48">
        <v>0</v>
      </c>
      <c r="G26" s="48">
        <v>0</v>
      </c>
      <c r="H26" s="47" t="s">
        <v>106</v>
      </c>
      <c r="I26" s="92"/>
      <c r="J26" s="92"/>
      <c r="K26" s="92"/>
      <c r="L26" s="92"/>
      <c r="M26" s="92"/>
      <c r="N26" s="92"/>
      <c r="O26" s="92"/>
      <c r="P26" s="92"/>
      <c r="Q26" s="92"/>
      <c r="R26" s="92"/>
      <c r="S26" s="92"/>
      <c r="T26" s="92"/>
      <c r="U26" s="92"/>
      <c r="V26" s="92"/>
    </row>
    <row r="27" spans="1:22" s="28" customFormat="1" ht="16.5" customHeight="1" x14ac:dyDescent="0.3">
      <c r="A27" s="132" t="s">
        <v>110</v>
      </c>
      <c r="B27" s="132"/>
      <c r="C27" s="132"/>
      <c r="D27" s="48">
        <v>0</v>
      </c>
      <c r="E27" s="48">
        <v>0</v>
      </c>
      <c r="F27" s="48">
        <v>0</v>
      </c>
      <c r="G27" s="48">
        <v>0</v>
      </c>
      <c r="H27" s="47" t="s">
        <v>106</v>
      </c>
      <c r="I27" s="92"/>
      <c r="J27" s="92"/>
      <c r="K27" s="92"/>
      <c r="L27" s="92"/>
      <c r="M27" s="92"/>
      <c r="N27" s="92"/>
      <c r="O27" s="92"/>
      <c r="P27" s="92"/>
      <c r="Q27" s="92"/>
      <c r="R27" s="92"/>
      <c r="S27" s="92"/>
      <c r="T27" s="92"/>
      <c r="U27" s="92"/>
      <c r="V27" s="92"/>
    </row>
    <row r="28" spans="1:22" s="28" customFormat="1" ht="16.5" customHeight="1" x14ac:dyDescent="0.3">
      <c r="A28" s="132" t="s">
        <v>111</v>
      </c>
      <c r="B28" s="132" t="s">
        <v>112</v>
      </c>
      <c r="C28" s="132"/>
      <c r="D28" s="48">
        <v>0</v>
      </c>
      <c r="E28" s="48">
        <v>0</v>
      </c>
      <c r="F28" s="48">
        <v>0</v>
      </c>
      <c r="G28" s="48">
        <v>0</v>
      </c>
      <c r="H28" s="47" t="s">
        <v>106</v>
      </c>
      <c r="I28" s="92"/>
      <c r="J28" s="92"/>
      <c r="K28" s="92"/>
      <c r="L28" s="92"/>
      <c r="M28" s="92"/>
      <c r="N28" s="92"/>
      <c r="O28" s="92"/>
      <c r="P28" s="92"/>
      <c r="Q28" s="92"/>
      <c r="R28" s="92"/>
      <c r="S28" s="92"/>
      <c r="T28" s="92"/>
      <c r="U28" s="92"/>
      <c r="V28" s="92"/>
    </row>
    <row r="29" spans="1:22" s="28" customFormat="1" ht="16.5" customHeight="1" x14ac:dyDescent="0.3">
      <c r="A29" s="132" t="s">
        <v>113</v>
      </c>
      <c r="B29" s="132" t="s">
        <v>112</v>
      </c>
      <c r="C29" s="132"/>
      <c r="D29" s="48">
        <v>0</v>
      </c>
      <c r="E29" s="48">
        <v>0</v>
      </c>
      <c r="F29" s="48">
        <v>0</v>
      </c>
      <c r="G29" s="48">
        <v>0</v>
      </c>
      <c r="H29" s="47" t="s">
        <v>106</v>
      </c>
      <c r="I29" s="92"/>
      <c r="J29" s="92"/>
      <c r="K29" s="92"/>
      <c r="L29" s="92"/>
      <c r="M29" s="92"/>
      <c r="N29" s="92"/>
      <c r="O29" s="92"/>
      <c r="P29" s="92"/>
      <c r="Q29" s="92"/>
      <c r="R29" s="92"/>
      <c r="S29" s="92"/>
      <c r="T29" s="92"/>
      <c r="U29" s="92"/>
      <c r="V29" s="92"/>
    </row>
    <row r="30" spans="1:22" s="28" customFormat="1" ht="16.5" customHeight="1" x14ac:dyDescent="0.3">
      <c r="A30" s="132" t="s">
        <v>114</v>
      </c>
      <c r="B30" s="132" t="s">
        <v>112</v>
      </c>
      <c r="C30" s="132"/>
      <c r="D30" s="48">
        <v>0</v>
      </c>
      <c r="E30" s="48">
        <v>0</v>
      </c>
      <c r="F30" s="48">
        <v>0</v>
      </c>
      <c r="G30" s="48">
        <v>0</v>
      </c>
      <c r="H30" s="47" t="s">
        <v>106</v>
      </c>
      <c r="I30" s="92"/>
      <c r="J30" s="92"/>
      <c r="K30" s="92"/>
      <c r="L30" s="92"/>
      <c r="M30" s="92"/>
      <c r="N30" s="92"/>
      <c r="O30" s="92"/>
      <c r="P30" s="92"/>
      <c r="Q30" s="92"/>
      <c r="R30" s="92"/>
      <c r="S30" s="92"/>
      <c r="T30" s="92"/>
      <c r="U30" s="92"/>
      <c r="V30" s="92"/>
    </row>
    <row r="31" spans="1:22" s="28" customFormat="1" ht="16.5" customHeight="1" x14ac:dyDescent="0.3">
      <c r="A31" s="132" t="s">
        <v>115</v>
      </c>
      <c r="B31" s="132" t="s">
        <v>112</v>
      </c>
      <c r="C31" s="132"/>
      <c r="D31" s="48">
        <v>0</v>
      </c>
      <c r="E31" s="48">
        <v>0</v>
      </c>
      <c r="F31" s="48">
        <v>0</v>
      </c>
      <c r="G31" s="48">
        <v>0</v>
      </c>
      <c r="H31" s="47" t="s">
        <v>106</v>
      </c>
      <c r="I31" s="92"/>
      <c r="J31" s="92"/>
      <c r="K31" s="92"/>
      <c r="L31" s="92"/>
      <c r="M31" s="92"/>
      <c r="N31" s="92"/>
      <c r="O31" s="92"/>
      <c r="P31" s="92"/>
      <c r="Q31" s="92"/>
      <c r="R31" s="92"/>
      <c r="S31" s="92"/>
      <c r="T31" s="92"/>
      <c r="U31" s="92"/>
      <c r="V31" s="92"/>
    </row>
    <row r="32" spans="1:22" s="28" customFormat="1" ht="16.5" customHeight="1" thickBot="1" x14ac:dyDescent="0.35">
      <c r="A32" s="103"/>
      <c r="B32" s="103"/>
      <c r="C32" s="103"/>
      <c r="D32" s="49"/>
      <c r="E32" s="49"/>
      <c r="F32" s="49"/>
      <c r="G32" s="49"/>
      <c r="H32" s="105"/>
      <c r="I32" s="92"/>
      <c r="J32" s="92"/>
      <c r="K32" s="92"/>
      <c r="L32" s="92"/>
      <c r="M32" s="92"/>
      <c r="N32" s="92"/>
      <c r="O32" s="92"/>
      <c r="P32" s="92"/>
      <c r="Q32" s="92"/>
      <c r="R32" s="92"/>
      <c r="S32" s="92"/>
      <c r="T32" s="92"/>
      <c r="U32" s="92"/>
      <c r="V32" s="92"/>
    </row>
    <row r="33" spans="1:12" s="23" customFormat="1" ht="16.5" customHeight="1" x14ac:dyDescent="0.3">
      <c r="A33" s="83"/>
      <c r="B33" s="106"/>
      <c r="C33" s="50" t="s">
        <v>116</v>
      </c>
      <c r="D33" s="51" t="s">
        <v>83</v>
      </c>
      <c r="E33" s="52" t="s">
        <v>84</v>
      </c>
      <c r="F33" s="52" t="s">
        <v>85</v>
      </c>
      <c r="G33" s="52" t="s">
        <v>86</v>
      </c>
      <c r="H33" s="53" t="s">
        <v>117</v>
      </c>
      <c r="I33" s="83"/>
      <c r="J33" s="83"/>
      <c r="K33" s="83"/>
      <c r="L33" s="83"/>
    </row>
    <row r="34" spans="1:12" s="23" customFormat="1" ht="16.5" customHeight="1" x14ac:dyDescent="0.3">
      <c r="A34" s="83"/>
      <c r="B34" s="107"/>
      <c r="C34" s="108" t="s">
        <v>118</v>
      </c>
      <c r="D34" s="109">
        <f>D7*VCO[[#Totals],[Model 1
(eis M1 t/m M27)]]*48</f>
        <v>0</v>
      </c>
      <c r="E34" s="109">
        <f>E7*VCO[[#Totals],[Model 1
(eis M1 t/m M27)]]*12</f>
        <v>0</v>
      </c>
      <c r="F34" s="109">
        <f>F7*VCO[[#Totals],[Model 1
(eis M1 t/m M27)]]*12</f>
        <v>0</v>
      </c>
      <c r="G34" s="109">
        <f>G7*VCO[[#Totals],[Model 1
(eis M1 t/m M27)]]*12</f>
        <v>0</v>
      </c>
      <c r="H34" s="54">
        <f>SUM(SOCA!$D34:$G34)</f>
        <v>0</v>
      </c>
      <c r="I34" s="83"/>
      <c r="J34" s="83"/>
      <c r="K34" s="83"/>
      <c r="L34" s="83"/>
    </row>
    <row r="35" spans="1:12" s="23" customFormat="1" ht="16.5" customHeight="1" x14ac:dyDescent="0.3">
      <c r="A35" s="83"/>
      <c r="B35" s="110"/>
      <c r="C35" s="111" t="s">
        <v>119</v>
      </c>
      <c r="D35" s="112">
        <f>D8*VCO[[#Totals],[Model 2
(eis M1 t/m M27)]]*48</f>
        <v>0</v>
      </c>
      <c r="E35" s="112">
        <f>E8*VCO[[#Totals],[Model 2
(eis M1 t/m M27)]]*12</f>
        <v>0</v>
      </c>
      <c r="F35" s="112">
        <f>F8*VCO[[#Totals],[Model 2
(eis M1 t/m M27)]]*12</f>
        <v>0</v>
      </c>
      <c r="G35" s="112">
        <f>G8*VCO[[#Totals],[Model 2
(eis M1 t/m M27)]]*12</f>
        <v>0</v>
      </c>
      <c r="H35" s="55">
        <f>SUM(SOCA!$D35:$G35)</f>
        <v>0</v>
      </c>
      <c r="I35" s="83"/>
      <c r="J35" s="83"/>
      <c r="K35" s="83"/>
      <c r="L35" s="83"/>
    </row>
    <row r="36" spans="1:12" s="23" customFormat="1" ht="16.5" customHeight="1" x14ac:dyDescent="0.3">
      <c r="A36" s="83"/>
      <c r="B36" s="56"/>
      <c r="C36" s="108" t="s">
        <v>120</v>
      </c>
      <c r="D36" s="109">
        <f>D15*I8</f>
        <v>0</v>
      </c>
      <c r="E36" s="109">
        <f>$D$15*$J$8</f>
        <v>0</v>
      </c>
      <c r="F36" s="109">
        <f t="shared" ref="F36:G36" si="0">$D$15*$J$8</f>
        <v>0</v>
      </c>
      <c r="G36" s="109">
        <f t="shared" si="0"/>
        <v>0</v>
      </c>
      <c r="H36" s="54">
        <f>SUM(SOCA!$D36:$G36)</f>
        <v>0</v>
      </c>
      <c r="I36" s="83"/>
      <c r="J36" s="83"/>
      <c r="K36" s="83"/>
      <c r="L36" s="83"/>
    </row>
    <row r="37" spans="1:12" s="23" customFormat="1" ht="16.5" customHeight="1" x14ac:dyDescent="0.3">
      <c r="A37" s="83"/>
      <c r="B37" s="57"/>
      <c r="C37" s="111" t="s">
        <v>121</v>
      </c>
      <c r="D37" s="112">
        <f>D16*K8</f>
        <v>0</v>
      </c>
      <c r="E37" s="112">
        <f>$D$16*$L$8</f>
        <v>0</v>
      </c>
      <c r="F37" s="112">
        <f t="shared" ref="F37:G37" si="1">$D$16*$L$8</f>
        <v>0</v>
      </c>
      <c r="G37" s="112">
        <f t="shared" si="1"/>
        <v>0</v>
      </c>
      <c r="H37" s="55">
        <f>SUM(SOCA!$D37:$G37)</f>
        <v>0</v>
      </c>
      <c r="I37" s="83"/>
      <c r="J37" s="83"/>
      <c r="K37" s="83"/>
      <c r="L37" s="83"/>
    </row>
    <row r="38" spans="1:12" s="23" customFormat="1" ht="16.5" customHeight="1" x14ac:dyDescent="0.3">
      <c r="A38" s="83"/>
      <c r="B38" s="56"/>
      <c r="C38" s="108" t="s">
        <v>94</v>
      </c>
      <c r="D38" s="109">
        <f>D11*(VCO[[#Totals],[Model 1
(eis M1 t/m M27)]]+VCO[[#Totals],[Model 2
(eis M1 t/m M27)]])*48</f>
        <v>0</v>
      </c>
      <c r="E38" s="109">
        <f>E11*(VCO[[#Totals],[Model 1
(eis M1 t/m M27)]]+VCO[[#Totals],[Model 2
(eis M1 t/m M27)]])*12</f>
        <v>0</v>
      </c>
      <c r="F38" s="109">
        <f>F11*(VCO[[#Totals],[Model 1
(eis M1 t/m M27)]]+VCO[[#Totals],[Model 2
(eis M1 t/m M27)]])*12</f>
        <v>0</v>
      </c>
      <c r="G38" s="109">
        <f>G11*(VCO[[#Totals],[Model 1
(eis M1 t/m M27)]]+VCO[[#Totals],[Model 2
(eis M1 t/m M27)]])*12</f>
        <v>0</v>
      </c>
      <c r="H38" s="54">
        <f>SUM(D38:G38)</f>
        <v>0</v>
      </c>
      <c r="I38" s="83"/>
      <c r="J38" s="83"/>
      <c r="K38" s="83"/>
      <c r="L38" s="83"/>
    </row>
    <row r="39" spans="1:12" s="23" customFormat="1" ht="16.5" customHeight="1" x14ac:dyDescent="0.3">
      <c r="A39" s="83"/>
      <c r="B39" s="57"/>
      <c r="C39" s="111" t="s">
        <v>95</v>
      </c>
      <c r="D39" s="112">
        <f>D12*(VCO[[#Totals],[Model 1
(eis M1 t/m M27)]]+VCO[[#Totals],[Model 2
(eis M1 t/m M27)]])*48</f>
        <v>0</v>
      </c>
      <c r="E39" s="112">
        <f>E12*(VCO[[#Totals],[Model 1
(eis M1 t/m M27)]]+VCO[[#Totals],[Model 2
(eis M1 t/m M27)]])*12</f>
        <v>0</v>
      </c>
      <c r="F39" s="112">
        <f>F12*(VCO[[#Totals],[Model 1
(eis M1 t/m M27)]]+VCO[[#Totals],[Model 2
(eis M1 t/m M27)]])*12</f>
        <v>0</v>
      </c>
      <c r="G39" s="112">
        <f>G12*(VCO[[#Totals],[Model 1
(eis M1 t/m M27)]]+VCO[[#Totals],[Model 2
(eis M1 t/m M27)]])*12</f>
        <v>0</v>
      </c>
      <c r="H39" s="55">
        <f>SUM(D39:G39)</f>
        <v>0</v>
      </c>
      <c r="I39" s="83"/>
      <c r="J39" s="83"/>
      <c r="K39" s="83"/>
      <c r="L39" s="83"/>
    </row>
    <row r="40" spans="1:12" s="23" customFormat="1" ht="16.5" customHeight="1" x14ac:dyDescent="0.3">
      <c r="A40" s="25"/>
      <c r="B40" s="56"/>
      <c r="C40" s="108" t="s">
        <v>122</v>
      </c>
      <c r="D40" s="113"/>
      <c r="E40" s="113"/>
      <c r="F40" s="113"/>
      <c r="G40" s="113"/>
      <c r="H40" s="54">
        <f>D19</f>
        <v>0</v>
      </c>
      <c r="I40" s="25"/>
      <c r="J40" s="83"/>
      <c r="K40" s="83"/>
      <c r="L40" s="83"/>
    </row>
    <row r="41" spans="1:12" s="23" customFormat="1" ht="16.5" customHeight="1" thickBot="1" x14ac:dyDescent="0.35">
      <c r="A41" s="62"/>
      <c r="B41" s="59"/>
      <c r="C41" s="60" t="s">
        <v>123</v>
      </c>
      <c r="D41" s="114"/>
      <c r="E41" s="114"/>
      <c r="F41" s="114"/>
      <c r="G41" s="114"/>
      <c r="H41" s="61">
        <f>D20</f>
        <v>0</v>
      </c>
      <c r="I41" s="83"/>
      <c r="J41" s="83"/>
      <c r="K41" s="83"/>
      <c r="L41" s="83"/>
    </row>
    <row r="42" spans="1:12" s="23" customFormat="1" ht="16.5" customHeight="1" thickBot="1" x14ac:dyDescent="0.35">
      <c r="A42" s="119"/>
      <c r="B42" s="105"/>
      <c r="C42" s="83"/>
      <c r="D42" s="120"/>
      <c r="E42" s="120"/>
      <c r="F42" s="120"/>
      <c r="G42" s="120"/>
      <c r="H42" s="83"/>
      <c r="I42" s="83"/>
      <c r="J42" s="83"/>
      <c r="K42" s="83"/>
      <c r="L42" s="83"/>
    </row>
    <row r="43" spans="1:12" ht="16.5" customHeight="1" thickBot="1" x14ac:dyDescent="0.35">
      <c r="D43" s="15"/>
      <c r="F43" s="16" t="s">
        <v>124</v>
      </c>
      <c r="G43" s="130">
        <f>SUM(H34:H42)</f>
        <v>0</v>
      </c>
      <c r="H43" s="131"/>
      <c r="J43" s="21"/>
      <c r="K43" s="22"/>
      <c r="L43" s="22"/>
    </row>
    <row r="44" spans="1:12" ht="16.5" customHeight="1" x14ac:dyDescent="0.3">
      <c r="J44" s="21"/>
    </row>
    <row r="45" spans="1:12" ht="16.5" customHeight="1" x14ac:dyDescent="0.3">
      <c r="B45" s="17" t="s">
        <v>125</v>
      </c>
      <c r="I45" s="18"/>
    </row>
    <row r="46" spans="1:12" ht="16.5" customHeight="1" x14ac:dyDescent="0.3">
      <c r="B46" s="17" t="s">
        <v>126</v>
      </c>
      <c r="C46" s="18"/>
      <c r="D46" s="18"/>
      <c r="E46" s="18"/>
      <c r="F46" s="18"/>
      <c r="G46" s="18"/>
      <c r="H46" s="18"/>
      <c r="I46" s="18"/>
    </row>
    <row r="47" spans="1:12" ht="16.5" customHeight="1" x14ac:dyDescent="0.3">
      <c r="B47" s="19" t="s">
        <v>127</v>
      </c>
      <c r="C47" s="18"/>
      <c r="D47" s="18"/>
      <c r="E47" s="18"/>
      <c r="F47" s="18"/>
      <c r="G47" s="18"/>
      <c r="H47" s="18"/>
      <c r="I47" s="20"/>
    </row>
    <row r="48" spans="1:12" ht="16.5" customHeight="1" x14ac:dyDescent="0.3">
      <c r="D48" s="20"/>
      <c r="E48" s="20"/>
      <c r="F48" s="20"/>
      <c r="G48" s="20"/>
      <c r="H48" s="20"/>
      <c r="I48" s="20"/>
    </row>
    <row r="49" ht="16.5" customHeight="1" x14ac:dyDescent="0.3"/>
    <row r="50" ht="16.5" customHeight="1" x14ac:dyDescent="0.3"/>
    <row r="51" ht="16.5" customHeight="1" x14ac:dyDescent="0.3"/>
    <row r="52" ht="16.5" customHeight="1" x14ac:dyDescent="0.3"/>
    <row r="53" ht="16.5" customHeight="1" x14ac:dyDescent="0.3"/>
    <row r="54" ht="16.5" customHeight="1" x14ac:dyDescent="0.3"/>
    <row r="55" ht="16.5" customHeight="1" x14ac:dyDescent="0.3"/>
    <row r="56" ht="16.5" customHeight="1" x14ac:dyDescent="0.3"/>
    <row r="57" ht="16.5" customHeight="1" x14ac:dyDescent="0.3"/>
    <row r="58" ht="24.9" customHeight="1" x14ac:dyDescent="0.3"/>
    <row r="59" ht="16.5" customHeight="1" x14ac:dyDescent="0.3"/>
    <row r="60" ht="16.5" customHeight="1" x14ac:dyDescent="0.3"/>
    <row r="61" ht="16.5" customHeight="1" x14ac:dyDescent="0.3"/>
    <row r="62" ht="16.5" customHeight="1" x14ac:dyDescent="0.3"/>
    <row r="63" ht="16.5" customHeight="1" x14ac:dyDescent="0.3"/>
    <row r="64" ht="16.5" customHeight="1" x14ac:dyDescent="0.3"/>
    <row r="65" ht="16.5" customHeight="1" x14ac:dyDescent="0.3"/>
    <row r="66" ht="16.5" customHeight="1" x14ac:dyDescent="0.3"/>
    <row r="67" ht="16.5" customHeight="1" x14ac:dyDescent="0.3"/>
  </sheetData>
  <mergeCells count="12">
    <mergeCell ref="G43:H43"/>
    <mergeCell ref="A19:C19"/>
    <mergeCell ref="A20:C20"/>
    <mergeCell ref="A23:C23"/>
    <mergeCell ref="A24:C24"/>
    <mergeCell ref="A25:C25"/>
    <mergeCell ref="A26:C26"/>
    <mergeCell ref="A27:C27"/>
    <mergeCell ref="A28:C28"/>
    <mergeCell ref="A29:C29"/>
    <mergeCell ref="A30:C30"/>
    <mergeCell ref="A31:C31"/>
  </mergeCells>
  <pageMargins left="0.23622047244094491" right="0.23622047244094491" top="0.74803149606299213" bottom="0.74803149606299213" header="0.31496062992125984" footer="0.31496062992125984"/>
  <pageSetup paperSize="9" scale="29"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FB510-CA5C-4080-87E7-90299410CC8C}">
  <sheetPr>
    <tabColor theme="4" tint="0.79998168889431442"/>
    <pageSetUpPr fitToPage="1"/>
  </sheetPr>
  <dimension ref="A1:AC100"/>
  <sheetViews>
    <sheetView showGridLines="0" tabSelected="1" zoomScale="90" zoomScaleNormal="90" workbookViewId="0">
      <pane xSplit="2" ySplit="2" topLeftCell="C55" activePane="bottomRight" state="frozen"/>
      <selection pane="topRight" activeCell="H1" sqref="H1:L1048576"/>
      <selection pane="bottomLeft" activeCell="H1" sqref="H1:L1048576"/>
      <selection pane="bottomRight" activeCell="D72" sqref="D72"/>
    </sheetView>
  </sheetViews>
  <sheetFormatPr defaultColWidth="8.77734375" defaultRowHeight="14.4" x14ac:dyDescent="0.3"/>
  <cols>
    <col min="1" max="1" width="34.109375" style="11" customWidth="1"/>
    <col min="2" max="2" width="26.44140625" style="11" customWidth="1"/>
    <col min="3" max="4" width="20.88671875" style="11" customWidth="1"/>
    <col min="5" max="5" width="21.44140625" style="11" customWidth="1"/>
    <col min="6" max="7" width="20.88671875" style="11" customWidth="1"/>
    <col min="8" max="8" width="19.88671875" style="11" customWidth="1"/>
    <col min="9" max="9" width="15.88671875" style="11" customWidth="1"/>
    <col min="10" max="12" width="18.109375" style="11" customWidth="1"/>
    <col min="13" max="20" width="20.6640625" style="11" customWidth="1"/>
    <col min="21" max="22" width="21.6640625" style="11" customWidth="1"/>
    <col min="23" max="27" width="19.33203125" style="11" customWidth="1"/>
    <col min="28" max="28" width="9.109375" style="11" bestFit="1" customWidth="1"/>
    <col min="29" max="29" width="10.109375" style="11" bestFit="1" customWidth="1"/>
    <col min="30" max="16384" width="8.77734375" style="11"/>
  </cols>
  <sheetData>
    <row r="1" spans="1:29" s="23" customFormat="1" x14ac:dyDescent="0.3">
      <c r="A1" s="83"/>
      <c r="B1" s="83"/>
      <c r="C1" s="83"/>
      <c r="D1" s="24" t="s">
        <v>12</v>
      </c>
      <c r="E1" s="84"/>
      <c r="F1" s="84"/>
      <c r="G1" s="25"/>
      <c r="H1" s="25"/>
      <c r="I1" s="25"/>
      <c r="J1" s="83"/>
      <c r="K1" s="83"/>
      <c r="L1" s="83"/>
      <c r="M1" s="85"/>
      <c r="N1" s="86" t="s">
        <v>13</v>
      </c>
      <c r="O1" s="87">
        <v>47664</v>
      </c>
      <c r="P1" s="83"/>
      <c r="Q1" s="83"/>
      <c r="R1" s="83"/>
      <c r="S1" s="83"/>
      <c r="T1" s="83"/>
      <c r="U1" s="83"/>
      <c r="V1" s="83"/>
      <c r="W1" s="83"/>
      <c r="X1" s="83"/>
      <c r="Y1" s="83"/>
      <c r="Z1" s="83"/>
      <c r="AA1" s="83"/>
      <c r="AB1" s="83"/>
      <c r="AC1" s="83"/>
    </row>
    <row r="2" spans="1:29" s="26" customFormat="1" ht="28.8" x14ac:dyDescent="0.3">
      <c r="A2" s="88" t="s">
        <v>14</v>
      </c>
      <c r="B2" s="88" t="s">
        <v>15</v>
      </c>
      <c r="C2" s="88" t="s">
        <v>16</v>
      </c>
      <c r="D2" s="88" t="s">
        <v>17</v>
      </c>
      <c r="E2" s="89" t="s">
        <v>18</v>
      </c>
      <c r="F2" s="89" t="s">
        <v>19</v>
      </c>
      <c r="G2" s="89" t="s">
        <v>20</v>
      </c>
      <c r="H2" s="90" t="s">
        <v>21</v>
      </c>
      <c r="I2" s="90" t="s">
        <v>22</v>
      </c>
      <c r="J2" s="90" t="s">
        <v>23</v>
      </c>
      <c r="K2" s="90" t="s">
        <v>24</v>
      </c>
      <c r="L2" s="88"/>
      <c r="M2" s="88"/>
      <c r="N2" s="88"/>
      <c r="O2" s="88"/>
      <c r="P2" s="88"/>
      <c r="Q2" s="88"/>
      <c r="R2" s="88"/>
      <c r="S2" s="88"/>
      <c r="T2" s="88"/>
      <c r="U2" s="88"/>
      <c r="V2" s="88"/>
      <c r="W2" s="88"/>
      <c r="X2" s="88"/>
      <c r="Y2" s="88"/>
      <c r="Z2" s="88"/>
      <c r="AA2" s="88"/>
      <c r="AB2" s="88"/>
      <c r="AC2" s="88"/>
    </row>
    <row r="3" spans="1:29" s="23" customFormat="1" ht="15" customHeight="1" x14ac:dyDescent="0.3">
      <c r="A3" t="s">
        <v>181</v>
      </c>
      <c r="B3" s="91" t="s">
        <v>182</v>
      </c>
      <c r="C3" s="83" t="s">
        <v>183</v>
      </c>
      <c r="D3" s="83" t="s">
        <v>33</v>
      </c>
      <c r="E3" s="93"/>
      <c r="F3" s="93">
        <v>2</v>
      </c>
      <c r="G3" s="94">
        <v>46204</v>
      </c>
      <c r="H3">
        <v>40044</v>
      </c>
      <c r="I3">
        <v>177891</v>
      </c>
      <c r="J3" s="95">
        <f>Poolster[[#This Row],[Zw/w p/j]]/12</f>
        <v>3337</v>
      </c>
      <c r="K3" s="95">
        <f>Poolster[[#This Row],[Kleur p/j]]/12</f>
        <v>14824.25</v>
      </c>
      <c r="L3" s="83"/>
      <c r="M3" s="83"/>
      <c r="N3" s="83"/>
      <c r="O3" s="83"/>
      <c r="P3" s="83"/>
      <c r="Q3" s="83"/>
      <c r="R3" s="83"/>
      <c r="S3" s="83"/>
      <c r="T3" s="83"/>
      <c r="U3" s="83"/>
      <c r="V3" s="83"/>
      <c r="W3" s="83"/>
      <c r="X3" s="83"/>
      <c r="Y3" s="83"/>
      <c r="Z3" s="83"/>
      <c r="AA3" s="83"/>
      <c r="AB3" s="83"/>
      <c r="AC3" s="83"/>
    </row>
    <row r="4" spans="1:29" s="23" customFormat="1" ht="15" customHeight="1" x14ac:dyDescent="0.3">
      <c r="A4" t="s">
        <v>184</v>
      </c>
      <c r="B4" s="97" t="s">
        <v>57</v>
      </c>
      <c r="C4" s="83" t="s">
        <v>58</v>
      </c>
      <c r="D4" s="83" t="s">
        <v>33</v>
      </c>
      <c r="E4" s="93">
        <v>1</v>
      </c>
      <c r="F4" s="93"/>
      <c r="G4" s="94">
        <v>46204</v>
      </c>
      <c r="H4">
        <v>9998</v>
      </c>
      <c r="I4">
        <v>21889</v>
      </c>
      <c r="J4" s="95">
        <f>Poolster[[#This Row],[Zw/w p/j]]/12</f>
        <v>833.16666666666663</v>
      </c>
      <c r="K4" s="95">
        <f>Poolster[[#This Row],[Kleur p/j]]/12</f>
        <v>1824.0833333333333</v>
      </c>
      <c r="L4" s="83"/>
      <c r="M4" s="83"/>
      <c r="N4" s="83"/>
      <c r="O4" s="83"/>
      <c r="P4" s="83"/>
      <c r="Q4" s="83"/>
      <c r="R4" s="83"/>
      <c r="S4" s="83"/>
      <c r="T4" s="83"/>
      <c r="U4" s="83"/>
      <c r="V4" s="83"/>
      <c r="W4" s="83"/>
      <c r="X4" s="83"/>
      <c r="Y4" s="83"/>
      <c r="Z4" s="83"/>
      <c r="AA4" s="83"/>
      <c r="AB4" s="83"/>
      <c r="AC4" s="83"/>
    </row>
    <row r="5" spans="1:29" s="23" customFormat="1" ht="15" customHeight="1" x14ac:dyDescent="0.3">
      <c r="A5" t="s">
        <v>185</v>
      </c>
      <c r="B5" s="97" t="s">
        <v>57</v>
      </c>
      <c r="C5" s="83" t="s">
        <v>58</v>
      </c>
      <c r="D5" s="83" t="s">
        <v>33</v>
      </c>
      <c r="E5" s="93"/>
      <c r="F5" s="93">
        <v>1</v>
      </c>
      <c r="G5" s="94">
        <v>46204</v>
      </c>
      <c r="H5">
        <v>3746</v>
      </c>
      <c r="I5">
        <v>7707</v>
      </c>
      <c r="J5" s="95">
        <f>Poolster[[#This Row],[Zw/w p/j]]/12</f>
        <v>312.16666666666669</v>
      </c>
      <c r="K5" s="95">
        <f>Poolster[[#This Row],[Kleur p/j]]/12</f>
        <v>642.25</v>
      </c>
      <c r="L5" s="83"/>
      <c r="M5" s="83"/>
      <c r="N5" s="83"/>
      <c r="O5" s="83"/>
      <c r="P5" s="83"/>
      <c r="Q5" s="83"/>
      <c r="R5" s="83"/>
      <c r="S5" s="83"/>
      <c r="T5" s="83"/>
      <c r="U5" s="83"/>
      <c r="V5" s="83"/>
      <c r="W5" s="83"/>
      <c r="X5" s="83"/>
      <c r="Y5" s="83"/>
      <c r="Z5" s="83"/>
      <c r="AA5" s="83"/>
      <c r="AB5" s="83"/>
      <c r="AC5" s="83"/>
    </row>
    <row r="6" spans="1:29" s="23" customFormat="1" ht="15" customHeight="1" x14ac:dyDescent="0.3">
      <c r="A6" t="s">
        <v>186</v>
      </c>
      <c r="B6" s="91" t="s">
        <v>187</v>
      </c>
      <c r="C6" s="83" t="s">
        <v>188</v>
      </c>
      <c r="D6" s="83" t="s">
        <v>33</v>
      </c>
      <c r="E6" s="93"/>
      <c r="F6" s="93">
        <v>1</v>
      </c>
      <c r="G6" s="94">
        <v>46204</v>
      </c>
      <c r="H6">
        <v>39874</v>
      </c>
      <c r="I6">
        <v>52394</v>
      </c>
      <c r="J6" s="95">
        <f>Poolster[[#This Row],[Zw/w p/j]]/12</f>
        <v>3322.8333333333335</v>
      </c>
      <c r="K6" s="95">
        <f>Poolster[[#This Row],[Kleur p/j]]/12</f>
        <v>4366.166666666667</v>
      </c>
      <c r="L6" s="83"/>
      <c r="M6" s="83"/>
      <c r="N6" s="83"/>
      <c r="O6" s="83"/>
      <c r="P6" s="83"/>
      <c r="Q6" s="83"/>
      <c r="R6" s="83"/>
      <c r="S6" s="83"/>
      <c r="T6" s="83"/>
      <c r="U6" s="83"/>
      <c r="V6" s="83"/>
      <c r="W6" s="83"/>
      <c r="X6" s="83"/>
      <c r="Y6" s="83"/>
      <c r="Z6" s="83"/>
      <c r="AA6" s="83"/>
      <c r="AB6" s="83"/>
      <c r="AC6" s="83"/>
    </row>
    <row r="7" spans="1:29" s="23" customFormat="1" ht="15" customHeight="1" x14ac:dyDescent="0.3">
      <c r="A7" t="s">
        <v>186</v>
      </c>
      <c r="B7" s="91" t="s">
        <v>187</v>
      </c>
      <c r="C7" s="83" t="s">
        <v>188</v>
      </c>
      <c r="D7" s="83" t="s">
        <v>33</v>
      </c>
      <c r="E7" s="93">
        <v>1</v>
      </c>
      <c r="F7" s="93"/>
      <c r="G7" s="94">
        <v>46204</v>
      </c>
      <c r="H7">
        <v>5009</v>
      </c>
      <c r="I7">
        <v>6251</v>
      </c>
      <c r="J7" s="95">
        <f>Poolster[[#This Row],[Zw/w p/j]]/12</f>
        <v>417.41666666666669</v>
      </c>
      <c r="K7" s="95">
        <f>Poolster[[#This Row],[Kleur p/j]]/12</f>
        <v>520.91666666666663</v>
      </c>
      <c r="L7" s="83"/>
      <c r="M7" s="83"/>
      <c r="N7" s="83"/>
      <c r="O7" s="83"/>
      <c r="P7" s="83"/>
      <c r="Q7" s="83"/>
      <c r="R7" s="83"/>
      <c r="S7" s="83"/>
      <c r="T7" s="83"/>
      <c r="U7" s="83"/>
      <c r="V7" s="83"/>
      <c r="W7" s="83"/>
      <c r="X7" s="83"/>
      <c r="Y7" s="83"/>
      <c r="Z7" s="83"/>
      <c r="AA7" s="83"/>
      <c r="AB7" s="83"/>
      <c r="AC7" s="83"/>
    </row>
    <row r="8" spans="1:29" s="23" customFormat="1" ht="15" customHeight="1" x14ac:dyDescent="0.3">
      <c r="A8" t="s">
        <v>189</v>
      </c>
      <c r="B8" s="91" t="s">
        <v>190</v>
      </c>
      <c r="C8" s="83" t="s">
        <v>191</v>
      </c>
      <c r="D8" s="83" t="s">
        <v>33</v>
      </c>
      <c r="E8" s="93"/>
      <c r="F8" s="93">
        <v>1</v>
      </c>
      <c r="G8" s="94">
        <v>46204</v>
      </c>
      <c r="H8">
        <v>50679</v>
      </c>
      <c r="I8">
        <v>55545</v>
      </c>
      <c r="J8" s="95">
        <f>Poolster[[#This Row],[Zw/w p/j]]/12</f>
        <v>4223.25</v>
      </c>
      <c r="K8" s="95">
        <f>Poolster[[#This Row],[Kleur p/j]]/12</f>
        <v>4628.75</v>
      </c>
      <c r="L8" s="83"/>
      <c r="M8" s="83"/>
      <c r="N8" s="83"/>
      <c r="O8" s="83"/>
      <c r="P8" s="83"/>
      <c r="Q8" s="83"/>
      <c r="R8" s="83"/>
      <c r="S8" s="83"/>
      <c r="T8" s="83"/>
      <c r="U8" s="83"/>
      <c r="V8" s="83"/>
      <c r="W8" s="83"/>
      <c r="X8" s="83"/>
      <c r="Y8" s="83"/>
      <c r="Z8" s="83"/>
      <c r="AA8" s="83"/>
      <c r="AB8" s="83"/>
      <c r="AC8" s="83"/>
    </row>
    <row r="9" spans="1:29" s="23" customFormat="1" ht="15" customHeight="1" x14ac:dyDescent="0.3">
      <c r="A9" t="s">
        <v>192</v>
      </c>
      <c r="B9" s="91" t="s">
        <v>193</v>
      </c>
      <c r="C9" s="83" t="s">
        <v>194</v>
      </c>
      <c r="D9" s="83" t="s">
        <v>33</v>
      </c>
      <c r="E9" s="93"/>
      <c r="F9" s="93">
        <v>1</v>
      </c>
      <c r="G9" s="94">
        <v>46204</v>
      </c>
      <c r="H9">
        <v>5827</v>
      </c>
      <c r="I9">
        <v>8902</v>
      </c>
      <c r="J9" s="95">
        <f>Poolster[[#This Row],[Zw/w p/j]]/12</f>
        <v>485.58333333333331</v>
      </c>
      <c r="K9" s="95">
        <f>Poolster[[#This Row],[Kleur p/j]]/12</f>
        <v>741.83333333333337</v>
      </c>
      <c r="L9" s="83"/>
      <c r="M9" s="83"/>
      <c r="N9" s="83"/>
      <c r="O9" s="83"/>
      <c r="P9" s="83"/>
      <c r="Q9" s="83"/>
      <c r="R9" s="83"/>
      <c r="S9" s="83"/>
      <c r="T9" s="83"/>
      <c r="U9" s="83"/>
      <c r="V9" s="83"/>
      <c r="W9" s="83"/>
      <c r="X9" s="83"/>
      <c r="Y9" s="83"/>
      <c r="Z9" s="83"/>
      <c r="AA9" s="83"/>
      <c r="AB9" s="83"/>
      <c r="AC9" s="83"/>
    </row>
    <row r="10" spans="1:29" s="23" customFormat="1" ht="15" customHeight="1" x14ac:dyDescent="0.3">
      <c r="A10" t="s">
        <v>195</v>
      </c>
      <c r="B10" s="91" t="s">
        <v>193</v>
      </c>
      <c r="C10" s="83" t="s">
        <v>194</v>
      </c>
      <c r="D10" s="83" t="s">
        <v>33</v>
      </c>
      <c r="E10" s="93">
        <v>1</v>
      </c>
      <c r="F10" s="93"/>
      <c r="G10" s="94">
        <v>46204</v>
      </c>
      <c r="H10">
        <v>20195</v>
      </c>
      <c r="I10">
        <v>50629</v>
      </c>
      <c r="J10" s="95">
        <f>Poolster[[#This Row],[Zw/w p/j]]/12</f>
        <v>1682.9166666666667</v>
      </c>
      <c r="K10" s="95">
        <f>Poolster[[#This Row],[Kleur p/j]]/12</f>
        <v>4219.083333333333</v>
      </c>
      <c r="L10" s="83"/>
      <c r="M10" s="83"/>
      <c r="N10" s="83"/>
      <c r="O10" s="83"/>
      <c r="P10" s="83"/>
      <c r="Q10" s="83"/>
      <c r="R10" s="83"/>
      <c r="S10" s="83"/>
      <c r="T10" s="83"/>
      <c r="U10" s="83"/>
      <c r="V10" s="83"/>
      <c r="W10" s="83"/>
      <c r="X10" s="83"/>
      <c r="Y10" s="83"/>
      <c r="Z10" s="83"/>
      <c r="AA10" s="83"/>
      <c r="AB10" s="83"/>
      <c r="AC10" s="83"/>
    </row>
    <row r="11" spans="1:29" s="23" customFormat="1" ht="15" customHeight="1" x14ac:dyDescent="0.3">
      <c r="A11" t="s">
        <v>196</v>
      </c>
      <c r="B11" s="91" t="s">
        <v>197</v>
      </c>
      <c r="C11" s="83" t="s">
        <v>198</v>
      </c>
      <c r="D11" s="83" t="s">
        <v>33</v>
      </c>
      <c r="E11" s="93"/>
      <c r="F11" s="93">
        <v>1</v>
      </c>
      <c r="G11" s="94">
        <v>46204</v>
      </c>
      <c r="H11">
        <v>27053</v>
      </c>
      <c r="I11">
        <v>57193</v>
      </c>
      <c r="J11" s="95">
        <f>Poolster[[#This Row],[Zw/w p/j]]/12</f>
        <v>2254.4166666666665</v>
      </c>
      <c r="K11" s="95">
        <f>Poolster[[#This Row],[Kleur p/j]]/12</f>
        <v>4766.083333333333</v>
      </c>
      <c r="L11" s="83"/>
      <c r="M11" s="83"/>
      <c r="N11" s="83"/>
      <c r="O11" s="83"/>
      <c r="P11" s="83"/>
      <c r="Q11" s="83"/>
      <c r="R11" s="83"/>
      <c r="S11" s="83"/>
      <c r="T11" s="83"/>
      <c r="U11" s="83"/>
      <c r="V11" s="83"/>
      <c r="W11" s="83"/>
      <c r="X11" s="83"/>
      <c r="Y11" s="83"/>
      <c r="Z11" s="83"/>
      <c r="AA11" s="83"/>
      <c r="AB11" s="83"/>
      <c r="AC11" s="83"/>
    </row>
    <row r="12" spans="1:29" s="23" customFormat="1" ht="15" customHeight="1" x14ac:dyDescent="0.3">
      <c r="A12" t="s">
        <v>199</v>
      </c>
      <c r="B12" s="91" t="s">
        <v>197</v>
      </c>
      <c r="C12" s="83" t="s">
        <v>198</v>
      </c>
      <c r="D12" s="83" t="s">
        <v>33</v>
      </c>
      <c r="E12" s="93">
        <v>1</v>
      </c>
      <c r="F12" s="93"/>
      <c r="G12" s="94">
        <v>46204</v>
      </c>
      <c r="H12">
        <v>8911</v>
      </c>
      <c r="I12">
        <v>11194</v>
      </c>
      <c r="J12" s="95">
        <f>Poolster[[#This Row],[Zw/w p/j]]/12</f>
        <v>742.58333333333337</v>
      </c>
      <c r="K12" s="95">
        <f>Poolster[[#This Row],[Kleur p/j]]/12</f>
        <v>932.83333333333337</v>
      </c>
      <c r="L12" s="83"/>
      <c r="M12" s="83"/>
      <c r="N12" s="83"/>
      <c r="O12" s="83"/>
      <c r="P12" s="83"/>
      <c r="Q12" s="83"/>
      <c r="R12" s="83"/>
      <c r="S12" s="83"/>
      <c r="T12" s="83"/>
      <c r="U12" s="83"/>
      <c r="V12" s="83"/>
      <c r="W12" s="83"/>
      <c r="X12" s="83"/>
      <c r="Y12" s="83"/>
      <c r="Z12" s="83"/>
      <c r="AA12" s="83"/>
      <c r="AB12" s="83"/>
      <c r="AC12" s="83"/>
    </row>
    <row r="13" spans="1:29" s="23" customFormat="1" ht="15" customHeight="1" x14ac:dyDescent="0.3">
      <c r="A13" t="s">
        <v>196</v>
      </c>
      <c r="B13" s="91" t="s">
        <v>197</v>
      </c>
      <c r="C13" s="83" t="s">
        <v>198</v>
      </c>
      <c r="D13" s="83" t="s">
        <v>33</v>
      </c>
      <c r="E13" s="93"/>
      <c r="F13" s="93">
        <v>1</v>
      </c>
      <c r="G13" s="94">
        <v>46204</v>
      </c>
      <c r="H13">
        <v>105093</v>
      </c>
      <c r="I13">
        <v>65590</v>
      </c>
      <c r="J13" s="95">
        <f>Poolster[[#This Row],[Zw/w p/j]]/12</f>
        <v>8757.75</v>
      </c>
      <c r="K13" s="95">
        <f>Poolster[[#This Row],[Kleur p/j]]/12</f>
        <v>5465.833333333333</v>
      </c>
      <c r="L13" s="83"/>
      <c r="M13" s="83"/>
      <c r="N13" s="83"/>
      <c r="O13" s="83"/>
      <c r="P13" s="83"/>
      <c r="Q13" s="83"/>
      <c r="R13" s="83"/>
      <c r="S13" s="83"/>
      <c r="T13" s="83"/>
      <c r="U13" s="83"/>
      <c r="V13" s="83"/>
      <c r="W13" s="83"/>
      <c r="X13" s="83"/>
      <c r="Y13" s="83"/>
      <c r="Z13" s="83"/>
      <c r="AA13" s="83"/>
      <c r="AB13" s="83"/>
      <c r="AC13" s="83"/>
    </row>
    <row r="14" spans="1:29" s="23" customFormat="1" ht="15" customHeight="1" x14ac:dyDescent="0.3">
      <c r="A14" t="s">
        <v>200</v>
      </c>
      <c r="B14" s="91" t="s">
        <v>201</v>
      </c>
      <c r="C14" s="83" t="s">
        <v>202</v>
      </c>
      <c r="D14" s="83" t="s">
        <v>33</v>
      </c>
      <c r="E14" s="93"/>
      <c r="F14" s="93">
        <v>1</v>
      </c>
      <c r="G14" s="94">
        <v>46204</v>
      </c>
      <c r="H14">
        <v>14777</v>
      </c>
      <c r="I14">
        <v>25817</v>
      </c>
      <c r="J14" s="95">
        <f>Poolster[[#This Row],[Zw/w p/j]]/12</f>
        <v>1231.4166666666667</v>
      </c>
      <c r="K14" s="95">
        <f>Poolster[[#This Row],[Kleur p/j]]/12</f>
        <v>2151.4166666666665</v>
      </c>
      <c r="L14" s="83"/>
      <c r="M14" s="83"/>
      <c r="N14" s="83"/>
      <c r="O14" s="83"/>
      <c r="P14" s="83"/>
      <c r="Q14" s="83"/>
      <c r="R14" s="83"/>
      <c r="S14" s="83"/>
      <c r="T14" s="83"/>
      <c r="U14" s="83"/>
      <c r="V14" s="83"/>
      <c r="W14" s="83"/>
      <c r="X14" s="83"/>
      <c r="Y14" s="83"/>
      <c r="Z14" s="83"/>
      <c r="AA14" s="83"/>
      <c r="AB14" s="83"/>
      <c r="AC14" s="83"/>
    </row>
    <row r="15" spans="1:29" s="23" customFormat="1" ht="15" customHeight="1" x14ac:dyDescent="0.3">
      <c r="A15" t="s">
        <v>200</v>
      </c>
      <c r="B15" s="91" t="s">
        <v>203</v>
      </c>
      <c r="C15" s="83" t="s">
        <v>202</v>
      </c>
      <c r="D15" s="83" t="s">
        <v>33</v>
      </c>
      <c r="E15" s="93"/>
      <c r="F15" s="93">
        <v>1</v>
      </c>
      <c r="G15" s="94">
        <v>46204</v>
      </c>
      <c r="H15">
        <v>168183</v>
      </c>
      <c r="I15">
        <v>117097</v>
      </c>
      <c r="J15" s="95">
        <f>Poolster[[#This Row],[Zw/w p/j]]/12</f>
        <v>14015.25</v>
      </c>
      <c r="K15" s="95">
        <f>Poolster[[#This Row],[Kleur p/j]]/12</f>
        <v>9758.0833333333339</v>
      </c>
      <c r="L15" s="83"/>
      <c r="M15" s="83"/>
      <c r="N15" s="83"/>
      <c r="O15" s="83"/>
      <c r="P15" s="83"/>
      <c r="Q15" s="83"/>
      <c r="R15" s="83"/>
      <c r="S15" s="83"/>
      <c r="T15" s="83"/>
      <c r="U15" s="83"/>
      <c r="V15" s="83"/>
      <c r="W15" s="83"/>
      <c r="X15" s="83"/>
      <c r="Y15" s="83"/>
      <c r="Z15" s="83"/>
      <c r="AA15" s="83"/>
      <c r="AB15" s="83"/>
      <c r="AC15" s="83"/>
    </row>
    <row r="16" spans="1:29" s="23" customFormat="1" ht="15" customHeight="1" x14ac:dyDescent="0.3">
      <c r="A16" t="s">
        <v>200</v>
      </c>
      <c r="B16" s="91" t="s">
        <v>203</v>
      </c>
      <c r="C16" s="83" t="s">
        <v>202</v>
      </c>
      <c r="D16" s="83" t="s">
        <v>33</v>
      </c>
      <c r="E16" s="93">
        <v>1</v>
      </c>
      <c r="F16" s="93"/>
      <c r="G16" s="94">
        <v>46204</v>
      </c>
      <c r="H16">
        <v>2133</v>
      </c>
      <c r="I16">
        <v>4289</v>
      </c>
      <c r="J16" s="95">
        <f>Poolster[[#This Row],[Zw/w p/j]]/12</f>
        <v>177.75</v>
      </c>
      <c r="K16" s="95">
        <f>Poolster[[#This Row],[Kleur p/j]]/12</f>
        <v>357.41666666666669</v>
      </c>
      <c r="L16" s="83"/>
      <c r="M16" s="83"/>
      <c r="N16" s="83"/>
      <c r="O16" s="83"/>
      <c r="P16" s="83"/>
      <c r="Q16" s="83"/>
      <c r="R16" s="83"/>
      <c r="S16" s="83"/>
      <c r="T16" s="83"/>
      <c r="U16" s="83"/>
      <c r="V16" s="83"/>
      <c r="W16" s="83"/>
      <c r="X16" s="83"/>
      <c r="Y16" s="83"/>
      <c r="Z16" s="83"/>
      <c r="AA16" s="83"/>
      <c r="AB16" s="83"/>
      <c r="AC16" s="83"/>
    </row>
    <row r="17" spans="1:29" s="23" customFormat="1" ht="15" customHeight="1" x14ac:dyDescent="0.3">
      <c r="A17" t="s">
        <v>204</v>
      </c>
      <c r="B17" s="91" t="s">
        <v>205</v>
      </c>
      <c r="C17" s="83" t="s">
        <v>206</v>
      </c>
      <c r="D17" s="83" t="s">
        <v>33</v>
      </c>
      <c r="E17" s="93">
        <v>1</v>
      </c>
      <c r="F17" s="93"/>
      <c r="G17" s="94">
        <v>46204</v>
      </c>
      <c r="H17">
        <v>956</v>
      </c>
      <c r="I17">
        <v>653</v>
      </c>
      <c r="J17" s="95">
        <f>Poolster[[#This Row],[Zw/w p/j]]/12</f>
        <v>79.666666666666671</v>
      </c>
      <c r="K17" s="95">
        <f>Poolster[[#This Row],[Kleur p/j]]/12</f>
        <v>54.416666666666664</v>
      </c>
      <c r="L17" s="83"/>
      <c r="M17" s="83"/>
      <c r="N17" s="83"/>
      <c r="O17" s="83"/>
      <c r="P17" s="83"/>
      <c r="Q17" s="83"/>
      <c r="R17" s="83"/>
      <c r="S17" s="83"/>
      <c r="T17" s="83"/>
      <c r="U17" s="83"/>
      <c r="V17" s="83"/>
      <c r="W17" s="83"/>
      <c r="X17" s="83"/>
      <c r="Y17" s="83"/>
      <c r="Z17" s="83"/>
      <c r="AA17" s="83"/>
      <c r="AB17" s="83"/>
      <c r="AC17" s="83"/>
    </row>
    <row r="18" spans="1:29" s="27" customFormat="1" ht="15" customHeight="1" x14ac:dyDescent="0.3">
      <c r="A18" t="s">
        <v>204</v>
      </c>
      <c r="B18" s="91" t="s">
        <v>205</v>
      </c>
      <c r="C18" s="83" t="s">
        <v>206</v>
      </c>
      <c r="D18" s="83" t="s">
        <v>33</v>
      </c>
      <c r="E18" s="93"/>
      <c r="F18" s="93">
        <v>1</v>
      </c>
      <c r="G18" s="94">
        <v>46204</v>
      </c>
      <c r="H18">
        <v>101684</v>
      </c>
      <c r="I18">
        <v>68247</v>
      </c>
      <c r="J18" s="95">
        <f>Poolster[[#This Row],[Zw/w p/j]]/12</f>
        <v>8473.6666666666661</v>
      </c>
      <c r="K18" s="95">
        <f>Poolster[[#This Row],[Kleur p/j]]/12</f>
        <v>5687.25</v>
      </c>
      <c r="L18" s="98"/>
      <c r="M18" s="98"/>
      <c r="N18" s="98"/>
      <c r="O18" s="98"/>
      <c r="P18" s="98"/>
      <c r="Q18" s="98"/>
      <c r="R18" s="98"/>
      <c r="S18" s="98"/>
      <c r="T18" s="98"/>
      <c r="U18" s="98"/>
      <c r="V18" s="98"/>
      <c r="W18" s="98"/>
      <c r="X18" s="98"/>
      <c r="Y18" s="98"/>
      <c r="Z18" s="98"/>
      <c r="AA18" s="98"/>
      <c r="AB18" s="98"/>
      <c r="AC18" s="98"/>
    </row>
    <row r="19" spans="1:29" s="27" customFormat="1" ht="15" customHeight="1" x14ac:dyDescent="0.3">
      <c r="A19" t="s">
        <v>207</v>
      </c>
      <c r="B19" s="91" t="s">
        <v>205</v>
      </c>
      <c r="C19" s="83" t="s">
        <v>206</v>
      </c>
      <c r="D19" s="83" t="s">
        <v>33</v>
      </c>
      <c r="E19" s="93"/>
      <c r="F19" s="93">
        <v>1</v>
      </c>
      <c r="G19" s="94">
        <v>46204</v>
      </c>
      <c r="H19">
        <v>65374</v>
      </c>
      <c r="I19">
        <v>66655</v>
      </c>
      <c r="J19" s="95">
        <f>Poolster[[#This Row],[Zw/w p/j]]/12</f>
        <v>5447.833333333333</v>
      </c>
      <c r="K19" s="95">
        <f>Poolster[[#This Row],[Kleur p/j]]/12</f>
        <v>5554.583333333333</v>
      </c>
      <c r="L19" s="98"/>
      <c r="M19" s="98"/>
      <c r="N19" s="98"/>
      <c r="O19" s="98"/>
      <c r="P19" s="98"/>
      <c r="Q19" s="98"/>
      <c r="R19" s="98"/>
      <c r="S19" s="98"/>
      <c r="T19" s="98"/>
      <c r="U19" s="98"/>
      <c r="V19" s="98"/>
      <c r="W19" s="98"/>
      <c r="X19" s="98"/>
      <c r="Y19" s="98"/>
      <c r="Z19" s="98"/>
      <c r="AA19" s="98"/>
      <c r="AB19" s="98"/>
      <c r="AC19" s="98"/>
    </row>
    <row r="20" spans="1:29" s="27" customFormat="1" ht="15" customHeight="1" x14ac:dyDescent="0.3">
      <c r="A20" t="s">
        <v>208</v>
      </c>
      <c r="B20" s="91" t="s">
        <v>209</v>
      </c>
      <c r="C20" s="83" t="s">
        <v>210</v>
      </c>
      <c r="D20" s="83" t="s">
        <v>33</v>
      </c>
      <c r="E20" s="93"/>
      <c r="F20" s="93">
        <v>1</v>
      </c>
      <c r="G20" s="94">
        <v>46204</v>
      </c>
      <c r="H20">
        <v>39173</v>
      </c>
      <c r="I20">
        <v>36868</v>
      </c>
      <c r="J20" s="95">
        <f>Poolster[[#This Row],[Zw/w p/j]]/12</f>
        <v>3264.4166666666665</v>
      </c>
      <c r="K20" s="95">
        <f>Poolster[[#This Row],[Kleur p/j]]/12</f>
        <v>3072.3333333333335</v>
      </c>
      <c r="L20" s="98"/>
      <c r="M20" s="98"/>
      <c r="N20" s="98"/>
      <c r="O20" s="98"/>
      <c r="P20" s="98"/>
      <c r="Q20" s="98"/>
      <c r="R20" s="98"/>
      <c r="S20" s="98"/>
      <c r="T20" s="98"/>
      <c r="U20" s="98"/>
      <c r="V20" s="98"/>
      <c r="W20" s="98"/>
      <c r="X20" s="98"/>
      <c r="Y20" s="98"/>
      <c r="Z20" s="98"/>
      <c r="AA20" s="98"/>
      <c r="AB20" s="98"/>
      <c r="AC20" s="98"/>
    </row>
    <row r="21" spans="1:29" s="27" customFormat="1" ht="15" customHeight="1" x14ac:dyDescent="0.3">
      <c r="A21" t="s">
        <v>208</v>
      </c>
      <c r="B21" s="91" t="s">
        <v>209</v>
      </c>
      <c r="C21" s="83" t="s">
        <v>210</v>
      </c>
      <c r="D21" s="83" t="s">
        <v>33</v>
      </c>
      <c r="E21" s="93">
        <v>1</v>
      </c>
      <c r="F21" s="93"/>
      <c r="G21" s="94">
        <v>46204</v>
      </c>
      <c r="H21">
        <v>248</v>
      </c>
      <c r="I21">
        <v>458</v>
      </c>
      <c r="J21" s="95">
        <f>Poolster[[#This Row],[Zw/w p/j]]/12</f>
        <v>20.666666666666668</v>
      </c>
      <c r="K21" s="95">
        <f>Poolster[[#This Row],[Kleur p/j]]/12</f>
        <v>38.166666666666664</v>
      </c>
      <c r="L21" s="98"/>
      <c r="M21" s="98"/>
      <c r="N21" s="98"/>
      <c r="O21" s="98"/>
      <c r="P21" s="98"/>
      <c r="Q21" s="98"/>
      <c r="R21" s="98"/>
      <c r="S21" s="98"/>
      <c r="T21" s="98"/>
      <c r="U21" s="98"/>
      <c r="V21" s="98"/>
      <c r="W21" s="98"/>
      <c r="X21" s="98"/>
      <c r="Y21" s="98"/>
      <c r="Z21" s="98"/>
      <c r="AA21" s="98"/>
      <c r="AB21" s="98"/>
      <c r="AC21" s="98"/>
    </row>
    <row r="22" spans="1:29" s="27" customFormat="1" ht="15" customHeight="1" x14ac:dyDescent="0.3">
      <c r="A22" t="s">
        <v>211</v>
      </c>
      <c r="B22" s="91" t="s">
        <v>212</v>
      </c>
      <c r="C22" s="83" t="s">
        <v>213</v>
      </c>
      <c r="D22" s="83" t="s">
        <v>33</v>
      </c>
      <c r="E22" s="93"/>
      <c r="F22" s="93">
        <v>1</v>
      </c>
      <c r="G22" s="94">
        <v>46204</v>
      </c>
      <c r="H22">
        <v>16160</v>
      </c>
      <c r="I22">
        <v>21650</v>
      </c>
      <c r="J22" s="95">
        <f>Poolster[[#This Row],[Zw/w p/j]]/12</f>
        <v>1346.6666666666667</v>
      </c>
      <c r="K22" s="95">
        <f>Poolster[[#This Row],[Kleur p/j]]/12</f>
        <v>1804.1666666666667</v>
      </c>
      <c r="L22" s="98"/>
      <c r="M22" s="98"/>
      <c r="N22" s="98"/>
      <c r="O22" s="98"/>
      <c r="P22" s="98"/>
      <c r="Q22" s="98"/>
      <c r="R22" s="98"/>
      <c r="S22" s="98"/>
      <c r="T22" s="98"/>
      <c r="U22" s="98"/>
      <c r="V22" s="98"/>
      <c r="W22" s="98"/>
      <c r="X22" s="98"/>
      <c r="Y22" s="98"/>
      <c r="Z22" s="98"/>
      <c r="AA22" s="98"/>
      <c r="AB22" s="98"/>
      <c r="AC22" s="98"/>
    </row>
    <row r="23" spans="1:29" s="27" customFormat="1" ht="15" customHeight="1" x14ac:dyDescent="0.3">
      <c r="A23" t="s">
        <v>211</v>
      </c>
      <c r="B23" s="91" t="s">
        <v>212</v>
      </c>
      <c r="C23" s="83" t="s">
        <v>213</v>
      </c>
      <c r="D23" s="83" t="s">
        <v>33</v>
      </c>
      <c r="E23" s="93">
        <v>1</v>
      </c>
      <c r="F23" s="93"/>
      <c r="G23" s="94">
        <v>46204</v>
      </c>
      <c r="H23">
        <v>113492</v>
      </c>
      <c r="I23">
        <v>85843</v>
      </c>
      <c r="J23" s="95">
        <f>Poolster[[#This Row],[Zw/w p/j]]/12</f>
        <v>9457.6666666666661</v>
      </c>
      <c r="K23" s="95">
        <f>Poolster[[#This Row],[Kleur p/j]]/12</f>
        <v>7153.583333333333</v>
      </c>
      <c r="L23" s="98"/>
      <c r="M23" s="98"/>
      <c r="N23" s="98"/>
      <c r="O23" s="98"/>
      <c r="P23" s="98"/>
      <c r="Q23" s="98"/>
      <c r="R23" s="98"/>
      <c r="S23" s="98"/>
      <c r="T23" s="98"/>
      <c r="U23" s="98"/>
      <c r="V23" s="98"/>
      <c r="W23" s="98"/>
      <c r="X23" s="98"/>
      <c r="Y23" s="98"/>
      <c r="Z23" s="98"/>
      <c r="AA23" s="98"/>
      <c r="AB23" s="98"/>
      <c r="AC23" s="98"/>
    </row>
    <row r="24" spans="1:29" s="27" customFormat="1" ht="15" customHeight="1" x14ac:dyDescent="0.3">
      <c r="A24" t="s">
        <v>214</v>
      </c>
      <c r="B24" s="91" t="s">
        <v>215</v>
      </c>
      <c r="C24" s="83" t="s">
        <v>216</v>
      </c>
      <c r="D24" s="83" t="s">
        <v>33</v>
      </c>
      <c r="E24" s="93">
        <v>1</v>
      </c>
      <c r="F24" s="93"/>
      <c r="G24" s="94">
        <v>46204</v>
      </c>
      <c r="H24">
        <v>7839</v>
      </c>
      <c r="I24">
        <v>10945</v>
      </c>
      <c r="J24" s="95">
        <f>Poolster[[#This Row],[Zw/w p/j]]/12</f>
        <v>653.25</v>
      </c>
      <c r="K24" s="95">
        <f>Poolster[[#This Row],[Kleur p/j]]/12</f>
        <v>912.08333333333337</v>
      </c>
      <c r="L24" s="98"/>
      <c r="M24" s="98"/>
      <c r="N24" s="98"/>
      <c r="O24" s="98"/>
      <c r="P24" s="98"/>
      <c r="Q24" s="98"/>
      <c r="R24" s="98"/>
      <c r="S24" s="98"/>
      <c r="T24" s="98"/>
      <c r="U24" s="98"/>
      <c r="V24" s="98"/>
      <c r="W24" s="98"/>
      <c r="X24" s="98"/>
      <c r="Y24" s="98"/>
      <c r="Z24" s="98"/>
      <c r="AA24" s="98"/>
      <c r="AB24" s="98"/>
      <c r="AC24" s="98"/>
    </row>
    <row r="25" spans="1:29" s="27" customFormat="1" ht="15" customHeight="1" x14ac:dyDescent="0.3">
      <c r="A25" t="s">
        <v>217</v>
      </c>
      <c r="B25" s="91" t="s">
        <v>215</v>
      </c>
      <c r="C25" s="83" t="s">
        <v>216</v>
      </c>
      <c r="D25" s="83" t="s">
        <v>33</v>
      </c>
      <c r="E25" s="93"/>
      <c r="F25" s="93">
        <v>1</v>
      </c>
      <c r="G25" s="94">
        <v>46204</v>
      </c>
      <c r="H25">
        <v>79915</v>
      </c>
      <c r="I25">
        <v>47383</v>
      </c>
      <c r="J25" s="95">
        <f>Poolster[[#This Row],[Zw/w p/j]]/12</f>
        <v>6659.583333333333</v>
      </c>
      <c r="K25" s="95">
        <f>Poolster[[#This Row],[Kleur p/j]]/12</f>
        <v>3948.5833333333335</v>
      </c>
      <c r="L25" s="98"/>
      <c r="M25" s="98"/>
      <c r="N25" s="98"/>
      <c r="O25" s="98"/>
      <c r="P25" s="98"/>
      <c r="Q25" s="98"/>
      <c r="R25" s="98"/>
      <c r="S25" s="98"/>
      <c r="T25" s="98"/>
      <c r="U25" s="98"/>
      <c r="V25" s="98"/>
      <c r="W25" s="98"/>
      <c r="X25" s="98"/>
      <c r="Y25" s="98"/>
      <c r="Z25" s="98"/>
      <c r="AA25" s="98"/>
      <c r="AB25" s="98"/>
      <c r="AC25" s="98"/>
    </row>
    <row r="26" spans="1:29" s="27" customFormat="1" ht="15" customHeight="1" x14ac:dyDescent="0.3">
      <c r="A26" t="s">
        <v>218</v>
      </c>
      <c r="B26" s="91" t="s">
        <v>215</v>
      </c>
      <c r="C26" s="83" t="s">
        <v>216</v>
      </c>
      <c r="D26" s="83" t="s">
        <v>33</v>
      </c>
      <c r="E26" s="93">
        <v>1</v>
      </c>
      <c r="F26" s="93"/>
      <c r="G26" s="94">
        <v>46204</v>
      </c>
      <c r="H26">
        <v>1694</v>
      </c>
      <c r="I26">
        <v>0</v>
      </c>
      <c r="J26" s="95">
        <f>Poolster[[#This Row],[Zw/w p/j]]/12</f>
        <v>141.16666666666666</v>
      </c>
      <c r="K26" s="95">
        <f>Poolster[[#This Row],[Kleur p/j]]/12</f>
        <v>0</v>
      </c>
      <c r="L26" s="98"/>
      <c r="M26" s="98"/>
      <c r="N26" s="98"/>
      <c r="O26" s="98"/>
      <c r="P26" s="98"/>
      <c r="Q26" s="98"/>
      <c r="R26" s="98"/>
      <c r="S26" s="98"/>
      <c r="T26" s="98"/>
      <c r="U26" s="98"/>
      <c r="V26" s="98"/>
      <c r="W26" s="98"/>
      <c r="X26" s="98"/>
      <c r="Y26" s="98"/>
      <c r="Z26" s="98"/>
      <c r="AA26" s="98"/>
      <c r="AB26" s="98"/>
      <c r="AC26" s="98"/>
    </row>
    <row r="27" spans="1:29" s="27" customFormat="1" ht="15" customHeight="1" x14ac:dyDescent="0.3">
      <c r="A27" t="s">
        <v>219</v>
      </c>
      <c r="B27" s="91" t="s">
        <v>220</v>
      </c>
      <c r="C27" s="83" t="s">
        <v>221</v>
      </c>
      <c r="D27" s="83" t="s">
        <v>33</v>
      </c>
      <c r="E27" s="93">
        <v>1</v>
      </c>
      <c r="F27" s="93"/>
      <c r="G27" s="94">
        <v>46204</v>
      </c>
      <c r="H27">
        <v>50019</v>
      </c>
      <c r="I27">
        <v>152938</v>
      </c>
      <c r="J27" s="95">
        <f>Poolster[[#This Row],[Zw/w p/j]]/12</f>
        <v>4168.25</v>
      </c>
      <c r="K27" s="95">
        <f>Poolster[[#This Row],[Kleur p/j]]/12</f>
        <v>12744.833333333334</v>
      </c>
      <c r="L27" s="98"/>
      <c r="M27" s="98"/>
      <c r="N27" s="98"/>
      <c r="O27" s="98"/>
      <c r="P27" s="98"/>
      <c r="Q27" s="98"/>
      <c r="R27" s="98"/>
      <c r="S27" s="98"/>
      <c r="T27" s="98"/>
      <c r="U27" s="98"/>
      <c r="V27" s="98"/>
      <c r="W27" s="98"/>
      <c r="X27" s="98"/>
      <c r="Y27" s="98"/>
      <c r="Z27" s="98"/>
      <c r="AA27" s="98"/>
      <c r="AB27" s="98"/>
      <c r="AC27" s="98"/>
    </row>
    <row r="28" spans="1:29" s="27" customFormat="1" ht="15" customHeight="1" x14ac:dyDescent="0.3">
      <c r="A28" t="s">
        <v>222</v>
      </c>
      <c r="B28" s="91" t="s">
        <v>220</v>
      </c>
      <c r="C28" s="83" t="s">
        <v>221</v>
      </c>
      <c r="D28" s="83" t="s">
        <v>33</v>
      </c>
      <c r="E28" s="93">
        <v>1</v>
      </c>
      <c r="F28" s="93"/>
      <c r="G28" s="94">
        <v>46204</v>
      </c>
      <c r="H28" s="1">
        <v>0</v>
      </c>
      <c r="I28" s="1">
        <v>0</v>
      </c>
      <c r="J28" s="116">
        <v>0</v>
      </c>
      <c r="K28" s="116">
        <v>0</v>
      </c>
      <c r="L28" s="98"/>
      <c r="M28" s="98"/>
      <c r="N28" s="98"/>
      <c r="O28" s="98"/>
      <c r="P28" s="98"/>
      <c r="Q28" s="98"/>
      <c r="R28" s="98"/>
      <c r="S28" s="98"/>
      <c r="T28" s="98"/>
      <c r="U28" s="98"/>
      <c r="V28" s="98"/>
      <c r="W28" s="98"/>
      <c r="X28" s="98"/>
      <c r="Y28" s="98"/>
      <c r="Z28" s="98"/>
      <c r="AA28" s="98"/>
      <c r="AB28" s="98"/>
      <c r="AC28" s="98"/>
    </row>
    <row r="29" spans="1:29" s="27" customFormat="1" ht="15" customHeight="1" x14ac:dyDescent="0.3">
      <c r="A29" t="s">
        <v>219</v>
      </c>
      <c r="B29" s="91" t="s">
        <v>220</v>
      </c>
      <c r="C29" s="83" t="s">
        <v>221</v>
      </c>
      <c r="D29" s="83" t="s">
        <v>33</v>
      </c>
      <c r="E29" s="93"/>
      <c r="F29" s="93">
        <v>1</v>
      </c>
      <c r="G29" s="94">
        <v>46204</v>
      </c>
      <c r="H29">
        <v>10597</v>
      </c>
      <c r="I29">
        <v>18934</v>
      </c>
      <c r="J29" s="95">
        <f>Poolster[[#This Row],[Zw/w p/j]]/12</f>
        <v>883.08333333333337</v>
      </c>
      <c r="K29" s="95">
        <f>Poolster[[#This Row],[Kleur p/j]]/12</f>
        <v>1577.8333333333333</v>
      </c>
      <c r="L29" s="98"/>
      <c r="M29" s="98"/>
      <c r="N29" s="98"/>
      <c r="O29" s="98"/>
      <c r="P29" s="98"/>
      <c r="Q29" s="98"/>
      <c r="R29" s="98"/>
      <c r="S29" s="98"/>
      <c r="T29" s="98"/>
      <c r="U29" s="98"/>
      <c r="V29" s="98"/>
      <c r="W29" s="98"/>
      <c r="X29" s="98"/>
      <c r="Y29" s="98"/>
      <c r="Z29" s="98"/>
      <c r="AA29" s="98"/>
      <c r="AB29" s="98"/>
      <c r="AC29" s="98"/>
    </row>
    <row r="30" spans="1:29" s="27" customFormat="1" ht="15" customHeight="1" x14ac:dyDescent="0.3">
      <c r="A30" t="s">
        <v>223</v>
      </c>
      <c r="B30" s="91" t="s">
        <v>224</v>
      </c>
      <c r="C30" s="83" t="s">
        <v>225</v>
      </c>
      <c r="D30" s="83" t="s">
        <v>33</v>
      </c>
      <c r="E30" s="93"/>
      <c r="F30" s="93">
        <v>1</v>
      </c>
      <c r="G30" s="94">
        <v>46204</v>
      </c>
      <c r="H30">
        <v>67369</v>
      </c>
      <c r="I30">
        <v>101730</v>
      </c>
      <c r="J30" s="95">
        <f>Poolster[[#This Row],[Zw/w p/j]]/12</f>
        <v>5614.083333333333</v>
      </c>
      <c r="K30" s="95">
        <f>Poolster[[#This Row],[Kleur p/j]]/12</f>
        <v>8477.5</v>
      </c>
      <c r="L30" s="98"/>
      <c r="M30" s="98"/>
      <c r="N30" s="98"/>
      <c r="O30" s="98"/>
      <c r="P30" s="98"/>
      <c r="Q30" s="98"/>
      <c r="R30" s="98"/>
      <c r="S30" s="98"/>
      <c r="T30" s="98"/>
      <c r="U30" s="98"/>
      <c r="V30" s="98"/>
      <c r="W30" s="98"/>
      <c r="X30" s="98"/>
      <c r="Y30" s="98"/>
      <c r="Z30" s="98"/>
      <c r="AA30" s="98"/>
      <c r="AB30" s="98"/>
      <c r="AC30" s="98"/>
    </row>
    <row r="31" spans="1:29" s="27" customFormat="1" ht="15" customHeight="1" x14ac:dyDescent="0.3">
      <c r="A31" t="s">
        <v>223</v>
      </c>
      <c r="B31" s="91" t="s">
        <v>226</v>
      </c>
      <c r="C31" s="83" t="s">
        <v>225</v>
      </c>
      <c r="D31" s="83" t="s">
        <v>33</v>
      </c>
      <c r="E31" s="93"/>
      <c r="F31" s="93">
        <v>1</v>
      </c>
      <c r="G31" s="94">
        <v>46204</v>
      </c>
      <c r="H31">
        <v>98004</v>
      </c>
      <c r="I31">
        <v>230887</v>
      </c>
      <c r="J31" s="95">
        <f>Poolster[[#This Row],[Zw/w p/j]]/12</f>
        <v>8167</v>
      </c>
      <c r="K31" s="95">
        <f>Poolster[[#This Row],[Kleur p/j]]/12</f>
        <v>19240.583333333332</v>
      </c>
      <c r="L31" s="98"/>
      <c r="M31" s="98"/>
      <c r="N31" s="98"/>
      <c r="O31" s="98"/>
      <c r="P31" s="98"/>
      <c r="Q31" s="98"/>
      <c r="R31" s="98"/>
      <c r="S31" s="98"/>
      <c r="T31" s="98"/>
      <c r="U31" s="98"/>
      <c r="V31" s="98"/>
      <c r="W31" s="98"/>
      <c r="X31" s="98"/>
      <c r="Y31" s="98"/>
      <c r="Z31" s="98"/>
      <c r="AA31" s="98"/>
      <c r="AB31" s="98"/>
      <c r="AC31" s="98"/>
    </row>
    <row r="32" spans="1:29" s="27" customFormat="1" ht="15" customHeight="1" x14ac:dyDescent="0.3">
      <c r="A32" t="s">
        <v>227</v>
      </c>
      <c r="B32" s="91" t="s">
        <v>228</v>
      </c>
      <c r="C32" s="83" t="s">
        <v>229</v>
      </c>
      <c r="D32" s="83" t="s">
        <v>33</v>
      </c>
      <c r="E32" s="93"/>
      <c r="F32" s="93">
        <v>1</v>
      </c>
      <c r="G32" s="94">
        <v>46204</v>
      </c>
      <c r="H32">
        <v>65219</v>
      </c>
      <c r="I32">
        <v>120526</v>
      </c>
      <c r="J32" s="95">
        <f>Poolster[[#This Row],[Zw/w p/j]]/12</f>
        <v>5434.916666666667</v>
      </c>
      <c r="K32" s="95">
        <f>Poolster[[#This Row],[Kleur p/j]]/12</f>
        <v>10043.833333333334</v>
      </c>
      <c r="L32" s="98"/>
      <c r="M32" s="98"/>
      <c r="N32" s="98"/>
      <c r="O32" s="98"/>
      <c r="P32" s="98"/>
      <c r="Q32" s="98"/>
      <c r="R32" s="98"/>
      <c r="S32" s="98"/>
      <c r="T32" s="98"/>
      <c r="U32" s="98"/>
      <c r="V32" s="98"/>
      <c r="W32" s="98"/>
      <c r="X32" s="98"/>
      <c r="Y32" s="98"/>
      <c r="Z32" s="98"/>
      <c r="AA32" s="98"/>
      <c r="AB32" s="98"/>
      <c r="AC32" s="98"/>
    </row>
    <row r="33" spans="1:29" s="27" customFormat="1" ht="15" customHeight="1" x14ac:dyDescent="0.3">
      <c r="A33" t="s">
        <v>227</v>
      </c>
      <c r="B33" s="91" t="s">
        <v>228</v>
      </c>
      <c r="C33" s="83" t="s">
        <v>229</v>
      </c>
      <c r="D33" s="83" t="s">
        <v>33</v>
      </c>
      <c r="E33" s="93">
        <v>1</v>
      </c>
      <c r="F33" s="93"/>
      <c r="G33" s="94">
        <v>46204</v>
      </c>
      <c r="H33">
        <v>37034</v>
      </c>
      <c r="I33">
        <v>108624</v>
      </c>
      <c r="J33" s="95">
        <f>Poolster[[#This Row],[Zw/w p/j]]/12</f>
        <v>3086.1666666666665</v>
      </c>
      <c r="K33" s="95">
        <f>Poolster[[#This Row],[Kleur p/j]]/12</f>
        <v>9052</v>
      </c>
      <c r="L33" s="99"/>
      <c r="M33" s="99"/>
      <c r="N33" s="98"/>
      <c r="O33" s="98"/>
      <c r="P33" s="98"/>
      <c r="Q33" s="98"/>
      <c r="R33" s="98"/>
      <c r="S33" s="98"/>
      <c r="T33" s="98"/>
      <c r="U33" s="98"/>
      <c r="V33" s="98"/>
      <c r="W33" s="98"/>
      <c r="X33" s="98"/>
      <c r="Y33" s="98"/>
      <c r="Z33" s="98"/>
      <c r="AA33" s="98"/>
      <c r="AB33" s="98"/>
      <c r="AC33" s="98"/>
    </row>
    <row r="34" spans="1:29" s="27" customFormat="1" ht="15" customHeight="1" x14ac:dyDescent="0.3">
      <c r="A34" t="s">
        <v>230</v>
      </c>
      <c r="B34" s="97" t="s">
        <v>231</v>
      </c>
      <c r="C34" s="83" t="s">
        <v>232</v>
      </c>
      <c r="D34" s="83" t="s">
        <v>33</v>
      </c>
      <c r="E34" s="93"/>
      <c r="F34" s="93">
        <v>1</v>
      </c>
      <c r="G34" s="94">
        <v>46204</v>
      </c>
      <c r="H34">
        <v>96560</v>
      </c>
      <c r="I34">
        <v>156600</v>
      </c>
      <c r="J34" s="95">
        <f>Poolster[[#This Row],[Zw/w p/j]]/12</f>
        <v>8046.666666666667</v>
      </c>
      <c r="K34" s="95">
        <f>Poolster[[#This Row],[Kleur p/j]]/12</f>
        <v>13050</v>
      </c>
      <c r="L34" s="83"/>
      <c r="M34" s="83"/>
      <c r="N34" s="98"/>
      <c r="O34" s="98"/>
      <c r="P34" s="98"/>
      <c r="Q34" s="98"/>
      <c r="R34" s="98"/>
      <c r="S34" s="98"/>
      <c r="T34" s="98"/>
      <c r="U34" s="98"/>
      <c r="V34" s="98"/>
      <c r="W34" s="98"/>
      <c r="X34" s="98"/>
      <c r="Y34" s="98"/>
      <c r="Z34" s="98"/>
      <c r="AA34" s="98"/>
      <c r="AB34" s="98"/>
      <c r="AC34" s="98"/>
    </row>
    <row r="35" spans="1:29" s="27" customFormat="1" ht="15" customHeight="1" x14ac:dyDescent="0.3">
      <c r="A35" t="s">
        <v>233</v>
      </c>
      <c r="B35" s="91" t="s">
        <v>234</v>
      </c>
      <c r="C35" s="83" t="s">
        <v>235</v>
      </c>
      <c r="D35" s="83" t="s">
        <v>33</v>
      </c>
      <c r="E35" s="93"/>
      <c r="F35" s="93">
        <v>2</v>
      </c>
      <c r="G35" s="94">
        <v>46204</v>
      </c>
      <c r="H35">
        <v>101814</v>
      </c>
      <c r="I35">
        <v>251223</v>
      </c>
      <c r="J35" s="95">
        <f>Poolster[[#This Row],[Zw/w p/j]]/12</f>
        <v>8484.5</v>
      </c>
      <c r="K35" s="95">
        <f>Poolster[[#This Row],[Kleur p/j]]/12</f>
        <v>20935.25</v>
      </c>
      <c r="L35" s="83"/>
      <c r="M35" s="83"/>
      <c r="N35" s="98"/>
      <c r="O35" s="98"/>
      <c r="P35" s="98"/>
      <c r="Q35" s="98"/>
      <c r="R35" s="98"/>
      <c r="S35" s="98"/>
      <c r="T35" s="98"/>
      <c r="U35" s="98"/>
      <c r="V35" s="98"/>
      <c r="W35" s="98"/>
      <c r="X35" s="98"/>
      <c r="Y35" s="98"/>
      <c r="Z35" s="98"/>
      <c r="AA35" s="98"/>
      <c r="AB35" s="98"/>
      <c r="AC35" s="98"/>
    </row>
    <row r="36" spans="1:29" s="27" customFormat="1" ht="15" customHeight="1" x14ac:dyDescent="0.3">
      <c r="A36" t="s">
        <v>236</v>
      </c>
      <c r="B36" s="91" t="s">
        <v>237</v>
      </c>
      <c r="C36" s="83" t="s">
        <v>238</v>
      </c>
      <c r="D36" s="83" t="s">
        <v>33</v>
      </c>
      <c r="E36" s="93">
        <v>1</v>
      </c>
      <c r="F36" s="93"/>
      <c r="G36" s="94">
        <v>46204</v>
      </c>
      <c r="H36">
        <v>28296</v>
      </c>
      <c r="I36">
        <v>26260</v>
      </c>
      <c r="J36" s="95">
        <f>Poolster[[#This Row],[Zw/w p/j]]/12</f>
        <v>2358</v>
      </c>
      <c r="K36" s="95">
        <f>Poolster[[#This Row],[Kleur p/j]]/12</f>
        <v>2188.3333333333335</v>
      </c>
      <c r="L36" s="83"/>
      <c r="M36" s="83"/>
      <c r="N36" s="98"/>
      <c r="O36" s="98"/>
      <c r="P36" s="98"/>
      <c r="Q36" s="98"/>
      <c r="R36" s="98"/>
      <c r="S36" s="98"/>
      <c r="T36" s="98"/>
      <c r="U36" s="98"/>
      <c r="V36" s="98"/>
      <c r="W36" s="98"/>
      <c r="X36" s="98"/>
      <c r="Y36" s="98"/>
      <c r="Z36" s="98"/>
      <c r="AA36" s="98"/>
      <c r="AB36" s="98"/>
      <c r="AC36" s="98"/>
    </row>
    <row r="37" spans="1:29" s="27" customFormat="1" ht="15" customHeight="1" x14ac:dyDescent="0.3">
      <c r="A37" t="s">
        <v>236</v>
      </c>
      <c r="B37" s="91" t="s">
        <v>237</v>
      </c>
      <c r="C37" s="83" t="s">
        <v>238</v>
      </c>
      <c r="D37" s="83" t="s">
        <v>33</v>
      </c>
      <c r="E37" s="93"/>
      <c r="F37" s="93">
        <v>1</v>
      </c>
      <c r="G37" s="94">
        <v>46204</v>
      </c>
      <c r="H37">
        <v>78457</v>
      </c>
      <c r="I37">
        <v>86863</v>
      </c>
      <c r="J37" s="95">
        <f>Poolster[[#This Row],[Zw/w p/j]]/12</f>
        <v>6538.083333333333</v>
      </c>
      <c r="K37" s="95">
        <f>Poolster[[#This Row],[Kleur p/j]]/12</f>
        <v>7238.583333333333</v>
      </c>
      <c r="L37" s="83"/>
      <c r="M37" s="83"/>
      <c r="N37" s="98"/>
      <c r="O37" s="98"/>
      <c r="P37" s="98"/>
      <c r="Q37" s="98"/>
      <c r="R37" s="98"/>
      <c r="S37" s="98"/>
      <c r="T37" s="98"/>
      <c r="U37" s="98"/>
      <c r="V37" s="98"/>
      <c r="W37" s="98"/>
      <c r="X37" s="98"/>
      <c r="Y37" s="98"/>
      <c r="Z37" s="98"/>
      <c r="AA37" s="98"/>
      <c r="AB37" s="98"/>
      <c r="AC37" s="98"/>
    </row>
    <row r="38" spans="1:29" s="23" customFormat="1" ht="15" customHeight="1" x14ac:dyDescent="0.3">
      <c r="A38" t="s">
        <v>236</v>
      </c>
      <c r="B38" s="91" t="s">
        <v>237</v>
      </c>
      <c r="C38" s="83" t="s">
        <v>238</v>
      </c>
      <c r="D38" s="83" t="s">
        <v>33</v>
      </c>
      <c r="E38" s="93">
        <v>1</v>
      </c>
      <c r="F38" s="93"/>
      <c r="G38" s="94">
        <v>46204</v>
      </c>
      <c r="H38">
        <v>6657</v>
      </c>
      <c r="I38">
        <v>6926</v>
      </c>
      <c r="J38" s="95">
        <f>Poolster[[#This Row],[Zw/w p/j]]/12</f>
        <v>554.75</v>
      </c>
      <c r="K38" s="95">
        <f>Poolster[[#This Row],[Kleur p/j]]/12</f>
        <v>577.16666666666663</v>
      </c>
      <c r="L38" s="83"/>
      <c r="M38" s="83"/>
      <c r="N38" s="83"/>
      <c r="O38" s="83"/>
      <c r="P38" s="83"/>
      <c r="Q38" s="83"/>
      <c r="R38" s="83"/>
      <c r="S38" s="83"/>
      <c r="T38" s="83"/>
      <c r="U38" s="83"/>
      <c r="V38" s="83"/>
      <c r="W38" s="83"/>
      <c r="X38" s="83"/>
      <c r="Y38" s="83"/>
      <c r="Z38" s="83"/>
      <c r="AA38" s="83"/>
      <c r="AB38" s="83"/>
      <c r="AC38" s="83"/>
    </row>
    <row r="39" spans="1:29" s="23" customFormat="1" ht="15" customHeight="1" x14ac:dyDescent="0.3">
      <c r="A39" t="s">
        <v>236</v>
      </c>
      <c r="B39" s="91" t="s">
        <v>237</v>
      </c>
      <c r="C39" s="83" t="s">
        <v>238</v>
      </c>
      <c r="D39" s="83" t="s">
        <v>33</v>
      </c>
      <c r="E39" s="93">
        <v>1</v>
      </c>
      <c r="F39" s="93"/>
      <c r="G39" s="94">
        <v>46204</v>
      </c>
      <c r="H39">
        <v>2797</v>
      </c>
      <c r="I39">
        <v>6334</v>
      </c>
      <c r="J39" s="95">
        <f>Poolster[[#This Row],[Zw/w p/j]]/12</f>
        <v>233.08333333333334</v>
      </c>
      <c r="K39" s="95">
        <f>Poolster[[#This Row],[Kleur p/j]]/12</f>
        <v>527.83333333333337</v>
      </c>
      <c r="L39" s="83"/>
      <c r="M39" s="83"/>
      <c r="N39" s="83"/>
      <c r="O39" s="83"/>
      <c r="P39" s="83"/>
      <c r="Q39" s="83"/>
      <c r="R39" s="83"/>
      <c r="S39" s="83"/>
      <c r="T39" s="83"/>
      <c r="U39" s="83"/>
      <c r="V39" s="83"/>
      <c r="W39" s="83"/>
      <c r="X39" s="83"/>
      <c r="Y39" s="83"/>
      <c r="Z39" s="83"/>
      <c r="AA39" s="83"/>
      <c r="AB39" s="83"/>
      <c r="AC39" s="83"/>
    </row>
    <row r="40" spans="1:29" s="23" customFormat="1" ht="16.5" customHeight="1" x14ac:dyDescent="0.3">
      <c r="A40" t="s">
        <v>236</v>
      </c>
      <c r="B40" s="91" t="s">
        <v>237</v>
      </c>
      <c r="C40" s="83" t="s">
        <v>238</v>
      </c>
      <c r="D40" s="83" t="s">
        <v>33</v>
      </c>
      <c r="E40" s="93">
        <v>1</v>
      </c>
      <c r="F40" s="93"/>
      <c r="G40" s="94">
        <v>46204</v>
      </c>
      <c r="H40">
        <v>13242</v>
      </c>
      <c r="I40">
        <v>18883</v>
      </c>
      <c r="J40" s="95">
        <f>Poolster[[#This Row],[Zw/w p/j]]/12</f>
        <v>1103.5</v>
      </c>
      <c r="K40" s="95">
        <f>Poolster[[#This Row],[Kleur p/j]]/12</f>
        <v>1573.5833333333333</v>
      </c>
      <c r="L40" s="83"/>
      <c r="M40" s="83"/>
      <c r="N40" s="83"/>
      <c r="O40" s="83"/>
      <c r="P40" s="83"/>
      <c r="Q40" s="83"/>
      <c r="R40" s="83"/>
      <c r="S40" s="83"/>
      <c r="T40" s="83"/>
      <c r="U40" s="83"/>
      <c r="V40" s="83"/>
      <c r="W40" s="83"/>
      <c r="X40" s="83"/>
      <c r="Y40" s="83"/>
      <c r="Z40" s="83"/>
      <c r="AA40" s="83"/>
      <c r="AB40" s="83"/>
      <c r="AC40" s="83"/>
    </row>
    <row r="41" spans="1:29" s="23" customFormat="1" ht="16.5" customHeight="1" x14ac:dyDescent="0.3">
      <c r="A41" t="s">
        <v>239</v>
      </c>
      <c r="B41" s="91" t="s">
        <v>240</v>
      </c>
      <c r="C41" s="83" t="s">
        <v>238</v>
      </c>
      <c r="D41" s="83" t="s">
        <v>33</v>
      </c>
      <c r="E41" s="93"/>
      <c r="F41" s="93">
        <v>1</v>
      </c>
      <c r="G41" s="94">
        <v>46204</v>
      </c>
      <c r="H41">
        <v>39307</v>
      </c>
      <c r="I41">
        <v>29536</v>
      </c>
      <c r="J41" s="95">
        <f>Poolster[[#This Row],[Zw/w p/j]]/12</f>
        <v>3275.5833333333335</v>
      </c>
      <c r="K41" s="95">
        <f>Poolster[[#This Row],[Kleur p/j]]/12</f>
        <v>2461.3333333333335</v>
      </c>
      <c r="L41" s="83"/>
      <c r="M41" s="83"/>
      <c r="N41" s="83"/>
      <c r="O41" s="83"/>
      <c r="P41" s="83"/>
      <c r="Q41" s="83"/>
      <c r="R41" s="83"/>
      <c r="S41" s="83"/>
      <c r="T41" s="83"/>
      <c r="U41" s="83"/>
      <c r="V41" s="83"/>
      <c r="W41" s="83"/>
      <c r="X41" s="83"/>
      <c r="Y41" s="83"/>
      <c r="Z41" s="83"/>
      <c r="AA41" s="83"/>
      <c r="AB41" s="83"/>
      <c r="AC41" s="83"/>
    </row>
    <row r="42" spans="1:29" s="23" customFormat="1" ht="16.5" customHeight="1" x14ac:dyDescent="0.3">
      <c r="A42" t="s">
        <v>241</v>
      </c>
      <c r="B42" s="121" t="s">
        <v>242</v>
      </c>
      <c r="C42" s="83" t="s">
        <v>243</v>
      </c>
      <c r="D42" s="83" t="s">
        <v>33</v>
      </c>
      <c r="E42" s="93">
        <v>1</v>
      </c>
      <c r="F42" s="93"/>
      <c r="G42" s="94">
        <v>46204</v>
      </c>
      <c r="H42">
        <v>17965</v>
      </c>
      <c r="I42">
        <v>10619</v>
      </c>
      <c r="J42" s="95">
        <f>Poolster[[#This Row],[Zw/w p/j]]/12</f>
        <v>1497.0833333333333</v>
      </c>
      <c r="K42" s="95">
        <f>Poolster[[#This Row],[Kleur p/j]]/12</f>
        <v>884.91666666666663</v>
      </c>
      <c r="L42" s="83"/>
      <c r="M42" s="83"/>
      <c r="N42" s="83"/>
      <c r="O42" s="83"/>
      <c r="P42" s="83"/>
      <c r="Q42" s="83"/>
      <c r="R42" s="83"/>
      <c r="S42" s="83"/>
      <c r="T42" s="83"/>
      <c r="U42" s="83"/>
      <c r="V42" s="83"/>
      <c r="W42" s="83"/>
      <c r="X42" s="83"/>
      <c r="Y42" s="83"/>
      <c r="Z42" s="83"/>
      <c r="AA42" s="83"/>
      <c r="AB42" s="83"/>
      <c r="AC42" s="83"/>
    </row>
    <row r="43" spans="1:29" s="23" customFormat="1" ht="16.5" customHeight="1" x14ac:dyDescent="0.3">
      <c r="A43" t="s">
        <v>241</v>
      </c>
      <c r="B43" s="121" t="s">
        <v>242</v>
      </c>
      <c r="C43" s="83" t="s">
        <v>243</v>
      </c>
      <c r="D43" s="83" t="s">
        <v>33</v>
      </c>
      <c r="E43" s="93"/>
      <c r="F43" s="93">
        <v>1</v>
      </c>
      <c r="G43" s="94">
        <v>46204</v>
      </c>
      <c r="H43">
        <v>144532</v>
      </c>
      <c r="I43">
        <v>33051</v>
      </c>
      <c r="J43" s="95">
        <f>Poolster[[#This Row],[Zw/w p/j]]/12</f>
        <v>12044.333333333334</v>
      </c>
      <c r="K43" s="95">
        <f>Poolster[[#This Row],[Kleur p/j]]/12</f>
        <v>2754.25</v>
      </c>
      <c r="L43" s="83"/>
      <c r="M43" s="83"/>
      <c r="N43" s="83"/>
      <c r="O43" s="83"/>
      <c r="P43" s="83"/>
      <c r="Q43" s="83"/>
      <c r="R43" s="83"/>
      <c r="S43" s="83"/>
      <c r="T43" s="83"/>
      <c r="U43" s="83"/>
      <c r="V43" s="83"/>
      <c r="W43" s="83"/>
      <c r="X43" s="83"/>
      <c r="Y43" s="83"/>
      <c r="Z43" s="83"/>
      <c r="AA43" s="83"/>
      <c r="AB43" s="83"/>
      <c r="AC43" s="83"/>
    </row>
    <row r="44" spans="1:29" s="23" customFormat="1" ht="16.5" customHeight="1" x14ac:dyDescent="0.3">
      <c r="A44" t="s">
        <v>241</v>
      </c>
      <c r="B44" s="121" t="s">
        <v>242</v>
      </c>
      <c r="C44" s="83" t="s">
        <v>243</v>
      </c>
      <c r="D44" s="83" t="s">
        <v>33</v>
      </c>
      <c r="E44" s="93">
        <v>1</v>
      </c>
      <c r="F44" s="93"/>
      <c r="G44" s="94">
        <v>46204</v>
      </c>
      <c r="H44">
        <v>62017</v>
      </c>
      <c r="I44">
        <v>16835</v>
      </c>
      <c r="J44" s="95">
        <f>Poolster[[#This Row],[Zw/w p/j]]/12</f>
        <v>5168.083333333333</v>
      </c>
      <c r="K44" s="95">
        <f>Poolster[[#This Row],[Kleur p/j]]/12</f>
        <v>1402.9166666666667</v>
      </c>
      <c r="L44" s="83"/>
      <c r="M44" s="83"/>
      <c r="N44" s="83"/>
      <c r="O44" s="83"/>
      <c r="P44" s="83"/>
      <c r="Q44" s="83"/>
      <c r="R44" s="83"/>
      <c r="S44" s="83"/>
      <c r="T44" s="83"/>
      <c r="U44" s="83"/>
      <c r="V44" s="83"/>
      <c r="W44" s="83"/>
      <c r="X44" s="83"/>
      <c r="Y44" s="83"/>
      <c r="Z44" s="83"/>
      <c r="AA44" s="83"/>
      <c r="AB44" s="83"/>
      <c r="AC44" s="83"/>
    </row>
    <row r="45" spans="1:29" s="23" customFormat="1" ht="16.5" customHeight="1" x14ac:dyDescent="0.3">
      <c r="A45" t="s">
        <v>241</v>
      </c>
      <c r="B45" s="121" t="s">
        <v>242</v>
      </c>
      <c r="C45" s="83" t="s">
        <v>243</v>
      </c>
      <c r="D45" s="83" t="s">
        <v>33</v>
      </c>
      <c r="E45" s="93"/>
      <c r="F45" s="93">
        <v>1</v>
      </c>
      <c r="G45" s="94">
        <v>46204</v>
      </c>
      <c r="H45">
        <v>248882</v>
      </c>
      <c r="I45">
        <v>86048</v>
      </c>
      <c r="J45" s="95">
        <f>Poolster[[#This Row],[Zw/w p/j]]/12</f>
        <v>20740.166666666668</v>
      </c>
      <c r="K45" s="95">
        <f>Poolster[[#This Row],[Kleur p/j]]/12</f>
        <v>7170.666666666667</v>
      </c>
      <c r="L45" s="83"/>
      <c r="M45" s="83"/>
      <c r="N45" s="83"/>
      <c r="O45" s="83"/>
      <c r="P45" s="83"/>
      <c r="Q45" s="83"/>
      <c r="R45" s="83"/>
      <c r="S45" s="83"/>
      <c r="T45" s="83"/>
      <c r="U45" s="83"/>
      <c r="V45" s="83"/>
      <c r="W45" s="83"/>
      <c r="X45" s="83"/>
      <c r="Y45" s="83"/>
      <c r="Z45" s="83"/>
      <c r="AA45" s="83"/>
      <c r="AB45" s="83"/>
      <c r="AC45" s="83"/>
    </row>
    <row r="46" spans="1:29" s="23" customFormat="1" ht="16.5" customHeight="1" x14ac:dyDescent="0.3">
      <c r="A46" t="s">
        <v>244</v>
      </c>
      <c r="B46" s="91" t="s">
        <v>245</v>
      </c>
      <c r="C46" s="83" t="s">
        <v>246</v>
      </c>
      <c r="D46" s="83" t="s">
        <v>33</v>
      </c>
      <c r="E46" s="93">
        <v>1</v>
      </c>
      <c r="F46" s="93"/>
      <c r="G46" s="94">
        <v>46204</v>
      </c>
      <c r="H46">
        <v>1092</v>
      </c>
      <c r="I46">
        <v>2096</v>
      </c>
      <c r="J46" s="95">
        <f>Poolster[[#This Row],[Zw/w p/j]]/12</f>
        <v>91</v>
      </c>
      <c r="K46" s="95">
        <f>Poolster[[#This Row],[Kleur p/j]]/12</f>
        <v>174.66666666666666</v>
      </c>
      <c r="L46" s="83"/>
      <c r="M46" s="83"/>
      <c r="N46" s="83"/>
      <c r="O46" s="83"/>
      <c r="P46" s="83"/>
      <c r="Q46" s="83"/>
      <c r="R46" s="83"/>
      <c r="S46" s="83"/>
      <c r="T46" s="83"/>
      <c r="U46" s="83"/>
      <c r="V46" s="83"/>
      <c r="W46" s="83"/>
      <c r="X46" s="83"/>
      <c r="Y46" s="83"/>
      <c r="Z46" s="83"/>
      <c r="AA46" s="83"/>
      <c r="AB46" s="83"/>
      <c r="AC46" s="83"/>
    </row>
    <row r="47" spans="1:29" s="23" customFormat="1" ht="16.5" customHeight="1" x14ac:dyDescent="0.3">
      <c r="A47" t="s">
        <v>244</v>
      </c>
      <c r="B47" s="91" t="s">
        <v>245</v>
      </c>
      <c r="C47" s="83" t="s">
        <v>246</v>
      </c>
      <c r="D47" s="83" t="s">
        <v>33</v>
      </c>
      <c r="E47" s="93"/>
      <c r="F47" s="93">
        <v>1</v>
      </c>
      <c r="G47" s="94">
        <v>46204</v>
      </c>
      <c r="H47">
        <v>70073</v>
      </c>
      <c r="I47">
        <v>80302</v>
      </c>
      <c r="J47" s="95">
        <f>Poolster[[#This Row],[Zw/w p/j]]/12</f>
        <v>5839.416666666667</v>
      </c>
      <c r="K47" s="95">
        <f>Poolster[[#This Row],[Kleur p/j]]/12</f>
        <v>6691.833333333333</v>
      </c>
      <c r="L47" s="83"/>
      <c r="M47" s="83"/>
      <c r="N47" s="83"/>
      <c r="O47" s="83"/>
      <c r="P47" s="83"/>
      <c r="Q47" s="83"/>
      <c r="R47" s="83"/>
      <c r="S47" s="83"/>
      <c r="T47" s="83"/>
      <c r="U47" s="83"/>
      <c r="V47" s="83"/>
      <c r="W47" s="83"/>
      <c r="X47" s="83"/>
      <c r="Y47" s="83"/>
      <c r="Z47" s="83"/>
      <c r="AA47" s="83"/>
      <c r="AB47" s="83"/>
      <c r="AC47" s="83"/>
    </row>
    <row r="48" spans="1:29" s="23" customFormat="1" ht="16.5" customHeight="1" x14ac:dyDescent="0.3">
      <c r="A48" t="s">
        <v>247</v>
      </c>
      <c r="B48" s="91" t="s">
        <v>245</v>
      </c>
      <c r="C48" s="83" t="s">
        <v>246</v>
      </c>
      <c r="D48" s="83" t="s">
        <v>33</v>
      </c>
      <c r="E48" s="93">
        <v>1</v>
      </c>
      <c r="F48" s="93"/>
      <c r="G48" s="94">
        <v>46204</v>
      </c>
      <c r="H48">
        <v>4942</v>
      </c>
      <c r="I48">
        <v>6076</v>
      </c>
      <c r="J48" s="95">
        <f>Poolster[[#This Row],[Zw/w p/j]]/12</f>
        <v>411.83333333333331</v>
      </c>
      <c r="K48" s="95">
        <f>Poolster[[#This Row],[Kleur p/j]]/12</f>
        <v>506.33333333333331</v>
      </c>
      <c r="L48" s="83"/>
      <c r="M48" s="83"/>
      <c r="N48" s="83"/>
      <c r="O48" s="83"/>
      <c r="P48" s="83"/>
      <c r="Q48" s="83"/>
      <c r="R48" s="83"/>
      <c r="S48" s="83"/>
      <c r="T48" s="83"/>
      <c r="U48" s="83"/>
      <c r="V48" s="83"/>
      <c r="W48" s="83"/>
      <c r="X48" s="83"/>
      <c r="Y48" s="83"/>
      <c r="Z48" s="83"/>
      <c r="AA48" s="83"/>
      <c r="AB48" s="83"/>
      <c r="AC48" s="83"/>
    </row>
    <row r="49" spans="1:29" s="23" customFormat="1" ht="16.5" customHeight="1" x14ac:dyDescent="0.3">
      <c r="A49" t="s">
        <v>248</v>
      </c>
      <c r="B49" s="91" t="s">
        <v>245</v>
      </c>
      <c r="C49" s="83" t="s">
        <v>246</v>
      </c>
      <c r="D49" s="83" t="s">
        <v>33</v>
      </c>
      <c r="E49" s="93"/>
      <c r="F49" s="93">
        <v>1</v>
      </c>
      <c r="G49" s="94">
        <v>46204</v>
      </c>
      <c r="H49">
        <v>71842</v>
      </c>
      <c r="I49">
        <v>105526</v>
      </c>
      <c r="J49" s="95">
        <f>Poolster[[#This Row],[Zw/w p/j]]/12</f>
        <v>5986.833333333333</v>
      </c>
      <c r="K49" s="95">
        <f>Poolster[[#This Row],[Kleur p/j]]/12</f>
        <v>8793.8333333333339</v>
      </c>
      <c r="L49" s="83"/>
      <c r="M49" s="83"/>
      <c r="N49" s="83"/>
      <c r="O49" s="83"/>
      <c r="P49" s="83"/>
      <c r="Q49" s="83"/>
      <c r="R49" s="83"/>
      <c r="S49" s="83"/>
      <c r="T49" s="83"/>
      <c r="U49" s="83"/>
      <c r="V49" s="83"/>
      <c r="W49" s="83"/>
      <c r="X49" s="83"/>
      <c r="Y49" s="83"/>
      <c r="Z49" s="83"/>
      <c r="AA49" s="83"/>
      <c r="AB49" s="83"/>
      <c r="AC49" s="83"/>
    </row>
    <row r="50" spans="1:29" ht="16.5" customHeight="1" x14ac:dyDescent="0.3">
      <c r="A50" t="s">
        <v>249</v>
      </c>
      <c r="B50" s="97" t="s">
        <v>250</v>
      </c>
      <c r="C50" s="83" t="s">
        <v>251</v>
      </c>
      <c r="D50" s="83" t="s">
        <v>33</v>
      </c>
      <c r="E50" s="93">
        <v>1</v>
      </c>
      <c r="F50" s="93"/>
      <c r="G50" s="94">
        <v>46204</v>
      </c>
      <c r="H50">
        <v>7314</v>
      </c>
      <c r="I50">
        <v>27912</v>
      </c>
      <c r="J50" s="95">
        <f>Poolster[[#This Row],[Zw/w p/j]]/12</f>
        <v>609.5</v>
      </c>
      <c r="K50" s="95">
        <f>Poolster[[#This Row],[Kleur p/j]]/12</f>
        <v>2326</v>
      </c>
    </row>
    <row r="51" spans="1:29" ht="16.5" customHeight="1" x14ac:dyDescent="0.3">
      <c r="A51" t="s">
        <v>249</v>
      </c>
      <c r="B51" s="97" t="s">
        <v>250</v>
      </c>
      <c r="C51" s="83" t="s">
        <v>251</v>
      </c>
      <c r="D51" s="83" t="s">
        <v>33</v>
      </c>
      <c r="E51" s="93"/>
      <c r="F51" s="93">
        <v>1</v>
      </c>
      <c r="G51" s="94">
        <v>46204</v>
      </c>
      <c r="H51">
        <v>50238</v>
      </c>
      <c r="I51">
        <v>111452</v>
      </c>
      <c r="J51" s="95">
        <f>Poolster[[#This Row],[Zw/w p/j]]/12</f>
        <v>4186.5</v>
      </c>
      <c r="K51" s="95">
        <f>Poolster[[#This Row],[Kleur p/j]]/12</f>
        <v>9287.6666666666661</v>
      </c>
    </row>
    <row r="52" spans="1:29" ht="16.5" customHeight="1" x14ac:dyDescent="0.3">
      <c r="A52" t="s">
        <v>252</v>
      </c>
      <c r="B52" s="91" t="s">
        <v>253</v>
      </c>
      <c r="C52" s="83" t="s">
        <v>254</v>
      </c>
      <c r="D52" s="83" t="s">
        <v>33</v>
      </c>
      <c r="E52" s="93">
        <v>1</v>
      </c>
      <c r="F52" s="93"/>
      <c r="G52" s="94">
        <v>46204</v>
      </c>
      <c r="H52">
        <v>14603</v>
      </c>
      <c r="I52">
        <v>42544</v>
      </c>
      <c r="J52" s="95">
        <f>Poolster[[#This Row],[Zw/w p/j]]/12</f>
        <v>1216.9166666666667</v>
      </c>
      <c r="K52" s="95">
        <f>Poolster[[#This Row],[Kleur p/j]]/12</f>
        <v>3545.3333333333335</v>
      </c>
    </row>
    <row r="53" spans="1:29" ht="16.5" customHeight="1" x14ac:dyDescent="0.3">
      <c r="A53" t="s">
        <v>252</v>
      </c>
      <c r="B53" s="91" t="s">
        <v>253</v>
      </c>
      <c r="C53" s="83" t="s">
        <v>254</v>
      </c>
      <c r="D53" s="83" t="s">
        <v>33</v>
      </c>
      <c r="E53" s="93"/>
      <c r="F53" s="93">
        <v>1</v>
      </c>
      <c r="G53" s="94">
        <v>46204</v>
      </c>
      <c r="H53">
        <v>27766</v>
      </c>
      <c r="I53">
        <v>67017</v>
      </c>
      <c r="J53" s="95">
        <f>Poolster[[#This Row],[Zw/w p/j]]/12</f>
        <v>2313.8333333333335</v>
      </c>
      <c r="K53" s="95">
        <f>Poolster[[#This Row],[Kleur p/j]]/12</f>
        <v>5584.75</v>
      </c>
    </row>
    <row r="54" spans="1:29" ht="16.5" customHeight="1" x14ac:dyDescent="0.3">
      <c r="A54" t="s">
        <v>255</v>
      </c>
      <c r="B54" s="91" t="s">
        <v>256</v>
      </c>
      <c r="C54" s="83" t="s">
        <v>257</v>
      </c>
      <c r="D54" s="83" t="s">
        <v>33</v>
      </c>
      <c r="E54" s="93">
        <v>1</v>
      </c>
      <c r="F54" s="93"/>
      <c r="G54" s="94">
        <v>46204</v>
      </c>
      <c r="H54">
        <v>74258</v>
      </c>
      <c r="I54">
        <v>110685</v>
      </c>
      <c r="J54" s="95">
        <f>Poolster[[#This Row],[Zw/w p/j]]/12</f>
        <v>6188.166666666667</v>
      </c>
      <c r="K54" s="95">
        <f>Poolster[[#This Row],[Kleur p/j]]/12</f>
        <v>9223.75</v>
      </c>
    </row>
    <row r="55" spans="1:29" ht="16.5" customHeight="1" x14ac:dyDescent="0.3">
      <c r="A55" t="s">
        <v>255</v>
      </c>
      <c r="B55" s="91" t="s">
        <v>256</v>
      </c>
      <c r="C55" s="83" t="s">
        <v>257</v>
      </c>
      <c r="D55" s="83" t="s">
        <v>33</v>
      </c>
      <c r="E55" s="93"/>
      <c r="F55" s="93">
        <v>1</v>
      </c>
      <c r="G55" s="94">
        <v>46204</v>
      </c>
      <c r="H55">
        <v>1540</v>
      </c>
      <c r="I55">
        <v>1310</v>
      </c>
      <c r="J55" s="95">
        <f>Poolster[[#This Row],[Zw/w p/j]]/12</f>
        <v>128.33333333333334</v>
      </c>
      <c r="K55" s="95">
        <f>Poolster[[#This Row],[Kleur p/j]]/12</f>
        <v>109.16666666666667</v>
      </c>
    </row>
    <row r="56" spans="1:29" ht="16.5" customHeight="1" x14ac:dyDescent="0.3">
      <c r="A56" s="83"/>
      <c r="B56" s="83"/>
      <c r="C56" s="83"/>
      <c r="D56" s="83"/>
      <c r="E56" s="93">
        <f>SUM(Poolster[Model 1
(eis M1 t/m M27)])</f>
        <v>24</v>
      </c>
      <c r="F56" s="93">
        <f>SUM(Poolster[Model 2
(eis M1 t/m M27)])</f>
        <v>31</v>
      </c>
      <c r="G56" s="93"/>
      <c r="H56" s="101">
        <f>SUBTOTAL(109,Poolster[Zw/w p/j])</f>
        <v>2420493</v>
      </c>
      <c r="I56" s="101">
        <f>SUBTOTAL(109,Poolster[Kleur p/j])</f>
        <v>3018827</v>
      </c>
      <c r="J56" s="101">
        <f>SUM(Poolster[Zw/w p/m])</f>
        <v>201707.75000000003</v>
      </c>
      <c r="K56" s="101"/>
    </row>
    <row r="57" spans="1:29" ht="16.5" customHeight="1" x14ac:dyDescent="0.3">
      <c r="A57" s="83"/>
      <c r="B57" s="83"/>
      <c r="C57" s="83"/>
      <c r="D57" s="93"/>
      <c r="E57" s="93"/>
      <c r="F57" s="93"/>
      <c r="G57" s="93"/>
      <c r="H57" s="93"/>
      <c r="I57" s="99"/>
      <c r="J57" s="99"/>
      <c r="K57" s="99"/>
      <c r="L57" s="99"/>
      <c r="M57" s="122"/>
      <c r="N57" s="99"/>
      <c r="O57" s="99"/>
      <c r="P57" s="99"/>
      <c r="Q57" s="99"/>
      <c r="R57" s="99"/>
      <c r="S57" s="99"/>
      <c r="T57" s="83"/>
    </row>
    <row r="58" spans="1:29" x14ac:dyDescent="0.3">
      <c r="A58" s="83"/>
      <c r="B58" s="83"/>
      <c r="C58" s="63" t="s">
        <v>82</v>
      </c>
      <c r="D58" s="64" t="s">
        <v>83</v>
      </c>
      <c r="E58" s="65" t="s">
        <v>84</v>
      </c>
      <c r="F58" s="65" t="s">
        <v>85</v>
      </c>
      <c r="G58" s="65" t="s">
        <v>86</v>
      </c>
      <c r="H58" s="83"/>
      <c r="I58" s="32" t="s">
        <v>87</v>
      </c>
      <c r="J58" s="32" t="s">
        <v>87</v>
      </c>
      <c r="K58" s="32" t="s">
        <v>87</v>
      </c>
      <c r="L58" s="32" t="s">
        <v>87</v>
      </c>
      <c r="M58" s="83"/>
      <c r="N58" s="83"/>
      <c r="O58" s="83"/>
      <c r="P58" s="83"/>
      <c r="Q58" s="83"/>
      <c r="R58" s="83"/>
      <c r="S58" s="83"/>
      <c r="T58" s="83"/>
    </row>
    <row r="59" spans="1:29" ht="28.8" x14ac:dyDescent="0.3">
      <c r="A59" s="123"/>
      <c r="B59" s="123"/>
      <c r="C59" s="86" t="s">
        <v>88</v>
      </c>
      <c r="D59" s="33">
        <v>0</v>
      </c>
      <c r="E59" s="33">
        <v>0</v>
      </c>
      <c r="F59" s="66">
        <v>0</v>
      </c>
      <c r="G59" s="66">
        <v>0</v>
      </c>
      <c r="H59" s="83"/>
      <c r="I59" s="36" t="s">
        <v>258</v>
      </c>
      <c r="J59" s="35" t="s">
        <v>89</v>
      </c>
      <c r="K59" s="36">
        <f>O1</f>
        <v>47664</v>
      </c>
      <c r="L59" s="37" t="s">
        <v>90</v>
      </c>
      <c r="M59" s="83"/>
      <c r="N59" s="83"/>
      <c r="O59" s="83"/>
      <c r="P59" s="83"/>
      <c r="Q59" s="83"/>
      <c r="R59" s="83"/>
      <c r="S59" s="83"/>
      <c r="T59" s="83"/>
    </row>
    <row r="60" spans="1:29" ht="16.5" customHeight="1" x14ac:dyDescent="0.3">
      <c r="A60" s="83"/>
      <c r="B60" s="123"/>
      <c r="C60" s="86" t="s">
        <v>91</v>
      </c>
      <c r="D60" s="33">
        <v>0</v>
      </c>
      <c r="E60" s="33">
        <v>0</v>
      </c>
      <c r="F60" s="66">
        <v>0</v>
      </c>
      <c r="G60" s="66">
        <v>0</v>
      </c>
      <c r="H60" s="63" t="s">
        <v>92</v>
      </c>
      <c r="I60" s="38">
        <f>Poolster[[#Totals],[Zw/w p/j]]*4</f>
        <v>9681972</v>
      </c>
      <c r="J60" s="38">
        <f>Poolster[[#Totals],[Zw/w p/j]]</f>
        <v>2420493</v>
      </c>
      <c r="K60" s="38">
        <f>Poolster[[#Totals],[Kleur p/j]]*4</f>
        <v>12075308</v>
      </c>
      <c r="L60" s="38">
        <f>Poolster[[#Totals],[Kleur p/j]]</f>
        <v>3018827</v>
      </c>
      <c r="M60" s="83"/>
      <c r="N60" s="83"/>
      <c r="O60" s="83"/>
      <c r="P60" s="83"/>
      <c r="Q60" s="83"/>
      <c r="R60" s="83"/>
      <c r="S60" s="83"/>
      <c r="T60" s="83"/>
    </row>
    <row r="61" spans="1:29" ht="16.5" customHeight="1" x14ac:dyDescent="0.3">
      <c r="A61" s="83"/>
      <c r="B61" s="123"/>
      <c r="C61" s="86"/>
      <c r="D61" s="39"/>
      <c r="E61" s="39"/>
      <c r="F61" s="39"/>
      <c r="G61" s="39"/>
      <c r="H61" s="63"/>
      <c r="I61" s="40"/>
      <c r="J61" s="40"/>
      <c r="K61" s="40"/>
      <c r="L61" s="40"/>
      <c r="M61" s="83"/>
      <c r="N61" s="83"/>
      <c r="O61" s="83"/>
      <c r="P61" s="83"/>
      <c r="Q61" s="83"/>
      <c r="R61" s="83"/>
      <c r="S61" s="83"/>
      <c r="T61" s="83"/>
    </row>
    <row r="62" spans="1:29" ht="16.5" customHeight="1" x14ac:dyDescent="0.3">
      <c r="A62" s="86"/>
      <c r="B62" s="86"/>
      <c r="C62" s="63" t="s">
        <v>93</v>
      </c>
      <c r="D62" s="62"/>
      <c r="E62" s="62"/>
      <c r="F62" s="62"/>
      <c r="G62" s="62"/>
      <c r="H62" s="83"/>
      <c r="I62" s="83"/>
      <c r="J62" s="83"/>
      <c r="K62" s="83"/>
      <c r="L62" s="83"/>
      <c r="M62" s="83"/>
      <c r="N62" s="83"/>
      <c r="O62" s="83"/>
      <c r="P62" s="83"/>
      <c r="Q62" s="83"/>
      <c r="R62" s="83"/>
      <c r="S62" s="83"/>
      <c r="T62" s="83"/>
    </row>
    <row r="63" spans="1:29" ht="16.5" customHeight="1" x14ac:dyDescent="0.3">
      <c r="A63" s="86"/>
      <c r="B63" s="86"/>
      <c r="C63" s="86" t="s">
        <v>94</v>
      </c>
      <c r="D63" s="67">
        <v>0</v>
      </c>
      <c r="E63" s="67">
        <v>0</v>
      </c>
      <c r="F63" s="67">
        <v>0</v>
      </c>
      <c r="G63" s="67">
        <v>0</v>
      </c>
      <c r="H63" s="83"/>
      <c r="I63" s="83"/>
      <c r="J63" s="68"/>
      <c r="K63" s="83"/>
      <c r="L63" s="83"/>
      <c r="M63" s="83"/>
      <c r="N63" s="83"/>
      <c r="O63" s="83"/>
      <c r="P63" s="83"/>
      <c r="Q63" s="83"/>
      <c r="R63" s="83"/>
      <c r="S63" s="83"/>
      <c r="T63" s="83"/>
    </row>
    <row r="64" spans="1:29" ht="16.5" customHeight="1" x14ac:dyDescent="0.3">
      <c r="A64" s="86"/>
      <c r="B64" s="86"/>
      <c r="C64" s="86" t="s">
        <v>95</v>
      </c>
      <c r="D64" s="67">
        <v>0</v>
      </c>
      <c r="E64" s="67">
        <v>0</v>
      </c>
      <c r="F64" s="67">
        <v>0</v>
      </c>
      <c r="G64" s="67">
        <v>0</v>
      </c>
      <c r="H64" s="83"/>
      <c r="I64" s="83"/>
      <c r="J64" s="68"/>
      <c r="K64" s="83"/>
      <c r="L64" s="83"/>
      <c r="M64" s="83"/>
      <c r="N64" s="83"/>
      <c r="O64" s="83"/>
      <c r="P64" s="83"/>
      <c r="Q64" s="83"/>
      <c r="R64" s="83"/>
      <c r="S64" s="83"/>
      <c r="T64" s="83"/>
    </row>
    <row r="65" spans="1:20" ht="16.5" customHeight="1" x14ac:dyDescent="0.3">
      <c r="A65" s="86"/>
      <c r="B65" s="86"/>
      <c r="C65" s="86"/>
      <c r="D65" s="68"/>
      <c r="E65" s="68"/>
      <c r="F65" s="68"/>
      <c r="G65" s="83"/>
      <c r="H65" s="83"/>
      <c r="I65" s="83"/>
      <c r="J65" s="68"/>
      <c r="K65" s="83"/>
      <c r="L65" s="83"/>
      <c r="M65" s="83"/>
      <c r="N65" s="83"/>
      <c r="O65" s="83"/>
      <c r="P65" s="83"/>
      <c r="Q65" s="83"/>
      <c r="R65" s="83"/>
      <c r="S65" s="83"/>
      <c r="T65" s="83"/>
    </row>
    <row r="66" spans="1:20" ht="24.9" customHeight="1" x14ac:dyDescent="0.3">
      <c r="A66" s="83"/>
      <c r="B66" s="83"/>
      <c r="C66" s="63" t="s">
        <v>96</v>
      </c>
      <c r="D66" s="62"/>
      <c r="E66" s="62"/>
      <c r="F66" s="62"/>
      <c r="G66" s="62"/>
      <c r="H66" s="83"/>
      <c r="I66" s="40"/>
      <c r="J66" s="40"/>
      <c r="K66" s="40"/>
      <c r="L66" s="40"/>
      <c r="M66" s="83"/>
      <c r="N66" s="83"/>
      <c r="O66" s="83"/>
      <c r="P66" s="83"/>
      <c r="Q66" s="83"/>
      <c r="R66" s="83"/>
      <c r="S66" s="83"/>
      <c r="T66" s="83"/>
    </row>
    <row r="67" spans="1:20" ht="16.5" customHeight="1" x14ac:dyDescent="0.3">
      <c r="A67" s="83"/>
      <c r="B67" s="83"/>
      <c r="C67" s="86" t="s">
        <v>97</v>
      </c>
      <c r="D67" s="69">
        <v>0</v>
      </c>
      <c r="E67" s="124" t="s">
        <v>98</v>
      </c>
      <c r="F67" s="70"/>
      <c r="G67" s="70"/>
      <c r="H67" s="83"/>
      <c r="I67" s="40"/>
      <c r="J67" s="83"/>
      <c r="K67" s="83"/>
      <c r="L67" s="83"/>
      <c r="M67" s="83"/>
      <c r="N67" s="83"/>
      <c r="O67" s="83"/>
      <c r="P67" s="83"/>
      <c r="Q67" s="83"/>
      <c r="R67" s="83"/>
      <c r="S67" s="83"/>
      <c r="T67" s="83"/>
    </row>
    <row r="68" spans="1:20" ht="16.5" customHeight="1" x14ac:dyDescent="0.3">
      <c r="A68" s="83"/>
      <c r="B68" s="83"/>
      <c r="C68" s="86" t="s">
        <v>99</v>
      </c>
      <c r="D68" s="69">
        <v>0</v>
      </c>
      <c r="E68" s="124" t="s">
        <v>98</v>
      </c>
      <c r="F68" s="70"/>
      <c r="G68" s="70"/>
      <c r="H68" s="83"/>
      <c r="I68" s="83"/>
      <c r="J68" s="83"/>
      <c r="K68" s="83"/>
      <c r="L68" s="83"/>
      <c r="M68" s="83"/>
      <c r="N68" s="83"/>
      <c r="O68" s="83"/>
      <c r="P68" s="83"/>
      <c r="Q68" s="83"/>
      <c r="R68" s="83"/>
      <c r="S68" s="83"/>
      <c r="T68" s="83"/>
    </row>
    <row r="69" spans="1:20" ht="16.5" customHeight="1" x14ac:dyDescent="0.3">
      <c r="A69" s="86"/>
      <c r="B69" s="86"/>
      <c r="C69" s="86"/>
      <c r="D69" s="62"/>
      <c r="E69" s="62"/>
      <c r="F69" s="62"/>
      <c r="G69" s="62"/>
      <c r="H69" s="83"/>
      <c r="I69" s="83"/>
      <c r="J69" s="83"/>
      <c r="K69" s="83"/>
      <c r="L69" s="83"/>
      <c r="M69" s="83"/>
      <c r="N69" s="83"/>
      <c r="O69" s="83"/>
      <c r="P69" s="83"/>
      <c r="Q69" s="83"/>
      <c r="R69" s="83"/>
      <c r="S69" s="83"/>
      <c r="T69" s="83"/>
    </row>
    <row r="70" spans="1:20" ht="16.5" customHeight="1" x14ac:dyDescent="0.3">
      <c r="A70" s="86"/>
      <c r="B70" s="86"/>
      <c r="C70" s="29" t="s">
        <v>100</v>
      </c>
      <c r="D70" s="68"/>
      <c r="E70" s="68"/>
      <c r="F70" s="68"/>
      <c r="G70" s="68"/>
      <c r="H70" s="83"/>
      <c r="I70" s="83"/>
      <c r="J70" s="83"/>
      <c r="K70" s="83"/>
      <c r="L70" s="83"/>
      <c r="M70" s="83"/>
      <c r="N70" s="83"/>
      <c r="O70" s="83"/>
      <c r="P70" s="83"/>
      <c r="Q70" s="83"/>
      <c r="R70" s="83"/>
      <c r="S70" s="83"/>
      <c r="T70" s="83"/>
    </row>
    <row r="71" spans="1:20" ht="16.5" customHeight="1" x14ac:dyDescent="0.3">
      <c r="A71" s="133" t="s">
        <v>101</v>
      </c>
      <c r="B71" s="133"/>
      <c r="C71" s="133"/>
      <c r="D71" s="67">
        <v>0</v>
      </c>
      <c r="E71" s="124" t="s">
        <v>102</v>
      </c>
      <c r="F71" s="68"/>
      <c r="G71" s="68"/>
      <c r="H71" s="83"/>
      <c r="I71" s="83"/>
      <c r="J71" s="83"/>
      <c r="K71" s="83"/>
      <c r="L71" s="83"/>
      <c r="M71" s="83"/>
      <c r="N71" s="83"/>
      <c r="O71" s="83"/>
      <c r="P71" s="83"/>
      <c r="Q71" s="83"/>
      <c r="R71" s="83"/>
      <c r="S71" s="83"/>
      <c r="T71" s="83"/>
    </row>
    <row r="72" spans="1:20" ht="16.5" customHeight="1" x14ac:dyDescent="0.3">
      <c r="A72" s="133" t="s">
        <v>103</v>
      </c>
      <c r="B72" s="133"/>
      <c r="C72" s="133"/>
      <c r="D72" s="67">
        <v>0</v>
      </c>
      <c r="E72" s="124" t="s">
        <v>102</v>
      </c>
      <c r="F72" s="68"/>
      <c r="G72" s="68"/>
      <c r="H72" s="83"/>
      <c r="I72" s="83"/>
      <c r="J72" s="83"/>
      <c r="K72" s="83"/>
      <c r="L72" s="83"/>
      <c r="M72" s="83"/>
      <c r="N72" s="83"/>
      <c r="O72" s="83"/>
      <c r="P72" s="83"/>
      <c r="Q72" s="83"/>
      <c r="R72" s="83"/>
      <c r="S72" s="83"/>
      <c r="T72" s="83"/>
    </row>
    <row r="73" spans="1:20" ht="16.5" customHeight="1" x14ac:dyDescent="0.3">
      <c r="A73" s="86"/>
      <c r="B73" s="86"/>
      <c r="C73" s="86"/>
      <c r="D73" s="86"/>
      <c r="E73" s="124"/>
      <c r="F73" s="68"/>
      <c r="G73" s="68"/>
      <c r="H73" s="83"/>
      <c r="I73" s="83"/>
      <c r="J73" s="83"/>
      <c r="K73" s="83"/>
      <c r="L73" s="83"/>
      <c r="M73" s="83"/>
      <c r="N73" s="83"/>
      <c r="O73" s="83"/>
      <c r="P73" s="83"/>
      <c r="Q73" s="83"/>
      <c r="R73" s="83"/>
      <c r="S73" s="83"/>
      <c r="T73" s="83"/>
    </row>
    <row r="74" spans="1:20" ht="16.5" customHeight="1" x14ac:dyDescent="0.3">
      <c r="A74" s="86"/>
      <c r="B74" s="86"/>
      <c r="C74" s="63" t="s">
        <v>104</v>
      </c>
      <c r="D74" s="64" t="s">
        <v>83</v>
      </c>
      <c r="E74" s="65" t="s">
        <v>84</v>
      </c>
      <c r="F74" s="65" t="s">
        <v>85</v>
      </c>
      <c r="G74" s="65" t="s">
        <v>86</v>
      </c>
      <c r="H74" s="83"/>
      <c r="I74" s="83"/>
      <c r="J74" s="83"/>
      <c r="K74" s="83"/>
      <c r="L74" s="83"/>
      <c r="M74" s="83"/>
      <c r="N74" s="83"/>
      <c r="O74" s="83"/>
      <c r="P74" s="83"/>
      <c r="Q74" s="83"/>
      <c r="R74" s="83"/>
      <c r="S74" s="83"/>
      <c r="T74" s="83"/>
    </row>
    <row r="75" spans="1:20" ht="16.5" customHeight="1" x14ac:dyDescent="0.3">
      <c r="A75" s="133" t="s">
        <v>105</v>
      </c>
      <c r="B75" s="133"/>
      <c r="C75" s="133"/>
      <c r="D75" s="71">
        <v>0</v>
      </c>
      <c r="E75" s="71">
        <v>0</v>
      </c>
      <c r="F75" s="71">
        <v>0</v>
      </c>
      <c r="G75" s="71">
        <v>0</v>
      </c>
      <c r="H75" s="72" t="s">
        <v>106</v>
      </c>
      <c r="I75" s="83"/>
      <c r="J75" s="83"/>
      <c r="K75" s="83"/>
      <c r="L75" s="83"/>
      <c r="M75" s="83"/>
      <c r="N75" s="83"/>
      <c r="O75" s="83"/>
      <c r="P75" s="83"/>
      <c r="Q75" s="83"/>
      <c r="R75" s="83"/>
      <c r="S75" s="83"/>
      <c r="T75" s="83"/>
    </row>
    <row r="76" spans="1:20" x14ac:dyDescent="0.3">
      <c r="A76" s="133" t="s">
        <v>107</v>
      </c>
      <c r="B76" s="133"/>
      <c r="C76" s="133"/>
      <c r="D76" s="73">
        <v>0</v>
      </c>
      <c r="E76" s="73">
        <v>0</v>
      </c>
      <c r="F76" s="73">
        <v>0</v>
      </c>
      <c r="G76" s="73">
        <v>0</v>
      </c>
      <c r="H76" s="72" t="s">
        <v>106</v>
      </c>
      <c r="I76" s="83"/>
      <c r="J76" s="83"/>
      <c r="K76" s="83"/>
      <c r="L76" s="83"/>
      <c r="M76" s="83"/>
      <c r="N76" s="83"/>
      <c r="O76" s="83"/>
      <c r="P76" s="83"/>
      <c r="Q76" s="83"/>
      <c r="R76" s="83"/>
      <c r="S76" s="83"/>
      <c r="T76" s="83"/>
    </row>
    <row r="77" spans="1:20" x14ac:dyDescent="0.3">
      <c r="A77" s="133" t="s">
        <v>108</v>
      </c>
      <c r="B77" s="133"/>
      <c r="C77" s="133"/>
      <c r="D77" s="73">
        <v>0</v>
      </c>
      <c r="E77" s="73">
        <v>0</v>
      </c>
      <c r="F77" s="73">
        <v>0</v>
      </c>
      <c r="G77" s="73">
        <v>0</v>
      </c>
      <c r="H77" s="72" t="s">
        <v>106</v>
      </c>
      <c r="I77" s="83"/>
      <c r="J77" s="83"/>
      <c r="K77" s="83"/>
      <c r="L77" s="83"/>
      <c r="M77" s="83"/>
      <c r="N77" s="83"/>
      <c r="O77" s="83"/>
      <c r="P77" s="83"/>
      <c r="Q77" s="83"/>
      <c r="R77" s="83"/>
      <c r="S77" s="83"/>
      <c r="T77" s="83"/>
    </row>
    <row r="78" spans="1:20" x14ac:dyDescent="0.3">
      <c r="A78" s="133" t="s">
        <v>109</v>
      </c>
      <c r="B78" s="133"/>
      <c r="C78" s="133"/>
      <c r="D78" s="73">
        <v>0</v>
      </c>
      <c r="E78" s="73">
        <v>0</v>
      </c>
      <c r="F78" s="73">
        <v>0</v>
      </c>
      <c r="G78" s="73">
        <v>0</v>
      </c>
      <c r="H78" s="72" t="s">
        <v>106</v>
      </c>
      <c r="I78" s="83"/>
      <c r="J78" s="83"/>
      <c r="K78" s="83"/>
      <c r="L78" s="83"/>
      <c r="M78" s="83"/>
      <c r="N78" s="83"/>
      <c r="O78" s="83"/>
      <c r="P78" s="83"/>
      <c r="Q78" s="83"/>
      <c r="R78" s="83"/>
      <c r="S78" s="83"/>
      <c r="T78" s="83"/>
    </row>
    <row r="79" spans="1:20" x14ac:dyDescent="0.3">
      <c r="A79" s="133" t="s">
        <v>110</v>
      </c>
      <c r="B79" s="133"/>
      <c r="C79" s="133"/>
      <c r="D79" s="73">
        <v>0</v>
      </c>
      <c r="E79" s="73">
        <v>0</v>
      </c>
      <c r="F79" s="73">
        <v>0</v>
      </c>
      <c r="G79" s="73">
        <v>0</v>
      </c>
      <c r="H79" s="72" t="s">
        <v>106</v>
      </c>
      <c r="I79" s="83"/>
      <c r="J79" s="83"/>
      <c r="K79" s="83"/>
      <c r="L79" s="83"/>
      <c r="M79" s="83"/>
      <c r="N79" s="83"/>
      <c r="O79" s="83"/>
      <c r="P79" s="83"/>
      <c r="Q79" s="83"/>
      <c r="R79" s="83"/>
      <c r="S79" s="83"/>
      <c r="T79" s="83"/>
    </row>
    <row r="80" spans="1:20" ht="16.2" x14ac:dyDescent="0.3">
      <c r="A80" s="133" t="s">
        <v>111</v>
      </c>
      <c r="B80" s="133" t="s">
        <v>112</v>
      </c>
      <c r="C80" s="133"/>
      <c r="D80" s="73">
        <v>0</v>
      </c>
      <c r="E80" s="73">
        <v>0</v>
      </c>
      <c r="F80" s="73">
        <v>0</v>
      </c>
      <c r="G80" s="73">
        <v>0</v>
      </c>
      <c r="H80" s="72" t="s">
        <v>106</v>
      </c>
      <c r="I80" s="83"/>
      <c r="J80" s="83"/>
      <c r="K80" s="83"/>
      <c r="L80" s="83"/>
      <c r="M80" s="83"/>
      <c r="N80" s="83"/>
      <c r="O80" s="83"/>
      <c r="P80" s="83"/>
      <c r="Q80" s="83"/>
      <c r="R80" s="83"/>
      <c r="S80" s="83"/>
      <c r="T80" s="83"/>
    </row>
    <row r="81" spans="1:20" ht="16.2" x14ac:dyDescent="0.3">
      <c r="A81" s="133" t="s">
        <v>113</v>
      </c>
      <c r="B81" s="133" t="s">
        <v>112</v>
      </c>
      <c r="C81" s="133"/>
      <c r="D81" s="73">
        <v>0</v>
      </c>
      <c r="E81" s="73">
        <v>0</v>
      </c>
      <c r="F81" s="73">
        <v>0</v>
      </c>
      <c r="G81" s="73">
        <v>0</v>
      </c>
      <c r="H81" s="72" t="s">
        <v>106</v>
      </c>
      <c r="I81" s="83"/>
      <c r="J81" s="83"/>
      <c r="K81" s="83"/>
      <c r="L81" s="83"/>
      <c r="M81" s="83"/>
      <c r="N81" s="83"/>
      <c r="O81" s="83"/>
      <c r="P81" s="83"/>
      <c r="Q81" s="83"/>
      <c r="R81" s="83"/>
      <c r="S81" s="83"/>
      <c r="T81" s="83"/>
    </row>
    <row r="82" spans="1:20" ht="16.2" x14ac:dyDescent="0.3">
      <c r="A82" s="133" t="s">
        <v>114</v>
      </c>
      <c r="B82" s="133" t="s">
        <v>112</v>
      </c>
      <c r="C82" s="133"/>
      <c r="D82" s="73">
        <v>0</v>
      </c>
      <c r="E82" s="73">
        <v>0</v>
      </c>
      <c r="F82" s="73">
        <v>0</v>
      </c>
      <c r="G82" s="73">
        <v>0</v>
      </c>
      <c r="H82" s="72" t="s">
        <v>106</v>
      </c>
      <c r="I82" s="83"/>
      <c r="J82" s="83"/>
      <c r="K82" s="83"/>
      <c r="L82" s="83"/>
      <c r="M82" s="83"/>
      <c r="N82" s="83"/>
      <c r="O82" s="83"/>
      <c r="P82" s="83"/>
      <c r="Q82" s="83"/>
      <c r="R82" s="83"/>
      <c r="S82" s="83"/>
      <c r="T82" s="83"/>
    </row>
    <row r="83" spans="1:20" ht="16.2" x14ac:dyDescent="0.3">
      <c r="A83" s="133" t="s">
        <v>115</v>
      </c>
      <c r="B83" s="133" t="s">
        <v>112</v>
      </c>
      <c r="C83" s="133"/>
      <c r="D83" s="73">
        <v>0</v>
      </c>
      <c r="E83" s="73">
        <v>0</v>
      </c>
      <c r="F83" s="73">
        <v>0</v>
      </c>
      <c r="G83" s="73">
        <v>0</v>
      </c>
      <c r="H83" s="72" t="s">
        <v>106</v>
      </c>
      <c r="I83" s="83"/>
      <c r="J83" s="83"/>
      <c r="K83" s="83"/>
      <c r="L83" s="83"/>
      <c r="M83" s="83"/>
      <c r="N83" s="83"/>
      <c r="O83" s="83"/>
      <c r="P83" s="83"/>
      <c r="Q83" s="83"/>
      <c r="R83" s="83"/>
      <c r="S83" s="83"/>
      <c r="T83" s="83"/>
    </row>
    <row r="84" spans="1:20" ht="15" thickBot="1" x14ac:dyDescent="0.35">
      <c r="A84" s="86"/>
      <c r="B84" s="86"/>
      <c r="C84" s="86"/>
      <c r="D84" s="74"/>
      <c r="E84" s="74"/>
      <c r="F84" s="74"/>
      <c r="G84" s="74"/>
      <c r="H84" s="125"/>
      <c r="I84" s="83"/>
      <c r="J84" s="83"/>
      <c r="K84" s="83"/>
      <c r="L84" s="83"/>
      <c r="M84" s="83"/>
      <c r="N84" s="83"/>
      <c r="O84" s="83"/>
      <c r="P84" s="83"/>
      <c r="Q84" s="83"/>
      <c r="R84" s="83"/>
      <c r="S84" s="83"/>
      <c r="T84" s="83"/>
    </row>
    <row r="85" spans="1:20" x14ac:dyDescent="0.3">
      <c r="A85" s="83"/>
      <c r="B85" s="126"/>
      <c r="C85" s="50" t="s">
        <v>116</v>
      </c>
      <c r="D85" s="51" t="s">
        <v>83</v>
      </c>
      <c r="E85" s="52" t="s">
        <v>84</v>
      </c>
      <c r="F85" s="52" t="s">
        <v>85</v>
      </c>
      <c r="G85" s="52" t="s">
        <v>86</v>
      </c>
      <c r="H85" s="53" t="s">
        <v>117</v>
      </c>
      <c r="I85" s="83"/>
      <c r="J85" s="83"/>
      <c r="K85" s="83"/>
      <c r="L85" s="83"/>
      <c r="M85" s="83"/>
      <c r="N85" s="83"/>
      <c r="O85" s="83"/>
      <c r="P85" s="83"/>
      <c r="Q85" s="83"/>
      <c r="R85" s="83"/>
      <c r="S85" s="83"/>
      <c r="T85" s="83"/>
    </row>
    <row r="86" spans="1:20" x14ac:dyDescent="0.3">
      <c r="A86" s="83"/>
      <c r="B86" s="127"/>
      <c r="C86" s="108" t="s">
        <v>118</v>
      </c>
      <c r="D86" s="109">
        <f>D59*Poolster[[#Totals],[Model 1
(eis M1 t/m M27)]]*48</f>
        <v>0</v>
      </c>
      <c r="E86" s="109">
        <f>E59*Poolster[[#Totals],[Model 1
(eis M1 t/m M27)]]*12</f>
        <v>0</v>
      </c>
      <c r="F86" s="109">
        <f>F59*Poolster[[#Totals],[Model 1
(eis M1 t/m M27)]]*12</f>
        <v>0</v>
      </c>
      <c r="G86" s="109">
        <f>G59*Poolster[[#Totals],[Model 1
(eis M1 t/m M27)]]*12</f>
        <v>0</v>
      </c>
      <c r="H86" s="54">
        <f>SUM(Symbio!$D86:$G86)</f>
        <v>0</v>
      </c>
      <c r="I86" s="83"/>
      <c r="J86" s="83"/>
      <c r="K86" s="83"/>
      <c r="L86" s="83"/>
      <c r="M86" s="83"/>
      <c r="N86" s="83"/>
      <c r="O86" s="83"/>
      <c r="P86" s="83"/>
      <c r="Q86" s="83"/>
      <c r="R86" s="83"/>
      <c r="S86" s="83"/>
      <c r="T86" s="83"/>
    </row>
    <row r="87" spans="1:20" x14ac:dyDescent="0.3">
      <c r="A87" s="83"/>
      <c r="B87" s="128"/>
      <c r="C87" s="111" t="s">
        <v>119</v>
      </c>
      <c r="D87" s="112">
        <f>D60*Poolster[[#Totals],[Model 2
(eis M1 t/m M27)]]*48</f>
        <v>0</v>
      </c>
      <c r="E87" s="112">
        <f>E60*Poolster[[#Totals],[Model 2
(eis M1 t/m M27)]]*12</f>
        <v>0</v>
      </c>
      <c r="F87" s="112">
        <f>F60*Poolster[[#Totals],[Model 2
(eis M1 t/m M27)]]*12</f>
        <v>0</v>
      </c>
      <c r="G87" s="112">
        <f>G60*Poolster[[#Totals],[Model 2
(eis M1 t/m M27)]]*12</f>
        <v>0</v>
      </c>
      <c r="H87" s="55">
        <f>SUM(Symbio!$D87:$G87)</f>
        <v>0</v>
      </c>
      <c r="I87" s="83"/>
      <c r="J87" s="83"/>
      <c r="K87" s="83"/>
      <c r="L87" s="83"/>
      <c r="M87" s="83"/>
      <c r="N87" s="83"/>
      <c r="O87" s="83"/>
      <c r="P87" s="83"/>
      <c r="Q87" s="83"/>
      <c r="R87" s="83"/>
      <c r="S87" s="83"/>
      <c r="T87" s="83"/>
    </row>
    <row r="88" spans="1:20" x14ac:dyDescent="0.3">
      <c r="A88" s="83"/>
      <c r="B88" s="75"/>
      <c r="C88" s="108" t="s">
        <v>120</v>
      </c>
      <c r="D88" s="109">
        <f>D67*I60</f>
        <v>0</v>
      </c>
      <c r="E88" s="109">
        <f>$D$67*$J$60</f>
        <v>0</v>
      </c>
      <c r="F88" s="109">
        <f t="shared" ref="F88:G88" si="0">$D$67*$J$60</f>
        <v>0</v>
      </c>
      <c r="G88" s="109">
        <f t="shared" si="0"/>
        <v>0</v>
      </c>
      <c r="H88" s="54">
        <f>SUM(Symbio!$D88:$G88)</f>
        <v>0</v>
      </c>
      <c r="I88" s="83"/>
      <c r="J88" s="83"/>
      <c r="K88" s="83"/>
      <c r="L88" s="83"/>
      <c r="M88" s="83"/>
      <c r="N88" s="83"/>
      <c r="O88" s="83"/>
      <c r="P88" s="83"/>
      <c r="Q88" s="83"/>
      <c r="R88" s="83"/>
      <c r="S88" s="83"/>
      <c r="T88" s="83"/>
    </row>
    <row r="89" spans="1:20" x14ac:dyDescent="0.3">
      <c r="A89" s="83"/>
      <c r="B89" s="76"/>
      <c r="C89" s="111" t="s">
        <v>121</v>
      </c>
      <c r="D89" s="112">
        <f>D68*K60</f>
        <v>0</v>
      </c>
      <c r="E89" s="112">
        <f>$D$68*$L$60</f>
        <v>0</v>
      </c>
      <c r="F89" s="112">
        <f t="shared" ref="F89:G89" si="1">$D$68*$L$60</f>
        <v>0</v>
      </c>
      <c r="G89" s="112">
        <f t="shared" si="1"/>
        <v>0</v>
      </c>
      <c r="H89" s="55">
        <f>SUM(Symbio!$D89:$G89)</f>
        <v>0</v>
      </c>
      <c r="I89" s="83"/>
      <c r="J89" s="83"/>
      <c r="K89" s="83"/>
      <c r="L89" s="83"/>
      <c r="M89" s="83"/>
      <c r="N89" s="83"/>
      <c r="O89" s="83"/>
      <c r="P89" s="83"/>
      <c r="Q89" s="83"/>
      <c r="R89" s="83"/>
      <c r="S89" s="83"/>
      <c r="T89" s="83"/>
    </row>
    <row r="90" spans="1:20" x14ac:dyDescent="0.3">
      <c r="A90" s="83"/>
      <c r="B90" s="75"/>
      <c r="C90" s="108" t="s">
        <v>94</v>
      </c>
      <c r="D90" s="109">
        <f>D63*(Poolster[[#Totals],[Model 1
(eis M1 t/m M27)]]+Poolster[[#Totals],[Model 2
(eis M1 t/m M27)]])*48</f>
        <v>0</v>
      </c>
      <c r="E90" s="109">
        <f>E63*(Poolster[[#Totals],[Model 1
(eis M1 t/m M27)]]+Poolster[[#Totals],[Model 2
(eis M1 t/m M27)]])*12</f>
        <v>0</v>
      </c>
      <c r="F90" s="109">
        <f>F63*(Poolster[[#Totals],[Model 1
(eis M1 t/m M27)]]+Poolster[[#Totals],[Model 2
(eis M1 t/m M27)]])*12</f>
        <v>0</v>
      </c>
      <c r="G90" s="109">
        <f>G63*(Poolster[[#Totals],[Model 1
(eis M1 t/m M27)]]+Poolster[[#Totals],[Model 2
(eis M1 t/m M27)]])*12</f>
        <v>0</v>
      </c>
      <c r="H90" s="54">
        <f>SUM(D90:G90)</f>
        <v>0</v>
      </c>
      <c r="I90" s="83"/>
      <c r="J90" s="83"/>
      <c r="K90" s="83"/>
      <c r="L90" s="83"/>
      <c r="M90" s="83"/>
      <c r="N90" s="83"/>
      <c r="O90" s="83"/>
      <c r="P90" s="83"/>
      <c r="Q90" s="83"/>
      <c r="R90" s="83"/>
      <c r="S90" s="83"/>
      <c r="T90" s="83"/>
    </row>
    <row r="91" spans="1:20" x14ac:dyDescent="0.3">
      <c r="A91" s="83"/>
      <c r="B91" s="76"/>
      <c r="C91" s="111" t="s">
        <v>95</v>
      </c>
      <c r="D91" s="112">
        <f>D64*(Poolster[[#Totals],[Model 1
(eis M1 t/m M27)]]+Poolster[[#Totals],[Model 2
(eis M1 t/m M27)]])*48</f>
        <v>0</v>
      </c>
      <c r="E91" s="112">
        <f>E64*(Poolster[[#Totals],[Model 1
(eis M1 t/m M27)]]+Poolster[[#Totals],[Model 2
(eis M1 t/m M27)]])*12</f>
        <v>0</v>
      </c>
      <c r="F91" s="112">
        <f>F64*(Poolster[[#Totals],[Model 1
(eis M1 t/m M27)]]+Poolster[[#Totals],[Model 2
(eis M1 t/m M27)]])*12</f>
        <v>0</v>
      </c>
      <c r="G91" s="112">
        <f>G64*(Poolster[[#Totals],[Model 1
(eis M1 t/m M27)]]+Poolster[[#Totals],[Model 2
(eis M1 t/m M27)]])*12</f>
        <v>0</v>
      </c>
      <c r="H91" s="55">
        <f>SUM(D91:G91)</f>
        <v>0</v>
      </c>
      <c r="I91" s="83"/>
      <c r="J91" s="83"/>
      <c r="K91" s="83"/>
      <c r="L91" s="83"/>
      <c r="M91" s="83"/>
      <c r="N91" s="83"/>
      <c r="O91" s="83"/>
      <c r="P91" s="83"/>
      <c r="Q91" s="83"/>
      <c r="R91" s="83"/>
      <c r="S91" s="83"/>
      <c r="T91" s="83"/>
    </row>
    <row r="92" spans="1:20" x14ac:dyDescent="0.3">
      <c r="A92" s="25"/>
      <c r="B92" s="75"/>
      <c r="C92" s="108" t="s">
        <v>122</v>
      </c>
      <c r="D92" s="113"/>
      <c r="E92" s="113"/>
      <c r="F92" s="113"/>
      <c r="G92" s="113"/>
      <c r="H92" s="54">
        <f>D71</f>
        <v>0</v>
      </c>
      <c r="I92" s="25"/>
      <c r="J92" s="83"/>
      <c r="K92" s="83"/>
      <c r="L92" s="83"/>
      <c r="M92" s="83"/>
      <c r="N92" s="83"/>
      <c r="O92" s="83"/>
      <c r="P92" s="83"/>
      <c r="Q92" s="83"/>
      <c r="R92" s="83"/>
      <c r="S92" s="83"/>
      <c r="T92" s="83"/>
    </row>
    <row r="93" spans="1:20" ht="15" thickBot="1" x14ac:dyDescent="0.35">
      <c r="A93" s="62"/>
      <c r="B93" s="77"/>
      <c r="C93" s="60" t="s">
        <v>123</v>
      </c>
      <c r="D93" s="114"/>
      <c r="E93" s="114"/>
      <c r="F93" s="114"/>
      <c r="G93" s="114"/>
      <c r="H93" s="61">
        <f>D72</f>
        <v>0</v>
      </c>
      <c r="I93" s="83"/>
      <c r="J93" s="83"/>
      <c r="K93" s="83"/>
      <c r="L93" s="83"/>
      <c r="M93" s="83"/>
      <c r="N93" s="83"/>
      <c r="O93" s="83"/>
      <c r="P93" s="83"/>
      <c r="Q93" s="83"/>
      <c r="R93" s="83"/>
      <c r="S93" s="83"/>
      <c r="T93" s="83"/>
    </row>
    <row r="94" spans="1:20" ht="15" thickBot="1" x14ac:dyDescent="0.35">
      <c r="A94" s="119"/>
      <c r="B94" s="105"/>
      <c r="C94" s="83"/>
      <c r="D94" s="120"/>
      <c r="E94" s="120"/>
      <c r="F94" s="120"/>
      <c r="G94" s="120"/>
      <c r="H94" s="83"/>
      <c r="I94" s="83"/>
      <c r="J94" s="83"/>
      <c r="K94" s="83"/>
      <c r="L94" s="83"/>
      <c r="M94" s="83"/>
      <c r="N94" s="83"/>
      <c r="O94" s="83"/>
      <c r="P94" s="83"/>
      <c r="Q94" s="83"/>
      <c r="R94" s="83"/>
      <c r="S94" s="83"/>
      <c r="T94" s="83"/>
    </row>
    <row r="95" spans="1:20" ht="24" thickBot="1" x14ac:dyDescent="0.35">
      <c r="D95" s="15"/>
      <c r="F95" s="16" t="s">
        <v>124</v>
      </c>
      <c r="G95" s="130">
        <f>SUM(H86:H94)</f>
        <v>0</v>
      </c>
      <c r="H95" s="131"/>
      <c r="J95" s="21"/>
      <c r="K95" s="22"/>
      <c r="L95" s="22"/>
    </row>
    <row r="96" spans="1:20" x14ac:dyDescent="0.3">
      <c r="J96" s="21"/>
    </row>
    <row r="97" spans="2:9" ht="15" x14ac:dyDescent="0.3">
      <c r="B97" s="17" t="s">
        <v>125</v>
      </c>
      <c r="I97" s="18"/>
    </row>
    <row r="98" spans="2:9" ht="15" x14ac:dyDescent="0.3">
      <c r="B98" s="17" t="s">
        <v>259</v>
      </c>
      <c r="C98" s="18"/>
      <c r="D98" s="18"/>
      <c r="E98" s="18"/>
      <c r="F98" s="18"/>
      <c r="G98" s="18"/>
      <c r="H98" s="18"/>
      <c r="I98" s="18"/>
    </row>
    <row r="99" spans="2:9" ht="15" x14ac:dyDescent="0.3">
      <c r="B99" s="19" t="s">
        <v>127</v>
      </c>
      <c r="C99" s="18"/>
      <c r="D99" s="18"/>
      <c r="E99" s="18"/>
      <c r="F99" s="18"/>
      <c r="G99" s="18"/>
      <c r="H99" s="18"/>
      <c r="I99" s="20"/>
    </row>
    <row r="100" spans="2:9" x14ac:dyDescent="0.3">
      <c r="D100" s="20"/>
      <c r="E100" s="20"/>
      <c r="F100" s="20"/>
      <c r="G100" s="20"/>
      <c r="H100" s="20"/>
      <c r="I100" s="20"/>
    </row>
  </sheetData>
  <mergeCells count="12">
    <mergeCell ref="G95:H95"/>
    <mergeCell ref="A71:C71"/>
    <mergeCell ref="A72:C72"/>
    <mergeCell ref="A75:C75"/>
    <mergeCell ref="A76:C76"/>
    <mergeCell ref="A77:C77"/>
    <mergeCell ref="A78:C78"/>
    <mergeCell ref="A79:C79"/>
    <mergeCell ref="A80:C80"/>
    <mergeCell ref="A81:C81"/>
    <mergeCell ref="A82:C82"/>
    <mergeCell ref="A83:C83"/>
  </mergeCells>
  <phoneticPr fontId="5" type="noConversion"/>
  <pageMargins left="0.23622047244094491" right="0.23622047244094491" top="0.74803149606299213" bottom="0.74803149606299213" header="0.31496062992125984" footer="0.31496062992125984"/>
  <pageSetup paperSize="9" scale="29"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D A A B Q S w M E F A A C A A g A 9 H K l U k 6 5 M L u j A A A A 9 Q A A A B I A H A B D b 2 5 m a W c v U G F j a 2 F n Z S 5 4 b W w g o h g A K K A U A A A A A A A A A A A A A A A A A A A A A A A A A A A A h Y + x D o I w G I R f h X S n L c i g 5 K c M r m B M T I w r K R U a 4 c f Q Y n k 3 B x / J V x C j q J v J L X f 3 D X f 3 6 w 3 S s W 2 8 i + q N 7 j A h A e X E U y i 7 U m O V k M E e / S V J B W w L e S o q 5 U 0 w m n g 0 Z U J q a 8 8 x Y 8 4 5 6 h a 0 6 y s W c h 6 w Q 5 7 t Z K 3 a g n x g / R / 2 N R p b o F R E w P 4 1 R o R 0 N S m K K A c 2 Z 5 B r / P b h N P f Z / o S w H h o 7 9 E p g 4 2 8 y Y L M F 9 r 4 g H l B L A w Q U A A I A C A D 0 c q V 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9 H K l U i i K R 7 g O A A A A E Q A A A B M A H A B G b 3 J t d W x h c y 9 T Z W N 0 a W 9 u M S 5 t I K I Y A C i g F A A A A A A A A A A A A A A A A A A A A A A A A A A A A C t O T S 7 J z M 9 T C I b Q h t Y A U E s B A i 0 A F A A C A A g A 9 H K l U k 6 5 M L u j A A A A 9 Q A A A B I A A A A A A A A A A A A A A A A A A A A A A E N v b m Z p Z y 9 Q Y W N r Y W d l L n h t b F B L A Q I t A B Q A A g A I A P R y p V I P y u m r p A A A A O k A A A A T A A A A A A A A A A A A A A A A A O 8 A A A B b Q 2 9 u d G V u d F 9 U e X B l c 1 0 u e G 1 s U E s B A i 0 A F A A C A A g A 9 H K l 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L l E g b w E h w l L t r W U z p Y c q 7 M A A A A A A g A A A A A A E G Y A A A A B A A A g A A A A J L B 8 C u L a 8 C n e G X R W R H 6 p x / q o j D 7 b M 3 6 u / z N n A j d 0 8 Y o A A A A A D o A A A A A C A A A g A A A A t z P N v Y I y 6 8 C v n q e o E D Z E c d 4 s G H y O Y J c k H K Y 7 l N g b 1 p N Q A A A A u x j 1 5 K D 4 O C M d r l 3 J x R 9 l t / w C L 2 f k z O E 8 D H s u i X T O S a P Z 2 I M b C R 1 Y K Z 5 m M u Q / 7 V a P S N 5 N h q l k 9 S K J 3 0 L D v a r W e E 8 A 8 q t z P S B C Y j 6 + X M 2 z B 4 J A A A A A u c T V d Z O M T c 9 s V z m 8 D o d Y p e o S k I W o T a N Z R Y y d Y x J R Z A P V 7 d Y r + 3 B A C h k m Q 2 1 Z A 3 O 6 r a d D s Q v p U D 5 j g F 9 1 Q 4 O G r Q = = < / D a t a M a s h u p > 
</file>

<file path=customXml/item2.xml><?xml version="1.0" encoding="utf-8"?>
<p:properties xmlns:p="http://schemas.microsoft.com/office/2006/metadata/properties" xmlns:xsi="http://www.w3.org/2001/XMLSchema-instance" xmlns:pc="http://schemas.microsoft.com/office/infopath/2007/PartnerControls">
  <documentManagement>
    <TaxCatchAll xmlns="f8e0e575-8568-4af1-85ef-794ef5b1c2ae" xsi:nil="true"/>
    <lcf76f155ced4ddcb4097134ff3c332f xmlns="ae586e2e-e207-45a9-a8a8-8ad30477958d">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D01BAE8198AB094BA71E4C56740B70B5" ma:contentTypeVersion="18" ma:contentTypeDescription="Een nieuw document maken." ma:contentTypeScope="" ma:versionID="f6bb839243ca0fb11be8c3099efcf87c">
  <xsd:schema xmlns:xsd="http://www.w3.org/2001/XMLSchema" xmlns:xs="http://www.w3.org/2001/XMLSchema" xmlns:p="http://schemas.microsoft.com/office/2006/metadata/properties" xmlns:ns2="ae586e2e-e207-45a9-a8a8-8ad30477958d" xmlns:ns3="f8e0e575-8568-4af1-85ef-794ef5b1c2ae" targetNamespace="http://schemas.microsoft.com/office/2006/metadata/properties" ma:root="true" ma:fieldsID="12605b1afc1914b07818c37365e1a85c" ns2:_="" ns3:_="">
    <xsd:import namespace="ae586e2e-e207-45a9-a8a8-8ad30477958d"/>
    <xsd:import namespace="f8e0e575-8568-4af1-85ef-794ef5b1c2a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2:MediaServiceLocation"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586e2e-e207-45a9-a8a8-8ad304779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Afbeeldingtags" ma:readOnly="false" ma:fieldId="{5cf76f15-5ced-4ddc-b409-7134ff3c332f}" ma:taxonomyMulti="true" ma:sspId="b2f4ec2f-da15-4902-8fa6-112cf7c4e546"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e0e575-8568-4af1-85ef-794ef5b1c2ae"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element name="TaxCatchAll" ma:index="22" nillable="true" ma:displayName="Taxonomy Catch All Column" ma:hidden="true" ma:list="{34db4478-d620-4218-aebb-824b1838aa21}" ma:internalName="TaxCatchAll" ma:showField="CatchAllData" ma:web="f8e0e575-8568-4af1-85ef-794ef5b1c2a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D58017-63E3-4089-8266-CD4359C4AE99}">
  <ds:schemaRefs>
    <ds:schemaRef ds:uri="http://schemas.microsoft.com/DataMashup"/>
  </ds:schemaRefs>
</ds:datastoreItem>
</file>

<file path=customXml/itemProps2.xml><?xml version="1.0" encoding="utf-8"?>
<ds:datastoreItem xmlns:ds="http://schemas.openxmlformats.org/officeDocument/2006/customXml" ds:itemID="{0F4B9C8B-3EF0-4B05-8CCE-7A53352A998F}">
  <ds:schemaRefs>
    <ds:schemaRef ds:uri="http://schemas.microsoft.com/office/2006/metadata/properties"/>
    <ds:schemaRef ds:uri="http://schemas.microsoft.com/office/infopath/2007/PartnerControls"/>
    <ds:schemaRef ds:uri="f8e0e575-8568-4af1-85ef-794ef5b1c2ae"/>
    <ds:schemaRef ds:uri="ae586e2e-e207-45a9-a8a8-8ad30477958d"/>
  </ds:schemaRefs>
</ds:datastoreItem>
</file>

<file path=customXml/itemProps3.xml><?xml version="1.0" encoding="utf-8"?>
<ds:datastoreItem xmlns:ds="http://schemas.openxmlformats.org/officeDocument/2006/customXml" ds:itemID="{B120184C-8485-46AB-A319-BCDB3910127D}">
  <ds:schemaRefs>
    <ds:schemaRef ds:uri="http://schemas.microsoft.com/sharepoint/v3/contenttype/forms"/>
  </ds:schemaRefs>
</ds:datastoreItem>
</file>

<file path=customXml/itemProps4.xml><?xml version="1.0" encoding="utf-8"?>
<ds:datastoreItem xmlns:ds="http://schemas.openxmlformats.org/officeDocument/2006/customXml" ds:itemID="{90ED356D-742F-4B3E-B3A8-247AE00EBFC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Toelichting</vt:lpstr>
      <vt:lpstr>Brigantijn</vt:lpstr>
      <vt:lpstr>OPONOA</vt:lpstr>
      <vt:lpstr>SOCA</vt:lpstr>
      <vt:lpstr>Symbio</vt:lpstr>
      <vt:lpstr>Brigantijn!Afdrukbereik</vt:lpstr>
      <vt:lpstr>OPONOA!Afdrukbereik</vt:lpstr>
      <vt:lpstr>SOCA!Afdrukbereik</vt:lpstr>
      <vt:lpstr>Symbio!Afdrukbereik</vt:lpstr>
      <vt:lpstr>Toelichting!Afdrukbereik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Sanderman</dc:creator>
  <cp:keywords/>
  <dc:description/>
  <cp:lastModifiedBy>Ilse Bruggers</cp:lastModifiedBy>
  <cp:revision/>
  <dcterms:created xsi:type="dcterms:W3CDTF">2021-01-05T14:14:03Z</dcterms:created>
  <dcterms:modified xsi:type="dcterms:W3CDTF">2025-04-22T09:19:53Z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0x010100D01BAE8198AB094BA71E4C56740B70B5</vt:lpwstr>
  </property>
  <property fmtid="{D5CDD505-2E9C-101B-9397-08002B2CF9AE}" pid="3" name="MediaServiceImageTags">
    <vt:lpwstr/>
  </property>
</Properties>
</file>