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9"/>
  <workbookPr/>
  <mc:AlternateContent xmlns:mc="http://schemas.openxmlformats.org/markup-compatibility/2006">
    <mc:Choice Requires="x15">
      <x15ac:absPath xmlns:x15ac="http://schemas.microsoft.com/office/spreadsheetml/2010/11/ac" url="https://wsvalleiveluwe.sharepoint.com/sites/Facilita/Gedeelde documenten/Facilitair/05 Schoonmaak en Afval/01 CWS/01 Aanbesteding 2025/02 Concept documenten/Inventarisatie/"/>
    </mc:Choice>
  </mc:AlternateContent>
  <xr:revisionPtr revIDLastSave="3172" documentId="8_{442B5F7E-FBF2-40B8-ADEC-0C6EF37DAA01}" xr6:coauthVersionLast="47" xr6:coauthVersionMax="47" xr10:uidLastSave="{80A788CB-FB24-42DF-9E21-6535C0B30B01}"/>
  <bookViews>
    <workbookView xWindow="-120" yWindow="-120" windowWidth="29040" windowHeight="15720" tabRatio="913" xr2:uid="{80E01DAC-7D53-4795-9FEF-327FE7ACFCF8}"/>
  </bookViews>
  <sheets>
    <sheet name="Gegevens" sheetId="6" r:id="rId1"/>
    <sheet name="Totaal" sheetId="34" r:id="rId2"/>
    <sheet name="Waterschapshuis" sheetId="7" r:id="rId3"/>
    <sheet name="RWZI Bennekom" sheetId="8" r:id="rId4"/>
    <sheet name="RWZi Amersfoort" sheetId="9" r:id="rId5"/>
    <sheet name="RWZI Heerde" sheetId="10" r:id="rId6"/>
    <sheet name="RWZI  Veenendaal" sheetId="11" r:id="rId7"/>
    <sheet name="RWZI Brummen" sheetId="12" r:id="rId8"/>
    <sheet name="RWZI Epe" sheetId="13" r:id="rId9"/>
    <sheet name="RWZI Woudenberg" sheetId="14" r:id="rId10"/>
    <sheet name="RWZI Apeldoorn" sheetId="15" r:id="rId11"/>
    <sheet name="RWZI Elburg" sheetId="16" r:id="rId12"/>
    <sheet name="RWZI Soest" sheetId="17" r:id="rId13"/>
    <sheet name="RWZI Nijkerk" sheetId="19" r:id="rId14"/>
    <sheet name="RWZI Renkum" sheetId="21" r:id="rId15"/>
    <sheet name="RWZI Terwolde" sheetId="23" r:id="rId16"/>
    <sheet name="Steunpunt Twello" sheetId="29" r:id="rId17"/>
    <sheet name="RWZI Hattem" sheetId="24" r:id="rId18"/>
    <sheet name="RWZI Ede" sheetId="22" r:id="rId19"/>
    <sheet name="Steunpunt Kleine Gat" sheetId="18" r:id="rId20"/>
    <sheet name="Steunpunt Kallenbroek" sheetId="26" r:id="rId21"/>
    <sheet name="Steunpunt De Wenden Noordeinde" sheetId="28" r:id="rId22"/>
    <sheet name="RWZI Harderwijk" sheetId="20" r:id="rId23"/>
    <sheet name="Infohal Apeldoorn" sheetId="31" r:id="rId24"/>
    <sheet name="Infohal Ede" sheetId="32" r:id="rId25"/>
    <sheet name="Rioolgemaal" sheetId="30" r:id="rId26"/>
  </sheets>
  <externalReferences>
    <externalReference r:id="rId2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34" l="1"/>
  <c r="N23" i="34"/>
  <c r="N22" i="34"/>
  <c r="N21" i="34"/>
  <c r="N20" i="34"/>
  <c r="N19" i="34"/>
  <c r="N18" i="34"/>
  <c r="N26" i="34" s="1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P9" i="8"/>
  <c r="N3" i="34" s="1"/>
  <c r="P11" i="28"/>
  <c r="P11" i="18"/>
  <c r="P17" i="24"/>
  <c r="P12" i="29"/>
  <c r="P9" i="23"/>
  <c r="P15" i="21"/>
  <c r="P7" i="17"/>
  <c r="P9" i="16"/>
  <c r="P20" i="15"/>
  <c r="P12" i="13"/>
  <c r="P16" i="11"/>
  <c r="P11" i="10"/>
  <c r="P11" i="9"/>
  <c r="N2" i="34"/>
  <c r="Q30" i="7"/>
  <c r="P30" i="7"/>
  <c r="L2" i="34"/>
  <c r="L26" i="34" s="1"/>
  <c r="M30" i="7"/>
  <c r="I2" i="34" s="1"/>
  <c r="N30" i="7"/>
  <c r="J2" i="34" s="1"/>
  <c r="O30" i="7"/>
  <c r="K2" i="34" s="1"/>
  <c r="G93" i="30"/>
  <c r="C25" i="34" s="1"/>
  <c r="H93" i="30"/>
  <c r="D25" i="34" s="1"/>
  <c r="I93" i="30"/>
  <c r="E25" i="34" s="1"/>
  <c r="J93" i="30"/>
  <c r="F25" i="34" s="1"/>
  <c r="K93" i="30"/>
  <c r="G25" i="34" s="1"/>
  <c r="L93" i="30"/>
  <c r="H25" i="34" s="1"/>
  <c r="M93" i="30"/>
  <c r="I25" i="34" s="1"/>
  <c r="N93" i="30"/>
  <c r="J25" i="34" s="1"/>
  <c r="O93" i="30"/>
  <c r="K25" i="34" s="1"/>
  <c r="F93" i="30"/>
  <c r="B25" i="34" s="1"/>
  <c r="G9" i="32"/>
  <c r="H9" i="32"/>
  <c r="I9" i="32"/>
  <c r="J9" i="32"/>
  <c r="K9" i="32"/>
  <c r="L9" i="32"/>
  <c r="M9" i="32"/>
  <c r="N9" i="32"/>
  <c r="O9" i="32"/>
  <c r="F9" i="32"/>
  <c r="G14" i="20"/>
  <c r="C22" i="34" s="1"/>
  <c r="H14" i="20"/>
  <c r="D22" i="34" s="1"/>
  <c r="I14" i="20"/>
  <c r="E22" i="34" s="1"/>
  <c r="J14" i="20"/>
  <c r="F22" i="34" s="1"/>
  <c r="K14" i="20"/>
  <c r="G22" i="34" s="1"/>
  <c r="L14" i="20"/>
  <c r="H22" i="34" s="1"/>
  <c r="M14" i="20"/>
  <c r="I22" i="34" s="1"/>
  <c r="N14" i="20"/>
  <c r="J22" i="34" s="1"/>
  <c r="O14" i="20"/>
  <c r="K22" i="34" s="1"/>
  <c r="F14" i="20"/>
  <c r="B22" i="34" s="1"/>
  <c r="G11" i="28"/>
  <c r="C21" i="34" s="1"/>
  <c r="H11" i="28"/>
  <c r="D21" i="34" s="1"/>
  <c r="I11" i="28"/>
  <c r="E21" i="34" s="1"/>
  <c r="J11" i="28"/>
  <c r="F21" i="34" s="1"/>
  <c r="K11" i="28"/>
  <c r="G21" i="34" s="1"/>
  <c r="L11" i="28"/>
  <c r="H21" i="34" s="1"/>
  <c r="M11" i="28"/>
  <c r="I21" i="34" s="1"/>
  <c r="N11" i="28"/>
  <c r="J21" i="34" s="1"/>
  <c r="O11" i="28"/>
  <c r="K21" i="34" s="1"/>
  <c r="F11" i="28"/>
  <c r="B21" i="34" s="1"/>
  <c r="G10" i="26"/>
  <c r="C20" i="34" s="1"/>
  <c r="H10" i="26"/>
  <c r="D20" i="34" s="1"/>
  <c r="I10" i="26"/>
  <c r="E20" i="34" s="1"/>
  <c r="J10" i="26"/>
  <c r="F20" i="34" s="1"/>
  <c r="K10" i="26"/>
  <c r="G20" i="34" s="1"/>
  <c r="L10" i="26"/>
  <c r="H20" i="34" s="1"/>
  <c r="M10" i="26"/>
  <c r="I20" i="34" s="1"/>
  <c r="N10" i="26"/>
  <c r="J20" i="34" s="1"/>
  <c r="F10" i="26"/>
  <c r="B20" i="34" s="1"/>
  <c r="O10" i="26"/>
  <c r="K20" i="34" s="1"/>
  <c r="G11" i="18"/>
  <c r="C19" i="34" s="1"/>
  <c r="H11" i="18"/>
  <c r="D19" i="34" s="1"/>
  <c r="I11" i="18"/>
  <c r="E19" i="34" s="1"/>
  <c r="J11" i="18"/>
  <c r="F19" i="34" s="1"/>
  <c r="K11" i="18"/>
  <c r="G19" i="34" s="1"/>
  <c r="L11" i="18"/>
  <c r="H19" i="34" s="1"/>
  <c r="M11" i="18"/>
  <c r="I19" i="34" s="1"/>
  <c r="N11" i="18"/>
  <c r="J19" i="34" s="1"/>
  <c r="F11" i="18"/>
  <c r="B19" i="34" s="1"/>
  <c r="O11" i="18"/>
  <c r="K19" i="34" s="1"/>
  <c r="G17" i="22"/>
  <c r="C18" i="34" s="1"/>
  <c r="H17" i="22"/>
  <c r="D18" i="34" s="1"/>
  <c r="I17" i="22"/>
  <c r="E18" i="34" s="1"/>
  <c r="J17" i="22"/>
  <c r="F18" i="34" s="1"/>
  <c r="K17" i="22"/>
  <c r="L17" i="22"/>
  <c r="H18" i="34" s="1"/>
  <c r="M17" i="22"/>
  <c r="I24" i="34" s="1"/>
  <c r="N17" i="22"/>
  <c r="J18" i="34" s="1"/>
  <c r="F17" i="22"/>
  <c r="B24" i="34" s="1"/>
  <c r="O17" i="22"/>
  <c r="K18" i="34" s="1"/>
  <c r="G17" i="24"/>
  <c r="C17" i="34" s="1"/>
  <c r="H17" i="24"/>
  <c r="D17" i="34" s="1"/>
  <c r="I17" i="24"/>
  <c r="E17" i="34" s="1"/>
  <c r="J17" i="24"/>
  <c r="F17" i="34" s="1"/>
  <c r="K17" i="24"/>
  <c r="G17" i="34" s="1"/>
  <c r="L17" i="24"/>
  <c r="H17" i="34" s="1"/>
  <c r="M17" i="24"/>
  <c r="I17" i="34" s="1"/>
  <c r="N17" i="24"/>
  <c r="J17" i="34" s="1"/>
  <c r="O17" i="24"/>
  <c r="K17" i="34" s="1"/>
  <c r="F17" i="24"/>
  <c r="B17" i="34" s="1"/>
  <c r="G12" i="29"/>
  <c r="C16" i="34" s="1"/>
  <c r="H12" i="29"/>
  <c r="D16" i="34" s="1"/>
  <c r="I12" i="29"/>
  <c r="E16" i="34" s="1"/>
  <c r="J12" i="29"/>
  <c r="F16" i="34" s="1"/>
  <c r="K12" i="29"/>
  <c r="G16" i="34" s="1"/>
  <c r="L12" i="29"/>
  <c r="H16" i="34" s="1"/>
  <c r="M12" i="29"/>
  <c r="I16" i="34" s="1"/>
  <c r="N12" i="29"/>
  <c r="J16" i="34" s="1"/>
  <c r="O12" i="29"/>
  <c r="K16" i="34" s="1"/>
  <c r="F12" i="29"/>
  <c r="B16" i="34" s="1"/>
  <c r="G9" i="23"/>
  <c r="C15" i="34" s="1"/>
  <c r="H9" i="23"/>
  <c r="D15" i="34" s="1"/>
  <c r="I9" i="23"/>
  <c r="E15" i="34" s="1"/>
  <c r="J9" i="23"/>
  <c r="F15" i="34" s="1"/>
  <c r="K9" i="23"/>
  <c r="G15" i="34" s="1"/>
  <c r="L9" i="23"/>
  <c r="H15" i="34" s="1"/>
  <c r="M9" i="23"/>
  <c r="I15" i="34" s="1"/>
  <c r="N9" i="23"/>
  <c r="J15" i="34" s="1"/>
  <c r="O9" i="23"/>
  <c r="K15" i="34" s="1"/>
  <c r="F9" i="23"/>
  <c r="B15" i="34" s="1"/>
  <c r="G15" i="21"/>
  <c r="C14" i="34" s="1"/>
  <c r="H15" i="21"/>
  <c r="D14" i="34" s="1"/>
  <c r="I15" i="21"/>
  <c r="E14" i="34" s="1"/>
  <c r="J15" i="21"/>
  <c r="F14" i="34" s="1"/>
  <c r="K15" i="21"/>
  <c r="G14" i="34" s="1"/>
  <c r="L15" i="21"/>
  <c r="H14" i="34" s="1"/>
  <c r="M15" i="21"/>
  <c r="I14" i="34" s="1"/>
  <c r="N15" i="21"/>
  <c r="J14" i="34" s="1"/>
  <c r="O15" i="21"/>
  <c r="K14" i="34" s="1"/>
  <c r="F15" i="21"/>
  <c r="B14" i="34" s="1"/>
  <c r="G13" i="19"/>
  <c r="C13" i="34" s="1"/>
  <c r="H13" i="19"/>
  <c r="D13" i="34" s="1"/>
  <c r="I13" i="19"/>
  <c r="E13" i="34" s="1"/>
  <c r="J13" i="19"/>
  <c r="F13" i="34" s="1"/>
  <c r="K13" i="19"/>
  <c r="G13" i="34" s="1"/>
  <c r="L13" i="19"/>
  <c r="H13" i="34" s="1"/>
  <c r="M13" i="19"/>
  <c r="I13" i="34" s="1"/>
  <c r="N13" i="19"/>
  <c r="J13" i="34" s="1"/>
  <c r="O13" i="19"/>
  <c r="K13" i="34" s="1"/>
  <c r="F13" i="19"/>
  <c r="B13" i="34" s="1"/>
  <c r="G7" i="17"/>
  <c r="C12" i="34" s="1"/>
  <c r="H7" i="17"/>
  <c r="D12" i="34" s="1"/>
  <c r="I7" i="17"/>
  <c r="E12" i="34" s="1"/>
  <c r="J7" i="17"/>
  <c r="F12" i="34" s="1"/>
  <c r="K7" i="17"/>
  <c r="G12" i="34" s="1"/>
  <c r="L7" i="17"/>
  <c r="H12" i="34" s="1"/>
  <c r="M7" i="17"/>
  <c r="I12" i="34" s="1"/>
  <c r="N7" i="17"/>
  <c r="J12" i="34" s="1"/>
  <c r="O7" i="17"/>
  <c r="K12" i="34" s="1"/>
  <c r="F7" i="17"/>
  <c r="B12" i="34" s="1"/>
  <c r="G9" i="16"/>
  <c r="C11" i="34" s="1"/>
  <c r="H9" i="16"/>
  <c r="D11" i="34" s="1"/>
  <c r="I9" i="16"/>
  <c r="E11" i="34" s="1"/>
  <c r="J9" i="16"/>
  <c r="F11" i="34" s="1"/>
  <c r="K9" i="16"/>
  <c r="G11" i="34" s="1"/>
  <c r="L9" i="16"/>
  <c r="H11" i="34" s="1"/>
  <c r="M9" i="16"/>
  <c r="I11" i="34" s="1"/>
  <c r="N9" i="16"/>
  <c r="J11" i="34" s="1"/>
  <c r="O9" i="16"/>
  <c r="K11" i="34" s="1"/>
  <c r="F9" i="16"/>
  <c r="B11" i="34" s="1"/>
  <c r="G20" i="15"/>
  <c r="C10" i="34" s="1"/>
  <c r="H20" i="15"/>
  <c r="D10" i="34" s="1"/>
  <c r="I20" i="15"/>
  <c r="E10" i="34" s="1"/>
  <c r="J20" i="15"/>
  <c r="F10" i="34" s="1"/>
  <c r="K20" i="15"/>
  <c r="G10" i="34" s="1"/>
  <c r="L20" i="15"/>
  <c r="H10" i="34" s="1"/>
  <c r="M20" i="15"/>
  <c r="I10" i="34" s="1"/>
  <c r="N20" i="15"/>
  <c r="J10" i="34" s="1"/>
  <c r="O20" i="15"/>
  <c r="K10" i="34" s="1"/>
  <c r="F20" i="15"/>
  <c r="B10" i="34" s="1"/>
  <c r="G10" i="14"/>
  <c r="C9" i="34" s="1"/>
  <c r="H10" i="14"/>
  <c r="D9" i="34" s="1"/>
  <c r="I10" i="14"/>
  <c r="E9" i="34" s="1"/>
  <c r="J10" i="14"/>
  <c r="F9" i="34" s="1"/>
  <c r="K10" i="14"/>
  <c r="G9" i="34" s="1"/>
  <c r="L10" i="14"/>
  <c r="H9" i="34" s="1"/>
  <c r="M10" i="14"/>
  <c r="I9" i="34" s="1"/>
  <c r="N10" i="14"/>
  <c r="J9" i="34" s="1"/>
  <c r="O10" i="14"/>
  <c r="K9" i="34" s="1"/>
  <c r="F10" i="14"/>
  <c r="B9" i="34" s="1"/>
  <c r="G12" i="13"/>
  <c r="C8" i="34" s="1"/>
  <c r="H12" i="13"/>
  <c r="D8" i="34" s="1"/>
  <c r="I12" i="13"/>
  <c r="E8" i="34" s="1"/>
  <c r="J12" i="13"/>
  <c r="F8" i="34" s="1"/>
  <c r="K12" i="13"/>
  <c r="G8" i="34" s="1"/>
  <c r="L12" i="13"/>
  <c r="H8" i="34" s="1"/>
  <c r="M12" i="13"/>
  <c r="I8" i="34" s="1"/>
  <c r="N12" i="13"/>
  <c r="J8" i="34" s="1"/>
  <c r="O12" i="13"/>
  <c r="K8" i="34" s="1"/>
  <c r="F12" i="13"/>
  <c r="B8" i="34" s="1"/>
  <c r="G12" i="12"/>
  <c r="C7" i="34" s="1"/>
  <c r="H12" i="12"/>
  <c r="D7" i="34" s="1"/>
  <c r="I12" i="12"/>
  <c r="E7" i="34" s="1"/>
  <c r="J12" i="12"/>
  <c r="F7" i="34" s="1"/>
  <c r="K12" i="12"/>
  <c r="G7" i="34" s="1"/>
  <c r="L12" i="12"/>
  <c r="H7" i="34" s="1"/>
  <c r="M12" i="12"/>
  <c r="I7" i="34" s="1"/>
  <c r="N12" i="12"/>
  <c r="J7" i="34" s="1"/>
  <c r="O12" i="12"/>
  <c r="K7" i="34" s="1"/>
  <c r="F12" i="12"/>
  <c r="B7" i="34" s="1"/>
  <c r="G11" i="9"/>
  <c r="C4" i="34" s="1"/>
  <c r="H11" i="9"/>
  <c r="D4" i="34" s="1"/>
  <c r="I11" i="9"/>
  <c r="E4" i="34" s="1"/>
  <c r="J11" i="9"/>
  <c r="F4" i="34" s="1"/>
  <c r="K11" i="9"/>
  <c r="G4" i="34" s="1"/>
  <c r="L11" i="9"/>
  <c r="H4" i="34" s="1"/>
  <c r="M11" i="9"/>
  <c r="I4" i="34" s="1"/>
  <c r="N11" i="9"/>
  <c r="J4" i="34" s="1"/>
  <c r="O11" i="9"/>
  <c r="K4" i="34" s="1"/>
  <c r="F11" i="9"/>
  <c r="B4" i="34" s="1"/>
  <c r="G9" i="8"/>
  <c r="C3" i="34" s="1"/>
  <c r="H9" i="8"/>
  <c r="D3" i="34" s="1"/>
  <c r="I9" i="8"/>
  <c r="E3" i="34" s="1"/>
  <c r="J9" i="8"/>
  <c r="F3" i="34" s="1"/>
  <c r="K9" i="8"/>
  <c r="G3" i="34" s="1"/>
  <c r="L9" i="8"/>
  <c r="H3" i="34" s="1"/>
  <c r="M9" i="8"/>
  <c r="I3" i="34" s="1"/>
  <c r="N9" i="8"/>
  <c r="J3" i="34" s="1"/>
  <c r="O9" i="8"/>
  <c r="K3" i="34" s="1"/>
  <c r="F9" i="8"/>
  <c r="B3" i="34" s="1"/>
  <c r="G30" i="7"/>
  <c r="C2" i="34" s="1"/>
  <c r="H30" i="7"/>
  <c r="D2" i="34" s="1"/>
  <c r="I30" i="7"/>
  <c r="E2" i="34" s="1"/>
  <c r="J30" i="7"/>
  <c r="K30" i="7"/>
  <c r="M2" i="34" s="1"/>
  <c r="M26" i="34" s="1"/>
  <c r="L30" i="7"/>
  <c r="H2" i="34" s="1"/>
  <c r="F30" i="7"/>
  <c r="B2" i="34" s="1"/>
  <c r="G11" i="10"/>
  <c r="C5" i="34" s="1"/>
  <c r="H11" i="10"/>
  <c r="D5" i="34" s="1"/>
  <c r="I11" i="10"/>
  <c r="E5" i="34" s="1"/>
  <c r="J11" i="10"/>
  <c r="F5" i="34" s="1"/>
  <c r="K11" i="10"/>
  <c r="G5" i="34" s="1"/>
  <c r="L11" i="10"/>
  <c r="H5" i="34" s="1"/>
  <c r="M11" i="10"/>
  <c r="I5" i="34" s="1"/>
  <c r="N11" i="10"/>
  <c r="J5" i="34" s="1"/>
  <c r="O11" i="10"/>
  <c r="K5" i="34" s="1"/>
  <c r="F11" i="10"/>
  <c r="B5" i="34" s="1"/>
  <c r="G16" i="11"/>
  <c r="K6" i="34" s="1"/>
  <c r="H16" i="11"/>
  <c r="D6" i="34" s="1"/>
  <c r="I16" i="11"/>
  <c r="E6" i="34" s="1"/>
  <c r="J16" i="11"/>
  <c r="F6" i="34" s="1"/>
  <c r="K16" i="11"/>
  <c r="G6" i="34" s="1"/>
  <c r="L16" i="11"/>
  <c r="H6" i="34" s="1"/>
  <c r="M16" i="11"/>
  <c r="I6" i="34" s="1"/>
  <c r="N16" i="11"/>
  <c r="J6" i="34" s="1"/>
  <c r="O16" i="11"/>
  <c r="F16" i="11"/>
  <c r="B6" i="34" s="1"/>
  <c r="G18" i="34" l="1"/>
  <c r="G24" i="34"/>
  <c r="G26" i="34"/>
  <c r="H24" i="34"/>
  <c r="I18" i="34"/>
  <c r="I26" i="34" s="1"/>
  <c r="F24" i="34"/>
  <c r="B18" i="34"/>
  <c r="B26" i="34" s="1"/>
  <c r="E24" i="34"/>
  <c r="E26" i="34" s="1"/>
  <c r="D24" i="34"/>
  <c r="D26" i="34" s="1"/>
  <c r="K24" i="34"/>
  <c r="K26" i="34" s="1"/>
  <c r="C24" i="34"/>
  <c r="J24" i="34"/>
  <c r="C6" i="34"/>
  <c r="F2" i="34"/>
  <c r="F26" i="34" s="1"/>
  <c r="J26" i="34"/>
  <c r="H26" i="34"/>
  <c r="C26" i="34" l="1"/>
  <c r="C1048572" i="34" s="1"/>
</calcChain>
</file>

<file path=xl/sharedStrings.xml><?xml version="1.0" encoding="utf-8"?>
<sst xmlns="http://schemas.openxmlformats.org/spreadsheetml/2006/main" count="886" uniqueCount="200">
  <si>
    <t>Buitenlocaties:</t>
  </si>
  <si>
    <t xml:space="preserve">Overige artikelen </t>
  </si>
  <si>
    <t> </t>
  </si>
  <si>
    <t>WC:</t>
  </si>
  <si>
    <t>Afwasmiddel</t>
  </si>
  <si>
    <t>Toiletrolhouder</t>
  </si>
  <si>
    <t>Vaatwastabletten</t>
  </si>
  <si>
    <t>Seatcleaner</t>
  </si>
  <si>
    <t>Wasmiddel</t>
  </si>
  <si>
    <t>Luchtverfrisser</t>
  </si>
  <si>
    <t>Torkwerkplaats (los)</t>
  </si>
  <si>
    <t>Toiletborstel + houder</t>
  </si>
  <si>
    <t xml:space="preserve">Desinfectie </t>
  </si>
  <si>
    <t>Vouwdoekjes</t>
  </si>
  <si>
    <t>Verbandzakhouder (dames)</t>
  </si>
  <si>
    <t>Kantine:</t>
  </si>
  <si>
    <t>Foamzeep</t>
  </si>
  <si>
    <t>Poetsrol</t>
  </si>
  <si>
    <t>Kleedkamers/ Doucheruimte:</t>
  </si>
  <si>
    <t>Handcrème</t>
  </si>
  <si>
    <t>Industriezeep</t>
  </si>
  <si>
    <t>Douchegel</t>
  </si>
  <si>
    <t>Mindervalide toilet:</t>
  </si>
  <si>
    <t>Hoofdgebouw SB10 + SB21</t>
  </si>
  <si>
    <t>Gemalen</t>
  </si>
  <si>
    <r>
      <t>Pantrys</t>
    </r>
    <r>
      <rPr>
        <sz val="9"/>
        <color theme="1"/>
        <rFont val="Verdana"/>
        <family val="2"/>
      </rPr>
      <t>:</t>
    </r>
  </si>
  <si>
    <t xml:space="preserve">Wasgelegenheid/keuken: </t>
  </si>
  <si>
    <t>Poestrol</t>
  </si>
  <si>
    <r>
      <t>WC</t>
    </r>
    <r>
      <rPr>
        <sz val="9"/>
        <color theme="1"/>
        <rFont val="Verdana"/>
        <family val="2"/>
      </rPr>
      <t>:</t>
    </r>
  </si>
  <si>
    <t>Hygienebox (dames)</t>
  </si>
  <si>
    <t>Handdoekrol</t>
  </si>
  <si>
    <r>
      <t>Kleedkamers</t>
    </r>
    <r>
      <rPr>
        <sz val="9"/>
        <color theme="1"/>
        <rFont val="Verdana"/>
        <family val="2"/>
      </rPr>
      <t>:</t>
    </r>
  </si>
  <si>
    <t>Locatie</t>
  </si>
  <si>
    <t>Verbandzakhouder</t>
  </si>
  <si>
    <t>Handcreme</t>
  </si>
  <si>
    <t>Handoekrol</t>
  </si>
  <si>
    <t>Hygienebox</t>
  </si>
  <si>
    <t>Waterschapshuis</t>
  </si>
  <si>
    <t>RWZI Bennekom</t>
  </si>
  <si>
    <t>RWZi Amersfoort</t>
  </si>
  <si>
    <t>RWZI Heerde</t>
  </si>
  <si>
    <t>RWZI  Veenendaal</t>
  </si>
  <si>
    <t>RWZI Brummen</t>
  </si>
  <si>
    <t>Niet meenemen ivm grote verbouwing</t>
  </si>
  <si>
    <t>RWZI Epe</t>
  </si>
  <si>
    <t>RWZI Woudenberg</t>
  </si>
  <si>
    <t>RWZI Apeldoorn</t>
  </si>
  <si>
    <t>RWZI Elburg</t>
  </si>
  <si>
    <t>RWZI Soest</t>
  </si>
  <si>
    <t>RWZI Nijkerk</t>
  </si>
  <si>
    <t>RWZI Renkum</t>
  </si>
  <si>
    <t>RWZI Terwolde</t>
  </si>
  <si>
    <t>Steunpunt Twello</t>
  </si>
  <si>
    <t>RWZI Hattem</t>
  </si>
  <si>
    <t>RWZI Ede</t>
  </si>
  <si>
    <t>Steunpunt KLeine Gat</t>
  </si>
  <si>
    <t>Steunpunt Kallenbroek</t>
  </si>
  <si>
    <t>Steunpunt De Wenden Noordeinde</t>
  </si>
  <si>
    <t>RWZI Harderwijk</t>
  </si>
  <si>
    <t>Infohal Apeldoorn</t>
  </si>
  <si>
    <t>Sloop in zomer 2025</t>
  </si>
  <si>
    <t>Infohal Ede</t>
  </si>
  <si>
    <t>Rioolgemaal</t>
  </si>
  <si>
    <t>Totaal</t>
  </si>
  <si>
    <t xml:space="preserve">Specifiek: </t>
  </si>
  <si>
    <t>Buitenlocaties</t>
  </si>
  <si>
    <t>Hoofdkantoor</t>
  </si>
  <si>
    <t>Naam</t>
  </si>
  <si>
    <t>Adres</t>
  </si>
  <si>
    <t>Ruimte</t>
  </si>
  <si>
    <t>Aantal</t>
  </si>
  <si>
    <t>Steenbokstraat 10</t>
  </si>
  <si>
    <t>Bg</t>
  </si>
  <si>
    <t>Heren toilet</t>
  </si>
  <si>
    <t>Dames toilet</t>
  </si>
  <si>
    <t>Kleedkamer heren</t>
  </si>
  <si>
    <t>Kleedkamer dames</t>
  </si>
  <si>
    <t>nvt</t>
  </si>
  <si>
    <t>Mindervalide toilet</t>
  </si>
  <si>
    <t>Pantry</t>
  </si>
  <si>
    <t xml:space="preserve">Keuken </t>
  </si>
  <si>
    <t xml:space="preserve">1e </t>
  </si>
  <si>
    <t>2e</t>
  </si>
  <si>
    <t xml:space="preserve">3e </t>
  </si>
  <si>
    <t>Steenbokstraat 21</t>
  </si>
  <si>
    <t>Dr.W.Dreeslaan 1</t>
  </si>
  <si>
    <t>Bedrijfsgebouw</t>
  </si>
  <si>
    <t xml:space="preserve">Laboratorium </t>
  </si>
  <si>
    <t>Doucheruimte (unisex)</t>
  </si>
  <si>
    <t xml:space="preserve">Toilet (unisex) </t>
  </si>
  <si>
    <t>Keuken</t>
  </si>
  <si>
    <t>Zandfilter</t>
  </si>
  <si>
    <t>Werkruimte</t>
  </si>
  <si>
    <t>Rwzi Amersfoort</t>
  </si>
  <si>
    <t>Neonweg 30</t>
  </si>
  <si>
    <t>Werkplaats</t>
  </si>
  <si>
    <t>Monsterhok</t>
  </si>
  <si>
    <t>Chauffeur toilet</t>
  </si>
  <si>
    <t>Postweg 39</t>
  </si>
  <si>
    <t>Doucheruimte (unixex)</t>
  </si>
  <si>
    <t>RWZI Veenendaal</t>
  </si>
  <si>
    <t>Slaperdijk 2a</t>
  </si>
  <si>
    <t>Keuken (2)</t>
  </si>
  <si>
    <t xml:space="preserve">Kleedruimte </t>
  </si>
  <si>
    <t>Urineoir</t>
  </si>
  <si>
    <t>Indikgebouw</t>
  </si>
  <si>
    <t>Ontvangstwerk</t>
  </si>
  <si>
    <t>Waterzuivering Brummen</t>
  </si>
  <si>
    <t>Brummense Bandijk</t>
  </si>
  <si>
    <t>Bedrijfsgebouw 1</t>
  </si>
  <si>
    <t>Douche (unisex)</t>
  </si>
  <si>
    <t>0</t>
  </si>
  <si>
    <t>Niet meenemen ivm grote verbouwing in 2025 ( hoe bestellen?)</t>
  </si>
  <si>
    <t>Rwzi Epe</t>
  </si>
  <si>
    <t>Hammerstraat 40</t>
  </si>
  <si>
    <t xml:space="preserve">Bedrijfsgebouw  </t>
  </si>
  <si>
    <t>Urinoir</t>
  </si>
  <si>
    <t>Rwzi Woudenberg</t>
  </si>
  <si>
    <t>Zegheweg 38</t>
  </si>
  <si>
    <t>Rwzi Apeldoorn</t>
  </si>
  <si>
    <t>Stadhoudermolenweg 40</t>
  </si>
  <si>
    <t>Bedrijfsgebouw 2</t>
  </si>
  <si>
    <t>monsternameruimte</t>
  </si>
  <si>
    <t>Bedrijfsgebouw 3</t>
  </si>
  <si>
    <t>Chauffeursgebouw</t>
  </si>
  <si>
    <t>Portiersgebouw</t>
  </si>
  <si>
    <t>Industriestraat 31</t>
  </si>
  <si>
    <t>Kleedkamer</t>
  </si>
  <si>
    <t>Rwzi Soest</t>
  </si>
  <si>
    <t>Maatweg 10</t>
  </si>
  <si>
    <t>Rwzi Nijkerk</t>
  </si>
  <si>
    <t>Watergoorweg 69</t>
  </si>
  <si>
    <t>Toilet Heren</t>
  </si>
  <si>
    <t>Toilet Dames</t>
  </si>
  <si>
    <t>Kleedruimte</t>
  </si>
  <si>
    <t>Bezoekersgebouw</t>
  </si>
  <si>
    <t>12</t>
  </si>
  <si>
    <t>Bokkedijk 2</t>
  </si>
  <si>
    <t>Werkplaats 1</t>
  </si>
  <si>
    <t xml:space="preserve">Kleedkamer </t>
  </si>
  <si>
    <t>Voorlichtingsruimte</t>
  </si>
  <si>
    <t>Werkplaats 2</t>
  </si>
  <si>
    <t>Rwzi Terwolde</t>
  </si>
  <si>
    <t>Bandijk 3</t>
  </si>
  <si>
    <t>Voordersteeg 1</t>
  </si>
  <si>
    <t>Hilsdijk 106</t>
  </si>
  <si>
    <t>Laboratorium (uitgang)</t>
  </si>
  <si>
    <t>Centrifuge</t>
  </si>
  <si>
    <t>Dwarsweg 5</t>
  </si>
  <si>
    <t xml:space="preserve">Bedrijfsgebouw 1 </t>
  </si>
  <si>
    <t>Douche</t>
  </si>
  <si>
    <t>Heren Toilet</t>
  </si>
  <si>
    <t>Dames Toilet</t>
  </si>
  <si>
    <t>Secundair slib gebouw</t>
  </si>
  <si>
    <t>SOW gebouw</t>
  </si>
  <si>
    <t>1</t>
  </si>
  <si>
    <t>Steunpunt kleine Gat</t>
  </si>
  <si>
    <t>Zuidereind 11a</t>
  </si>
  <si>
    <t>Wasruimte</t>
  </si>
  <si>
    <t>Otelaarseweg 11</t>
  </si>
  <si>
    <t>Keuken (boven)</t>
  </si>
  <si>
    <t>Steunpunt De Wenden</t>
  </si>
  <si>
    <t>Kleine Woldweg 38</t>
  </si>
  <si>
    <t>Lorentzstraat 5</t>
  </si>
  <si>
    <t>Slibfabriek</t>
  </si>
  <si>
    <t>Gewenste aantallen</t>
  </si>
  <si>
    <t>Infohal</t>
  </si>
  <si>
    <t>Anklaarseweg</t>
  </si>
  <si>
    <t>tork</t>
  </si>
  <si>
    <t>toilet</t>
  </si>
  <si>
    <t>Niet meenemen in Aanbesteding vanwege sloop zomer 2025</t>
  </si>
  <si>
    <t>Dwarsweg 13</t>
  </si>
  <si>
    <t>Schoonmaakhok</t>
  </si>
  <si>
    <t>Rioolgemaal Lunteren</t>
  </si>
  <si>
    <t xml:space="preserve">Wasbak </t>
  </si>
  <si>
    <t>Toilet</t>
  </si>
  <si>
    <t>Rioolgemaal Voorthuizen</t>
  </si>
  <si>
    <t>Rioolgemaal Barneveld</t>
  </si>
  <si>
    <t>Rioolgemaal Stroe</t>
  </si>
  <si>
    <t>Rioolgemaal Wageningen</t>
  </si>
  <si>
    <t>Rioolgemaal Oosterbeek</t>
  </si>
  <si>
    <t>Rioolgemaal Panhuis</t>
  </si>
  <si>
    <t xml:space="preserve">Gemalen Veluwegebied </t>
  </si>
  <si>
    <t>Rode Haan</t>
  </si>
  <si>
    <t>RG Twello Rijksstraatweg</t>
  </si>
  <si>
    <t>RG Gieteloo oude Deventerweg</t>
  </si>
  <si>
    <t>RG Posterenk Molenalle</t>
  </si>
  <si>
    <t>RGLeusden Middenweg 1 Leusden</t>
  </si>
  <si>
    <t>RG Neonweg Amersfoort</t>
  </si>
  <si>
    <t>RG Zuidwenk Bunschoten/Spakenburg</t>
  </si>
  <si>
    <t>RG Hoevelaken Beekmaten 2A Hoevelaken</t>
  </si>
  <si>
    <t>RG Nijkerkerveen Nieuwe Kerkstraat 16 Nijkerkerveen</t>
  </si>
  <si>
    <t>RG Terschuur Eendrachtstraat 27 Terschuur</t>
  </si>
  <si>
    <t>RG Scherpenzeel Polschesteeg Scherpenzeel</t>
  </si>
  <si>
    <t>RG Veldhuizen Kieveen 14 Loenen</t>
  </si>
  <si>
    <t>RG Beekbergen Wippenpol 34 Lieren</t>
  </si>
  <si>
    <t>RG Middelbeek</t>
  </si>
  <si>
    <t>RG Leuvenheim</t>
  </si>
  <si>
    <t>RG Cortenhoeve</t>
  </si>
  <si>
    <t>RG Terwolde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</si>
</sst>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u/>
      <sz val="9"/>
      <color theme="10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4">
    <xf numFmtId="0" fontId="0" fillId="0" borderId="0" xfId="0"/>
    <xf numFmtId="0" fontId="1" fillId="3" borderId="2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5" fillId="3" borderId="10" xfId="0" applyFont="1" applyFill="1" applyBorder="1"/>
    <xf numFmtId="0" fontId="5" fillId="3" borderId="11" xfId="0" applyFont="1" applyFill="1" applyBorder="1"/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0" fillId="0" borderId="13" xfId="0" applyBorder="1"/>
    <xf numFmtId="0" fontId="6" fillId="0" borderId="18" xfId="0" applyFont="1" applyBorder="1"/>
    <xf numFmtId="0" fontId="2" fillId="4" borderId="17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7" fillId="0" borderId="0" xfId="0" applyFont="1"/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11" xfId="0" applyFont="1" applyFill="1" applyBorder="1"/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4" fillId="3" borderId="27" xfId="0" applyFont="1" applyFill="1" applyBorder="1"/>
    <xf numFmtId="0" fontId="4" fillId="3" borderId="28" xfId="0" applyFont="1" applyFill="1" applyBorder="1"/>
    <xf numFmtId="0" fontId="4" fillId="3" borderId="29" xfId="0" applyFont="1" applyFill="1" applyBorder="1"/>
    <xf numFmtId="0" fontId="7" fillId="3" borderId="30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4" fillId="3" borderId="38" xfId="0" applyFont="1" applyFill="1" applyBorder="1"/>
    <xf numFmtId="0" fontId="4" fillId="3" borderId="36" xfId="0" applyFont="1" applyFill="1" applyBorder="1" applyAlignment="1">
      <alignment horizontal="center"/>
    </xf>
    <xf numFmtId="0" fontId="4" fillId="3" borderId="37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/>
    </xf>
    <xf numFmtId="0" fontId="4" fillId="3" borderId="41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5" fillId="3" borderId="42" xfId="0" applyFont="1" applyFill="1" applyBorder="1"/>
    <xf numFmtId="0" fontId="7" fillId="3" borderId="4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4" fillId="3" borderId="44" xfId="0" applyFont="1" applyFill="1" applyBorder="1"/>
    <xf numFmtId="0" fontId="4" fillId="3" borderId="45" xfId="0" applyFont="1" applyFill="1" applyBorder="1"/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5" fillId="3" borderId="45" xfId="0" applyFont="1" applyFill="1" applyBorder="1"/>
    <xf numFmtId="0" fontId="7" fillId="3" borderId="47" xfId="0" applyFont="1" applyFill="1" applyBorder="1" applyAlignment="1">
      <alignment horizontal="center"/>
    </xf>
    <xf numFmtId="0" fontId="2" fillId="4" borderId="48" xfId="0" applyFont="1" applyFill="1" applyBorder="1"/>
    <xf numFmtId="0" fontId="2" fillId="4" borderId="49" xfId="0" applyFont="1" applyFill="1" applyBorder="1"/>
    <xf numFmtId="0" fontId="2" fillId="4" borderId="50" xfId="0" applyFont="1" applyFill="1" applyBorder="1"/>
    <xf numFmtId="0" fontId="7" fillId="3" borderId="19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7" fillId="2" borderId="0" xfId="0" applyFont="1" applyFill="1"/>
    <xf numFmtId="0" fontId="7" fillId="5" borderId="0" xfId="0" applyFont="1" applyFill="1"/>
    <xf numFmtId="0" fontId="8" fillId="3" borderId="1" xfId="1" applyFill="1" applyBorder="1" applyAlignment="1">
      <alignment horizontal="center"/>
    </xf>
    <xf numFmtId="0" fontId="8" fillId="3" borderId="1" xfId="1" quotePrefix="1" applyFill="1" applyBorder="1" applyAlignment="1">
      <alignment horizontal="center"/>
    </xf>
    <xf numFmtId="0" fontId="4" fillId="3" borderId="2" xfId="0" applyFont="1" applyFill="1" applyBorder="1"/>
    <xf numFmtId="0" fontId="4" fillId="3" borderId="42" xfId="0" applyFont="1" applyFill="1" applyBorder="1"/>
    <xf numFmtId="0" fontId="4" fillId="3" borderId="35" xfId="0" applyFont="1" applyFill="1" applyBorder="1"/>
    <xf numFmtId="0" fontId="4" fillId="3" borderId="51" xfId="0" applyFont="1" applyFill="1" applyBorder="1" applyAlignment="1">
      <alignment horizontal="center"/>
    </xf>
    <xf numFmtId="0" fontId="4" fillId="3" borderId="52" xfId="0" applyFont="1" applyFill="1" applyBorder="1" applyAlignment="1">
      <alignment horizontal="center"/>
    </xf>
    <xf numFmtId="0" fontId="4" fillId="3" borderId="53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3" borderId="6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0" fillId="4" borderId="0" xfId="0" applyFill="1"/>
    <xf numFmtId="0" fontId="1" fillId="0" borderId="18" xfId="0" applyFont="1" applyBorder="1"/>
    <xf numFmtId="0" fontId="1" fillId="0" borderId="13" xfId="0" applyFont="1" applyBorder="1"/>
    <xf numFmtId="0" fontId="1" fillId="3" borderId="31" xfId="0" applyFont="1" applyFill="1" applyBorder="1" applyAlignment="1">
      <alignment horizontal="center"/>
    </xf>
    <xf numFmtId="0" fontId="4" fillId="3" borderId="16" xfId="0" applyFont="1" applyFill="1" applyBorder="1"/>
    <xf numFmtId="0" fontId="0" fillId="3" borderId="46" xfId="0" applyFill="1" applyBorder="1" applyAlignment="1">
      <alignment horizontal="center"/>
    </xf>
    <xf numFmtId="0" fontId="1" fillId="5" borderId="0" xfId="0" applyFont="1" applyFill="1"/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5" fillId="3" borderId="16" xfId="0" applyFont="1" applyFill="1" applyBorder="1"/>
    <xf numFmtId="0" fontId="5" fillId="3" borderId="37" xfId="0" applyFont="1" applyFill="1" applyBorder="1"/>
    <xf numFmtId="0" fontId="7" fillId="3" borderId="31" xfId="0" applyFont="1" applyFill="1" applyBorder="1" applyAlignment="1">
      <alignment horizontal="center"/>
    </xf>
    <xf numFmtId="0" fontId="2" fillId="0" borderId="18" xfId="0" applyFont="1" applyBorder="1"/>
    <xf numFmtId="0" fontId="6" fillId="0" borderId="57" xfId="0" applyFont="1" applyBorder="1"/>
    <xf numFmtId="0" fontId="7" fillId="5" borderId="19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33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59" xfId="0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3" borderId="56" xfId="0" applyFont="1" applyFill="1" applyBorder="1" applyAlignment="1">
      <alignment horizontal="center"/>
    </xf>
    <xf numFmtId="0" fontId="7" fillId="5" borderId="56" xfId="0" applyFont="1" applyFill="1" applyBorder="1" applyAlignment="1">
      <alignment horizontal="center"/>
    </xf>
    <xf numFmtId="0" fontId="7" fillId="5" borderId="58" xfId="0" applyFont="1" applyFill="1" applyBorder="1"/>
    <xf numFmtId="0" fontId="7" fillId="5" borderId="33" xfId="0" applyFont="1" applyFill="1" applyBorder="1"/>
    <xf numFmtId="0" fontId="4" fillId="5" borderId="32" xfId="0" applyFont="1" applyFill="1" applyBorder="1"/>
    <xf numFmtId="0" fontId="5" fillId="5" borderId="32" xfId="0" applyFont="1" applyFill="1" applyBorder="1"/>
    <xf numFmtId="0" fontId="7" fillId="3" borderId="55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58" xfId="0" applyFont="1" applyFill="1" applyBorder="1" applyAlignment="1">
      <alignment horizontal="center"/>
    </xf>
    <xf numFmtId="0" fontId="7" fillId="3" borderId="34" xfId="0" applyFont="1" applyFill="1" applyBorder="1" applyAlignment="1">
      <alignment horizontal="center"/>
    </xf>
    <xf numFmtId="0" fontId="7" fillId="5" borderId="55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58" xfId="0" applyFont="1" applyFill="1" applyBorder="1" applyAlignment="1">
      <alignment horizontal="center"/>
    </xf>
    <xf numFmtId="0" fontId="7" fillId="5" borderId="34" xfId="0" applyFont="1" applyFill="1" applyBorder="1" applyAlignment="1">
      <alignment horizontal="center"/>
    </xf>
    <xf numFmtId="0" fontId="7" fillId="5" borderId="55" xfId="0" applyFont="1" applyFill="1" applyBorder="1" applyAlignment="1">
      <alignment horizontal="center" wrapText="1"/>
    </xf>
    <xf numFmtId="0" fontId="7" fillId="3" borderId="55" xfId="0" applyFont="1" applyFill="1" applyBorder="1" applyAlignment="1">
      <alignment horizontal="center" wrapText="1"/>
    </xf>
    <xf numFmtId="0" fontId="7" fillId="5" borderId="28" xfId="0" applyFont="1" applyFill="1" applyBorder="1"/>
    <xf numFmtId="0" fontId="4" fillId="5" borderId="28" xfId="0" applyFont="1" applyFill="1" applyBorder="1" applyAlignment="1">
      <alignment horizontal="center"/>
    </xf>
    <xf numFmtId="0" fontId="8" fillId="3" borderId="32" xfId="1" quotePrefix="1" applyFill="1" applyBorder="1" applyAlignment="1">
      <alignment horizontal="center"/>
    </xf>
    <xf numFmtId="0" fontId="8" fillId="3" borderId="28" xfId="1" quotePrefix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8" fillId="4" borderId="39" xfId="1" quotePrefix="1" applyFill="1" applyBorder="1" applyAlignment="1">
      <alignment horizontal="center"/>
    </xf>
    <xf numFmtId="0" fontId="7" fillId="4" borderId="37" xfId="0" applyFont="1" applyFill="1" applyBorder="1" applyAlignment="1">
      <alignment horizontal="center"/>
    </xf>
    <xf numFmtId="0" fontId="7" fillId="4" borderId="60" xfId="0" applyFont="1" applyFill="1" applyBorder="1" applyAlignment="1">
      <alignment horizontal="center"/>
    </xf>
    <xf numFmtId="0" fontId="0" fillId="4" borderId="50" xfId="0" applyFill="1" applyBorder="1"/>
    <xf numFmtId="0" fontId="9" fillId="3" borderId="1" xfId="0" applyFont="1" applyFill="1" applyBorder="1" applyAlignment="1">
      <alignment horizontal="center"/>
    </xf>
    <xf numFmtId="0" fontId="9" fillId="0" borderId="18" xfId="0" applyFont="1" applyBorder="1"/>
    <xf numFmtId="0" fontId="8" fillId="0" borderId="0" xfId="1"/>
    <xf numFmtId="0" fontId="0" fillId="0" borderId="61" xfId="0" applyBorder="1"/>
    <xf numFmtId="0" fontId="2" fillId="4" borderId="61" xfId="0" applyFont="1" applyFill="1" applyBorder="1"/>
    <xf numFmtId="0" fontId="7" fillId="0" borderId="13" xfId="0" applyFont="1" applyBorder="1"/>
    <xf numFmtId="0" fontId="7" fillId="0" borderId="18" xfId="0" applyFont="1" applyBorder="1"/>
    <xf numFmtId="0" fontId="7" fillId="4" borderId="50" xfId="0" applyFont="1" applyFill="1" applyBorder="1" applyAlignment="1">
      <alignment horizontal="center"/>
    </xf>
    <xf numFmtId="0" fontId="8" fillId="3" borderId="28" xfId="1" applyFill="1" applyBorder="1" applyAlignment="1">
      <alignment horizontal="center"/>
    </xf>
    <xf numFmtId="0" fontId="4" fillId="2" borderId="36" xfId="0" applyFont="1" applyFill="1" applyBorder="1"/>
    <xf numFmtId="0" fontId="4" fillId="2" borderId="37" xfId="0" applyFont="1" applyFill="1" applyBorder="1"/>
    <xf numFmtId="0" fontId="4" fillId="2" borderId="64" xfId="0" applyFont="1" applyFill="1" applyBorder="1"/>
    <xf numFmtId="0" fontId="4" fillId="2" borderId="26" xfId="0" applyFont="1" applyFill="1" applyBorder="1"/>
    <xf numFmtId="0" fontId="4" fillId="3" borderId="17" xfId="0" applyFont="1" applyFill="1" applyBorder="1" applyAlignment="1">
      <alignment horizontal="center"/>
    </xf>
    <xf numFmtId="0" fontId="4" fillId="3" borderId="63" xfId="0" applyFont="1" applyFill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63" xfId="0" applyFont="1" applyBorder="1"/>
    <xf numFmtId="0" fontId="7" fillId="4" borderId="63" xfId="0" applyFont="1" applyFill="1" applyBorder="1" applyAlignment="1">
      <alignment horizontal="center"/>
    </xf>
    <xf numFmtId="0" fontId="4" fillId="3" borderId="67" xfId="0" applyFont="1" applyFill="1" applyBorder="1" applyAlignment="1">
      <alignment horizontal="center"/>
    </xf>
    <xf numFmtId="0" fontId="4" fillId="3" borderId="68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4" fillId="3" borderId="60" xfId="0" applyFont="1" applyFill="1" applyBorder="1" applyAlignment="1">
      <alignment horizontal="center"/>
    </xf>
    <xf numFmtId="0" fontId="4" fillId="3" borderId="21" xfId="0" applyFont="1" applyFill="1" applyBorder="1"/>
    <xf numFmtId="0" fontId="4" fillId="3" borderId="62" xfId="0" applyFont="1" applyFill="1" applyBorder="1"/>
    <xf numFmtId="0" fontId="4" fillId="3" borderId="65" xfId="0" applyFont="1" applyFill="1" applyBorder="1"/>
    <xf numFmtId="0" fontId="7" fillId="3" borderId="66" xfId="0" applyFont="1" applyFill="1" applyBorder="1" applyAlignment="1">
      <alignment horizontal="center"/>
    </xf>
    <xf numFmtId="0" fontId="7" fillId="3" borderId="69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35" xfId="0" applyFont="1" applyFill="1" applyBorder="1"/>
    <xf numFmtId="0" fontId="4" fillId="3" borderId="70" xfId="0" applyFont="1" applyFill="1" applyBorder="1" applyAlignment="1">
      <alignment horizontal="center"/>
    </xf>
    <xf numFmtId="0" fontId="4" fillId="3" borderId="71" xfId="0" applyFont="1" applyFill="1" applyBorder="1"/>
    <xf numFmtId="0" fontId="5" fillId="3" borderId="1" xfId="0" applyFont="1" applyFill="1" applyBorder="1"/>
    <xf numFmtId="0" fontId="5" fillId="3" borderId="71" xfId="0" applyFont="1" applyFill="1" applyBorder="1"/>
    <xf numFmtId="0" fontId="7" fillId="3" borderId="60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2" fillId="4" borderId="72" xfId="0" applyFont="1" applyFill="1" applyBorder="1"/>
    <xf numFmtId="0" fontId="0" fillId="0" borderId="73" xfId="0" applyBorder="1"/>
    <xf numFmtId="0" fontId="2" fillId="0" borderId="74" xfId="0" applyFont="1" applyBorder="1"/>
    <xf numFmtId="0" fontId="0" fillId="0" borderId="74" xfId="0" applyBorder="1"/>
    <xf numFmtId="0" fontId="4" fillId="0" borderId="74" xfId="0" applyFont="1" applyBorder="1"/>
    <xf numFmtId="0" fontId="6" fillId="0" borderId="74" xfId="0" applyFont="1" applyBorder="1"/>
    <xf numFmtId="0" fontId="0" fillId="0" borderId="75" xfId="0" applyBorder="1"/>
  </cellXfs>
  <cellStyles count="2">
    <cellStyle name="Hyperlink" xfId="1" builtinId="8"/>
    <cellStyle name="Standaard" xfId="0" builtinId="0"/>
  </cellStyles>
  <dxfs count="950"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family val="2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outline="0">
        <right style="thin">
          <color rgb="FF000000"/>
        </right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outline="0">
        <left style="medium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left style="medium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medium">
          <color indexed="64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FF0000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color rgb="FF000000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bottom style="thin">
          <color rgb="FF000000"/>
        </bottom>
      </border>
    </dxf>
    <dxf>
      <border outline="0">
        <left style="medium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rgb="FF000000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border>
        <top style="medium">
          <color rgb="FF000000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/>
      </border>
    </dxf>
    <dxf>
      <border>
        <top style="medium">
          <color indexed="64"/>
        </top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b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3" tint="0.749992370372631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maal%20De%20Wenden%20Noordeind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maal De Wenden Noordeinde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BC212C-353E-4DBD-BA0E-AC9B2C61D4E6}" name="Tabel3122" displayName="Tabel3122" ref="A1:N26" totalsRowShown="0" headerRowDxfId="949" dataDxfId="948" totalsRowDxfId="947" headerRowBorderDxfId="945" tableBorderDxfId="946" totalsRowBorderDxfId="944">
  <autoFilter ref="A1:N26" xr:uid="{66BC212C-353E-4DBD-BA0E-AC9B2C61D4E6}"/>
  <tableColumns count="14">
    <tableColumn id="1" xr3:uid="{5E462907-E0AE-4A8F-94E8-485CCCFAFBFE}" name="Locatie" dataDxfId="942" totalsRowDxfId="943"/>
    <tableColumn id="6" xr3:uid="{1ED1C739-CC6C-4F7C-90F8-A3ECB53AB10F}" name="Toiletrolhouder" dataDxfId="940" totalsRowDxfId="941">
      <calculatedColumnFormula>Tabel312[[#Totals],[Toiletrolhouder]]</calculatedColumnFormula>
    </tableColumn>
    <tableColumn id="7" xr3:uid="{84AED4E2-B47A-426F-95F6-CAEF7A43766B}" name="Seatcleaner" dataDxfId="938" totalsRowDxfId="939"/>
    <tableColumn id="4" xr3:uid="{080F2CF9-269A-4AF8-85F0-7817C375BE55}" name="Luchtverfrisser" dataDxfId="936" totalsRowDxfId="937"/>
    <tableColumn id="5" xr3:uid="{1E67DF5F-7FE5-40D9-B946-577DD84FB203}" name="Toiletborstel + houder" dataDxfId="934" totalsRowDxfId="935"/>
    <tableColumn id="8" xr3:uid="{1411DDB9-92DB-4012-B9B4-19B4A32B2F6B}" name="Vouwdoekjes" dataDxfId="932" totalsRowDxfId="933"/>
    <tableColumn id="9" xr3:uid="{D9D099AE-2504-45D9-BD85-483DDDFBE3A5}" name="Verbandzakhouder" dataDxfId="930" totalsRowDxfId="931"/>
    <tableColumn id="10" xr3:uid="{D1176A72-E291-4DA4-A3B1-55251E2608C2}" name="Foamzeep" dataDxfId="928" totalsRowDxfId="929"/>
    <tableColumn id="11" xr3:uid="{7538949D-0D44-4040-A002-5D8BE7F93E3E}" name="Poetsrol" dataDxfId="926" totalsRowDxfId="927"/>
    <tableColumn id="12" xr3:uid="{6364CEA2-CA6C-4A52-B95B-343DEC3C7BDF}" name="Handcreme" dataDxfId="924" totalsRowDxfId="925"/>
    <tableColumn id="13" xr3:uid="{F4A72783-EB27-4309-A468-33AD620792C6}" name="Industriezeep" dataDxfId="922" totalsRowDxfId="923"/>
    <tableColumn id="2" xr3:uid="{4A9D62A3-B9BD-4D10-BDC1-51FF07C4984A}" name="Handoekrol" dataDxfId="920" totalsRowDxfId="921">
      <calculatedColumnFormula>Tabel312[[#Totals],[Vouwdoekjes]]</calculatedColumnFormula>
    </tableColumn>
    <tableColumn id="3" xr3:uid="{91C31E0B-CC06-400B-A05C-E0A14481BE3C}" name="Hygienebox" dataDxfId="918" totalsRowDxfId="919"/>
    <tableColumn id="14" xr3:uid="{E2A0E1F9-603B-47BD-9DB9-A7A086A00413}" name="Douchegel" dataDxfId="917">
      <calculatedColumnFormula>Tabel312[[#Totals],[Douchegel]]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7209205-4667-4E3D-8E9D-911DEC972FDE}" name="Tabel513157" displayName="Tabel513157" ref="A1:B16" totalsRowShown="0" headerRowDxfId="753" dataDxfId="752" headerRowBorderDxfId="750" tableBorderDxfId="751">
  <autoFilter ref="A1:B16" xr:uid="{D7209205-4667-4E3D-8E9D-911DEC972FDE}"/>
  <tableColumns count="2">
    <tableColumn id="2" xr3:uid="{BE365CCD-ED59-4E6F-8399-5593DCDA9C8E}" name="Naam" dataDxfId="749"/>
    <tableColumn id="1" xr3:uid="{30E68F87-A665-454A-8C60-97D35F6D8F71}" name="Adres" dataDxfId="748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66EE8C2-080D-4981-BA10-6F3A573B3AC4}" name="Tabel312148" displayName="Tabel312148" ref="C1:P16" totalsRowCount="1" headerRowDxfId="747" dataDxfId="746" totalsRowDxfId="745" headerRowBorderDxfId="743" tableBorderDxfId="744" totalsRowBorderDxfId="742">
  <autoFilter ref="C1:P15" xr:uid="{866EE8C2-080D-4981-BA10-6F3A573B3AC4}"/>
  <tableColumns count="14">
    <tableColumn id="1" xr3:uid="{0D25A786-71C6-4E82-9CFC-53984A51A270}" name="Locatie" totalsRowLabel="Totaal" dataDxfId="740" totalsRowDxfId="741"/>
    <tableColumn id="2" xr3:uid="{DCD44C6B-8337-466B-B2A3-D4BE1D095FD5}" name="Ruimte" dataDxfId="738" totalsRowDxfId="739"/>
    <tableColumn id="3" xr3:uid="{EE5C4808-28B2-4484-8B43-D444675525DA}" name="Aantal" dataDxfId="736" totalsRowDxfId="737"/>
    <tableColumn id="6" xr3:uid="{897886AE-1487-4322-BEE6-EA7A92B14364}" name="Toiletrolhouder" totalsRowFunction="sum" dataDxfId="734" totalsRowDxfId="735"/>
    <tableColumn id="7" xr3:uid="{04FA36D8-F70A-4894-9CE2-68409066277B}" name="Seatcleaner" totalsRowFunction="sum" dataDxfId="732" totalsRowDxfId="733"/>
    <tableColumn id="4" xr3:uid="{BCFFF47E-C181-404F-B71D-C5F2C100F48D}" name="Luchtverfrisser" totalsRowFunction="sum" dataDxfId="730" totalsRowDxfId="731"/>
    <tableColumn id="5" xr3:uid="{4E4692E9-1898-4394-AA50-E1B3C2F089A6}" name="Toiletborstel + houder" totalsRowFunction="sum" dataDxfId="728" totalsRowDxfId="729"/>
    <tableColumn id="8" xr3:uid="{30F74DCE-837C-49E5-B1EE-F0BA32923667}" name="Vouwdoekjes" totalsRowFunction="sum" dataDxfId="726" totalsRowDxfId="727"/>
    <tableColumn id="9" xr3:uid="{5A0290AC-2AAF-409C-BBA0-CD37991EA2AB}" name="Verbandzakhouder" totalsRowFunction="sum" dataDxfId="724" totalsRowDxfId="725"/>
    <tableColumn id="10" xr3:uid="{C15C2371-A828-44E2-A1FD-A4977ECEA97B}" name="Foamzeep" totalsRowFunction="sum" dataDxfId="722" totalsRowDxfId="723"/>
    <tableColumn id="11" xr3:uid="{407E0A71-4A37-438C-8B4B-72BC9BFFFBAE}" name="Poetsrol" totalsRowFunction="sum" dataDxfId="720" totalsRowDxfId="721"/>
    <tableColumn id="12" xr3:uid="{CE16B66D-D25F-41FA-8278-3A787348D352}" name="Handcreme" totalsRowFunction="sum" dataDxfId="718" totalsRowDxfId="719"/>
    <tableColumn id="13" xr3:uid="{56C2B42F-1FAA-4D64-9E98-041D7EB90BBB}" name="Industriezeep" totalsRowFunction="sum" dataDxfId="716" totalsRowDxfId="717"/>
    <tableColumn id="14" xr3:uid="{1C6ADC3E-1D80-4216-A998-9CB048EF9818}" name="Douchegel" totalsRowFunction="custom" dataDxfId="714" totalsRowDxfId="715">
      <totalsRowFormula>SUM(P2:P15)</totalsRowFormula>
    </tableColumn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C3C5477-57EF-4382-8B34-D407BD56BD93}" name="Tabel312149" displayName="Tabel312149" ref="C1:P12" totalsRowCount="1" headerRowDxfId="713" dataDxfId="712" totalsRowDxfId="711" headerRowBorderDxfId="709" tableBorderDxfId="710" totalsRowBorderDxfId="708">
  <autoFilter ref="C1:P11" xr:uid="{CC3C5477-57EF-4382-8B34-D407BD56BD93}"/>
  <tableColumns count="14">
    <tableColumn id="1" xr3:uid="{EF0F97FE-9DD4-4F7A-A957-14DAC410CF65}" name="Locatie" totalsRowLabel="Totaal" dataDxfId="706" totalsRowDxfId="707"/>
    <tableColumn id="2" xr3:uid="{55253B01-9C46-4734-A97D-AB69EE8332EF}" name="Ruimte" dataDxfId="704" totalsRowDxfId="705"/>
    <tableColumn id="3" xr3:uid="{DB9DED1D-CC57-4C0F-B2FC-C14CE843CD47}" name="Aantal" dataDxfId="702" totalsRowDxfId="703"/>
    <tableColumn id="6" xr3:uid="{DD71A3E5-417E-47FD-872F-1685B2A2152C}" name="Toiletrolhouder" totalsRowFunction="sum" dataDxfId="700" totalsRowDxfId="701"/>
    <tableColumn id="7" xr3:uid="{91F06663-3021-46F4-AE8B-BCC983E6EC79}" name="Seatcleaner" totalsRowFunction="sum" dataDxfId="698" totalsRowDxfId="699"/>
    <tableColumn id="4" xr3:uid="{82AAC502-DFA1-4626-8C45-D66527D28C91}" name="Luchtverfrisser" totalsRowFunction="sum" dataDxfId="696" totalsRowDxfId="697"/>
    <tableColumn id="5" xr3:uid="{CA417928-55AB-4F6D-A785-70C7B6F0A37D}" name="Toiletborstel + houder" totalsRowFunction="sum" dataDxfId="694" totalsRowDxfId="695"/>
    <tableColumn id="8" xr3:uid="{B7548AE5-BB29-48D9-ACEA-E66C267BB8FE}" name="Vouwdoekjes" totalsRowFunction="sum" dataDxfId="692" totalsRowDxfId="693"/>
    <tableColumn id="9" xr3:uid="{B5053383-910B-4F36-9A40-C442C381380E}" name="Verbandzakhouder" totalsRowFunction="sum" dataDxfId="690" totalsRowDxfId="691"/>
    <tableColumn id="10" xr3:uid="{322D3015-9AB5-42F3-8B99-46C345912A16}" name="Foamzeep" totalsRowFunction="sum" dataDxfId="688" totalsRowDxfId="689"/>
    <tableColumn id="11" xr3:uid="{BDF0CDA7-35A8-40DA-A905-0030ACFF6A9D}" name="Poetsrol" totalsRowFunction="sum" dataDxfId="686" totalsRowDxfId="687"/>
    <tableColumn id="12" xr3:uid="{A2B46D46-E9E8-49E2-B36D-5861EFE1EAF2}" name="Handcreme" totalsRowFunction="sum" dataDxfId="684" totalsRowDxfId="685"/>
    <tableColumn id="13" xr3:uid="{7ADBD4BD-A513-4533-86D8-7A0EFFFEC406}" name="Industriezeep" totalsRowFunction="sum" dataDxfId="682" totalsRowDxfId="683"/>
    <tableColumn id="14" xr3:uid="{7F4D7F5A-B442-41D0-8AA7-4BDDEC56C7FD}" name="Douchegel" totalsRowLabel="0" dataDxfId="680" totalsRowDxfId="68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DA0C1F4-BFF6-4045-9EF6-420F7F8342A5}" name="Tabel5131510" displayName="Tabel5131510" ref="A1:B11" totalsRowShown="0" headerRowDxfId="679" dataDxfId="678" headerRowBorderDxfId="676" tableBorderDxfId="677">
  <autoFilter ref="A1:B11" xr:uid="{CDA0C1F4-BFF6-4045-9EF6-420F7F8342A5}"/>
  <tableColumns count="2">
    <tableColumn id="2" xr3:uid="{4DB699CD-8C8C-4415-ABE4-6BC8CD5944DD}" name="Naam" dataDxfId="675"/>
    <tableColumn id="1" xr3:uid="{71BE329F-2D9E-4A39-A1CE-41424994F98C}" name="Adres" dataDxfId="674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F7299EA-6869-4FAC-A31F-406C1A4A1338}" name="Tabel3121411" displayName="Tabel3121411" ref="C1:P12" totalsRowCount="1" headerRowDxfId="673" dataDxfId="672" totalsRowDxfId="671" headerRowBorderDxfId="669" tableBorderDxfId="670" totalsRowBorderDxfId="668">
  <autoFilter ref="C1:P11" xr:uid="{DF7299EA-6869-4FAC-A31F-406C1A4A1338}"/>
  <tableColumns count="14">
    <tableColumn id="1" xr3:uid="{1D63C189-009E-48BA-9142-F5685E56F283}" name="Locatie" totalsRowLabel="Totaal" dataDxfId="666" totalsRowDxfId="667"/>
    <tableColumn id="2" xr3:uid="{7ED31641-32BC-46B7-91CE-1D8CE221A069}" name="Ruimte" dataDxfId="664" totalsRowDxfId="665"/>
    <tableColumn id="3" xr3:uid="{E9510477-D723-408E-B1C5-1EEF2264A2B6}" name="Aantal" dataDxfId="662" totalsRowDxfId="663"/>
    <tableColumn id="6" xr3:uid="{BE5EB98C-B240-4966-BD8B-8707ACBB2CFF}" name="Toiletrolhouder" totalsRowFunction="sum" dataDxfId="660" totalsRowDxfId="661"/>
    <tableColumn id="7" xr3:uid="{2AFAB3B4-143F-4DE4-A9B2-336C6FEBCCE4}" name="Seatcleaner" totalsRowFunction="sum" dataDxfId="658" totalsRowDxfId="659"/>
    <tableColumn id="4" xr3:uid="{6FB9B419-0B6D-41D2-BAAB-37EB5FBEB17D}" name="Luchtverfrisser" totalsRowFunction="sum" dataDxfId="656" totalsRowDxfId="657"/>
    <tableColumn id="5" xr3:uid="{58CD9918-DC0C-4235-8DC2-07968EEC71B4}" name="Toiletborstel + houder" totalsRowFunction="sum" dataDxfId="654" totalsRowDxfId="655"/>
    <tableColumn id="8" xr3:uid="{37053179-466C-4885-A1AE-26386DD909E2}" name="Vouwdoekjes" totalsRowFunction="sum" dataDxfId="652" totalsRowDxfId="653"/>
    <tableColumn id="9" xr3:uid="{7EE5DAEA-350E-4398-9EEA-0D12DACEECAC}" name="Verbandzakhouder" totalsRowFunction="sum" dataDxfId="650" totalsRowDxfId="651"/>
    <tableColumn id="10" xr3:uid="{2820181A-31D2-4199-B24E-C4C05DEB9478}" name="Foamzeep" totalsRowFunction="sum" dataDxfId="648" totalsRowDxfId="649"/>
    <tableColumn id="11" xr3:uid="{09582D24-98C1-41B5-9CD8-C605D3C97E59}" name="Poetsrol" totalsRowFunction="sum" dataDxfId="646" totalsRowDxfId="647"/>
    <tableColumn id="12" xr3:uid="{062F5606-DFD6-4828-85DC-D8289B133FED}" name="Handcreme" totalsRowFunction="sum" dataDxfId="644" totalsRowDxfId="645"/>
    <tableColumn id="13" xr3:uid="{F7B13077-A85A-4A51-9320-DFD4E19BE832}" name="Industriezeep" totalsRowFunction="sum" dataDxfId="642" totalsRowDxfId="643"/>
    <tableColumn id="15" xr3:uid="{D5FB1482-3EC2-44AB-A303-B82330B7EDE0}" name="Douchegel" totalsRowFunction="custom" dataDxfId="640" totalsRowDxfId="641">
      <totalsRowFormula>SUM(P2:P11)</totalsRowFormula>
    </tableColumn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349F310-FACF-40D7-AE84-89050175435F}" name="Tabel5131520" displayName="Tabel5131520" ref="A1:B12" totalsRowShown="0" headerRowDxfId="639" dataDxfId="638" headerRowBorderDxfId="636" tableBorderDxfId="637">
  <autoFilter ref="A1:B12" xr:uid="{2349F310-FACF-40D7-AE84-89050175435F}"/>
  <tableColumns count="2">
    <tableColumn id="2" xr3:uid="{72E3866C-2C3B-4F8A-84C4-6A6D94DCBF9B}" name="Naam" dataDxfId="635"/>
    <tableColumn id="1" xr3:uid="{FA9CFDC1-C46F-4CE5-BDAD-04B3CC6BC634}" name="Adres" dataDxfId="634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520F9CC-EA9F-4F20-8D9F-750ADA7AE66B}" name="Tabel3121421" displayName="Tabel3121421" ref="C1:P10" totalsRowCount="1" headerRowDxfId="633" dataDxfId="632" headerRowBorderDxfId="630" tableBorderDxfId="631" totalsRowBorderDxfId="629">
  <autoFilter ref="C1:P9" xr:uid="{D520F9CC-EA9F-4F20-8D9F-750ADA7AE66B}"/>
  <tableColumns count="14">
    <tableColumn id="1" xr3:uid="{B6D43727-ED64-4950-8816-AF76298B1019}" name="Locatie" totalsRowLabel="Totaal" dataDxfId="627" totalsRowDxfId="628"/>
    <tableColumn id="2" xr3:uid="{8E57D1CF-2995-455E-A154-5F864564B9B2}" name="Ruimte" dataDxfId="625" totalsRowDxfId="626"/>
    <tableColumn id="3" xr3:uid="{0ED30533-7262-49DF-A4E9-49C76FE17B5C}" name="Aantal" dataDxfId="623" totalsRowDxfId="624"/>
    <tableColumn id="6" xr3:uid="{D2C8A0FA-8C11-4E65-BA96-181EEC01538F}" name="Toiletrolhouder" totalsRowFunction="sum" dataDxfId="621" totalsRowDxfId="622"/>
    <tableColumn id="7" xr3:uid="{2F8D314D-FE7D-443D-8884-CA58230E8D93}" name="Seatcleaner" totalsRowFunction="sum" dataDxfId="619" totalsRowDxfId="620"/>
    <tableColumn id="4" xr3:uid="{E1EA588D-FA2D-43EA-AB65-537A1A879B90}" name="Luchtverfrisser" totalsRowFunction="sum" dataDxfId="617" totalsRowDxfId="618"/>
    <tableColumn id="5" xr3:uid="{9CEE91A2-2A11-4D8B-9819-36C623ADD8E3}" name="Toiletborstel + houder" totalsRowFunction="sum" dataDxfId="615" totalsRowDxfId="616"/>
    <tableColumn id="8" xr3:uid="{8C2B3E0C-3597-4E97-864B-CE5670CC73E4}" name="Vouwdoekjes" totalsRowFunction="sum" dataDxfId="613" totalsRowDxfId="614"/>
    <tableColumn id="9" xr3:uid="{D3020F41-3EC4-43FA-8637-FE92F1479290}" name="Verbandzakhouder" totalsRowFunction="sum" dataDxfId="611" totalsRowDxfId="612"/>
    <tableColumn id="10" xr3:uid="{3A9302C9-29F6-4FCF-A2ED-9D6D37B29545}" name="Foamzeep" totalsRowFunction="sum" dataDxfId="609" totalsRowDxfId="610"/>
    <tableColumn id="11" xr3:uid="{5951C73F-4220-4BC6-814F-F34DC6BDA172}" name="Poetsrol" totalsRowFunction="sum" dataDxfId="607" totalsRowDxfId="608"/>
    <tableColumn id="12" xr3:uid="{E1D985FA-5C45-4E24-AA0F-58DFC39C3D4D}" name="Handcreme" totalsRowFunction="sum" dataDxfId="605" totalsRowDxfId="606"/>
    <tableColumn id="13" xr3:uid="{E10CE449-CD12-456E-B0D9-6283C0A59A5C}" name="Industriezeep" totalsRowFunction="sum" dataDxfId="603" totalsRowDxfId="604"/>
    <tableColumn id="14" xr3:uid="{F4FBA952-58B0-487A-AD3D-FA984D1C51C9}" name="Douchegel" totalsRowLabel="0" dataDxfId="601" totalsRowDxfId="60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35A2679-0ADC-413C-BEE1-395533D84702}" name="Tabel5131522" displayName="Tabel5131522" ref="A1:B10" totalsRowShown="0" headerRowDxfId="600" dataDxfId="599" headerRowBorderDxfId="597" tableBorderDxfId="598">
  <autoFilter ref="A1:B10" xr:uid="{D35A2679-0ADC-413C-BEE1-395533D84702}"/>
  <tableColumns count="2">
    <tableColumn id="2" xr3:uid="{4A7DDFB9-A414-4937-98EB-A4605CCE5B95}" name="Naam" dataDxfId="596"/>
    <tableColumn id="1" xr3:uid="{1349E6E0-F7CF-4EC6-B6FA-CB4AFEA8D2CE}" name="Adres" dataDxfId="595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C94DED7-17FD-4C73-9240-75628F68FE76}" name="Tabel3121423" displayName="Tabel3121423" ref="C1:P20" totalsRowCount="1" headerRowDxfId="594" dataDxfId="593" totalsRowDxfId="592" headerRowBorderDxfId="590" tableBorderDxfId="591" totalsRowBorderDxfId="589">
  <autoFilter ref="C1:P19" xr:uid="{6C94DED7-17FD-4C73-9240-75628F68FE76}"/>
  <tableColumns count="14">
    <tableColumn id="1" xr3:uid="{624CB9AA-3E9D-4DAE-89B4-FE0432ACAF1D}" name="Locatie" totalsRowLabel="Totaal" dataDxfId="587" totalsRowDxfId="588"/>
    <tableColumn id="2" xr3:uid="{10E2D51F-8773-4F5A-976E-462303630E3A}" name="Ruimte" dataDxfId="585" totalsRowDxfId="586"/>
    <tableColumn id="3" xr3:uid="{6F8E9CF7-AFCB-4C65-B970-58C551E9283F}" name="Aantal" dataDxfId="583" totalsRowDxfId="584"/>
    <tableColumn id="6" xr3:uid="{2784A947-0A51-4D63-AE07-98B425B3E260}" name="Toiletrolhouder" totalsRowFunction="sum" dataDxfId="581" totalsRowDxfId="582"/>
    <tableColumn id="7" xr3:uid="{E298EC0C-3155-4F03-AF29-25EACC749503}" name="Seatcleaner" totalsRowFunction="sum" dataDxfId="579" totalsRowDxfId="580"/>
    <tableColumn id="4" xr3:uid="{1EC9F388-0219-43B4-AE95-63FBD6FC4B0A}" name="Luchtverfrisser" totalsRowFunction="sum" dataDxfId="577" totalsRowDxfId="578"/>
    <tableColumn id="5" xr3:uid="{BCE71BE9-19FB-4E91-AEF6-31779EB6D484}" name="Toiletborstel + houder" totalsRowFunction="sum" dataDxfId="575" totalsRowDxfId="576"/>
    <tableColumn id="8" xr3:uid="{750E57A8-AF27-40FE-B65B-83B8D1CE00DE}" name="Vouwdoekjes" totalsRowFunction="sum" dataDxfId="573" totalsRowDxfId="574"/>
    <tableColumn id="9" xr3:uid="{C111F667-B793-4A91-9D41-6B893EB519E3}" name="Verbandzakhouder" totalsRowFunction="sum" dataDxfId="571" totalsRowDxfId="572"/>
    <tableColumn id="10" xr3:uid="{07A6192C-4BC7-4AB0-A202-E397C8326F61}" name="Foamzeep" totalsRowFunction="sum" dataDxfId="569" totalsRowDxfId="570"/>
    <tableColumn id="11" xr3:uid="{65567607-3AD6-4F0D-9E90-1EECA78AE626}" name="Poetsrol" totalsRowFunction="sum" dataDxfId="567" totalsRowDxfId="568"/>
    <tableColumn id="12" xr3:uid="{292DD657-3CF6-4BDD-B35B-E2382B737066}" name="Handcreme" totalsRowFunction="sum" dataDxfId="565" totalsRowDxfId="566"/>
    <tableColumn id="13" xr3:uid="{81A9EFF6-7B01-4FD4-9099-D7769BAF64B1}" name="Industriezeep" totalsRowFunction="sum" dataDxfId="563" totalsRowDxfId="564"/>
    <tableColumn id="14" xr3:uid="{9CC12F9D-B7DA-4655-B6EA-562F35FE3F25}" name="Douchegel" totalsRowFunction="custom" dataDxfId="561" totalsRowDxfId="562">
      <totalsRowFormula>SUM(P2:P19)</totalsRowFormula>
    </tableColumn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1665F02-8852-4C76-9FA3-362C7D0708A5}" name="Tabel5131524" displayName="Tabel5131524" ref="A1:B17" totalsRowShown="0" headerRowDxfId="560" dataDxfId="559" headerRowBorderDxfId="557" tableBorderDxfId="558">
  <autoFilter ref="A1:B17" xr:uid="{51665F02-8852-4C76-9FA3-362C7D0708A5}"/>
  <tableColumns count="2">
    <tableColumn id="2" xr3:uid="{9CA9AF8D-0816-4EC8-BD0E-60F6864BE0D1}" name="Naam" dataDxfId="556"/>
    <tableColumn id="1" xr3:uid="{EA7A13C4-5276-413A-A5EE-D5DD81F6C341}" name="Adres" dataDxfId="55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093E06C-5648-43E9-9106-4C0114FF95A4}" name="Tabel312" displayName="Tabel312" ref="C1:Q30" totalsRowCount="1" headerRowDxfId="916" dataDxfId="915" totalsRowDxfId="914" headerRowBorderDxfId="912" tableBorderDxfId="913" totalsRowBorderDxfId="911">
  <autoFilter ref="C1:Q29" xr:uid="{C093E06C-5648-43E9-9106-4C0114FF95A4}"/>
  <tableColumns count="15">
    <tableColumn id="1" xr3:uid="{120226D9-6D23-4AEA-89D0-4CAE26930F7C}" name="Locatie" totalsRowLabel="Totaal" dataDxfId="909" totalsRowDxfId="910"/>
    <tableColumn id="2" xr3:uid="{C1F70973-C3E2-47BF-8D53-E42C3658EE2B}" name="Ruimte" dataDxfId="907" totalsRowDxfId="908"/>
    <tableColumn id="3" xr3:uid="{865403B1-BFEE-4A6F-86D4-A0FD92D5B2B4}" name="Aantal" dataDxfId="905" totalsRowDxfId="906"/>
    <tableColumn id="6" xr3:uid="{10BFBD79-1831-4EF5-AD03-80541E9180BD}" name="Toiletrolhouder" totalsRowFunction="sum" dataDxfId="903" totalsRowDxfId="904"/>
    <tableColumn id="7" xr3:uid="{338E592D-C140-44BD-AD29-BA2C7257B97B}" name="Seatcleaner" totalsRowFunction="sum" dataDxfId="901" totalsRowDxfId="902"/>
    <tableColumn id="4" xr3:uid="{B4717A05-02CF-4B21-A1C8-3F15FCBC61ED}" name="Luchtverfrisser" totalsRowFunction="sum" dataDxfId="899" totalsRowDxfId="900"/>
    <tableColumn id="5" xr3:uid="{F7ED32A8-BD47-42FA-B666-F344D06BE8EC}" name="Toiletborstel + houder" totalsRowFunction="sum" dataDxfId="897" totalsRowDxfId="898"/>
    <tableColumn id="8" xr3:uid="{8CB81473-80A3-4FCA-97A4-141CAA41A645}" name="Vouwdoekjes" totalsRowFunction="sum" dataDxfId="895" totalsRowDxfId="896"/>
    <tableColumn id="9" xr3:uid="{8E510C0C-5A68-41B3-89BF-32C39A4B8449}" name="Hygienebox" totalsRowFunction="sum" dataDxfId="893" totalsRowDxfId="894"/>
    <tableColumn id="10" xr3:uid="{BE84F31F-A255-4D85-98FA-0F1B6BEF8FF1}" name="Foamzeep" totalsRowFunction="sum" dataDxfId="891" totalsRowDxfId="892"/>
    <tableColumn id="11" xr3:uid="{0E2ADC32-4C99-4047-8B46-5D277257C20A}" name="Poetsrol" totalsRowFunction="sum" dataDxfId="889" totalsRowDxfId="890"/>
    <tableColumn id="12" xr3:uid="{A8A6FACE-D8AE-475B-AC97-D71B839FE121}" name="Handcreme" totalsRowFunction="sum" dataDxfId="887" totalsRowDxfId="888"/>
    <tableColumn id="13" xr3:uid="{CD52CB61-F491-47D7-B00B-C633DB8D9E99}" name="Industriezeep" totalsRowFunction="sum" dataDxfId="885" totalsRowDxfId="886"/>
    <tableColumn id="14" xr3:uid="{69208B67-06E3-4A66-966B-791EDA833D74}" name="Handdoekrol" totalsRowFunction="custom" dataDxfId="883" totalsRowDxfId="884">
      <totalsRowFormula>SUM(P2:P29)</totalsRowFormula>
    </tableColumn>
    <tableColumn id="15" xr3:uid="{D789CEFF-B2F8-4AF7-A2E9-6CC4F7C93040}" name="Douchegel" totalsRowFunction="custom" dataDxfId="881" totalsRowDxfId="882">
      <totalsRowFormula>SUM(Q2:Q29)</totalsRowFormula>
    </tableColumn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7C6EC4F-5CD0-4443-B990-8BEE12F667F7}" name="Tabel3121425" displayName="Tabel3121425" ref="C1:P9" totalsRowCount="1" headerRowDxfId="554" dataDxfId="553" totalsRowDxfId="552" headerRowBorderDxfId="550" tableBorderDxfId="551" totalsRowBorderDxfId="549">
  <autoFilter ref="C1:P8" xr:uid="{A7C6EC4F-5CD0-4443-B990-8BEE12F667F7}"/>
  <tableColumns count="14">
    <tableColumn id="1" xr3:uid="{F9229163-5B13-48E6-AC77-C1C2D933D4CC}" name="Locatie" totalsRowLabel="Totaal" dataDxfId="547" totalsRowDxfId="548"/>
    <tableColumn id="2" xr3:uid="{A0D7E398-8C0D-48E0-9C3B-CAB93E145185}" name="Ruimte" dataDxfId="545" totalsRowDxfId="546"/>
    <tableColumn id="3" xr3:uid="{1C2B4362-6497-4331-A381-8073BA9EF9FE}" name="Aantal" dataDxfId="543" totalsRowDxfId="544"/>
    <tableColumn id="6" xr3:uid="{A9405F7E-33D8-45E4-80D2-43B85E790928}" name="Toiletrolhouder" totalsRowFunction="sum" dataDxfId="541" totalsRowDxfId="542"/>
    <tableColumn id="7" xr3:uid="{9845F358-0FD4-4A8D-8E99-ACEDC71C9076}" name="Seatcleaner" totalsRowFunction="sum" dataDxfId="539" totalsRowDxfId="540"/>
    <tableColumn id="4" xr3:uid="{12EF0F55-7138-41F4-8667-023A68EFC1A5}" name="Luchtverfrisser" totalsRowFunction="sum" dataDxfId="537" totalsRowDxfId="538"/>
    <tableColumn id="5" xr3:uid="{DEA69DED-4A76-4F52-8B75-20B253E05693}" name="Toiletborstel + houder" totalsRowFunction="sum" dataDxfId="535" totalsRowDxfId="536"/>
    <tableColumn id="8" xr3:uid="{8F7CC5F8-1950-4452-A4F2-D6839008D96F}" name="Vouwdoekjes" totalsRowFunction="sum" dataDxfId="533" totalsRowDxfId="534"/>
    <tableColumn id="9" xr3:uid="{054CCF5A-E50B-4686-88BD-09779066CE09}" name="Verbandzakhouder" totalsRowFunction="sum" dataDxfId="531" totalsRowDxfId="532"/>
    <tableColumn id="10" xr3:uid="{84C89CEB-4313-4A88-B4F6-D7F8C0552596}" name="Foamzeep" totalsRowFunction="sum" dataDxfId="529" totalsRowDxfId="530"/>
    <tableColumn id="11" xr3:uid="{367E3B04-5CB8-4830-9AAB-1E499BB21963}" name="Poetsrol" totalsRowFunction="sum" dataDxfId="527" totalsRowDxfId="528"/>
    <tableColumn id="12" xr3:uid="{6C06E325-2F00-4095-B63E-F191AC0749B5}" name="Handcreme" totalsRowFunction="sum" dataDxfId="525" totalsRowDxfId="526"/>
    <tableColumn id="13" xr3:uid="{CF06AD4B-4D32-4C54-A285-CBE6EA154547}" name="Industriezeep" totalsRowFunction="sum" dataDxfId="523" totalsRowDxfId="524"/>
    <tableColumn id="14" xr3:uid="{0AC361E5-01FA-45C6-829D-9B6DD88FF836}" name="Douchegel" totalsRowFunction="custom" dataDxfId="521" totalsRowDxfId="522">
      <totalsRowFormula>SUM(P2:P8)</totalsRowFormula>
    </tableColumn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DFCA985-20C7-46DB-B405-A7D22C23CF55}" name="Tabel5131526" displayName="Tabel5131526" ref="A1:B9" totalsRowShown="0" headerRowDxfId="520" dataDxfId="519" headerRowBorderDxfId="517" tableBorderDxfId="518">
  <autoFilter ref="A1:B9" xr:uid="{4DFCA985-20C7-46DB-B405-A7D22C23CF55}"/>
  <tableColumns count="2">
    <tableColumn id="2" xr3:uid="{4D798B7B-FF7A-426C-A7EE-336A03E4818A}" name="Naam" dataDxfId="516"/>
    <tableColumn id="1" xr3:uid="{EA409A26-38EE-465C-AECC-9C3F3343B722}" name="Adres" dataDxfId="515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77269893-C50D-4095-A867-69DA5F099A67}" name="Tabel3121427" displayName="Tabel3121427" ref="C1:P7" totalsRowCount="1" headerRowDxfId="514" dataDxfId="513" totalsRowDxfId="512" headerRowBorderDxfId="510" tableBorderDxfId="511" totalsRowBorderDxfId="509">
  <autoFilter ref="C1:P6" xr:uid="{77269893-C50D-4095-A867-69DA5F099A67}"/>
  <tableColumns count="14">
    <tableColumn id="1" xr3:uid="{252D2039-65FE-4975-AB13-F4A2718D2B98}" name="Locatie" totalsRowLabel="Totaal" dataDxfId="507" totalsRowDxfId="508"/>
    <tableColumn id="2" xr3:uid="{9457626E-B832-4973-9E02-13E4D198784C}" name="Ruimte" dataDxfId="505" totalsRowDxfId="506"/>
    <tableColumn id="3" xr3:uid="{2B35A4E5-A0EF-45E8-9573-55798647B5CE}" name="Aantal" dataDxfId="503" totalsRowDxfId="504"/>
    <tableColumn id="6" xr3:uid="{A8D53110-65BC-4283-99C6-5B5C9ADBA9D6}" name="Toiletrolhouder" totalsRowFunction="sum" dataDxfId="501" totalsRowDxfId="502"/>
    <tableColumn id="7" xr3:uid="{F290F62F-DCEE-43DC-A16C-6F387160CB2E}" name="Seatcleaner" totalsRowFunction="sum" dataDxfId="499" totalsRowDxfId="500"/>
    <tableColumn id="4" xr3:uid="{DDE80AC0-FFEA-4F95-9FFC-02840698F74F}" name="Luchtverfrisser" totalsRowFunction="sum" dataDxfId="497" totalsRowDxfId="498"/>
    <tableColumn id="5" xr3:uid="{37FD25CE-78A1-46B7-AD74-0DE1FD2C4066}" name="Toiletborstel + houder" totalsRowFunction="sum" dataDxfId="495" totalsRowDxfId="496"/>
    <tableColumn id="8" xr3:uid="{25C9B15C-271B-439F-967C-60F82BD5C4A8}" name="Vouwdoekjes" totalsRowFunction="sum" dataDxfId="493" totalsRowDxfId="494"/>
    <tableColumn id="9" xr3:uid="{42246CAF-B5DD-4F12-84A9-16A8404C7C6C}" name="Verbandzakhouder" totalsRowFunction="sum" dataDxfId="491" totalsRowDxfId="492"/>
    <tableColumn id="10" xr3:uid="{3120D64B-C427-4649-8F5C-7D697F5C51A8}" name="Foamzeep" totalsRowFunction="sum" dataDxfId="489" totalsRowDxfId="490"/>
    <tableColumn id="11" xr3:uid="{55005814-C2C7-4028-8AA5-0A023C50030E}" name="Poetsrol" totalsRowFunction="sum" dataDxfId="487" totalsRowDxfId="488"/>
    <tableColumn id="12" xr3:uid="{DC780FB9-EA73-4C83-A79E-692DB4E8A697}" name="Handcreme" totalsRowFunction="sum" dataDxfId="485" totalsRowDxfId="486"/>
    <tableColumn id="13" xr3:uid="{ED0FAC27-74B3-44C9-9E04-4676E002EE53}" name="Industriezeep" totalsRowFunction="sum" dataDxfId="483" totalsRowDxfId="484"/>
    <tableColumn id="14" xr3:uid="{E2F1A55A-8018-4251-BBF1-6AB7AFA91F7E}" name="Douchegel" totalsRowFunction="custom" dataDxfId="481" totalsRowDxfId="482">
      <totalsRowFormula>SUM(P2:P6)</totalsRowFormula>
    </tableColumn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27614BC-8ABD-420B-8131-BC2077FE2845}" name="Tabel5131528" displayName="Tabel5131528" ref="A1:B7" totalsRowShown="0" headerRowDxfId="480" dataDxfId="479" headerRowBorderDxfId="477" tableBorderDxfId="478">
  <autoFilter ref="A1:B7" xr:uid="{B27614BC-8ABD-420B-8131-BC2077FE2845}"/>
  <tableColumns count="2">
    <tableColumn id="2" xr3:uid="{69A5EB48-509F-4EEC-BD9B-A13C26F60C2C}" name="Naam" dataDxfId="476"/>
    <tableColumn id="1" xr3:uid="{A4AC8FB4-947D-4358-9BE4-9732C476E994}" name="Adres" dataDxfId="475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D04DEC3-6B51-441B-9A60-7E3975C917AA}" name="Tabel3121429" displayName="Tabel3121429" ref="C1:P13" totalsRowCount="1" headerRowDxfId="474" dataDxfId="473" totalsRowDxfId="472" headerRowBorderDxfId="470" tableBorderDxfId="471" totalsRowBorderDxfId="469">
  <autoFilter ref="C1:P12" xr:uid="{BD04DEC3-6B51-441B-9A60-7E3975C917AA}"/>
  <tableColumns count="14">
    <tableColumn id="1" xr3:uid="{7F897080-6739-43DE-840F-7923F1054EA7}" name="Locatie" totalsRowLabel="Totaal" dataDxfId="467" totalsRowDxfId="468"/>
    <tableColumn id="2" xr3:uid="{6A5E8C1C-E5FE-47DF-826E-52970206E47B}" name="Ruimte" dataDxfId="465" totalsRowDxfId="466"/>
    <tableColumn id="3" xr3:uid="{CCD51C2A-D0E0-48BC-828D-51F5B459E4FA}" name="Aantal" totalsRowLabel="12" dataDxfId="463" totalsRowDxfId="464"/>
    <tableColumn id="6" xr3:uid="{038861C4-4A64-4C52-8347-8ED450E60602}" name="Toiletrolhouder" totalsRowFunction="sum" dataDxfId="461" totalsRowDxfId="462"/>
    <tableColumn id="7" xr3:uid="{EE86DA1C-F0BF-4935-A635-BE91D566F4CF}" name="Seatcleaner" totalsRowFunction="sum" dataDxfId="459" totalsRowDxfId="460"/>
    <tableColumn id="4" xr3:uid="{35190567-BD28-4411-A04E-EE301E98B6F2}" name="Luchtverfrisser" totalsRowFunction="sum" dataDxfId="457" totalsRowDxfId="458"/>
    <tableColumn id="5" xr3:uid="{DE241429-CDF5-433B-9DDA-91F2B834746F}" name="Toiletborstel + houder" totalsRowFunction="sum" dataDxfId="455" totalsRowDxfId="456"/>
    <tableColumn id="8" xr3:uid="{0507FEC2-5D19-4C30-9A71-E6143F1208FB}" name="Vouwdoekjes" totalsRowFunction="sum" dataDxfId="453" totalsRowDxfId="454"/>
    <tableColumn id="9" xr3:uid="{81B456F9-544F-477B-A3BD-2787CF2559B8}" name="Verbandzakhouder" totalsRowFunction="sum" dataDxfId="451" totalsRowDxfId="452"/>
    <tableColumn id="10" xr3:uid="{05383CE6-8415-40BB-8073-096510A9920D}" name="Foamzeep" totalsRowFunction="sum" dataDxfId="449" totalsRowDxfId="450"/>
    <tableColumn id="11" xr3:uid="{DD8D76F2-3578-4378-A507-925004D605EF}" name="Poetsrol" totalsRowFunction="sum" dataDxfId="447" totalsRowDxfId="448"/>
    <tableColumn id="12" xr3:uid="{008A097C-7F7A-4E8C-8A5A-6BCA7D0DFBFF}" name="Handcreme" totalsRowFunction="sum" dataDxfId="445" totalsRowDxfId="446"/>
    <tableColumn id="13" xr3:uid="{DD504555-CBA3-4DB4-A489-9ECD97CC86F9}" name="Industriezeep" totalsRowFunction="sum" dataDxfId="443" totalsRowDxfId="444"/>
    <tableColumn id="14" xr3:uid="{39359FB3-0B7C-4859-9575-FDBE6416827B}" name="Douchegel" totalsRowLabel="0" dataDxfId="441" totalsRowDxfId="44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39FAAC43-38F1-4CE8-A0D9-D48807EE683C}" name="Tabel5131530" displayName="Tabel5131530" ref="A1:B11" totalsRowShown="0" headerRowDxfId="440" dataDxfId="439" headerRowBorderDxfId="437" tableBorderDxfId="438">
  <autoFilter ref="A1:B11" xr:uid="{39FAAC43-38F1-4CE8-A0D9-D48807EE683C}"/>
  <tableColumns count="2">
    <tableColumn id="2" xr3:uid="{6B174D4B-A155-4DBB-9670-1AF1CC8AFD93}" name="Naam" dataDxfId="436"/>
    <tableColumn id="1" xr3:uid="{CE02DEB8-0AA7-44FB-AC30-26C97B1EA352}" name="Adres" dataDxfId="435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185D822F-DF2A-4ACB-8D91-1623CEBD5E66}" name="Tabel3121433" displayName="Tabel3121433" ref="C1:P15" totalsRowCount="1" headerRowDxfId="434" dataDxfId="433" totalsRowDxfId="432" headerRowBorderDxfId="430" tableBorderDxfId="431" totalsRowBorderDxfId="429">
  <autoFilter ref="C1:P14" xr:uid="{185D822F-DF2A-4ACB-8D91-1623CEBD5E66}"/>
  <tableColumns count="14">
    <tableColumn id="1" xr3:uid="{F4C75643-18B7-4506-B391-645C049496C2}" name="Locatie" totalsRowLabel="Totaal" dataDxfId="427" totalsRowDxfId="428"/>
    <tableColumn id="2" xr3:uid="{7961DEE8-9CB7-4035-ACD8-BA93C07ADBF8}" name="Ruimte" dataDxfId="425" totalsRowDxfId="426"/>
    <tableColumn id="3" xr3:uid="{E1AC1A15-8D5A-4EE6-B5F9-85F866118228}" name="Aantal" dataDxfId="423" totalsRowDxfId="424"/>
    <tableColumn id="6" xr3:uid="{4A0BD471-6A59-4A71-BDDA-5E3621646721}" name="Toiletrolhouder" totalsRowFunction="sum" dataDxfId="421" totalsRowDxfId="422"/>
    <tableColumn id="7" xr3:uid="{3660BDDC-5CFA-46D2-A35E-3B160C0508D3}" name="Seatcleaner" totalsRowFunction="sum" dataDxfId="419" totalsRowDxfId="420"/>
    <tableColumn id="4" xr3:uid="{954DE074-F8E2-4E91-938E-378D0C05169F}" name="Luchtverfrisser" totalsRowFunction="sum" dataDxfId="417" totalsRowDxfId="418"/>
    <tableColumn id="5" xr3:uid="{F430561E-729C-4BDA-AE57-9F3C3E03C677}" name="Toiletborstel + houder" totalsRowFunction="sum" dataDxfId="415" totalsRowDxfId="416"/>
    <tableColumn id="8" xr3:uid="{4E829B7D-C96A-42DE-9FD6-2F1D16E5B722}" name="Vouwdoekjes" totalsRowFunction="sum" dataDxfId="413" totalsRowDxfId="414"/>
    <tableColumn id="9" xr3:uid="{055B25F9-F62E-489D-82CF-D64F2D5609D6}" name="Verbandzakhouder" totalsRowFunction="sum" dataDxfId="411" totalsRowDxfId="412"/>
    <tableColumn id="10" xr3:uid="{5B234233-A663-429E-8D6F-66D044D663AE}" name="Foamzeep" totalsRowFunction="sum" dataDxfId="409" totalsRowDxfId="410"/>
    <tableColumn id="11" xr3:uid="{D18A87A9-3FFA-43D6-AF07-9879C7F0AB86}" name="Poetsrol" totalsRowFunction="sum" dataDxfId="407" totalsRowDxfId="408"/>
    <tableColumn id="12" xr3:uid="{ABADDA3A-B1BE-4FBE-823B-FEC9D23BE422}" name="Handcreme" totalsRowFunction="sum" dataDxfId="405" totalsRowDxfId="406"/>
    <tableColumn id="13" xr3:uid="{56E98334-02F5-448C-83F5-EBFBDB72466A}" name="Industriezeep" totalsRowFunction="sum" dataDxfId="403" totalsRowDxfId="404"/>
    <tableColumn id="14" xr3:uid="{4BBDF250-22E2-4B67-A0B7-77C800E038BB}" name="Douchegel" totalsRowFunction="custom" dataDxfId="401" totalsRowDxfId="402">
      <totalsRowFormula>SUM(P2:P14)</totalsRowFormula>
    </tableColumn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E2B5FDEB-C04E-47E1-9D51-D6502304C845}" name="Tabel5131534" displayName="Tabel5131534" ref="A1:B15" totalsRowShown="0" headerRowDxfId="400" dataDxfId="399" headerRowBorderDxfId="397" tableBorderDxfId="398">
  <autoFilter ref="A1:B15" xr:uid="{E2B5FDEB-C04E-47E1-9D51-D6502304C845}"/>
  <tableColumns count="2">
    <tableColumn id="2" xr3:uid="{8FC047A8-9CF7-40EA-8461-3FA8F4913AFB}" name="Naam" dataDxfId="396"/>
    <tableColumn id="1" xr3:uid="{5D132C42-C7B0-437B-BB2B-BF1D8BFADB79}" name="Adres" dataDxfId="395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BF6EBA4-9C61-48CB-A7DC-EC6E16D39A83}" name="Tabel5131536" displayName="Tabel5131536" ref="A1:B9" totalsRowShown="0" headerRowDxfId="394" headerRowBorderDxfId="392" tableBorderDxfId="393">
  <autoFilter ref="A1:B9" xr:uid="{3BF6EBA4-9C61-48CB-A7DC-EC6E16D39A83}"/>
  <tableColumns count="2">
    <tableColumn id="2" xr3:uid="{0F4988F6-AEF6-4CF6-BC30-D774374F6263}" name="Naam" dataDxfId="391"/>
    <tableColumn id="1" xr3:uid="{24F6BE27-51C9-4FD3-8429-CBE115DDD1E7}" name="Adres" dataDxfId="390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71065FB-E813-4715-8A2E-E83FE26106B0}" name="Tabel312143351" displayName="Tabel312143351" ref="C1:P9" totalsRowCount="1" headerRowDxfId="389" dataDxfId="388" totalsRowDxfId="387" headerRowBorderDxfId="385" tableBorderDxfId="386" totalsRowBorderDxfId="384">
  <autoFilter ref="C1:P8" xr:uid="{071065FB-E813-4715-8A2E-E83FE26106B0}"/>
  <tableColumns count="14">
    <tableColumn id="1" xr3:uid="{4A686725-E1D3-4D90-B63F-F166BCD68D5E}" name="Locatie" totalsRowLabel="Totaal" dataDxfId="382" totalsRowDxfId="383"/>
    <tableColumn id="2" xr3:uid="{CBF7634F-5D88-4C91-BEDE-ED90385B7DB6}" name="Ruimte" dataDxfId="380" totalsRowDxfId="381"/>
    <tableColumn id="3" xr3:uid="{834E3868-D786-446B-BF0A-167F31BFFB23}" name="Aantal" dataDxfId="378" totalsRowDxfId="379"/>
    <tableColumn id="6" xr3:uid="{0C4D6F09-1E82-42A6-AD98-03290525614E}" name="Toiletrolhouder" totalsRowFunction="sum" dataDxfId="376" totalsRowDxfId="377"/>
    <tableColumn id="7" xr3:uid="{9229EEF2-69BC-459A-B9E2-290899C415DD}" name="Seatcleaner" totalsRowFunction="sum" dataDxfId="374" totalsRowDxfId="375"/>
    <tableColumn id="4" xr3:uid="{D02DCF46-0906-4BEE-8FFB-E51461F8C7E6}" name="Luchtverfrisser" totalsRowFunction="sum" dataDxfId="372" totalsRowDxfId="373"/>
    <tableColumn id="5" xr3:uid="{5903D1F7-AF41-451B-B295-619F89E07C52}" name="Toiletborstel + houder" totalsRowFunction="sum" dataDxfId="370" totalsRowDxfId="371"/>
    <tableColumn id="8" xr3:uid="{DC97933C-21DF-48C4-BC2F-5FA43C562873}" name="Vouwdoekjes" totalsRowFunction="sum" dataDxfId="368" totalsRowDxfId="369"/>
    <tableColumn id="9" xr3:uid="{F94EA90F-17C1-4A6F-A274-8FDAF114A802}" name="Verbandzakhouder" totalsRowFunction="sum" dataDxfId="366" totalsRowDxfId="367"/>
    <tableColumn id="10" xr3:uid="{5EECCCC7-4474-43DC-A9B0-A4F12AE07A49}" name="Foamzeep" totalsRowFunction="sum" dataDxfId="364" totalsRowDxfId="365"/>
    <tableColumn id="11" xr3:uid="{41D8724E-3F8E-469C-81FA-B70ED7E617D7}" name="Poetsrol" totalsRowFunction="sum" dataDxfId="362" totalsRowDxfId="363"/>
    <tableColumn id="12" xr3:uid="{2ABB24D3-26DB-4036-8C08-B9A9251AC0B0}" name="Handcreme" totalsRowFunction="sum" dataDxfId="360" totalsRowDxfId="361"/>
    <tableColumn id="13" xr3:uid="{ABE69A3B-1AF0-4E9F-8A05-7F5425FBE6FE}" name="Industriezeep" totalsRowFunction="sum" dataDxfId="358" totalsRowDxfId="359"/>
    <tableColumn id="14" xr3:uid="{956A0AA0-A9E3-4F9A-9828-B9CC5D39314A}" name="Douchegel" totalsRowFunction="custom" dataDxfId="356" totalsRowDxfId="357">
      <totalsRowFormula>SUM(P2:P8)</totalsRow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B9335D6-1716-4546-8398-A97CFFDD4838}" name="Tabel513" displayName="Tabel513" ref="A1:B28" totalsRowShown="0" headerRowDxfId="880" dataDxfId="879" headerRowBorderDxfId="877" tableBorderDxfId="878">
  <autoFilter ref="A1:B28" xr:uid="{BB9335D6-1716-4546-8398-A97CFFDD4838}"/>
  <tableColumns count="2">
    <tableColumn id="2" xr3:uid="{02C8950E-234C-46B7-A114-C609BACD8061}" name="Naam" dataDxfId="876"/>
    <tableColumn id="1" xr3:uid="{368431C9-5C5D-407A-857D-24D988BA453E}" name="Adres" dataDxfId="875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DD32A4A-C525-47E2-B507-15B7AB26A491}" name="Tabel51315365" displayName="Tabel51315365" ref="A1:B10" totalsRowShown="0" headerRowDxfId="355" dataDxfId="354" headerRowBorderDxfId="352" tableBorderDxfId="353">
  <autoFilter ref="A1:B10" xr:uid="{2DD32A4A-C525-47E2-B507-15B7AB26A491}"/>
  <tableColumns count="2">
    <tableColumn id="2" xr3:uid="{D6BC2A19-2A8B-486F-AC2D-E998E96350B0}" name="Naam" dataDxfId="351"/>
    <tableColumn id="1" xr3:uid="{517763E0-8D6E-4006-941C-1D4FA6673493}" name="Adres" dataDxfId="350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49F1D7D-AA81-4477-9FBB-B94E4818A46B}" name="Tabel31214335135" displayName="Tabel31214335135" ref="C1:P12" totalsRowCount="1" headerRowDxfId="349" dataDxfId="348" totalsRowDxfId="347" headerRowBorderDxfId="345" tableBorderDxfId="346" totalsRowBorderDxfId="344">
  <autoFilter ref="C1:P11" xr:uid="{D49F1D7D-AA81-4477-9FBB-B94E4818A46B}"/>
  <tableColumns count="14">
    <tableColumn id="1" xr3:uid="{C783B7FC-7400-41E0-B336-BCA66199E731}" name="Locatie" totalsRowLabel="Totaal" dataDxfId="342" totalsRowDxfId="343"/>
    <tableColumn id="2" xr3:uid="{882445D9-21B0-425F-A9B7-33F25CA6E564}" name="Ruimte" dataDxfId="340" totalsRowDxfId="341"/>
    <tableColumn id="3" xr3:uid="{A8A370B2-C57F-4236-BDD1-98D2BC8D6E68}" name="Aantal" dataDxfId="338" totalsRowDxfId="339"/>
    <tableColumn id="6" xr3:uid="{8E04A0FB-1966-48DB-B8B3-A0995BAFF746}" name="Toiletrolhouder" totalsRowFunction="sum" dataDxfId="336" totalsRowDxfId="337"/>
    <tableColumn id="7" xr3:uid="{BD01F1EB-3C37-4DC6-9EFF-4507901B0584}" name="Seatcleaner" totalsRowFunction="sum" dataDxfId="334" totalsRowDxfId="335"/>
    <tableColumn id="4" xr3:uid="{BCCF657C-D0DF-4212-8E8F-7C0D78E8AEBF}" name="Luchtverfrisser" totalsRowFunction="sum" dataDxfId="332" totalsRowDxfId="333"/>
    <tableColumn id="5" xr3:uid="{4844831A-189D-4220-A4E4-D4FA10196645}" name="Toiletborstel + houder" totalsRowFunction="sum" dataDxfId="330" totalsRowDxfId="331"/>
    <tableColumn id="8" xr3:uid="{44273F61-677C-423B-B7EA-B3B96B84BB8C}" name="Vouwdoekjes" totalsRowFunction="sum" dataDxfId="328" totalsRowDxfId="329"/>
    <tableColumn id="9" xr3:uid="{90EECBCE-F1B8-49E6-A69E-B7925D863B3C}" name="Verbandzakhouder" totalsRowFunction="sum" dataDxfId="326" totalsRowDxfId="327"/>
    <tableColumn id="10" xr3:uid="{E52EB56C-F846-4F4D-B853-F57AB18F437E}" name="Foamzeep" totalsRowFunction="sum" dataDxfId="324" totalsRowDxfId="325"/>
    <tableColumn id="11" xr3:uid="{A4612017-A561-4E3D-82D6-AA9E4196EC37}" name="Poetsrol" totalsRowFunction="sum" dataDxfId="322" totalsRowDxfId="323"/>
    <tableColumn id="12" xr3:uid="{D58CA9C4-B259-4A41-AAD0-4782F8C31ED5}" name="Handcreme" totalsRowFunction="sum" dataDxfId="320" totalsRowDxfId="321"/>
    <tableColumn id="13" xr3:uid="{258540BE-1D24-40E8-8635-4FB8C21FAF47}" name="Industriezeep" totalsRowFunction="sum" dataDxfId="318" totalsRowDxfId="319"/>
    <tableColumn id="14" xr3:uid="{8FD87E3B-59E9-4301-9B6D-02308BC1FDE1}" name="Douchegel" totalsRowFunction="custom" dataDxfId="316" totalsRowDxfId="317">
      <totalsRowFormula>SUM(P2:P11)</totalsRowFormula>
    </tableColumn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E6D0AE63-B768-494D-8299-C3CF04AB4C9D}" name="Tabel3121437" displayName="Tabel3121437" ref="C1:P17" totalsRowCount="1" headerRowDxfId="315" dataDxfId="314" totalsRowDxfId="313" headerRowBorderDxfId="311" tableBorderDxfId="312" totalsRowBorderDxfId="310">
  <autoFilter ref="C1:P16" xr:uid="{E6D0AE63-B768-494D-8299-C3CF04AB4C9D}"/>
  <tableColumns count="14">
    <tableColumn id="1" xr3:uid="{94D7C4E1-77DF-4B19-BA2E-8106771AD514}" name="Locatie" totalsRowLabel="Totaal" dataDxfId="308" totalsRowDxfId="309"/>
    <tableColumn id="2" xr3:uid="{425642A1-4BC0-4429-8FEB-D763C373DBBB}" name="Ruimte" dataDxfId="306" totalsRowDxfId="307"/>
    <tableColumn id="3" xr3:uid="{174F1C98-9D07-42A5-B68A-B47A9CA39498}" name="Aantal" dataDxfId="304" totalsRowDxfId="305"/>
    <tableColumn id="6" xr3:uid="{AB6D7D4D-28A5-4661-A9B3-5A5F49B68B45}" name="Toiletrolhouder" totalsRowFunction="sum" dataDxfId="302" totalsRowDxfId="303"/>
    <tableColumn id="7" xr3:uid="{8EAF479C-9DAE-454C-828D-59A9B4AAE6F6}" name="Seatcleaner" totalsRowFunction="sum" dataDxfId="300" totalsRowDxfId="301"/>
    <tableColumn id="4" xr3:uid="{D772DFFA-ADB1-45AE-9A17-03DA0358AC72}" name="Luchtverfrisser" totalsRowFunction="sum" dataDxfId="298" totalsRowDxfId="299"/>
    <tableColumn id="5" xr3:uid="{9E0854F2-94C5-4B4C-A1FC-A097EA817B00}" name="Toiletborstel + houder" totalsRowFunction="sum" dataDxfId="296" totalsRowDxfId="297"/>
    <tableColumn id="8" xr3:uid="{9EFBBC3C-BA78-4EEC-AB53-EBDC63869D4A}" name="Vouwdoekjes" totalsRowFunction="sum" dataDxfId="294" totalsRowDxfId="295"/>
    <tableColumn id="9" xr3:uid="{4FC599CB-48DE-4C89-AFE6-84177610C395}" name="Verbandzakhouder" totalsRowFunction="sum" dataDxfId="292" totalsRowDxfId="293"/>
    <tableColumn id="10" xr3:uid="{812F895F-0B52-4474-956C-978F2A76DC61}" name="Foamzeep" totalsRowFunction="sum" dataDxfId="290" totalsRowDxfId="291"/>
    <tableColumn id="11" xr3:uid="{53851B2A-F527-4CAD-85C3-1807A341BF14}" name="Poetsrol" totalsRowFunction="sum" dataDxfId="288" totalsRowDxfId="289"/>
    <tableColumn id="12" xr3:uid="{EC7A2DB5-45CA-4FE2-A545-2B23A2B07057}" name="Handcreme" totalsRowFunction="sum" dataDxfId="286" totalsRowDxfId="287"/>
    <tableColumn id="13" xr3:uid="{A4E799D9-7FE1-40D7-965E-593071E72E8C}" name="Industriezeep" totalsRowFunction="sum" totalsRowDxfId="285"/>
    <tableColumn id="14" xr3:uid="{D74C2F49-DA8B-4E24-917D-2BAF3F084F20}" name="Douchegel" totalsRowFunction="custom" totalsRowDxfId="284">
      <totalsRowFormula>SUM(P2:P16)</totalsRowFormula>
    </tableColumn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D3AFD6AC-E0B0-48EE-BE7B-B9AC978809B8}" name="Tabel5131538" displayName="Tabel5131538" ref="A1:B16" totalsRowShown="0" headerRowDxfId="283" dataDxfId="282" headerRowBorderDxfId="280" tableBorderDxfId="281">
  <autoFilter ref="A1:B16" xr:uid="{D3AFD6AC-E0B0-48EE-BE7B-B9AC978809B8}"/>
  <tableColumns count="2">
    <tableColumn id="2" xr3:uid="{A7A4A80E-4BED-431A-B3AA-713E51D2458E}" name="Naam" dataDxfId="279"/>
    <tableColumn id="1" xr3:uid="{2E2A07DE-9A25-43C9-BABF-23F165FE41EB}" name="Adres" dataDxfId="278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F96CA3D8-C043-4188-94C5-CE86B20085B5}" name="Tabel3121439" displayName="Tabel3121439" ref="C1:P17" totalsRowCount="1" headerRowDxfId="277" dataDxfId="276" totalsRowDxfId="275" headerRowBorderDxfId="273" tableBorderDxfId="274" totalsRowBorderDxfId="272">
  <autoFilter ref="C1:P16" xr:uid="{F96CA3D8-C043-4188-94C5-CE86B20085B5}"/>
  <tableColumns count="14">
    <tableColumn id="1" xr3:uid="{ADCF7728-ADFB-4820-8FA9-9C0ADCD164CE}" name="Locatie" totalsRowLabel="Totaal" dataDxfId="270" totalsRowDxfId="271"/>
    <tableColumn id="2" xr3:uid="{A100BCB8-642E-4137-B555-81242024EFF4}" name="Ruimte" dataDxfId="268" totalsRowDxfId="269"/>
    <tableColumn id="3" xr3:uid="{F4FB52FF-CC57-43B3-A4AE-B98F42AD0118}" name="Aantal" dataDxfId="266" totalsRowDxfId="267"/>
    <tableColumn id="6" xr3:uid="{40070D6D-9617-4B23-A7E0-FAA22612556B}" name="Toiletrolhouder" totalsRowFunction="sum" dataDxfId="264" totalsRowDxfId="265"/>
    <tableColumn id="7" xr3:uid="{31362878-CC30-4334-BFBF-26263D4EDEE0}" name="Seatcleaner" totalsRowFunction="sum" dataDxfId="262" totalsRowDxfId="263"/>
    <tableColumn id="4" xr3:uid="{A219AD79-0888-4FF7-8C82-F77A95007F7C}" name="Luchtverfrisser" totalsRowFunction="sum" dataDxfId="260" totalsRowDxfId="261"/>
    <tableColumn id="5" xr3:uid="{4DE3FB86-6E46-480A-929D-826997539451}" name="Toiletborstel + houder" totalsRowFunction="sum" dataDxfId="258" totalsRowDxfId="259"/>
    <tableColumn id="8" xr3:uid="{58C9EE18-C914-44CD-B323-8734E83E697F}" name="Vouwdoekjes" totalsRowFunction="sum" dataDxfId="256" totalsRowDxfId="257"/>
    <tableColumn id="9" xr3:uid="{A3565536-5FBE-4CF5-BF3B-DABB1A0F912F}" name="Verbandzakhouder" totalsRowFunction="sum" dataDxfId="254" totalsRowDxfId="255"/>
    <tableColumn id="10" xr3:uid="{4EC73902-1360-460A-9FC0-A9250CE2F34D}" name="Foamzeep" totalsRowFunction="sum" dataDxfId="252" totalsRowDxfId="253"/>
    <tableColumn id="11" xr3:uid="{2166192F-2447-4D8C-AE7F-B9C55A499204}" name="Poetsrol" totalsRowFunction="sum" dataDxfId="250" totalsRowDxfId="251"/>
    <tableColumn id="12" xr3:uid="{51511A84-9DD3-43F9-8B97-17BEB4E1D875}" name="Handcreme" totalsRowFunction="sum" dataDxfId="248" totalsRowDxfId="249"/>
    <tableColumn id="13" xr3:uid="{04B041E5-7E1E-432F-B588-C0A3EBA7CC5D}" name="Industriezeep" totalsRowFunction="sum" dataDxfId="246" totalsRowDxfId="247"/>
    <tableColumn id="14" xr3:uid="{8DFBF2CB-A0AA-4E72-839D-7CDB9D9ABEE9}" name="Douchegel" totalsRowLabel="1" dataDxfId="244" totalsRowDxfId="245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F7095261-AE19-4311-BF6B-BBC9CE0EE520}" name="Tabel5131540" displayName="Tabel5131540" ref="A1:B17" totalsRowShown="0" headerRowDxfId="243" dataDxfId="242" headerRowBorderDxfId="240" tableBorderDxfId="241">
  <autoFilter ref="A1:B17" xr:uid="{F7095261-AE19-4311-BF6B-BBC9CE0EE520}"/>
  <tableColumns count="2">
    <tableColumn id="2" xr3:uid="{F0107AC4-A21B-4485-8EA0-C6637253A044}" name="Naam" dataDxfId="239"/>
    <tableColumn id="1" xr3:uid="{FADB9B30-74BE-431C-B765-D5600E8C99E2}" name="Adres" dataDxfId="238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4AF9729-4D76-497C-8A37-0B596DFD3245}" name="Tabel3121441" displayName="Tabel3121441" ref="C1:P11" totalsRowCount="1" headerRowDxfId="237" dataDxfId="236" totalsRowDxfId="235" headerRowBorderDxfId="233" tableBorderDxfId="234" totalsRowBorderDxfId="232">
  <autoFilter ref="C1:P10" xr:uid="{04AF9729-4D76-497C-8A37-0B596DFD3245}"/>
  <tableColumns count="14">
    <tableColumn id="1" xr3:uid="{1D0C832B-3661-425A-8F39-B004FD29BFEB}" name="Locatie" totalsRowLabel="Totaal" dataDxfId="230" totalsRowDxfId="231"/>
    <tableColumn id="2" xr3:uid="{FFF820A0-BAE5-4BE5-A2FE-FF50F46C60C9}" name="Ruimte" dataDxfId="228" totalsRowDxfId="229"/>
    <tableColumn id="3" xr3:uid="{DD6CAE18-45C5-4F90-B34B-60FF3FABD0C3}" name="Aantal" dataDxfId="226" totalsRowDxfId="227"/>
    <tableColumn id="6" xr3:uid="{F011A8DF-E2C9-4C6F-AE8A-D4EAFC2D3CFE}" name="Toiletrolhouder" totalsRowFunction="sum" dataDxfId="224" totalsRowDxfId="225"/>
    <tableColumn id="7" xr3:uid="{B677FECB-5949-4317-8B5E-7433BE304BAC}" name="Seatcleaner" totalsRowFunction="sum" dataDxfId="222" totalsRowDxfId="223"/>
    <tableColumn id="4" xr3:uid="{3866C574-B834-4632-B8AB-79223B3065B0}" name="Luchtverfrisser" totalsRowFunction="sum" dataDxfId="220" totalsRowDxfId="221"/>
    <tableColumn id="5" xr3:uid="{98EA1482-1456-4644-ADDD-A39C96365170}" name="Toiletborstel + houder" totalsRowFunction="sum" dataDxfId="218" totalsRowDxfId="219"/>
    <tableColumn id="8" xr3:uid="{8C89D469-F63E-4EA2-B60A-7E3684D0F345}" name="Vouwdoekjes" totalsRowFunction="sum" dataDxfId="216" totalsRowDxfId="217"/>
    <tableColumn id="9" xr3:uid="{748E5A3C-BB5D-4251-9CE9-08D07E5A56E9}" name="Verbandzakhouder" totalsRowFunction="sum" dataDxfId="214" totalsRowDxfId="215"/>
    <tableColumn id="10" xr3:uid="{B9E60964-8302-4765-83C5-4B095CAC1129}" name="Foamzeep" totalsRowFunction="sum" dataDxfId="212" totalsRowDxfId="213"/>
    <tableColumn id="11" xr3:uid="{255942C5-B633-41DA-A3E7-F0DC6A9F18F0}" name="Poetsrol" totalsRowFunction="sum" dataDxfId="210" totalsRowDxfId="211"/>
    <tableColumn id="12" xr3:uid="{1114C52E-BB7B-40E8-92A1-AA1A03673378}" name="Handcreme" totalsRowFunction="sum" dataDxfId="208" totalsRowDxfId="209"/>
    <tableColumn id="13" xr3:uid="{35C8DAB9-B94F-4C2F-AA89-76A999EC479D}" name="Industriezeep" totalsRowFunction="sum" dataDxfId="206" totalsRowDxfId="207"/>
    <tableColumn id="14" xr3:uid="{71C3909B-0736-4CCF-99BF-2EA8AA099B09}" name="Douchegel" totalsRowFunction="custom" dataDxfId="204" totalsRowDxfId="205">
      <totalsRowFormula>SUM(P2:P10)</totalsRowFormula>
    </tableColumn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3298FF15-6BA9-492D-ABCC-03D07AF51E7D}" name="Tabel5131542" displayName="Tabel5131542" ref="A1:B11" totalsRowShown="0" headerRowDxfId="203" dataDxfId="202" headerRowBorderDxfId="200" tableBorderDxfId="201">
  <autoFilter ref="A1:B11" xr:uid="{3298FF15-6BA9-492D-ABCC-03D07AF51E7D}"/>
  <tableColumns count="2">
    <tableColumn id="2" xr3:uid="{9B060CF8-5027-41E2-AEE5-4FCF1F94FF16}" name="Naam" dataDxfId="199"/>
    <tableColumn id="1" xr3:uid="{5853ACFF-E9E4-4F5C-83FF-34897BA6BB59}" name="Adres" dataDxfId="198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4368EB0E-0952-410D-BC66-AE99DC88662E}" name="Tabel3121445" displayName="Tabel3121445" ref="C1:P10" totalsRowCount="1" headerRowDxfId="197" dataDxfId="196" totalsRowDxfId="195" headerRowBorderDxfId="193" tableBorderDxfId="194" totalsRowBorderDxfId="192">
  <autoFilter ref="C1:P9" xr:uid="{4368EB0E-0952-410D-BC66-AE99DC88662E}"/>
  <tableColumns count="14">
    <tableColumn id="1" xr3:uid="{94E68C1A-7858-4BB2-8977-E4F09BB2342B}" name="Locatie" totalsRowLabel="Totaal" dataDxfId="190" totalsRowDxfId="191"/>
    <tableColumn id="2" xr3:uid="{364A8C56-45BE-4B0B-8960-46D628309CE3}" name="Ruimte" dataDxfId="188" totalsRowDxfId="189"/>
    <tableColumn id="3" xr3:uid="{D4C00BFF-E597-4D0B-85F7-741B4044DAE9}" name="Aantal" dataDxfId="186" totalsRowDxfId="187"/>
    <tableColumn id="6" xr3:uid="{D2DC54B7-3EEE-4B68-8777-4CC23D91747A}" name="Toiletrolhouder" totalsRowFunction="sum" dataDxfId="184" totalsRowDxfId="185"/>
    <tableColumn id="7" xr3:uid="{2B209FA5-5DDE-40D4-B9AB-63B84909BF8C}" name="Seatcleaner" totalsRowFunction="sum" dataDxfId="182" totalsRowDxfId="183"/>
    <tableColumn id="4" xr3:uid="{0CDA7B09-DD26-4714-BA54-49D30FE5698B}" name="Luchtverfrisser" totalsRowFunction="sum" dataDxfId="180" totalsRowDxfId="181"/>
    <tableColumn id="5" xr3:uid="{2FB11744-2D7C-431B-A72E-DC5E9BE12099}" name="Toiletborstel + houder" totalsRowFunction="sum" dataDxfId="178" totalsRowDxfId="179"/>
    <tableColumn id="8" xr3:uid="{4EC78C4F-46F9-4954-B33F-5879BAF8DF81}" name="Vouwdoekjes" totalsRowFunction="sum" dataDxfId="176" totalsRowDxfId="177"/>
    <tableColumn id="9" xr3:uid="{A72E4B25-1A1F-492F-ADB5-AF36AD58D4F3}" name="Verbandzakhouder" totalsRowFunction="sum" dataDxfId="174" totalsRowDxfId="175"/>
    <tableColumn id="10" xr3:uid="{CA7A9EEF-821C-4B7D-8A90-D5F470555D99}" name="Foamzeep" totalsRowFunction="sum" dataDxfId="172" totalsRowDxfId="173"/>
    <tableColumn id="11" xr3:uid="{7E801ED6-AB26-40EA-8BFC-AD283A1D5377}" name="Poetsrol" totalsRowFunction="sum" dataDxfId="170" totalsRowDxfId="171"/>
    <tableColumn id="12" xr3:uid="{536D690B-B6DB-4CEE-B538-342E2FAC0E3B}" name="Handcreme" totalsRowFunction="sum" dataDxfId="168" totalsRowDxfId="169"/>
    <tableColumn id="13" xr3:uid="{472DEA64-4E3D-4EE4-B0CE-4BABE10AC9A9}" name="Industriezeep" totalsRowFunction="sum" dataDxfId="166" totalsRowDxfId="167"/>
    <tableColumn id="14" xr3:uid="{C1D27C58-BF21-49A3-AF80-306A36BD76D1}" name="Douchegel" totalsRowLabel="0" dataDxfId="164" totalsRowDxfId="165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C59A3C4A-5275-4972-A7BD-D00253533E84}" name="Tabel5131546" displayName="Tabel5131546" ref="A1:B10" totalsRowShown="0" headerRowDxfId="163" dataDxfId="162" headerRowBorderDxfId="160" tableBorderDxfId="161">
  <autoFilter ref="A1:B10" xr:uid="{C59A3C4A-5275-4972-A7BD-D00253533E84}"/>
  <tableColumns count="2">
    <tableColumn id="2" xr3:uid="{5D118CF3-38FE-45A7-A093-9AC63F0226A0}" name="Naam" dataDxfId="159"/>
    <tableColumn id="1" xr3:uid="{94E793BC-C6F0-4381-81BB-A063542F8F4F}" name="Adres" dataDxfId="15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CF772DA-EACF-4D09-B17A-74AD00CAB61E}" name="Tabel31214" displayName="Tabel31214" ref="C1:P9" totalsRowCount="1" headerRowDxfId="874" dataDxfId="873" totalsRowDxfId="872" headerRowBorderDxfId="870" tableBorderDxfId="871" totalsRowBorderDxfId="869">
  <autoFilter ref="C1:P8" xr:uid="{FCF772DA-EACF-4D09-B17A-74AD00CAB61E}"/>
  <tableColumns count="14">
    <tableColumn id="1" xr3:uid="{593CADDB-4034-4345-AFF9-3B82492E118A}" name="Locatie" totalsRowLabel="Totaal" dataDxfId="867" totalsRowDxfId="868"/>
    <tableColumn id="2" xr3:uid="{4A9EB551-8836-43A1-A250-BF333B591A39}" name="Ruimte" dataDxfId="865" totalsRowDxfId="866"/>
    <tableColumn id="3" xr3:uid="{2631B96D-F6B3-4EC6-9E61-E8341142BDCE}" name="Aantal" dataDxfId="863" totalsRowDxfId="864"/>
    <tableColumn id="6" xr3:uid="{F7D832C6-267D-4CB8-9ED7-0179D33409E1}" name="Toiletrolhouder" totalsRowFunction="sum" dataDxfId="861" totalsRowDxfId="862"/>
    <tableColumn id="7" xr3:uid="{64234C4B-FA69-4244-AD03-5A1C0746BC67}" name="Seatcleaner" totalsRowFunction="sum" dataDxfId="859" totalsRowDxfId="860"/>
    <tableColumn id="4" xr3:uid="{93F2FB83-495B-460D-9606-A2A7D902FABB}" name="Luchtverfrisser" totalsRowFunction="sum" dataDxfId="857" totalsRowDxfId="858"/>
    <tableColumn id="5" xr3:uid="{2DE8C59A-0DEA-4617-B53D-CA3EEBDD7F62}" name="Toiletborstel + houder" totalsRowFunction="sum" dataDxfId="855" totalsRowDxfId="856"/>
    <tableColumn id="8" xr3:uid="{3B07C2CA-C6C4-4810-9C70-EE377BC7785A}" name="Vouwdoekjes" totalsRowFunction="sum" dataDxfId="853" totalsRowDxfId="854"/>
    <tableColumn id="9" xr3:uid="{9AC0DB1B-B2DD-4730-B4C8-D76A15D470B5}" name="Verbandzakhouder" totalsRowFunction="sum" dataDxfId="851" totalsRowDxfId="852"/>
    <tableColumn id="10" xr3:uid="{4E119505-E53C-4279-A110-FDE37551385F}" name="Foamzeep" totalsRowFunction="sum" dataDxfId="849" totalsRowDxfId="850"/>
    <tableColumn id="11" xr3:uid="{4052CCAC-D7CA-4478-9C6D-363FBA06DC15}" name="Poetsrol" totalsRowFunction="sum" dataDxfId="847" totalsRowDxfId="848"/>
    <tableColumn id="12" xr3:uid="{068BDEF6-7D33-4166-8CC1-696A8EDEE5CD}" name="Handcreme" totalsRowFunction="sum" dataDxfId="845" totalsRowDxfId="846"/>
    <tableColumn id="13" xr3:uid="{6E2DAA17-A61A-4DCF-AAB9-C8EE74A168B1}" name="Industriezeep" totalsRowFunction="sum" dataDxfId="843" totalsRowDxfId="844"/>
    <tableColumn id="15" xr3:uid="{672B8495-3A4A-4674-8071-9392A391887F}" name="Douchegel" totalsRowFunction="custom" dataDxfId="841" totalsRowDxfId="842">
      <totalsRowFormula>SUM(P2:P8)</totalsRowFormula>
    </tableColumn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8B07F37-4E27-4D5C-A719-3E6DE74A565B}" name="Tabel3121449" displayName="Tabel3121449" ref="C1:P11" totalsRowCount="1" headerRowDxfId="157" dataDxfId="156" totalsRowDxfId="155" headerRowBorderDxfId="153" tableBorderDxfId="154" totalsRowBorderDxfId="152">
  <autoFilter ref="C1:P10" xr:uid="{18B07F37-4E27-4D5C-A719-3E6DE74A565B}"/>
  <tableColumns count="14">
    <tableColumn id="1" xr3:uid="{B8728DFB-599F-40AC-A6DB-67AAE0ABAC84}" name="Locatie" totalsRowLabel="Totaal" dataDxfId="150" totalsRowDxfId="151"/>
    <tableColumn id="2" xr3:uid="{ECF27543-819A-4DFD-A648-D3C6EC0AD294}" name="Ruimte" dataDxfId="148" totalsRowDxfId="149"/>
    <tableColumn id="3" xr3:uid="{B0F5D5F7-1875-4F14-8EB9-986FA4DE4545}" name="Aantal" dataDxfId="146" totalsRowDxfId="147"/>
    <tableColumn id="6" xr3:uid="{7FCF5F82-FD36-49C2-B6CA-5591406AE1A1}" name="Toiletrolhouder" totalsRowFunction="sum" dataDxfId="144" totalsRowDxfId="145"/>
    <tableColumn id="7" xr3:uid="{A402926A-F709-4C64-9D9F-241ED90D85FB}" name="Seatcleaner" totalsRowFunction="sum" dataDxfId="142" totalsRowDxfId="143"/>
    <tableColumn id="4" xr3:uid="{E8B7C159-56D3-4AC2-8DBF-52D2B7B43B1B}" name="Luchtverfrisser" totalsRowFunction="sum" dataDxfId="140" totalsRowDxfId="141"/>
    <tableColumn id="5" xr3:uid="{B4E4A0A2-44DF-4DF6-95AB-856BD43F9FF8}" name="Toiletborstel + houder" totalsRowFunction="sum" dataDxfId="138" totalsRowDxfId="139"/>
    <tableColumn id="8" xr3:uid="{0BDAAE2E-1663-403E-8372-699C807BF692}" name="Vouwdoekjes" totalsRowFunction="sum" dataDxfId="136" totalsRowDxfId="137"/>
    <tableColumn id="9" xr3:uid="{B2D840E6-FF98-4C52-9898-19D4BC82CF7B}" name="Verbandzakhouder" totalsRowFunction="sum" dataDxfId="134" totalsRowDxfId="135"/>
    <tableColumn id="10" xr3:uid="{92B57807-C196-45D1-9F0D-DB3F1479B4DD}" name="Foamzeep" totalsRowFunction="sum" dataDxfId="132" totalsRowDxfId="133"/>
    <tableColumn id="11" xr3:uid="{C9F9B115-2C00-44B9-B68E-CD635207D963}" name="Poetsrol" totalsRowFunction="sum" dataDxfId="130" totalsRowDxfId="131"/>
    <tableColumn id="12" xr3:uid="{C1CA73E3-655E-46D2-8705-222F733090EC}" name="Handcreme" totalsRowFunction="sum" dataDxfId="128" totalsRowDxfId="129"/>
    <tableColumn id="13" xr3:uid="{7AEF284D-BA8A-47C9-91B9-73ACE243E5F5}" name="Industriezeep" totalsRowFunction="sum" dataDxfId="126" totalsRowDxfId="127"/>
    <tableColumn id="14" xr3:uid="{1BA1138B-56A9-48AE-95A5-EB330CD687CE}" name="Douchegel" totalsRowFunction="custom" dataDxfId="124" totalsRowDxfId="125">
      <totalsRowFormula>SUM(P2:P10)</totalsRowFormula>
    </tableColumn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224D3BE-E3F7-47E5-B74C-60F00C89BEDB}" name="Tabel5131550" displayName="Tabel5131550" ref="A1:B9" totalsRowShown="0" headerRowDxfId="123" dataDxfId="122" headerRowBorderDxfId="120" tableBorderDxfId="121">
  <autoFilter ref="A1:B9" xr:uid="{5224D3BE-E3F7-47E5-B74C-60F00C89BEDB}"/>
  <tableColumns count="2">
    <tableColumn id="2" xr3:uid="{11612E7C-4666-4E18-ADE6-2A0F383F9DFF}" name="Naam" dataDxfId="119"/>
    <tableColumn id="1" xr3:uid="{0D7827A6-AEEC-4C1C-A1E0-BA1CFB9486E6}" name="Adres" dataDxfId="118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F2323525-F384-489E-9CAD-78CD7D5F27DC}" name="Tabel3121431" displayName="Tabel3121431" ref="C1:P14" totalsRowCount="1" headerRowDxfId="117" dataDxfId="116" totalsRowDxfId="115" headerRowBorderDxfId="113" tableBorderDxfId="114" totalsRowBorderDxfId="112">
  <autoFilter ref="C1:P13" xr:uid="{F2323525-F384-489E-9CAD-78CD7D5F27DC}"/>
  <tableColumns count="14">
    <tableColumn id="1" xr3:uid="{42D04BE1-87E5-4A0C-9614-9D6D6D4CD381}" name="Locatie" totalsRowLabel="Totaal" dataDxfId="110" totalsRowDxfId="111"/>
    <tableColumn id="2" xr3:uid="{7271324A-EDF5-4A82-BEB3-2C060F55A581}" name="Ruimte" dataDxfId="108" totalsRowDxfId="109"/>
    <tableColumn id="3" xr3:uid="{96AEE205-F27E-4A75-99DE-2869882AB4CC}" name="Aantal" dataDxfId="106" totalsRowDxfId="107"/>
    <tableColumn id="6" xr3:uid="{50ACBAA7-E0D4-4A35-8D48-9E21E7FF27E2}" name="Toiletrolhouder" totalsRowFunction="sum" dataDxfId="104" totalsRowDxfId="105"/>
    <tableColumn id="7" xr3:uid="{371BC030-EF1A-4AB1-B728-8CC575A84295}" name="Seatcleaner" totalsRowFunction="sum" dataDxfId="102" totalsRowDxfId="103"/>
    <tableColumn id="4" xr3:uid="{772CAE7B-D4F4-48E5-BA7D-242F4E786C31}" name="Luchtverfrisser" totalsRowFunction="sum" dataDxfId="100" totalsRowDxfId="101"/>
    <tableColumn id="5" xr3:uid="{1E0EC4A0-6C6B-484B-8767-31AD15033F98}" name="Toiletborstel + houder" totalsRowFunction="sum" dataDxfId="98" totalsRowDxfId="99"/>
    <tableColumn id="8" xr3:uid="{75750B76-2394-416A-884B-A02BC5863F3B}" name="Vouwdoekjes" totalsRowFunction="sum" dataDxfId="96" totalsRowDxfId="97"/>
    <tableColumn id="9" xr3:uid="{A9D41D7E-32BF-4FA7-BE13-18413CE4EB85}" name="Verbandzakhouder" totalsRowFunction="sum" dataDxfId="94" totalsRowDxfId="95"/>
    <tableColumn id="10" xr3:uid="{B4EFB24D-4641-40E9-8A63-2D6BDEC2E89F}" name="Foamzeep" totalsRowFunction="sum" dataDxfId="92" totalsRowDxfId="93"/>
    <tableColumn id="11" xr3:uid="{3AD1558E-6EEB-4CEF-9887-C8041575A29F}" name="Poetsrol" totalsRowFunction="sum" dataDxfId="90" totalsRowDxfId="91"/>
    <tableColumn id="12" xr3:uid="{5556E85E-9C4E-4B81-AD9F-96098504E3AA}" name="Handcreme" totalsRowFunction="sum" dataDxfId="88" totalsRowDxfId="89"/>
    <tableColumn id="13" xr3:uid="{33B02523-DBFD-45AC-B140-C6900F5B96DB}" name="Industriezeep" totalsRowFunction="sum" dataDxfId="86" totalsRowDxfId="87"/>
    <tableColumn id="14" xr3:uid="{178535AF-BE6D-4D3E-8326-45D7B4174CE8}" name="Douchegel" totalsRowLabel="0" dataDxfId="84" totalsRowDxfId="85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F786C3D0-E028-4036-8668-8FDB3E33A51B}" name="Tabel5131532" displayName="Tabel5131532" ref="A1:B12" totalsRowShown="0" headerRowDxfId="83" dataDxfId="82" headerRowBorderDxfId="80" tableBorderDxfId="81">
  <autoFilter ref="A1:B12" xr:uid="{F786C3D0-E028-4036-8668-8FDB3E33A51B}"/>
  <tableColumns count="2">
    <tableColumn id="2" xr3:uid="{49894461-7BE6-47E1-BB3E-7C1B33C04EB8}" name="Naam" dataDxfId="79"/>
    <tableColumn id="1" xr3:uid="{BA9F787B-8279-4A6E-91DB-B7BA0CC56CFA}" name="Adres" dataDxfId="78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A37CBA69-0B3E-414A-AB7A-89F5CB7EF4ED}" name="Tabel312143152" displayName="Tabel312143152" ref="C1:P9" totalsRowCount="1" headerRowDxfId="77" dataDxfId="76" totalsRowDxfId="75" headerRowBorderDxfId="73" tableBorderDxfId="74" totalsRowBorderDxfId="72">
  <autoFilter ref="C1:P8" xr:uid="{A37CBA69-0B3E-414A-AB7A-89F5CB7EF4ED}"/>
  <tableColumns count="14">
    <tableColumn id="1" xr3:uid="{8341D28C-2EF9-4804-B50E-E8AE7DD8A498}" name="Locatie" totalsRowLabel="Totaal" dataDxfId="70" totalsRowDxfId="71"/>
    <tableColumn id="2" xr3:uid="{70CD1BBB-ED7F-43E4-A6F2-98EFC0B73D52}" name="Ruimte" dataDxfId="68" totalsRowDxfId="69"/>
    <tableColumn id="3" xr3:uid="{5CCE5E2A-D7DB-4A51-ABB8-1B52A1DDFAFF}" name="Aantal" dataDxfId="66" totalsRowDxfId="67"/>
    <tableColumn id="6" xr3:uid="{BB54F984-0136-49D3-9D56-FAF8CA146BC7}" name="Toiletrolhouder" totalsRowFunction="sum" dataDxfId="64" totalsRowDxfId="65"/>
    <tableColumn id="7" xr3:uid="{FAB036D9-CB13-403F-9034-EF52D5C90F70}" name="Seatcleaner" totalsRowFunction="sum" dataDxfId="62" totalsRowDxfId="63"/>
    <tableColumn id="4" xr3:uid="{63A2B3FB-CEDC-434D-8554-B3C5C495D995}" name="Luchtverfrisser" totalsRowFunction="sum" dataDxfId="60" totalsRowDxfId="61"/>
    <tableColumn id="5" xr3:uid="{6113B0A6-592A-4629-B508-EF3050B9E340}" name="Toiletborstel + houder" totalsRowFunction="sum" dataDxfId="58" totalsRowDxfId="59"/>
    <tableColumn id="8" xr3:uid="{651C89B9-6CAE-44A5-B878-44CE6AAF0311}" name="Vouwdoekjes" totalsRowFunction="sum" dataDxfId="56" totalsRowDxfId="57"/>
    <tableColumn id="9" xr3:uid="{9FA1FFD2-1012-4E4B-BDA3-4315053519C0}" name="Verbandzakhouder" totalsRowFunction="sum" dataDxfId="54" totalsRowDxfId="55"/>
    <tableColumn id="10" xr3:uid="{CFB80DAE-90FF-4472-9E85-09C97AF4DD97}" name="Foamzeep" totalsRowFunction="sum" dataDxfId="52" totalsRowDxfId="53"/>
    <tableColumn id="11" xr3:uid="{212CB526-192E-442D-A45C-5D0A0D1636E2}" name="Poetsrol" totalsRowFunction="sum" dataDxfId="50" totalsRowDxfId="51"/>
    <tableColumn id="12" xr3:uid="{E81D98E9-AE1C-4D5A-AB5A-13A0F5B44079}" name="Handcreme" totalsRowFunction="sum" dataDxfId="48" totalsRowDxfId="49"/>
    <tableColumn id="13" xr3:uid="{5974A368-C1A8-4F3B-B937-5425CDF2544B}" name="Industriezeep" totalsRowFunction="sum" dataDxfId="46" totalsRowDxfId="47"/>
    <tableColumn id="14" xr3:uid="{14A401AD-F746-4EC8-8D3F-05C64A55825B}" name="Douchegel" totalsRowLabel="0" dataDxfId="44" totalsRowDxfId="45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F120CC92-F66F-4E92-8773-B5E671594462}" name="Tabel513153253" displayName="Tabel513153253" ref="A1:B9" totalsRowShown="0" headerRowDxfId="43" dataDxfId="42" headerRowBorderDxfId="40" tableBorderDxfId="41">
  <autoFilter ref="A1:B9" xr:uid="{F120CC92-F66F-4E92-8773-B5E671594462}"/>
  <tableColumns count="2">
    <tableColumn id="2" xr3:uid="{7C991995-BAA6-4459-B11A-076AD1E1B356}" name="Naam" dataDxfId="39"/>
    <tableColumn id="1" xr3:uid="{5948B146-A79D-4ECC-BCF3-A4C84073D620}" name="Adres" dataDxfId="38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7E65FE97-E31F-4294-90EF-E8EAAE27D474}" name="Tabel312143147" displayName="Tabel312143147" ref="C1:O93" totalsRowCount="1" headerRowDxfId="37" dataDxfId="36" totalsRowDxfId="35" headerRowBorderDxfId="33" tableBorderDxfId="34" totalsRowBorderDxfId="32">
  <autoFilter ref="C1:O92" xr:uid="{7E65FE97-E31F-4294-90EF-E8EAAE27D474}"/>
  <tableColumns count="13">
    <tableColumn id="1" xr3:uid="{65175C25-56C9-4823-921B-35F920300599}" name="Locatie" totalsRowLabel="Totaal" dataDxfId="30" totalsRowDxfId="31"/>
    <tableColumn id="2" xr3:uid="{AA4D7F63-7E67-4DE6-BD72-E22AB35F467A}" name="Ruimte" dataDxfId="28" totalsRowDxfId="29"/>
    <tableColumn id="3" xr3:uid="{14015212-3BF0-49EE-8F43-B5175D81599F}" name="Aantal" dataDxfId="26" totalsRowDxfId="27"/>
    <tableColumn id="6" xr3:uid="{F1593037-69B6-4E2D-8C05-1452CD431C84}" name="Toiletrolhouder" totalsRowFunction="sum" dataDxfId="24" totalsRowDxfId="25"/>
    <tableColumn id="7" xr3:uid="{EA238A2F-85EB-4128-886E-6F924BE09D5F}" name="Seatcleaner" totalsRowFunction="sum" dataDxfId="22" totalsRowDxfId="23"/>
    <tableColumn id="4" xr3:uid="{EC0C3474-CF79-4031-ADA6-08595B774D4F}" name="Luchtverfrisser" totalsRowFunction="sum" dataDxfId="20" totalsRowDxfId="21"/>
    <tableColumn id="5" xr3:uid="{7A2B31F8-87B6-45FB-9A2E-FCA1AC00AA19}" name="Toiletborstel + houder" totalsRowFunction="sum" dataDxfId="18" totalsRowDxfId="19"/>
    <tableColumn id="8" xr3:uid="{2462DE7A-75B7-4177-A3E9-71F1AC73F749}" name="Vouwdoekjes" totalsRowFunction="sum" dataDxfId="16" totalsRowDxfId="17"/>
    <tableColumn id="9" xr3:uid="{8B40C10E-28A7-4C6E-9DD2-3E416DA78F7D}" name="Verbandzakhouder" totalsRowFunction="sum" dataDxfId="14" totalsRowDxfId="15"/>
    <tableColumn id="10" xr3:uid="{3A32C224-EA1D-454C-8DD7-196CDB9C1478}" name="Foamzeep" totalsRowFunction="sum" dataDxfId="12" totalsRowDxfId="13"/>
    <tableColumn id="11" xr3:uid="{DC0CE18E-DD62-4DE6-915F-B6D2A90ECFFC}" name="Poetsrol" totalsRowFunction="sum" dataDxfId="10" totalsRowDxfId="11"/>
    <tableColumn id="12" xr3:uid="{B12D9121-6B2D-418B-AE37-C5A095B9EAD0}" name="Handcreme" totalsRowFunction="sum" dataDxfId="8" totalsRowDxfId="9"/>
    <tableColumn id="13" xr3:uid="{C88F8E18-8601-4048-86D8-C439279264BC}" name="Industriezeep" totalsRowFunction="sum" dataDxfId="6" totalsRowDxfId="7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78F4DDB1-D43B-4232-93C7-F4F0209EF346}" name="Tabel513153248" displayName="Tabel513153248" ref="A1:B91" totalsRowShown="0" headerRowDxfId="5" dataDxfId="4" headerRowBorderDxfId="2" tableBorderDxfId="3">
  <autoFilter ref="A1:B91" xr:uid="{78F4DDB1-D43B-4232-93C7-F4F0209EF346}"/>
  <tableColumns count="2">
    <tableColumn id="2" xr3:uid="{53906F93-B65A-4350-824D-C30D730BFC82}" name="Naam" dataDxfId="1"/>
    <tableColumn id="1" xr3:uid="{110B423A-23D8-427F-83FE-929C66A4844D}" name="Adres" dataDxfId="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4C3B32D-FABC-40F6-AF36-04DF5B345A1A}" name="Tabel51315" displayName="Tabel51315" ref="A1:B9" totalsRowShown="0" headerRowDxfId="840" dataDxfId="839" headerRowBorderDxfId="837" tableBorderDxfId="838">
  <autoFilter ref="A1:B9" xr:uid="{E4C3B32D-FABC-40F6-AF36-04DF5B345A1A}"/>
  <tableColumns count="2">
    <tableColumn id="2" xr3:uid="{8C0E7EAD-5D66-45CF-A49A-81493ADB5D86}" name="Naam" dataDxfId="836"/>
    <tableColumn id="1" xr3:uid="{26668990-67EE-49BE-B0DA-72067C57864E}" name="Adres" dataDxfId="835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BD3D47C-6540-4A33-8AF0-6318A5DA6F26}" name="Tabel3121416" displayName="Tabel3121416" ref="C1:P11" totalsRowCount="1" headerRowDxfId="834" dataDxfId="833" totalsRowDxfId="832" headerRowBorderDxfId="830" tableBorderDxfId="831" totalsRowBorderDxfId="829">
  <autoFilter ref="C1:P10" xr:uid="{3BD3D47C-6540-4A33-8AF0-6318A5DA6F26}"/>
  <tableColumns count="14">
    <tableColumn id="1" xr3:uid="{C599DA8E-8267-4B72-88BB-3B691B793E62}" name="Locatie" totalsRowLabel="Totaal" dataDxfId="827" totalsRowDxfId="828"/>
    <tableColumn id="2" xr3:uid="{094FBDC8-492E-4314-A819-4A7FF5A26D57}" name="Ruimte" dataDxfId="825" totalsRowDxfId="826"/>
    <tableColumn id="3" xr3:uid="{2EC7865E-5310-408D-8017-385437350247}" name="Aantal" dataDxfId="823" totalsRowDxfId="824"/>
    <tableColumn id="6" xr3:uid="{24DBEDF1-1AF7-45C0-A06E-39C253AAF8D3}" name="Toiletrolhouder" totalsRowFunction="sum" dataDxfId="821" totalsRowDxfId="822"/>
    <tableColumn id="7" xr3:uid="{B59438AA-D2DE-46D7-BD65-02262CA3FBE5}" name="Seatcleaner" totalsRowFunction="sum" dataDxfId="819" totalsRowDxfId="820"/>
    <tableColumn id="4" xr3:uid="{053438C6-3770-4351-BCDA-A2DFBDD0A64B}" name="Luchtverfrisser" totalsRowFunction="sum" dataDxfId="817" totalsRowDxfId="818"/>
    <tableColumn id="5" xr3:uid="{C1A93511-783D-4641-86A0-247AE552D97F}" name="Toiletborstel + houder" totalsRowFunction="sum" dataDxfId="815" totalsRowDxfId="816"/>
    <tableColumn id="8" xr3:uid="{5C5A8D7E-747E-4075-8D9B-D40F039BF202}" name="Vouwdoekjes" totalsRowFunction="sum" dataDxfId="813" totalsRowDxfId="814"/>
    <tableColumn id="9" xr3:uid="{ADEC8A0D-B76D-44FE-AD7B-44DCE44A0A55}" name="Verbandzakhouder" totalsRowFunction="sum" dataDxfId="811" totalsRowDxfId="812"/>
    <tableColumn id="10" xr3:uid="{0F1F7B7E-6018-4EE4-9570-BAB0CDE7E026}" name="Foamzeep" totalsRowFunction="sum" dataDxfId="809" totalsRowDxfId="810"/>
    <tableColumn id="11" xr3:uid="{D55125A3-03B6-4FD9-90B1-ECB0B54492F2}" name="Poetsrol" totalsRowFunction="sum" dataDxfId="807" totalsRowDxfId="808"/>
    <tableColumn id="12" xr3:uid="{87240CE3-F1E6-43EC-85E6-1F36CFC0C854}" name="Handcreme" totalsRowFunction="sum" dataDxfId="805" totalsRowDxfId="806"/>
    <tableColumn id="13" xr3:uid="{E9DE9204-A378-4A5F-96D2-B2BB824CF8BE}" name="Industriezeep" totalsRowFunction="sum" dataDxfId="803" totalsRowDxfId="804"/>
    <tableColumn id="14" xr3:uid="{A6D51166-DD4A-4A9B-A8C4-282FEAB68A44}" name="Douchegel" totalsRowFunction="custom" dataDxfId="801" totalsRowDxfId="802">
      <totalsRowFormula>SUM(P2:P10)</totalsRow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C2E0A22-0004-415F-BB16-0313E8919102}" name="Tabel5131517" displayName="Tabel5131517" ref="A1:B11" totalsRowShown="0" headerRowDxfId="800" dataDxfId="799" headerRowBorderDxfId="797" tableBorderDxfId="798">
  <autoFilter ref="A1:B11" xr:uid="{FC2E0A22-0004-415F-BB16-0313E8919102}"/>
  <tableColumns count="2">
    <tableColumn id="2" xr3:uid="{4D94DD9B-3B7D-438C-9639-826EB7177FAA}" name="Naam" dataDxfId="796"/>
    <tableColumn id="1" xr3:uid="{119A78C2-65B8-455E-9F42-2EA9C3DDE068}" name="Adres" dataDxfId="795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DC9C4B7-3C7C-4D24-AE7A-4EBE4AE05494}" name="Tabel312141618" displayName="Tabel312141618" ref="C1:P11" totalsRowCount="1" headerRowDxfId="794" dataDxfId="793" totalsRowDxfId="792" headerRowBorderDxfId="790" tableBorderDxfId="791" totalsRowBorderDxfId="789">
  <autoFilter ref="C1:P10" xr:uid="{6DC9C4B7-3C7C-4D24-AE7A-4EBE4AE05494}"/>
  <tableColumns count="14">
    <tableColumn id="1" xr3:uid="{7F00A3FB-3497-4AB1-B4C8-87B4AF49173A}" name="Locatie" totalsRowLabel="Totaal" dataDxfId="787" totalsRowDxfId="788"/>
    <tableColumn id="2" xr3:uid="{569E3474-6B41-409F-A557-364E2110F42C}" name="Ruimte" dataDxfId="785" totalsRowDxfId="786"/>
    <tableColumn id="3" xr3:uid="{9B4863C7-4EE0-481A-B6DF-52B74B4DADE5}" name="Aantal" dataDxfId="783" totalsRowDxfId="784"/>
    <tableColumn id="6" xr3:uid="{5E0C3B2B-EE87-4FFC-932C-859DE4255033}" name="Toiletrolhouder" totalsRowFunction="sum" dataDxfId="781" totalsRowDxfId="782"/>
    <tableColumn id="7" xr3:uid="{37FC103D-13E4-4912-A43D-7AD3991BC7E9}" name="Seatcleaner" totalsRowFunction="sum" dataDxfId="779" totalsRowDxfId="780"/>
    <tableColumn id="4" xr3:uid="{1D4C2805-105B-4AC7-9388-510F348777F7}" name="Luchtverfrisser" totalsRowFunction="sum" dataDxfId="777" totalsRowDxfId="778"/>
    <tableColumn id="5" xr3:uid="{065D5B94-FD65-4A08-B29B-3A43AFFB5532}" name="Toiletborstel + houder" totalsRowFunction="sum" dataDxfId="775" totalsRowDxfId="776"/>
    <tableColumn id="8" xr3:uid="{5B99DDDA-46ED-4B42-A913-498D72BBF4F0}" name="Vouwdoekjes" totalsRowFunction="sum" dataDxfId="773" totalsRowDxfId="774"/>
    <tableColumn id="9" xr3:uid="{407BF28E-F850-493F-861F-4AF5A2A70993}" name="Verbandzakhouder" totalsRowFunction="sum" dataDxfId="771" totalsRowDxfId="772"/>
    <tableColumn id="10" xr3:uid="{47108D2C-93FC-4E0F-BEBA-B24BF0498A3E}" name="Foamzeep" totalsRowFunction="sum" dataDxfId="769" totalsRowDxfId="770"/>
    <tableColumn id="11" xr3:uid="{1DCD1A8F-D759-4061-9F9A-182785F24990}" name="Poetsrol" totalsRowFunction="sum" dataDxfId="767" totalsRowDxfId="768"/>
    <tableColumn id="12" xr3:uid="{F492C337-DBE1-4E45-AE37-21761D77CA58}" name="Handcreme" totalsRowFunction="sum" dataDxfId="765" totalsRowDxfId="766"/>
    <tableColumn id="13" xr3:uid="{5C5342E5-41F3-4D3A-A8B0-6E05598B7AB8}" name="Industriezeep" totalsRowFunction="sum" dataDxfId="763" totalsRowDxfId="764"/>
    <tableColumn id="15" xr3:uid="{43F729DA-3464-4214-8C02-FFB3AB77B1D4}" name="Douchegel" totalsRowFunction="custom" dataDxfId="761" totalsRowDxfId="762">
      <totalsRowFormula>SUM(P2:P10)</totalsRow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EF99F4C-E5D5-4452-88AD-085445AC2317}" name="Tabel513151719" displayName="Tabel513151719" ref="A1:B11" totalsRowShown="0" headerRowDxfId="760" dataDxfId="759" headerRowBorderDxfId="757" tableBorderDxfId="758" totalsRowBorderDxfId="756">
  <autoFilter ref="A1:B11" xr:uid="{6EF99F4C-E5D5-4452-88AD-085445AC2317}"/>
  <tableColumns count="2">
    <tableColumn id="2" xr3:uid="{307F9B03-E126-4F1A-8A09-68A597FA43AB}" name="Naam" dataDxfId="755"/>
    <tableColumn id="1" xr3:uid="{136D39CA-3DC2-4E0A-B4CC-449D65B7152B}" name="Adres" dataDxfId="75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table" Target="../tables/table2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table" Target="../tables/table2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table" Target="../tables/table26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table" Target="../tables/table3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table" Target="../tables/table3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table" Target="../tables/table4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table" Target="../tables/table42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table" Target="../tables/table4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table" Target="../tables/table4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B3F8-2329-4058-9B88-1316217CCD93}">
  <dimension ref="A1:C93"/>
  <sheetViews>
    <sheetView tabSelected="1" zoomScale="90" zoomScaleNormal="90" workbookViewId="0">
      <selection activeCell="A29" sqref="A29:B53"/>
    </sheetView>
  </sheetViews>
  <sheetFormatPr defaultRowHeight="11.25" customHeight="1"/>
  <cols>
    <col min="1" max="1" width="29" customWidth="1"/>
    <col min="2" max="2" width="24.25" customWidth="1"/>
    <col min="3" max="4" width="23.25" bestFit="1" customWidth="1"/>
    <col min="5" max="5" width="23" customWidth="1"/>
    <col min="6" max="6" width="22.5" bestFit="1" customWidth="1"/>
    <col min="7" max="7" width="14.5" bestFit="1" customWidth="1"/>
    <col min="8" max="8" width="13.125" bestFit="1" customWidth="1"/>
    <col min="9" max="9" width="11.75" bestFit="1" customWidth="1"/>
    <col min="10" max="10" width="15.625" bestFit="1" customWidth="1"/>
    <col min="11" max="11" width="12.875" bestFit="1" customWidth="1"/>
    <col min="12" max="12" width="15" bestFit="1" customWidth="1"/>
  </cols>
  <sheetData>
    <row r="1" spans="1:3" ht="11.25" customHeight="1">
      <c r="A1" s="14" t="s">
        <v>0</v>
      </c>
      <c r="B1" s="139" t="s">
        <v>1</v>
      </c>
    </row>
    <row r="2" spans="1:3" ht="11.25" customHeight="1">
      <c r="A2" s="13" t="s">
        <v>2</v>
      </c>
      <c r="B2" s="138"/>
    </row>
    <row r="3" spans="1:3" ht="11.25" customHeight="1">
      <c r="A3" s="97" t="s">
        <v>3</v>
      </c>
      <c r="B3" s="12" t="s">
        <v>4</v>
      </c>
    </row>
    <row r="4" spans="1:3" ht="11.25" customHeight="1">
      <c r="A4" s="13" t="s">
        <v>5</v>
      </c>
      <c r="B4" s="12" t="s">
        <v>6</v>
      </c>
    </row>
    <row r="5" spans="1:3" ht="11.25" customHeight="1">
      <c r="A5" s="13" t="s">
        <v>7</v>
      </c>
      <c r="B5" s="12" t="s">
        <v>8</v>
      </c>
    </row>
    <row r="6" spans="1:3" ht="11.25" customHeight="1">
      <c r="A6" s="13" t="s">
        <v>9</v>
      </c>
      <c r="B6" s="140" t="s">
        <v>10</v>
      </c>
      <c r="C6" s="137"/>
    </row>
    <row r="7" spans="1:3" ht="11.25" customHeight="1">
      <c r="A7" s="13" t="s">
        <v>11</v>
      </c>
      <c r="B7" s="140" t="s">
        <v>12</v>
      </c>
    </row>
    <row r="8" spans="1:3" ht="11.25" customHeight="1">
      <c r="A8" s="13" t="s">
        <v>13</v>
      </c>
      <c r="B8" s="140"/>
    </row>
    <row r="9" spans="1:3" ht="11.25" customHeight="1">
      <c r="A9" s="13" t="s">
        <v>14</v>
      </c>
      <c r="B9" s="84"/>
    </row>
    <row r="10" spans="1:3" ht="11.25" customHeight="1">
      <c r="A10" s="13" t="s">
        <v>2</v>
      </c>
      <c r="B10" s="12"/>
    </row>
    <row r="11" spans="1:3" ht="11.25" customHeight="1">
      <c r="A11" s="97" t="s">
        <v>15</v>
      </c>
      <c r="B11" s="12"/>
    </row>
    <row r="12" spans="1:3" ht="11.25" customHeight="1">
      <c r="A12" s="13" t="s">
        <v>16</v>
      </c>
      <c r="B12" s="12"/>
    </row>
    <row r="13" spans="1:3" ht="11.25" customHeight="1">
      <c r="A13" s="13" t="s">
        <v>17</v>
      </c>
      <c r="B13" s="12"/>
    </row>
    <row r="14" spans="1:3" ht="11.25" customHeight="1">
      <c r="A14" s="83"/>
      <c r="B14" s="12"/>
    </row>
    <row r="15" spans="1:3" ht="11.25" customHeight="1">
      <c r="A15" s="97" t="s">
        <v>18</v>
      </c>
      <c r="B15" s="12"/>
    </row>
    <row r="16" spans="1:3" ht="11.25" customHeight="1">
      <c r="A16" s="13" t="s">
        <v>16</v>
      </c>
      <c r="B16" s="12"/>
    </row>
    <row r="17" spans="1:2" ht="11.25" customHeight="1">
      <c r="A17" s="13" t="s">
        <v>17</v>
      </c>
      <c r="B17" s="12"/>
    </row>
    <row r="18" spans="1:2" ht="11.25" customHeight="1">
      <c r="A18" s="13" t="s">
        <v>19</v>
      </c>
      <c r="B18" s="12"/>
    </row>
    <row r="19" spans="1:2" ht="11.25" customHeight="1">
      <c r="A19" s="13" t="s">
        <v>20</v>
      </c>
      <c r="B19" s="12"/>
    </row>
    <row r="20" spans="1:2" ht="11.25" customHeight="1">
      <c r="A20" s="141" t="s">
        <v>21</v>
      </c>
      <c r="B20" s="12"/>
    </row>
    <row r="21" spans="1:2" ht="11.25" customHeight="1">
      <c r="A21" s="13"/>
      <c r="B21" s="12"/>
    </row>
    <row r="22" spans="1:2" ht="11.25" customHeight="1">
      <c r="A22" s="97" t="s">
        <v>22</v>
      </c>
      <c r="B22" s="12"/>
    </row>
    <row r="23" spans="1:2" ht="11.25" customHeight="1">
      <c r="A23" s="13" t="s">
        <v>5</v>
      </c>
      <c r="B23" s="12"/>
    </row>
    <row r="24" spans="1:2" ht="11.25" customHeight="1">
      <c r="A24" s="13" t="s">
        <v>7</v>
      </c>
      <c r="B24" s="12"/>
    </row>
    <row r="25" spans="1:2" ht="11.25" customHeight="1">
      <c r="A25" s="13" t="s">
        <v>9</v>
      </c>
      <c r="B25" s="12"/>
    </row>
    <row r="26" spans="1:2" ht="11.25" customHeight="1">
      <c r="A26" s="13" t="s">
        <v>11</v>
      </c>
      <c r="B26" s="12"/>
    </row>
    <row r="27" spans="1:2" ht="11.25" customHeight="1">
      <c r="A27" s="13" t="s">
        <v>13</v>
      </c>
      <c r="B27" s="12"/>
    </row>
    <row r="28" spans="1:2" ht="11.25" customHeight="1">
      <c r="A28" s="13" t="s">
        <v>2</v>
      </c>
      <c r="B28" s="12"/>
    </row>
    <row r="29" spans="1:2" ht="11.25" customHeight="1">
      <c r="A29" s="14" t="s">
        <v>23</v>
      </c>
      <c r="B29" s="177" t="s">
        <v>24</v>
      </c>
    </row>
    <row r="30" spans="1:2" ht="11.25" customHeight="1">
      <c r="A30" s="13" t="s">
        <v>2</v>
      </c>
      <c r="B30" s="178"/>
    </row>
    <row r="31" spans="1:2" ht="11.25" customHeight="1">
      <c r="A31" s="97" t="s">
        <v>25</v>
      </c>
      <c r="B31" s="179" t="s">
        <v>26</v>
      </c>
    </row>
    <row r="32" spans="1:2" ht="11.25" customHeight="1">
      <c r="A32" s="13" t="s">
        <v>16</v>
      </c>
      <c r="B32" s="180" t="s">
        <v>16</v>
      </c>
    </row>
    <row r="33" spans="1:2">
      <c r="A33" s="136" t="s">
        <v>17</v>
      </c>
      <c r="B33" s="180" t="s">
        <v>27</v>
      </c>
    </row>
    <row r="34" spans="1:2">
      <c r="A34" s="13"/>
      <c r="B34" s="180"/>
    </row>
    <row r="35" spans="1:2">
      <c r="A35" s="97" t="s">
        <v>28</v>
      </c>
      <c r="B35" s="181" t="s">
        <v>3</v>
      </c>
    </row>
    <row r="36" spans="1:2">
      <c r="A36" s="13" t="s">
        <v>5</v>
      </c>
      <c r="B36" s="182" t="s">
        <v>5</v>
      </c>
    </row>
    <row r="37" spans="1:2">
      <c r="A37" s="13" t="s">
        <v>7</v>
      </c>
      <c r="B37" s="182" t="s">
        <v>7</v>
      </c>
    </row>
    <row r="38" spans="1:2">
      <c r="A38" s="13" t="s">
        <v>9</v>
      </c>
      <c r="B38" s="182" t="s">
        <v>11</v>
      </c>
    </row>
    <row r="39" spans="1:2">
      <c r="A39" s="13" t="s">
        <v>11</v>
      </c>
      <c r="B39" s="180"/>
    </row>
    <row r="40" spans="1:2">
      <c r="A40" s="13" t="s">
        <v>29</v>
      </c>
      <c r="B40" s="180"/>
    </row>
    <row r="41" spans="1:2">
      <c r="A41" s="13" t="s">
        <v>30</v>
      </c>
      <c r="B41" s="180"/>
    </row>
    <row r="42" spans="1:2">
      <c r="A42" s="13"/>
      <c r="B42" s="180"/>
    </row>
    <row r="43" spans="1:2">
      <c r="A43" s="97" t="s">
        <v>31</v>
      </c>
      <c r="B43" s="180"/>
    </row>
    <row r="44" spans="1:2">
      <c r="A44" s="13" t="s">
        <v>16</v>
      </c>
      <c r="B44" s="180"/>
    </row>
    <row r="45" spans="1:2">
      <c r="A45" s="136" t="s">
        <v>17</v>
      </c>
      <c r="B45" s="180"/>
    </row>
    <row r="46" spans="1:2">
      <c r="A46" s="13" t="s">
        <v>21</v>
      </c>
      <c r="B46" s="180"/>
    </row>
    <row r="47" spans="1:2">
      <c r="A47" s="13"/>
      <c r="B47" s="180"/>
    </row>
    <row r="48" spans="1:2">
      <c r="A48" s="97" t="s">
        <v>22</v>
      </c>
      <c r="B48" s="180"/>
    </row>
    <row r="49" spans="1:2">
      <c r="A49" s="13" t="s">
        <v>5</v>
      </c>
      <c r="B49" s="180"/>
    </row>
    <row r="50" spans="1:2">
      <c r="A50" s="13" t="s">
        <v>7</v>
      </c>
      <c r="B50" s="180"/>
    </row>
    <row r="51" spans="1:2">
      <c r="A51" s="13" t="s">
        <v>9</v>
      </c>
      <c r="B51" s="180"/>
    </row>
    <row r="52" spans="1:2">
      <c r="A52" s="13" t="s">
        <v>11</v>
      </c>
      <c r="B52" s="180"/>
    </row>
    <row r="53" spans="1:2">
      <c r="A53" s="98" t="s">
        <v>30</v>
      </c>
      <c r="B53" s="183"/>
    </row>
    <row r="54" spans="1:2"/>
    <row r="55" spans="1:2"/>
    <row r="56" spans="1:2"/>
    <row r="57" spans="1:2"/>
    <row r="58" spans="1:2"/>
    <row r="59" spans="1:2"/>
    <row r="60" spans="1:2"/>
    <row r="61" spans="1:2"/>
    <row r="62" spans="1:2"/>
    <row r="63" spans="1:2"/>
    <row r="64" spans="1:2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C659-FC99-47BE-A8F5-DB7FF76AAA31}">
  <dimension ref="A1:P10"/>
  <sheetViews>
    <sheetView zoomScale="85" zoomScaleNormal="85" workbookViewId="0">
      <selection activeCell="P28" sqref="P28"/>
    </sheetView>
  </sheetViews>
  <sheetFormatPr defaultRowHeight="11.25"/>
  <cols>
    <col min="1" max="1" width="15.375" bestFit="1" customWidth="1"/>
    <col min="2" max="2" width="13.125" customWidth="1"/>
    <col min="3" max="3" width="14.75" customWidth="1"/>
    <col min="4" max="4" width="11.625" bestFit="1" customWidth="1"/>
    <col min="5" max="5" width="8.375" bestFit="1" customWidth="1"/>
    <col min="6" max="6" width="15.875" bestFit="1" customWidth="1"/>
    <col min="7" max="7" width="13" bestFit="1" customWidth="1"/>
    <col min="8" max="8" width="15.875" bestFit="1" customWidth="1"/>
    <col min="9" max="9" width="21.75" bestFit="1" customWidth="1"/>
    <col min="10" max="10" width="14.25" bestFit="1" customWidth="1"/>
    <col min="11" max="11" width="12.875" bestFit="1" customWidth="1"/>
    <col min="12" max="12" width="11.5" bestFit="1" customWidth="1"/>
    <col min="13" max="13" width="10" bestFit="1" customWidth="1"/>
    <col min="14" max="14" width="12.5" bestFit="1" customWidth="1"/>
    <col min="15" max="15" width="14.5" bestFit="1" customWidth="1"/>
    <col min="16" max="16" width="12.5" bestFit="1" customWidth="1"/>
  </cols>
  <sheetData>
    <row r="1" spans="1:16" ht="12" thickBot="1">
      <c r="A1" s="2" t="s">
        <v>67</v>
      </c>
      <c r="B1" s="3" t="s">
        <v>68</v>
      </c>
      <c r="C1" s="3" t="s">
        <v>32</v>
      </c>
      <c r="D1" s="3" t="s">
        <v>69</v>
      </c>
      <c r="E1" s="3" t="s">
        <v>70</v>
      </c>
      <c r="F1" s="3" t="s">
        <v>5</v>
      </c>
      <c r="G1" s="3" t="s">
        <v>7</v>
      </c>
      <c r="H1" s="3" t="s">
        <v>9</v>
      </c>
      <c r="I1" s="3" t="s">
        <v>11</v>
      </c>
      <c r="J1" s="3" t="s">
        <v>13</v>
      </c>
      <c r="K1" s="94" t="s">
        <v>33</v>
      </c>
      <c r="L1" s="3" t="s">
        <v>16</v>
      </c>
      <c r="M1" s="3" t="s">
        <v>17</v>
      </c>
      <c r="N1" s="3" t="s">
        <v>34</v>
      </c>
      <c r="O1" s="172" t="s">
        <v>20</v>
      </c>
      <c r="P1" s="171" t="s">
        <v>21</v>
      </c>
    </row>
    <row r="2" spans="1:16">
      <c r="A2" s="22" t="s">
        <v>117</v>
      </c>
      <c r="B2" s="28" t="s">
        <v>118</v>
      </c>
      <c r="C2" s="79" t="s">
        <v>115</v>
      </c>
      <c r="D2" s="19" t="s">
        <v>73</v>
      </c>
      <c r="E2" s="20">
        <v>2</v>
      </c>
      <c r="F2" s="20">
        <v>2</v>
      </c>
      <c r="G2" s="20">
        <v>2</v>
      </c>
      <c r="H2" s="20">
        <v>2</v>
      </c>
      <c r="I2" s="20">
        <v>2</v>
      </c>
      <c r="J2" s="20">
        <v>2</v>
      </c>
      <c r="K2" s="20"/>
      <c r="L2" s="20">
        <v>2</v>
      </c>
      <c r="M2" s="20"/>
      <c r="N2" s="28"/>
      <c r="O2" s="96"/>
      <c r="P2" s="80"/>
    </row>
    <row r="3" spans="1:16">
      <c r="A3" s="22"/>
      <c r="B3" s="28"/>
      <c r="C3" s="46"/>
      <c r="D3" s="20" t="s">
        <v>74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/>
      <c r="N3" s="20"/>
      <c r="O3" s="96"/>
      <c r="P3" s="80"/>
    </row>
    <row r="4" spans="1:16">
      <c r="A4" s="22"/>
      <c r="B4" s="28"/>
      <c r="C4" s="46"/>
      <c r="D4" s="20" t="s">
        <v>90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/>
      <c r="O4" s="96"/>
      <c r="P4" s="80"/>
    </row>
    <row r="5" spans="1:16">
      <c r="A5" s="22"/>
      <c r="B5" s="28"/>
      <c r="C5" s="46"/>
      <c r="D5" s="20" t="s">
        <v>95</v>
      </c>
      <c r="E5" s="20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8">
        <v>1</v>
      </c>
      <c r="O5" s="96">
        <v>1</v>
      </c>
      <c r="P5" s="80"/>
    </row>
    <row r="6" spans="1:16">
      <c r="A6" s="22"/>
      <c r="B6" s="28"/>
      <c r="C6" s="46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9"/>
      <c r="P6" s="10"/>
    </row>
    <row r="7" spans="1:16">
      <c r="A7" s="22"/>
      <c r="B7" s="28"/>
      <c r="C7" s="46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19"/>
      <c r="P7" s="1"/>
    </row>
    <row r="8" spans="1:16">
      <c r="A8" s="22"/>
      <c r="B8" s="28"/>
      <c r="C8" s="46"/>
      <c r="D8" s="1"/>
      <c r="E8" s="20"/>
      <c r="F8" s="20"/>
      <c r="G8" s="20"/>
      <c r="H8" s="20"/>
      <c r="I8" s="20"/>
      <c r="J8" s="20"/>
      <c r="K8" s="20"/>
      <c r="L8" s="20"/>
      <c r="M8" s="20"/>
      <c r="N8" s="28"/>
      <c r="O8" s="19"/>
      <c r="P8" s="1"/>
    </row>
    <row r="9" spans="1:16" ht="12" thickBot="1">
      <c r="A9" s="22"/>
      <c r="B9" s="28"/>
      <c r="C9" s="46"/>
      <c r="D9" s="20"/>
      <c r="E9" s="20"/>
      <c r="F9" s="20"/>
      <c r="G9" s="20"/>
      <c r="H9" s="20"/>
      <c r="I9" s="20"/>
      <c r="J9" s="20"/>
      <c r="K9" s="20"/>
      <c r="L9" s="20"/>
      <c r="M9" s="20"/>
      <c r="N9" s="28"/>
      <c r="O9" s="19"/>
      <c r="P9" s="11"/>
    </row>
    <row r="10" spans="1:16" ht="12" thickBot="1">
      <c r="A10" s="22"/>
      <c r="B10" s="28"/>
      <c r="C10" s="39" t="s">
        <v>63</v>
      </c>
      <c r="D10" s="37"/>
      <c r="E10" s="37"/>
      <c r="F10" s="37">
        <f>SUBTOTAL(109,Tabel3121421[Toiletrolhouder])</f>
        <v>3</v>
      </c>
      <c r="G10" s="37">
        <f>SUBTOTAL(109,Tabel3121421[Seatcleaner])</f>
        <v>3</v>
      </c>
      <c r="H10" s="37">
        <f>SUBTOTAL(109,Tabel3121421[Luchtverfrisser])</f>
        <v>3</v>
      </c>
      <c r="I10" s="37">
        <f>SUBTOTAL(109,Tabel3121421[Toiletborstel + houder])</f>
        <v>3</v>
      </c>
      <c r="J10" s="37">
        <f>SUBTOTAL(109,Tabel3121421[Vouwdoekjes])</f>
        <v>3</v>
      </c>
      <c r="K10" s="37">
        <f>SUBTOTAL(109,Tabel3121421[Verbandzakhouder])</f>
        <v>1</v>
      </c>
      <c r="L10" s="37">
        <f>SUBTOTAL(109,Tabel3121421[Foamzeep])</f>
        <v>5</v>
      </c>
      <c r="M10" s="37">
        <f>SUBTOTAL(109,Tabel3121421[Poetsrol])</f>
        <v>2</v>
      </c>
      <c r="N10" s="37">
        <f>SUBTOTAL(109,Tabel3121421[Handcreme])</f>
        <v>1</v>
      </c>
      <c r="O10" s="37">
        <f>SUBTOTAL(109,Tabel3121421[Industriezeep])</f>
        <v>1</v>
      </c>
      <c r="P10" s="37" t="s">
        <v>111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ED6F4-8541-4C86-BDF4-ADD454DA62DA}">
  <dimension ref="A1:P20"/>
  <sheetViews>
    <sheetView zoomScale="85" zoomScaleNormal="85" workbookViewId="0">
      <selection activeCell="H34" sqref="H34"/>
    </sheetView>
  </sheetViews>
  <sheetFormatPr defaultRowHeight="11.25"/>
  <cols>
    <col min="1" max="1" width="13.125" bestFit="1" customWidth="1"/>
    <col min="2" max="2" width="20.875" bestFit="1" customWidth="1"/>
    <col min="3" max="3" width="16.875" bestFit="1" customWidth="1"/>
    <col min="4" max="4" width="18.875" bestFit="1" customWidth="1"/>
    <col min="5" max="5" width="8.375" bestFit="1" customWidth="1"/>
    <col min="6" max="6" width="15.875" bestFit="1" customWidth="1"/>
    <col min="7" max="7" width="13" bestFit="1" customWidth="1"/>
    <col min="8" max="8" width="15.875" bestFit="1" customWidth="1"/>
    <col min="9" max="9" width="21.75" bestFit="1" customWidth="1"/>
    <col min="10" max="10" width="14.25" bestFit="1" customWidth="1"/>
    <col min="11" max="11" width="20.5" bestFit="1" customWidth="1"/>
    <col min="12" max="12" width="11.5" bestFit="1" customWidth="1"/>
    <col min="13" max="13" width="10" bestFit="1" customWidth="1"/>
    <col min="14" max="14" width="12.5" bestFit="1" customWidth="1"/>
    <col min="15" max="15" width="14.5" bestFit="1" customWidth="1"/>
    <col min="16" max="16" width="12.5" bestFit="1" customWidth="1"/>
  </cols>
  <sheetData>
    <row r="1" spans="1:16" ht="12" thickBot="1">
      <c r="A1" s="2" t="s">
        <v>67</v>
      </c>
      <c r="B1" s="3" t="s">
        <v>68</v>
      </c>
      <c r="C1" s="3" t="s">
        <v>32</v>
      </c>
      <c r="D1" s="3" t="s">
        <v>69</v>
      </c>
      <c r="E1" s="3" t="s">
        <v>70</v>
      </c>
      <c r="F1" s="3" t="s">
        <v>5</v>
      </c>
      <c r="G1" s="3" t="s">
        <v>7</v>
      </c>
      <c r="H1" s="3" t="s">
        <v>9</v>
      </c>
      <c r="I1" s="3" t="s">
        <v>11</v>
      </c>
      <c r="J1" s="3" t="s">
        <v>13</v>
      </c>
      <c r="K1" s="94" t="s">
        <v>33</v>
      </c>
      <c r="L1" s="3" t="s">
        <v>16</v>
      </c>
      <c r="M1" s="3" t="s">
        <v>17</v>
      </c>
      <c r="N1" s="3" t="s">
        <v>34</v>
      </c>
      <c r="O1" s="45" t="s">
        <v>20</v>
      </c>
      <c r="P1" s="168" t="s">
        <v>21</v>
      </c>
    </row>
    <row r="2" spans="1:16">
      <c r="A2" s="22" t="s">
        <v>119</v>
      </c>
      <c r="B2" s="20" t="s">
        <v>120</v>
      </c>
      <c r="C2" s="20" t="s">
        <v>109</v>
      </c>
      <c r="D2" s="19" t="s">
        <v>73</v>
      </c>
      <c r="E2" s="20">
        <v>1</v>
      </c>
      <c r="F2" s="20">
        <v>1</v>
      </c>
      <c r="G2" s="20">
        <v>1</v>
      </c>
      <c r="H2" s="20">
        <v>1</v>
      </c>
      <c r="I2" s="20">
        <v>1</v>
      </c>
      <c r="J2" s="20">
        <v>1</v>
      </c>
      <c r="K2" s="20"/>
      <c r="L2" s="20">
        <v>1</v>
      </c>
      <c r="M2" s="20"/>
      <c r="N2" s="28"/>
      <c r="O2" s="19"/>
      <c r="P2" s="19"/>
    </row>
    <row r="3" spans="1:16">
      <c r="A3" s="22"/>
      <c r="B3" s="20"/>
      <c r="C3" s="27"/>
      <c r="D3" s="20" t="s">
        <v>74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/>
      <c r="N3" s="28"/>
      <c r="O3" s="19"/>
      <c r="P3" s="19"/>
    </row>
    <row r="4" spans="1:16">
      <c r="A4" s="22"/>
      <c r="B4" s="20"/>
      <c r="C4" s="20"/>
      <c r="D4" s="20" t="s">
        <v>88</v>
      </c>
      <c r="E4" s="20">
        <v>2</v>
      </c>
      <c r="F4" s="20">
        <v>2</v>
      </c>
      <c r="G4" s="20"/>
      <c r="H4" s="20"/>
      <c r="I4" s="20">
        <v>2</v>
      </c>
      <c r="J4" s="20"/>
      <c r="K4" s="20"/>
      <c r="L4" s="20">
        <v>2</v>
      </c>
      <c r="M4" s="20">
        <v>2</v>
      </c>
      <c r="N4" s="28">
        <v>2</v>
      </c>
      <c r="O4" s="19">
        <v>2</v>
      </c>
      <c r="P4" s="19">
        <v>2</v>
      </c>
    </row>
    <row r="5" spans="1:16">
      <c r="A5" s="22"/>
      <c r="B5" s="20"/>
      <c r="C5" s="20"/>
      <c r="D5" s="20" t="s">
        <v>87</v>
      </c>
      <c r="E5" s="20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8"/>
      <c r="O5" s="19"/>
      <c r="P5" s="19"/>
    </row>
    <row r="6" spans="1:16">
      <c r="A6" s="22"/>
      <c r="B6" s="20"/>
      <c r="C6" s="27"/>
      <c r="D6" s="20" t="s">
        <v>90</v>
      </c>
      <c r="E6" s="20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/>
      <c r="O6" s="19"/>
      <c r="P6" s="19"/>
    </row>
    <row r="7" spans="1:16">
      <c r="A7" s="22"/>
      <c r="B7" s="20"/>
      <c r="C7" s="27" t="s">
        <v>121</v>
      </c>
      <c r="D7" s="20" t="s">
        <v>88</v>
      </c>
      <c r="E7" s="20">
        <v>1</v>
      </c>
      <c r="F7" s="20"/>
      <c r="G7" s="20"/>
      <c r="H7" s="20"/>
      <c r="I7" s="20"/>
      <c r="J7" s="20"/>
      <c r="K7" s="20"/>
      <c r="L7" s="20">
        <v>1</v>
      </c>
      <c r="M7" s="20">
        <v>1</v>
      </c>
      <c r="N7" s="28"/>
      <c r="O7" s="19"/>
      <c r="P7" s="19">
        <v>2</v>
      </c>
    </row>
    <row r="8" spans="1:16">
      <c r="A8" s="22"/>
      <c r="B8" s="20"/>
      <c r="C8" s="27"/>
      <c r="D8" s="19" t="s">
        <v>73</v>
      </c>
      <c r="E8" s="20">
        <v>1</v>
      </c>
      <c r="F8" s="20">
        <v>2</v>
      </c>
      <c r="G8" s="20">
        <v>2</v>
      </c>
      <c r="H8" s="20">
        <v>2</v>
      </c>
      <c r="I8" s="20">
        <v>2</v>
      </c>
      <c r="J8" s="20">
        <v>2</v>
      </c>
      <c r="K8" s="20"/>
      <c r="L8" s="20">
        <v>2</v>
      </c>
      <c r="M8" s="20"/>
      <c r="N8" s="28"/>
      <c r="O8" s="19"/>
      <c r="P8" s="19"/>
    </row>
    <row r="9" spans="1:16">
      <c r="A9" s="22"/>
      <c r="B9" s="20"/>
      <c r="C9" s="27"/>
      <c r="D9" s="20" t="s">
        <v>74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/>
      <c r="M9" s="20"/>
      <c r="N9" s="28"/>
      <c r="O9" s="19"/>
      <c r="P9" s="19"/>
    </row>
    <row r="10" spans="1:16">
      <c r="A10" s="22"/>
      <c r="B10" s="20"/>
      <c r="C10" s="27"/>
      <c r="D10" s="20" t="s">
        <v>116</v>
      </c>
      <c r="E10" s="20">
        <v>1</v>
      </c>
      <c r="F10" s="20"/>
      <c r="G10" s="20"/>
      <c r="H10" s="20"/>
      <c r="I10" s="20"/>
      <c r="J10" s="20">
        <v>1</v>
      </c>
      <c r="K10" s="20"/>
      <c r="L10" s="20">
        <v>1</v>
      </c>
      <c r="M10" s="20"/>
      <c r="N10" s="28"/>
      <c r="O10" s="19"/>
      <c r="P10" s="19"/>
    </row>
    <row r="11" spans="1:16">
      <c r="A11" s="22"/>
      <c r="B11" s="20"/>
      <c r="C11" s="27"/>
      <c r="D11" s="20" t="s">
        <v>90</v>
      </c>
      <c r="E11" s="20">
        <v>1</v>
      </c>
      <c r="F11" s="20"/>
      <c r="G11" s="20"/>
      <c r="H11" s="20"/>
      <c r="I11" s="20"/>
      <c r="J11" s="20">
        <v>1</v>
      </c>
      <c r="K11" s="20"/>
      <c r="L11" s="20">
        <v>1</v>
      </c>
      <c r="M11" s="20"/>
      <c r="N11" s="28"/>
      <c r="O11" s="19"/>
      <c r="P11" s="19"/>
    </row>
    <row r="12" spans="1:16">
      <c r="A12" s="22"/>
      <c r="B12" s="20"/>
      <c r="C12" s="27"/>
      <c r="D12" s="27" t="s">
        <v>122</v>
      </c>
      <c r="E12" s="20"/>
      <c r="F12" s="20"/>
      <c r="G12" s="20"/>
      <c r="H12" s="20"/>
      <c r="I12" s="20"/>
      <c r="J12" s="20"/>
      <c r="K12" s="20"/>
      <c r="L12" s="20">
        <v>1</v>
      </c>
      <c r="M12" s="20">
        <v>1</v>
      </c>
      <c r="N12" s="28"/>
      <c r="O12" s="19"/>
      <c r="P12" s="19"/>
    </row>
    <row r="13" spans="1:16">
      <c r="A13" s="22"/>
      <c r="B13" s="20"/>
      <c r="C13" s="27" t="s">
        <v>123</v>
      </c>
      <c r="D13" s="20" t="s">
        <v>89</v>
      </c>
      <c r="E13" s="20">
        <v>1</v>
      </c>
      <c r="F13" s="20">
        <v>1</v>
      </c>
      <c r="G13" s="20">
        <v>1</v>
      </c>
      <c r="H13" s="20">
        <v>1</v>
      </c>
      <c r="I13" s="20">
        <v>1</v>
      </c>
      <c r="J13" s="20">
        <v>1</v>
      </c>
      <c r="K13" s="20">
        <v>1</v>
      </c>
      <c r="L13" s="20">
        <v>1</v>
      </c>
      <c r="M13" s="20"/>
      <c r="N13" s="28"/>
      <c r="O13" s="19"/>
      <c r="P13" s="19"/>
    </row>
    <row r="14" spans="1:16">
      <c r="A14" s="22"/>
      <c r="B14" s="20"/>
      <c r="C14" s="27" t="s">
        <v>124</v>
      </c>
      <c r="D14" s="20" t="s">
        <v>89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0">
        <v>1</v>
      </c>
      <c r="M14" s="20"/>
      <c r="N14" s="28"/>
      <c r="O14" s="19"/>
      <c r="P14" s="19"/>
    </row>
    <row r="15" spans="1:16">
      <c r="A15" s="22"/>
      <c r="B15" s="20"/>
      <c r="C15" s="27" t="s">
        <v>125</v>
      </c>
      <c r="D15" s="20" t="s">
        <v>90</v>
      </c>
      <c r="E15" s="20">
        <v>1</v>
      </c>
      <c r="F15" s="20"/>
      <c r="G15" s="20"/>
      <c r="H15" s="20"/>
      <c r="I15" s="20"/>
      <c r="J15" s="20"/>
      <c r="K15" s="20"/>
      <c r="L15" s="20">
        <v>1</v>
      </c>
      <c r="M15" s="20">
        <v>1</v>
      </c>
      <c r="N15" s="28"/>
      <c r="O15" s="19"/>
      <c r="P15" s="19"/>
    </row>
    <row r="16" spans="1:16">
      <c r="A16" s="22"/>
      <c r="B16" s="20"/>
      <c r="C16" s="27"/>
      <c r="D16" s="20" t="s">
        <v>89</v>
      </c>
      <c r="E16" s="20">
        <v>1</v>
      </c>
      <c r="F16" s="20">
        <v>1</v>
      </c>
      <c r="G16" s="20">
        <v>1</v>
      </c>
      <c r="H16" s="20">
        <v>1</v>
      </c>
      <c r="I16" s="20">
        <v>1</v>
      </c>
      <c r="J16" s="20">
        <v>1</v>
      </c>
      <c r="K16" s="20">
        <v>1</v>
      </c>
      <c r="L16" s="20"/>
      <c r="M16" s="20"/>
      <c r="N16" s="28"/>
      <c r="O16" s="19"/>
      <c r="P16" s="19"/>
    </row>
    <row r="17" spans="1:16">
      <c r="A17" s="22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8"/>
      <c r="O17" s="19"/>
      <c r="P17" s="19"/>
    </row>
    <row r="18" spans="1:16"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8"/>
      <c r="O18" s="19"/>
      <c r="P18" s="19"/>
    </row>
    <row r="19" spans="1:16" ht="12" thickBo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9"/>
      <c r="O19" s="158"/>
      <c r="P19" s="158"/>
    </row>
    <row r="20" spans="1:16" ht="12" thickBot="1">
      <c r="C20" s="39" t="s">
        <v>63</v>
      </c>
      <c r="D20" s="40"/>
      <c r="E20" s="40"/>
      <c r="F20" s="40">
        <f>SUBTOTAL(109,Tabel3121423[Toiletrolhouder])</f>
        <v>10</v>
      </c>
      <c r="G20" s="40">
        <f>SUBTOTAL(109,Tabel3121423[Seatcleaner])</f>
        <v>8</v>
      </c>
      <c r="H20" s="40">
        <f>SUBTOTAL(109,Tabel3121423[Luchtverfrisser])</f>
        <v>8</v>
      </c>
      <c r="I20" s="40">
        <f>SUBTOTAL(109,Tabel3121423[Toiletborstel + houder])</f>
        <v>10</v>
      </c>
      <c r="J20" s="40">
        <f>SUBTOTAL(109,Tabel3121423[Vouwdoekjes])</f>
        <v>10</v>
      </c>
      <c r="K20" s="40">
        <f>SUBTOTAL(109,Tabel3121423[Verbandzakhouder])</f>
        <v>5</v>
      </c>
      <c r="L20" s="40">
        <f>SUBTOTAL(109,Tabel3121423[Foamzeep])</f>
        <v>15</v>
      </c>
      <c r="M20" s="40">
        <f>SUBTOTAL(109,Tabel3121423[Poetsrol])</f>
        <v>7</v>
      </c>
      <c r="N20" s="160">
        <f>SUBTOTAL(109,Tabel3121423[Handcreme])</f>
        <v>2</v>
      </c>
      <c r="O20" s="39">
        <f>SUBTOTAL(109,Tabel3121423[Industriezeep])</f>
        <v>2</v>
      </c>
      <c r="P20" s="44">
        <f>SUM(P2:P19)</f>
        <v>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F8D7-EB17-4B1F-B514-07D7B51F4C16}">
  <dimension ref="A1:P9"/>
  <sheetViews>
    <sheetView zoomScale="85" zoomScaleNormal="85" workbookViewId="0">
      <selection activeCell="O20" sqref="O20"/>
    </sheetView>
  </sheetViews>
  <sheetFormatPr defaultRowHeight="11.25"/>
  <cols>
    <col min="1" max="1" width="18" style="18" customWidth="1"/>
    <col min="2" max="2" width="15.375" style="18" bestFit="1" customWidth="1"/>
    <col min="3" max="3" width="16.125" style="51" customWidth="1"/>
    <col min="4" max="4" width="18.875" style="18" bestFit="1" customWidth="1"/>
    <col min="5" max="5" width="8.375" style="18" bestFit="1" customWidth="1"/>
    <col min="6" max="6" width="15.875" style="18" bestFit="1" customWidth="1"/>
    <col min="7" max="7" width="13" style="18" bestFit="1" customWidth="1"/>
    <col min="8" max="8" width="15.875" style="18" bestFit="1" customWidth="1"/>
    <col min="9" max="9" width="21.75" style="18" bestFit="1" customWidth="1"/>
    <col min="10" max="10" width="14.25" style="18" bestFit="1" customWidth="1"/>
    <col min="11" max="11" width="19.375" style="18" bestFit="1" customWidth="1"/>
    <col min="12" max="12" width="11.5" style="18" bestFit="1" customWidth="1"/>
    <col min="13" max="13" width="10" style="18" bestFit="1" customWidth="1"/>
    <col min="14" max="14" width="12.5" style="18" bestFit="1" customWidth="1"/>
    <col min="15" max="15" width="14.5" style="18" bestFit="1" customWidth="1"/>
    <col min="16" max="16" width="11.75" customWidth="1"/>
  </cols>
  <sheetData>
    <row r="1" spans="1:16" ht="12" thickBot="1">
      <c r="A1" s="15" t="s">
        <v>67</v>
      </c>
      <c r="B1" s="16" t="s">
        <v>68</v>
      </c>
      <c r="C1" s="47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94" t="s">
        <v>33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21</v>
      </c>
    </row>
    <row r="2" spans="1:16">
      <c r="A2" s="22" t="s">
        <v>47</v>
      </c>
      <c r="B2" s="20" t="s">
        <v>126</v>
      </c>
      <c r="C2" s="48" t="s">
        <v>86</v>
      </c>
      <c r="D2" s="20" t="s">
        <v>95</v>
      </c>
      <c r="E2" s="20">
        <v>1</v>
      </c>
      <c r="F2" s="20"/>
      <c r="G2" s="20"/>
      <c r="H2" s="20"/>
      <c r="I2" s="20"/>
      <c r="J2" s="20"/>
      <c r="K2" s="20"/>
      <c r="L2" s="20">
        <v>1</v>
      </c>
      <c r="M2" s="20">
        <v>1</v>
      </c>
      <c r="N2" s="28">
        <v>1</v>
      </c>
      <c r="O2" s="19">
        <v>1</v>
      </c>
      <c r="P2" s="19"/>
    </row>
    <row r="3" spans="1:16">
      <c r="A3" s="22"/>
      <c r="B3" s="20"/>
      <c r="C3" s="48"/>
      <c r="D3" s="20" t="s">
        <v>87</v>
      </c>
      <c r="E3" s="20">
        <v>1</v>
      </c>
      <c r="F3" s="20"/>
      <c r="G3" s="20"/>
      <c r="H3" s="20"/>
      <c r="I3" s="20"/>
      <c r="J3" s="20"/>
      <c r="K3" s="20"/>
      <c r="L3" s="20">
        <v>1</v>
      </c>
      <c r="M3" s="20">
        <v>1</v>
      </c>
      <c r="N3" s="28"/>
      <c r="O3" s="19"/>
      <c r="P3" s="19"/>
    </row>
    <row r="4" spans="1:16">
      <c r="A4" s="22"/>
      <c r="B4" s="20"/>
      <c r="C4" s="48"/>
      <c r="D4" s="20" t="s">
        <v>88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/>
      <c r="O4" s="19"/>
      <c r="P4" s="19">
        <v>1</v>
      </c>
    </row>
    <row r="5" spans="1:16">
      <c r="A5" s="22"/>
      <c r="B5" s="20"/>
      <c r="C5" s="48"/>
      <c r="D5" s="20" t="s">
        <v>89</v>
      </c>
      <c r="E5" s="20">
        <v>1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20"/>
      <c r="N5" s="28"/>
      <c r="O5" s="19"/>
      <c r="P5" s="19"/>
    </row>
    <row r="6" spans="1:16">
      <c r="A6" s="22"/>
      <c r="B6" s="20"/>
      <c r="C6" s="48"/>
      <c r="D6" s="19" t="s">
        <v>127</v>
      </c>
      <c r="E6" s="20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/>
      <c r="O6" s="19"/>
      <c r="P6" s="19"/>
    </row>
    <row r="7" spans="1:16">
      <c r="A7" s="22"/>
      <c r="B7" s="20"/>
      <c r="C7" s="48"/>
      <c r="D7" s="48" t="s">
        <v>90</v>
      </c>
      <c r="E7" s="20">
        <v>1</v>
      </c>
      <c r="F7" s="20"/>
      <c r="G7" s="20"/>
      <c r="H7" s="20"/>
      <c r="I7" s="20"/>
      <c r="J7" s="20"/>
      <c r="K7" s="20"/>
      <c r="L7" s="20">
        <v>1</v>
      </c>
      <c r="M7" s="20">
        <v>1</v>
      </c>
      <c r="N7" s="28"/>
      <c r="O7" s="19"/>
      <c r="P7" s="19"/>
    </row>
    <row r="8" spans="1:16" ht="12" thickBot="1">
      <c r="A8" s="22"/>
      <c r="B8" s="20"/>
      <c r="C8" s="49"/>
      <c r="D8" s="24"/>
      <c r="E8" s="24"/>
      <c r="F8" s="24"/>
      <c r="G8" s="24"/>
      <c r="H8" s="24"/>
      <c r="I8" s="24"/>
      <c r="J8" s="24"/>
      <c r="K8" s="24"/>
      <c r="L8" s="24"/>
      <c r="M8" s="24"/>
      <c r="N8" s="29"/>
      <c r="O8" s="158"/>
      <c r="P8" s="158"/>
    </row>
    <row r="9" spans="1:16" ht="12" thickBot="1">
      <c r="A9" s="22"/>
      <c r="B9" s="20"/>
      <c r="C9" s="50" t="s">
        <v>63</v>
      </c>
      <c r="D9" s="40"/>
      <c r="E9" s="40"/>
      <c r="F9" s="40">
        <f>SUBTOTAL(109,Tabel3121425[Toiletrolhouder])</f>
        <v>1</v>
      </c>
      <c r="G9" s="40">
        <f>SUBTOTAL(109,Tabel3121425[Seatcleaner])</f>
        <v>1</v>
      </c>
      <c r="H9" s="40">
        <f>SUBTOTAL(109,Tabel3121425[Luchtverfrisser])</f>
        <v>1</v>
      </c>
      <c r="I9" s="40">
        <f>SUBTOTAL(109,Tabel3121425[Toiletborstel + houder])</f>
        <v>1</v>
      </c>
      <c r="J9" s="40">
        <f>SUBTOTAL(109,Tabel3121425[Vouwdoekjes])</f>
        <v>1</v>
      </c>
      <c r="K9" s="40">
        <f>SUBTOTAL(109,Tabel3121425[Verbandzakhouder])</f>
        <v>1</v>
      </c>
      <c r="L9" s="40">
        <f>SUBTOTAL(109,Tabel3121425[Foamzeep])</f>
        <v>6</v>
      </c>
      <c r="M9" s="40">
        <f>SUBTOTAL(109,Tabel3121425[Poetsrol])</f>
        <v>5</v>
      </c>
      <c r="N9" s="160">
        <f>SUBTOTAL(109,Tabel3121425[Handcreme])</f>
        <v>1</v>
      </c>
      <c r="O9" s="39">
        <f>SUBTOTAL(109,Tabel3121425[Industriezeep])</f>
        <v>1</v>
      </c>
      <c r="P9" s="44">
        <f>SUM(P2:P8)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C2CB-A949-495F-965A-F9C0204B964D}">
  <dimension ref="A1:P7"/>
  <sheetViews>
    <sheetView topLeftCell="C1" zoomScale="85" zoomScaleNormal="85" workbookViewId="0">
      <selection activeCell="Q18" sqref="Q18"/>
    </sheetView>
  </sheetViews>
  <sheetFormatPr defaultRowHeight="11.25"/>
  <cols>
    <col min="1" max="1" width="10.625" style="18" customWidth="1"/>
    <col min="2" max="2" width="14.375" style="18" customWidth="1"/>
    <col min="3" max="3" width="13.25" style="18" bestFit="1" customWidth="1"/>
    <col min="4" max="4" width="21.125" style="18" customWidth="1"/>
    <col min="5" max="5" width="8.375" style="18" bestFit="1" customWidth="1"/>
    <col min="6" max="6" width="15.875" style="18" bestFit="1" customWidth="1"/>
    <col min="7" max="7" width="13" style="18" bestFit="1" customWidth="1"/>
    <col min="8" max="8" width="15.875" style="18" bestFit="1" customWidth="1"/>
    <col min="9" max="9" width="21.75" style="18" bestFit="1" customWidth="1"/>
    <col min="10" max="10" width="14.25" style="18" bestFit="1" customWidth="1"/>
    <col min="11" max="11" width="12.875" style="18" bestFit="1" customWidth="1"/>
    <col min="12" max="12" width="11.5" style="18" bestFit="1" customWidth="1"/>
    <col min="13" max="13" width="10" style="18" bestFit="1" customWidth="1"/>
    <col min="14" max="14" width="12.5" style="18" bestFit="1" customWidth="1"/>
    <col min="15" max="15" width="14.5" style="18" bestFit="1" customWidth="1"/>
    <col min="16" max="16" width="12.5" style="18" bestFit="1" customWidth="1"/>
    <col min="17" max="16384" width="9" style="18"/>
  </cols>
  <sheetData>
    <row r="1" spans="1:16" ht="12" thickBot="1">
      <c r="A1" s="53" t="s">
        <v>67</v>
      </c>
      <c r="B1" s="54" t="s">
        <v>68</v>
      </c>
      <c r="C1" s="16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94" t="s">
        <v>33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21</v>
      </c>
    </row>
    <row r="2" spans="1:16">
      <c r="A2" s="55" t="s">
        <v>128</v>
      </c>
      <c r="B2" s="56" t="s">
        <v>129</v>
      </c>
      <c r="C2" s="52" t="s">
        <v>86</v>
      </c>
      <c r="D2" s="19" t="s">
        <v>73</v>
      </c>
      <c r="E2" s="20">
        <v>1</v>
      </c>
      <c r="F2" s="20">
        <v>1</v>
      </c>
      <c r="G2" s="20">
        <v>1</v>
      </c>
      <c r="H2" s="20">
        <v>1</v>
      </c>
      <c r="I2" s="20">
        <v>1</v>
      </c>
      <c r="J2" s="20">
        <v>1</v>
      </c>
      <c r="K2" s="20"/>
      <c r="L2" s="20">
        <v>1</v>
      </c>
      <c r="M2" s="20"/>
      <c r="N2" s="28"/>
      <c r="O2" s="19"/>
      <c r="P2" s="19"/>
    </row>
    <row r="3" spans="1:16">
      <c r="A3" s="57"/>
      <c r="B3" s="58"/>
      <c r="C3" s="27"/>
      <c r="D3" s="20" t="s">
        <v>74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/>
      <c r="N3" s="28"/>
      <c r="O3" s="19"/>
      <c r="P3" s="19"/>
    </row>
    <row r="4" spans="1:16">
      <c r="A4" s="57"/>
      <c r="B4" s="58"/>
      <c r="C4" s="27"/>
      <c r="D4" s="20" t="s">
        <v>88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>
        <v>1</v>
      </c>
      <c r="O4" s="19">
        <v>1</v>
      </c>
      <c r="P4" s="19">
        <v>1</v>
      </c>
    </row>
    <row r="5" spans="1:16">
      <c r="A5" s="57"/>
      <c r="B5" s="58"/>
      <c r="C5" s="27"/>
      <c r="D5" s="20" t="s">
        <v>95</v>
      </c>
      <c r="E5" s="20">
        <v>1</v>
      </c>
      <c r="F5" s="20"/>
      <c r="G5" s="20"/>
      <c r="H5" s="20"/>
      <c r="I5" s="20"/>
      <c r="J5" s="20"/>
      <c r="K5" s="20"/>
      <c r="L5" s="20"/>
      <c r="M5" s="20">
        <v>1</v>
      </c>
      <c r="N5" s="28"/>
      <c r="O5" s="19"/>
      <c r="P5" s="19"/>
    </row>
    <row r="6" spans="1:16" ht="12" thickBot="1">
      <c r="A6" s="57"/>
      <c r="B6" s="58"/>
      <c r="C6" s="27"/>
      <c r="D6" s="20"/>
      <c r="E6" s="20"/>
      <c r="F6" s="20"/>
      <c r="G6" s="20"/>
      <c r="H6" s="20"/>
      <c r="I6" s="20"/>
      <c r="J6" s="20"/>
      <c r="K6" s="20"/>
      <c r="L6" s="20"/>
      <c r="M6" s="20"/>
      <c r="N6" s="28"/>
      <c r="O6" s="158"/>
      <c r="P6" s="158"/>
    </row>
    <row r="7" spans="1:16" ht="12" thickBot="1">
      <c r="A7" s="57"/>
      <c r="B7" s="58"/>
      <c r="C7" s="39" t="s">
        <v>63</v>
      </c>
      <c r="D7" s="40"/>
      <c r="E7" s="40"/>
      <c r="F7" s="40">
        <f>SUBTOTAL(109,Tabel3121427[Toiletrolhouder])</f>
        <v>2</v>
      </c>
      <c r="G7" s="40">
        <f>SUBTOTAL(109,Tabel3121427[Seatcleaner])</f>
        <v>2</v>
      </c>
      <c r="H7" s="40">
        <f>SUBTOTAL(109,Tabel3121427[Luchtverfrisser])</f>
        <v>2</v>
      </c>
      <c r="I7" s="40">
        <f>SUBTOTAL(109,Tabel3121427[Toiletborstel + houder])</f>
        <v>2</v>
      </c>
      <c r="J7" s="40">
        <f>SUBTOTAL(109,Tabel3121427[Vouwdoekjes])</f>
        <v>2</v>
      </c>
      <c r="K7" s="40">
        <f>SUBTOTAL(109,Tabel3121427[Verbandzakhouder])</f>
        <v>1</v>
      </c>
      <c r="L7" s="40">
        <f>SUBTOTAL(109,Tabel3121427[Foamzeep])</f>
        <v>3</v>
      </c>
      <c r="M7" s="40">
        <f>SUBTOTAL(109,Tabel3121427[Poetsrol])</f>
        <v>2</v>
      </c>
      <c r="N7" s="160">
        <f>SUBTOTAL(109,Tabel3121427[Handcreme])</f>
        <v>1</v>
      </c>
      <c r="O7" s="39">
        <f>SUBTOTAL(109,Tabel3121427[Industriezeep])</f>
        <v>1</v>
      </c>
      <c r="P7" s="44">
        <f>SUM(P2:P6)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5510-6B11-4BF7-AB3B-48DA92020FB9}">
  <dimension ref="A1:P16"/>
  <sheetViews>
    <sheetView zoomScale="85" zoomScaleNormal="85" workbookViewId="0">
      <selection activeCell="R32" sqref="R32"/>
    </sheetView>
  </sheetViews>
  <sheetFormatPr defaultRowHeight="11.25"/>
  <cols>
    <col min="1" max="1" width="10.375" bestFit="1" customWidth="1"/>
    <col min="2" max="2" width="15.375" bestFit="1" customWidth="1"/>
    <col min="3" max="3" width="14.75" style="107" bestFit="1" customWidth="1"/>
    <col min="4" max="4" width="21.5" bestFit="1" customWidth="1"/>
    <col min="5" max="5" width="8.375" bestFit="1" customWidth="1"/>
    <col min="6" max="6" width="15.875" bestFit="1" customWidth="1"/>
    <col min="7" max="7" width="13" bestFit="1" customWidth="1"/>
    <col min="8" max="8" width="15.875" bestFit="1" customWidth="1"/>
    <col min="9" max="9" width="21.75" bestFit="1" customWidth="1"/>
    <col min="10" max="10" width="14.25" bestFit="1" customWidth="1"/>
    <col min="11" max="11" width="12.875" bestFit="1" customWidth="1"/>
    <col min="12" max="12" width="13.5" bestFit="1" customWidth="1"/>
    <col min="13" max="13" width="10" bestFit="1" customWidth="1"/>
    <col min="14" max="14" width="12.5" bestFit="1" customWidth="1"/>
    <col min="15" max="15" width="14.5" bestFit="1" customWidth="1"/>
    <col min="16" max="16" width="12.5" bestFit="1" customWidth="1"/>
  </cols>
  <sheetData>
    <row r="1" spans="1:16" ht="12" thickBot="1">
      <c r="A1" s="2" t="s">
        <v>67</v>
      </c>
      <c r="B1" s="3" t="s">
        <v>68</v>
      </c>
      <c r="C1" s="106" t="s">
        <v>32</v>
      </c>
      <c r="D1" s="59" t="s">
        <v>69</v>
      </c>
      <c r="E1" s="3" t="s">
        <v>70</v>
      </c>
      <c r="F1" s="3" t="s">
        <v>5</v>
      </c>
      <c r="G1" s="3" t="s">
        <v>7</v>
      </c>
      <c r="H1" s="3" t="s">
        <v>9</v>
      </c>
      <c r="I1" s="3" t="s">
        <v>11</v>
      </c>
      <c r="J1" s="3" t="s">
        <v>13</v>
      </c>
      <c r="K1" s="94" t="s">
        <v>33</v>
      </c>
      <c r="L1" s="3" t="s">
        <v>16</v>
      </c>
      <c r="M1" s="3" t="s">
        <v>17</v>
      </c>
      <c r="N1" s="3" t="s">
        <v>34</v>
      </c>
      <c r="O1" s="45" t="s">
        <v>20</v>
      </c>
      <c r="P1" s="168" t="s">
        <v>21</v>
      </c>
    </row>
    <row r="2" spans="1:16">
      <c r="A2" s="22" t="s">
        <v>130</v>
      </c>
      <c r="B2" s="20" t="s">
        <v>131</v>
      </c>
      <c r="C2" s="87" t="s">
        <v>109</v>
      </c>
      <c r="D2" s="19" t="s">
        <v>132</v>
      </c>
      <c r="E2" s="27">
        <v>2</v>
      </c>
      <c r="F2" s="20">
        <v>2</v>
      </c>
      <c r="G2" s="20">
        <v>2</v>
      </c>
      <c r="H2" s="20">
        <v>2</v>
      </c>
      <c r="I2" s="20">
        <v>2</v>
      </c>
      <c r="J2" s="20">
        <v>2</v>
      </c>
      <c r="K2" s="20"/>
      <c r="L2" s="20">
        <v>2</v>
      </c>
      <c r="M2" s="20"/>
      <c r="N2" s="28"/>
      <c r="O2" s="19"/>
      <c r="P2" s="80"/>
    </row>
    <row r="3" spans="1:16">
      <c r="A3" s="22"/>
      <c r="B3" s="20"/>
      <c r="C3" s="6"/>
      <c r="D3" s="20" t="s">
        <v>133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1"/>
      <c r="N3" s="7"/>
      <c r="O3" s="80"/>
      <c r="P3" s="80"/>
    </row>
    <row r="4" spans="1:16">
      <c r="A4" s="22"/>
      <c r="B4" s="20"/>
      <c r="C4" s="6"/>
      <c r="D4" s="19" t="s">
        <v>134</v>
      </c>
      <c r="E4" s="89">
        <v>2</v>
      </c>
      <c r="F4" s="20"/>
      <c r="G4" s="20"/>
      <c r="H4" s="20"/>
      <c r="I4" s="20"/>
      <c r="J4" s="90"/>
      <c r="K4" s="20"/>
      <c r="L4" s="20">
        <v>2</v>
      </c>
      <c r="M4" s="20">
        <v>2</v>
      </c>
      <c r="N4" s="28">
        <v>2</v>
      </c>
      <c r="O4" s="19">
        <v>2</v>
      </c>
      <c r="P4" s="80"/>
    </row>
    <row r="5" spans="1:16">
      <c r="A5" s="22"/>
      <c r="B5" s="20"/>
      <c r="C5" s="60" t="s">
        <v>121</v>
      </c>
      <c r="D5" s="90" t="s">
        <v>95</v>
      </c>
      <c r="E5" s="90">
        <v>2</v>
      </c>
      <c r="F5" s="1"/>
      <c r="G5" s="1"/>
      <c r="H5" s="1"/>
      <c r="I5" s="1"/>
      <c r="J5" s="90"/>
      <c r="K5" s="1"/>
      <c r="L5" s="20">
        <v>2</v>
      </c>
      <c r="M5" s="20">
        <v>2</v>
      </c>
      <c r="N5" s="28">
        <v>2</v>
      </c>
      <c r="O5" s="19">
        <v>2</v>
      </c>
      <c r="P5" s="80"/>
    </row>
    <row r="6" spans="1:16">
      <c r="A6" s="22"/>
      <c r="B6" s="20"/>
      <c r="C6" s="28" t="s">
        <v>123</v>
      </c>
      <c r="D6" s="19" t="s">
        <v>95</v>
      </c>
      <c r="E6" s="89">
        <v>2</v>
      </c>
      <c r="F6" s="20"/>
      <c r="G6" s="20"/>
      <c r="H6" s="20"/>
      <c r="I6" s="20"/>
      <c r="J6" s="20"/>
      <c r="K6" s="20"/>
      <c r="L6" s="20">
        <v>2</v>
      </c>
      <c r="M6" s="20">
        <v>2</v>
      </c>
      <c r="N6" s="28">
        <v>2</v>
      </c>
      <c r="O6" s="19">
        <v>2</v>
      </c>
      <c r="P6" s="80"/>
    </row>
    <row r="7" spans="1:16">
      <c r="A7" s="22"/>
      <c r="B7" s="20"/>
      <c r="C7" s="60" t="s">
        <v>135</v>
      </c>
      <c r="D7" s="20" t="s">
        <v>89</v>
      </c>
      <c r="E7" s="89">
        <v>1</v>
      </c>
      <c r="F7" s="20">
        <v>1</v>
      </c>
      <c r="G7" s="20">
        <v>1</v>
      </c>
      <c r="H7" s="20">
        <v>1</v>
      </c>
      <c r="I7" s="20">
        <v>1</v>
      </c>
      <c r="J7" s="20">
        <v>1</v>
      </c>
      <c r="K7" s="20"/>
      <c r="L7" s="20">
        <v>1</v>
      </c>
      <c r="M7" s="20"/>
      <c r="N7" s="28"/>
      <c r="O7" s="19"/>
      <c r="P7" s="80"/>
    </row>
    <row r="8" spans="1:16">
      <c r="A8" s="22"/>
      <c r="B8" s="20"/>
      <c r="C8" s="28"/>
      <c r="D8" s="19"/>
      <c r="E8" s="27"/>
      <c r="F8" s="20"/>
      <c r="G8" s="20"/>
      <c r="H8" s="20"/>
      <c r="I8" s="20"/>
      <c r="J8" s="20"/>
      <c r="K8" s="20"/>
      <c r="L8" s="20"/>
      <c r="M8" s="20"/>
      <c r="N8" s="28"/>
      <c r="O8" s="19"/>
      <c r="P8" s="80"/>
    </row>
    <row r="9" spans="1:16">
      <c r="A9" s="22"/>
      <c r="B9" s="20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7"/>
      <c r="O9" s="80"/>
      <c r="P9" s="80"/>
    </row>
    <row r="10" spans="1:16">
      <c r="A10" s="2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8"/>
      <c r="O10" s="19"/>
      <c r="P10" s="80"/>
    </row>
    <row r="11" spans="1:16">
      <c r="A11" s="5"/>
      <c r="B11" s="1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8"/>
      <c r="O11" s="19"/>
      <c r="P11" s="80"/>
    </row>
    <row r="12" spans="1:16" ht="12" thickBot="1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67"/>
      <c r="O12" s="157"/>
      <c r="P12" s="157"/>
    </row>
    <row r="13" spans="1:16" ht="12" thickBot="1">
      <c r="C13" s="39" t="s">
        <v>63</v>
      </c>
      <c r="D13" s="37"/>
      <c r="E13" s="37" t="s">
        <v>136</v>
      </c>
      <c r="F13" s="37">
        <f>SUBTOTAL(109,Tabel3121429[Toiletrolhouder])</f>
        <v>4</v>
      </c>
      <c r="G13" s="37">
        <f>SUBTOTAL(109,Tabel3121429[Seatcleaner])</f>
        <v>4</v>
      </c>
      <c r="H13" s="37">
        <f>SUBTOTAL(109,Tabel3121429[Luchtverfrisser])</f>
        <v>4</v>
      </c>
      <c r="I13" s="37">
        <f>SUBTOTAL(109,Tabel3121429[Toiletborstel + houder])</f>
        <v>4</v>
      </c>
      <c r="J13" s="37">
        <f>SUBTOTAL(109,Tabel3121429[Vouwdoekjes])</f>
        <v>4</v>
      </c>
      <c r="K13" s="37">
        <f>SUBTOTAL(109,Tabel3121429[Verbandzakhouder])</f>
        <v>1</v>
      </c>
      <c r="L13" s="37">
        <f>SUBTOTAL(109,Tabel3121429[Foamzeep])</f>
        <v>10</v>
      </c>
      <c r="M13" s="37">
        <f>SUBTOTAL(109,Tabel3121429[Poetsrol])</f>
        <v>6</v>
      </c>
      <c r="N13" s="173">
        <f>SUBTOTAL(109,Tabel3121429[Handcreme])</f>
        <v>6</v>
      </c>
      <c r="O13" s="174">
        <f>SUBTOTAL(109,Tabel3121429[Industriezeep])</f>
        <v>6</v>
      </c>
      <c r="P13" s="175" t="s">
        <v>111</v>
      </c>
    </row>
    <row r="16" spans="1:16">
      <c r="D16" s="88"/>
      <c r="E16" s="88"/>
      <c r="F16" s="88"/>
    </row>
  </sheetData>
  <pageMargins left="0.7" right="0.7" top="0.75" bottom="0.75" header="0.3" footer="0.3"/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A2DF-BF0A-4246-9F47-9636CD21E2AC}">
  <dimension ref="A1:P15"/>
  <sheetViews>
    <sheetView zoomScale="85" zoomScaleNormal="85" workbookViewId="0">
      <selection activeCell="O39" sqref="O39"/>
    </sheetView>
  </sheetViews>
  <sheetFormatPr defaultRowHeight="11.25"/>
  <cols>
    <col min="1" max="1" width="11.875" bestFit="1" customWidth="1"/>
    <col min="2" max="2" width="13" customWidth="1"/>
    <col min="3" max="3" width="16.5" style="18" customWidth="1"/>
    <col min="4" max="4" width="18.875" bestFit="1" customWidth="1"/>
    <col min="5" max="5" width="20" bestFit="1" customWidth="1"/>
    <col min="6" max="6" width="16.25" bestFit="1" customWidth="1"/>
    <col min="7" max="7" width="13.25" bestFit="1" customWidth="1"/>
    <col min="8" max="8" width="16" bestFit="1" customWidth="1"/>
    <col min="9" max="9" width="22.5" bestFit="1" customWidth="1"/>
    <col min="10" max="10" width="14.5" bestFit="1" customWidth="1"/>
    <col min="11" max="11" width="13.125" bestFit="1" customWidth="1"/>
    <col min="12" max="12" width="11.75" bestFit="1" customWidth="1"/>
    <col min="13" max="13" width="10.25" bestFit="1" customWidth="1"/>
    <col min="14" max="14" width="12.875" bestFit="1" customWidth="1"/>
    <col min="15" max="15" width="15" bestFit="1" customWidth="1"/>
    <col min="16" max="16" width="12.5" bestFit="1" customWidth="1"/>
  </cols>
  <sheetData>
    <row r="1" spans="1:16" ht="12" thickBot="1">
      <c r="A1" s="2" t="s">
        <v>67</v>
      </c>
      <c r="B1" s="3" t="s">
        <v>68</v>
      </c>
      <c r="C1" s="16" t="s">
        <v>32</v>
      </c>
      <c r="D1" s="3" t="s">
        <v>69</v>
      </c>
      <c r="E1" s="3" t="s">
        <v>70</v>
      </c>
      <c r="F1" s="3" t="s">
        <v>5</v>
      </c>
      <c r="G1" s="3" t="s">
        <v>7</v>
      </c>
      <c r="H1" s="3" t="s">
        <v>9</v>
      </c>
      <c r="I1" s="3" t="s">
        <v>11</v>
      </c>
      <c r="J1" s="3" t="s">
        <v>13</v>
      </c>
      <c r="K1" s="94" t="s">
        <v>33</v>
      </c>
      <c r="L1" s="3" t="s">
        <v>16</v>
      </c>
      <c r="M1" s="3" t="s">
        <v>17</v>
      </c>
      <c r="N1" s="3" t="s">
        <v>34</v>
      </c>
      <c r="O1" s="45" t="s">
        <v>20</v>
      </c>
      <c r="P1" s="168" t="s">
        <v>21</v>
      </c>
    </row>
    <row r="2" spans="1:16">
      <c r="A2" s="22" t="s">
        <v>50</v>
      </c>
      <c r="B2" s="20" t="s">
        <v>137</v>
      </c>
      <c r="C2" s="20" t="s">
        <v>138</v>
      </c>
      <c r="D2" s="20" t="s">
        <v>139</v>
      </c>
      <c r="E2" s="20">
        <v>1</v>
      </c>
      <c r="F2" s="20"/>
      <c r="G2" s="20"/>
      <c r="H2" s="20"/>
      <c r="I2" s="20"/>
      <c r="J2" s="20"/>
      <c r="K2" s="20"/>
      <c r="L2" s="20">
        <v>1</v>
      </c>
      <c r="M2" s="20">
        <v>1</v>
      </c>
      <c r="N2" s="28">
        <v>1</v>
      </c>
      <c r="O2" s="19">
        <v>1</v>
      </c>
      <c r="P2" s="19"/>
    </row>
    <row r="3" spans="1:16">
      <c r="A3" s="22"/>
      <c r="B3" s="20"/>
      <c r="C3" s="20"/>
      <c r="D3" s="20" t="s">
        <v>88</v>
      </c>
      <c r="E3" s="20">
        <v>1</v>
      </c>
      <c r="F3" s="20"/>
      <c r="G3" s="20"/>
      <c r="H3" s="20"/>
      <c r="I3" s="20"/>
      <c r="J3" s="20"/>
      <c r="K3" s="20"/>
      <c r="L3" s="20">
        <v>1</v>
      </c>
      <c r="M3" s="20">
        <v>1</v>
      </c>
      <c r="N3" s="28"/>
      <c r="O3" s="19"/>
      <c r="P3" s="19">
        <v>1</v>
      </c>
    </row>
    <row r="4" spans="1:16">
      <c r="A4" s="5"/>
      <c r="B4" s="1"/>
      <c r="C4" s="20"/>
      <c r="D4" s="20" t="s">
        <v>89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20"/>
      <c r="N4" s="28"/>
      <c r="O4" s="19"/>
      <c r="P4" s="19"/>
    </row>
    <row r="5" spans="1:16">
      <c r="A5" s="5"/>
      <c r="B5" s="1"/>
      <c r="C5" s="20"/>
      <c r="D5" s="20" t="s">
        <v>92</v>
      </c>
      <c r="E5" s="20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8"/>
      <c r="O5" s="19"/>
      <c r="P5" s="19"/>
    </row>
    <row r="6" spans="1:16">
      <c r="A6" s="5"/>
      <c r="B6" s="1"/>
      <c r="C6" s="20"/>
      <c r="D6" s="20" t="s">
        <v>87</v>
      </c>
      <c r="E6" s="20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/>
      <c r="O6" s="19"/>
      <c r="P6" s="19"/>
    </row>
    <row r="7" spans="1:16">
      <c r="A7" s="5"/>
      <c r="B7" s="1"/>
      <c r="C7" s="20"/>
      <c r="D7" s="20" t="s">
        <v>90</v>
      </c>
      <c r="E7" s="20">
        <v>1</v>
      </c>
      <c r="F7" s="20"/>
      <c r="G7" s="20"/>
      <c r="H7" s="20"/>
      <c r="I7" s="20"/>
      <c r="J7" s="20"/>
      <c r="K7" s="20"/>
      <c r="L7" s="20">
        <v>1</v>
      </c>
      <c r="M7" s="20">
        <v>1</v>
      </c>
      <c r="N7" s="28"/>
      <c r="O7" s="19"/>
      <c r="P7" s="19"/>
    </row>
    <row r="8" spans="1:16">
      <c r="A8" s="5"/>
      <c r="B8" s="1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8"/>
      <c r="O8" s="19"/>
      <c r="P8" s="19"/>
    </row>
    <row r="9" spans="1:16">
      <c r="A9" s="5"/>
      <c r="B9" s="1"/>
      <c r="C9" s="20" t="s">
        <v>140</v>
      </c>
      <c r="D9" s="20" t="s">
        <v>90</v>
      </c>
      <c r="E9" s="20">
        <v>1</v>
      </c>
      <c r="F9" s="20"/>
      <c r="G9" s="20"/>
      <c r="H9" s="20"/>
      <c r="I9" s="20"/>
      <c r="J9" s="20"/>
      <c r="K9" s="20"/>
      <c r="L9" s="20">
        <v>1</v>
      </c>
      <c r="M9" s="20">
        <v>1</v>
      </c>
      <c r="N9" s="28"/>
      <c r="O9" s="19"/>
      <c r="P9" s="19"/>
    </row>
    <row r="10" spans="1:16">
      <c r="A10" s="5"/>
      <c r="B10" s="1"/>
      <c r="C10" s="20"/>
      <c r="D10" s="20" t="s">
        <v>89</v>
      </c>
      <c r="E10" s="20">
        <v>1</v>
      </c>
      <c r="F10" s="20">
        <v>1</v>
      </c>
      <c r="G10" s="20">
        <v>1</v>
      </c>
      <c r="H10" s="20">
        <v>1</v>
      </c>
      <c r="I10" s="20">
        <v>1</v>
      </c>
      <c r="J10" s="20">
        <v>1</v>
      </c>
      <c r="K10" s="20">
        <v>1</v>
      </c>
      <c r="L10" s="20">
        <v>1</v>
      </c>
      <c r="M10" s="20"/>
      <c r="N10" s="28"/>
      <c r="O10" s="19"/>
      <c r="P10" s="19"/>
    </row>
    <row r="11" spans="1:16">
      <c r="A11" s="5"/>
      <c r="B11" s="1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8"/>
      <c r="O11" s="19"/>
      <c r="P11" s="19"/>
    </row>
    <row r="12" spans="1:16">
      <c r="A12" s="5"/>
      <c r="B12" s="1"/>
      <c r="C12" s="20" t="s">
        <v>141</v>
      </c>
      <c r="D12" s="20" t="s">
        <v>92</v>
      </c>
      <c r="E12" s="20">
        <v>1</v>
      </c>
      <c r="F12" s="20"/>
      <c r="G12" s="20"/>
      <c r="H12" s="20"/>
      <c r="I12" s="20"/>
      <c r="J12" s="20"/>
      <c r="K12" s="20"/>
      <c r="L12" s="20">
        <v>1</v>
      </c>
      <c r="M12" s="20">
        <v>1</v>
      </c>
      <c r="N12" s="28"/>
      <c r="O12" s="19"/>
      <c r="P12" s="19"/>
    </row>
    <row r="13" spans="1:16">
      <c r="A13" s="5"/>
      <c r="B13" s="1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8"/>
      <c r="O13" s="19"/>
      <c r="P13" s="19"/>
    </row>
    <row r="14" spans="1:16" ht="12" thickBot="1">
      <c r="A14" s="5"/>
      <c r="B14" s="1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9"/>
      <c r="O14" s="158"/>
      <c r="P14" s="158"/>
    </row>
    <row r="15" spans="1:16" ht="12" thickBot="1">
      <c r="A15" s="5"/>
      <c r="B15" s="1"/>
      <c r="C15" s="39" t="s">
        <v>63</v>
      </c>
      <c r="D15" s="40"/>
      <c r="E15" s="40"/>
      <c r="F15" s="40">
        <f>SUBTOTAL(109,Tabel3121433[Toiletrolhouder])</f>
        <v>2</v>
      </c>
      <c r="G15" s="40">
        <f>SUBTOTAL(109,Tabel3121433[Seatcleaner])</f>
        <v>2</v>
      </c>
      <c r="H15" s="40">
        <f>SUBTOTAL(109,Tabel3121433[Luchtverfrisser])</f>
        <v>2</v>
      </c>
      <c r="I15" s="40">
        <f>SUBTOTAL(109,Tabel3121433[Toiletborstel + houder])</f>
        <v>2</v>
      </c>
      <c r="J15" s="40">
        <f>SUBTOTAL(109,Tabel3121433[Vouwdoekjes])</f>
        <v>2</v>
      </c>
      <c r="K15" s="40">
        <f>SUBTOTAL(109,Tabel3121433[Verbandzakhouder])</f>
        <v>2</v>
      </c>
      <c r="L15" s="40">
        <f>SUBTOTAL(109,Tabel3121433[Foamzeep])</f>
        <v>9</v>
      </c>
      <c r="M15" s="160">
        <f>SUBTOTAL(109,Tabel3121433[Poetsrol])</f>
        <v>7</v>
      </c>
      <c r="N15" s="39">
        <f>SUBTOTAL(109,Tabel3121433[Handcreme])</f>
        <v>1</v>
      </c>
      <c r="O15" s="40">
        <f>SUBTOTAL(109,Tabel3121433[Industriezeep])</f>
        <v>1</v>
      </c>
      <c r="P15" s="44">
        <f>SUM(P2:P14)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C631-462B-46E7-A491-42B02147321A}">
  <dimension ref="A1:P9"/>
  <sheetViews>
    <sheetView zoomScale="85" zoomScaleNormal="85" workbookViewId="0">
      <selection activeCell="F15" sqref="F15"/>
    </sheetView>
  </sheetViews>
  <sheetFormatPr defaultRowHeight="11.25"/>
  <cols>
    <col min="1" max="1" width="12.25" bestFit="1" customWidth="1"/>
    <col min="2" max="2" width="14" customWidth="1"/>
    <col min="3" max="3" width="18.25" customWidth="1"/>
    <col min="4" max="4" width="18.875" bestFit="1" customWidth="1"/>
    <col min="5" max="5" width="8.375" bestFit="1" customWidth="1"/>
    <col min="6" max="6" width="15.875" bestFit="1" customWidth="1"/>
    <col min="7" max="7" width="13" bestFit="1" customWidth="1"/>
    <col min="8" max="8" width="15.875" bestFit="1" customWidth="1"/>
    <col min="9" max="9" width="21.75" bestFit="1" customWidth="1"/>
    <col min="10" max="10" width="14.25" bestFit="1" customWidth="1"/>
    <col min="11" max="11" width="12.875" bestFit="1" customWidth="1"/>
    <col min="12" max="12" width="11.5" bestFit="1" customWidth="1"/>
    <col min="13" max="13" width="10" bestFit="1" customWidth="1"/>
    <col min="14" max="14" width="12.5" bestFit="1" customWidth="1"/>
    <col min="15" max="15" width="14.5" bestFit="1" customWidth="1"/>
    <col min="16" max="16" width="16.875" customWidth="1"/>
  </cols>
  <sheetData>
    <row r="1" spans="1:16" ht="12" thickBot="1">
      <c r="A1" s="8" t="s">
        <v>67</v>
      </c>
      <c r="B1" s="9" t="s">
        <v>68</v>
      </c>
      <c r="C1" s="3" t="s">
        <v>32</v>
      </c>
      <c r="D1" s="3" t="s">
        <v>69</v>
      </c>
      <c r="E1" s="3" t="s">
        <v>70</v>
      </c>
      <c r="F1" s="3" t="s">
        <v>5</v>
      </c>
      <c r="G1" s="3" t="s">
        <v>7</v>
      </c>
      <c r="H1" s="3" t="s">
        <v>9</v>
      </c>
      <c r="I1" s="3" t="s">
        <v>11</v>
      </c>
      <c r="J1" s="3" t="s">
        <v>13</v>
      </c>
      <c r="K1" s="94" t="s">
        <v>33</v>
      </c>
      <c r="L1" s="3" t="s">
        <v>16</v>
      </c>
      <c r="M1" s="3" t="s">
        <v>17</v>
      </c>
      <c r="N1" s="3" t="s">
        <v>34</v>
      </c>
      <c r="O1" s="45" t="s">
        <v>20</v>
      </c>
      <c r="P1" s="168" t="s">
        <v>21</v>
      </c>
    </row>
    <row r="2" spans="1:16">
      <c r="A2" s="27" t="s">
        <v>142</v>
      </c>
      <c r="B2" s="28" t="s">
        <v>143</v>
      </c>
      <c r="C2" s="20" t="s">
        <v>109</v>
      </c>
      <c r="D2" s="19" t="s">
        <v>73</v>
      </c>
      <c r="E2" s="20">
        <v>1</v>
      </c>
      <c r="F2" s="20">
        <v>1</v>
      </c>
      <c r="G2" s="20">
        <v>1</v>
      </c>
      <c r="H2" s="20">
        <v>1</v>
      </c>
      <c r="I2" s="20">
        <v>1</v>
      </c>
      <c r="J2" s="20">
        <v>1</v>
      </c>
      <c r="K2" s="20"/>
      <c r="L2" s="20">
        <v>1</v>
      </c>
      <c r="M2" s="20"/>
      <c r="N2" s="28"/>
      <c r="O2" s="19"/>
      <c r="P2" s="80"/>
    </row>
    <row r="3" spans="1:16">
      <c r="A3" s="27"/>
      <c r="B3" s="28"/>
      <c r="C3" s="6"/>
      <c r="D3" s="20" t="s">
        <v>74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/>
      <c r="N3" s="28"/>
      <c r="O3" s="19"/>
      <c r="P3" s="80"/>
    </row>
    <row r="4" spans="1:16">
      <c r="A4" s="27"/>
      <c r="B4" s="28"/>
      <c r="C4" s="20"/>
      <c r="D4" s="20" t="s">
        <v>88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>
        <v>1</v>
      </c>
      <c r="O4" s="19">
        <v>1</v>
      </c>
      <c r="P4" s="19">
        <v>1</v>
      </c>
    </row>
    <row r="5" spans="1:16">
      <c r="A5" s="27"/>
      <c r="B5" s="28"/>
      <c r="C5" s="20"/>
      <c r="D5" s="20" t="s">
        <v>87</v>
      </c>
      <c r="E5" s="20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8"/>
      <c r="O5" s="19"/>
      <c r="P5" s="80"/>
    </row>
    <row r="6" spans="1:16">
      <c r="A6" s="27"/>
      <c r="B6" s="28"/>
      <c r="C6" s="27"/>
      <c r="D6" s="20" t="s">
        <v>90</v>
      </c>
      <c r="E6" s="20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/>
      <c r="O6" s="19"/>
      <c r="P6" s="80"/>
    </row>
    <row r="7" spans="1:16">
      <c r="A7" s="27"/>
      <c r="B7" s="28"/>
      <c r="C7" s="27"/>
      <c r="D7" s="20" t="s">
        <v>95</v>
      </c>
      <c r="E7" s="20">
        <v>1</v>
      </c>
      <c r="F7" s="20"/>
      <c r="G7" s="20"/>
      <c r="H7" s="20"/>
      <c r="I7" s="20"/>
      <c r="J7" s="20"/>
      <c r="K7" s="20"/>
      <c r="L7" s="20"/>
      <c r="M7" s="20">
        <v>1</v>
      </c>
      <c r="N7" s="28"/>
      <c r="O7" s="19"/>
      <c r="P7" s="80"/>
    </row>
    <row r="8" spans="1:16" ht="12" thickBot="1">
      <c r="A8" s="27"/>
      <c r="B8" s="28"/>
      <c r="C8" s="27"/>
      <c r="D8" s="20"/>
      <c r="E8" s="20"/>
      <c r="F8" s="20"/>
      <c r="G8" s="20"/>
      <c r="H8" s="20"/>
      <c r="I8" s="20"/>
      <c r="J8" s="20"/>
      <c r="K8" s="20"/>
      <c r="L8" s="20"/>
      <c r="M8" s="20"/>
      <c r="N8" s="28"/>
      <c r="O8" s="158"/>
      <c r="P8" s="157"/>
    </row>
    <row r="9" spans="1:16" ht="12" thickBot="1">
      <c r="A9" s="27"/>
      <c r="B9" s="28"/>
      <c r="C9" s="39" t="s">
        <v>63</v>
      </c>
      <c r="D9" s="40"/>
      <c r="E9" s="40"/>
      <c r="F9" s="40">
        <f>SUBTOTAL(109,Tabel312143351[Toiletrolhouder])</f>
        <v>2</v>
      </c>
      <c r="G9" s="40">
        <f>SUBTOTAL(109,Tabel312143351[Seatcleaner])</f>
        <v>2</v>
      </c>
      <c r="H9" s="40">
        <f>SUBTOTAL(109,Tabel312143351[Luchtverfrisser])</f>
        <v>2</v>
      </c>
      <c r="I9" s="40">
        <f>SUBTOTAL(109,Tabel312143351[Toiletborstel + houder])</f>
        <v>2</v>
      </c>
      <c r="J9" s="40">
        <f>SUBTOTAL(109,Tabel312143351[Vouwdoekjes])</f>
        <v>2</v>
      </c>
      <c r="K9" s="40">
        <f>SUBTOTAL(109,Tabel312143351[Verbandzakhouder])</f>
        <v>1</v>
      </c>
      <c r="L9" s="40">
        <f>SUBTOTAL(109,Tabel312143351[Foamzeep])</f>
        <v>5</v>
      </c>
      <c r="M9" s="40">
        <f>SUBTOTAL(109,Tabel312143351[Poetsrol])</f>
        <v>4</v>
      </c>
      <c r="N9" s="160">
        <f>SUBTOTAL(109,Tabel312143351[Handcreme])</f>
        <v>1</v>
      </c>
      <c r="O9" s="39">
        <f>SUBTOTAL(109,Tabel312143351[Industriezeep])</f>
        <v>1</v>
      </c>
      <c r="P9" s="44">
        <f>SUM(P2:P8)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39D3-B1C2-4A85-AFDE-E9FCFB7CA2E0}">
  <dimension ref="A1:P12"/>
  <sheetViews>
    <sheetView zoomScale="85" zoomScaleNormal="85" workbookViewId="0">
      <selection activeCell="P37" sqref="P37"/>
    </sheetView>
  </sheetViews>
  <sheetFormatPr defaultRowHeight="11.25"/>
  <cols>
    <col min="1" max="1" width="14.75" style="18" bestFit="1" customWidth="1"/>
    <col min="2" max="3" width="13.25" style="18" bestFit="1" customWidth="1"/>
    <col min="4" max="4" width="18.875" style="18" bestFit="1" customWidth="1"/>
    <col min="5" max="5" width="8.375" style="18" bestFit="1" customWidth="1"/>
    <col min="6" max="6" width="15.875" style="18" bestFit="1" customWidth="1"/>
    <col min="7" max="7" width="13" style="18" bestFit="1" customWidth="1"/>
    <col min="8" max="8" width="15.875" style="18" bestFit="1" customWidth="1"/>
    <col min="9" max="9" width="21.75" style="18" bestFit="1" customWidth="1"/>
    <col min="10" max="10" width="14.25" style="18" bestFit="1" customWidth="1"/>
    <col min="11" max="11" width="12.875" style="18" bestFit="1" customWidth="1"/>
    <col min="12" max="12" width="11.5" style="18" bestFit="1" customWidth="1"/>
    <col min="13" max="13" width="10" style="18" bestFit="1" customWidth="1"/>
    <col min="14" max="14" width="12.5" style="18" bestFit="1" customWidth="1"/>
    <col min="15" max="15" width="14.5" style="18" bestFit="1" customWidth="1"/>
    <col min="16" max="16" width="15.125" style="18" customWidth="1"/>
    <col min="17" max="16384" width="9" style="18"/>
  </cols>
  <sheetData>
    <row r="1" spans="1:16" ht="12" thickBot="1">
      <c r="A1" s="25" t="s">
        <v>67</v>
      </c>
      <c r="B1" s="26" t="s">
        <v>68</v>
      </c>
      <c r="C1" s="16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94" t="s">
        <v>33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21</v>
      </c>
    </row>
    <row r="2" spans="1:16">
      <c r="A2" s="27" t="s">
        <v>52</v>
      </c>
      <c r="B2" s="28" t="s">
        <v>144</v>
      </c>
      <c r="C2" s="52" t="s">
        <v>86</v>
      </c>
      <c r="D2" s="19" t="s">
        <v>73</v>
      </c>
      <c r="E2" s="20">
        <v>4</v>
      </c>
      <c r="F2" s="20">
        <v>4</v>
      </c>
      <c r="G2" s="20">
        <v>4</v>
      </c>
      <c r="H2" s="20">
        <v>4</v>
      </c>
      <c r="I2" s="20">
        <v>4</v>
      </c>
      <c r="J2" s="20">
        <v>2</v>
      </c>
      <c r="K2" s="20"/>
      <c r="L2" s="20">
        <v>4</v>
      </c>
      <c r="M2" s="20"/>
      <c r="N2" s="28"/>
      <c r="O2" s="19"/>
      <c r="P2" s="19"/>
    </row>
    <row r="3" spans="1:16">
      <c r="A3" s="27"/>
      <c r="B3" s="28"/>
      <c r="C3" s="27"/>
      <c r="D3" s="20" t="s">
        <v>74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/>
      <c r="N3" s="28"/>
      <c r="O3" s="19"/>
      <c r="P3" s="19"/>
    </row>
    <row r="4" spans="1:16">
      <c r="A4" s="27"/>
      <c r="B4" s="28"/>
      <c r="C4" s="27"/>
      <c r="D4" s="20" t="s">
        <v>88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>
        <v>1</v>
      </c>
      <c r="O4" s="19">
        <v>1</v>
      </c>
      <c r="P4" s="19">
        <v>1</v>
      </c>
    </row>
    <row r="5" spans="1:16">
      <c r="A5" s="27"/>
      <c r="B5" s="28"/>
      <c r="C5" s="27"/>
      <c r="D5" s="20" t="s">
        <v>90</v>
      </c>
      <c r="E5" s="20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8"/>
      <c r="O5" s="19"/>
      <c r="P5" s="19"/>
    </row>
    <row r="6" spans="1:16">
      <c r="A6" s="27"/>
      <c r="B6" s="28"/>
      <c r="C6" s="27"/>
      <c r="D6" s="20" t="s">
        <v>95</v>
      </c>
      <c r="E6" s="20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/>
      <c r="O6" s="19"/>
      <c r="P6" s="19"/>
    </row>
    <row r="7" spans="1:16">
      <c r="A7" s="27"/>
      <c r="B7" s="28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8"/>
      <c r="O7" s="19"/>
      <c r="P7" s="19"/>
    </row>
    <row r="8" spans="1:16">
      <c r="A8" s="27"/>
      <c r="B8" s="28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8"/>
      <c r="O8" s="19"/>
      <c r="P8" s="19"/>
    </row>
    <row r="9" spans="1:16">
      <c r="A9" s="27"/>
      <c r="B9" s="28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8"/>
      <c r="O9" s="19"/>
      <c r="P9" s="19"/>
    </row>
    <row r="10" spans="1:16">
      <c r="A10" s="27"/>
      <c r="B10" s="28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8"/>
      <c r="O10" s="19"/>
      <c r="P10" s="19"/>
    </row>
    <row r="11" spans="1:16" ht="12" thickBot="1"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9"/>
      <c r="O11" s="158"/>
      <c r="P11" s="158"/>
    </row>
    <row r="12" spans="1:16" ht="12" thickBot="1">
      <c r="C12" s="39" t="s">
        <v>63</v>
      </c>
      <c r="D12" s="40"/>
      <c r="E12" s="40"/>
      <c r="F12" s="40">
        <f>SUBTOTAL(109,Tabel31214335135[Toiletrolhouder])</f>
        <v>5</v>
      </c>
      <c r="G12" s="40">
        <f>SUBTOTAL(109,Tabel31214335135[Seatcleaner])</f>
        <v>5</v>
      </c>
      <c r="H12" s="40">
        <f>SUBTOTAL(109,Tabel31214335135[Luchtverfrisser])</f>
        <v>5</v>
      </c>
      <c r="I12" s="40">
        <f>SUBTOTAL(109,Tabel31214335135[Toiletborstel + houder])</f>
        <v>5</v>
      </c>
      <c r="J12" s="40">
        <f>SUBTOTAL(109,Tabel31214335135[Vouwdoekjes])</f>
        <v>3</v>
      </c>
      <c r="K12" s="40">
        <f>SUBTOTAL(109,Tabel31214335135[Verbandzakhouder])</f>
        <v>1</v>
      </c>
      <c r="L12" s="40">
        <f>SUBTOTAL(109,Tabel31214335135[Foamzeep])</f>
        <v>8</v>
      </c>
      <c r="M12" s="40">
        <f>SUBTOTAL(109,Tabel31214335135[Poetsrol])</f>
        <v>3</v>
      </c>
      <c r="N12" s="160">
        <f>SUBTOTAL(109,Tabel31214335135[Handcreme])</f>
        <v>1</v>
      </c>
      <c r="O12" s="39">
        <f>SUBTOTAL(109,Tabel31214335135[Industriezeep])</f>
        <v>1</v>
      </c>
      <c r="P12" s="44">
        <f>SUM(P2:P11)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8377-0DB5-4029-8428-26849BA06C5B}">
  <dimension ref="A1:P17"/>
  <sheetViews>
    <sheetView zoomScale="85" zoomScaleNormal="85" workbookViewId="0">
      <selection activeCell="M26" sqref="M26"/>
    </sheetView>
  </sheetViews>
  <sheetFormatPr defaultRowHeight="11.25"/>
  <cols>
    <col min="1" max="1" width="11.375" bestFit="1" customWidth="1"/>
    <col min="2" max="3" width="17.125" customWidth="1"/>
    <col min="4" max="4" width="18.875" bestFit="1" customWidth="1"/>
    <col min="5" max="5" width="19.75" bestFit="1" customWidth="1"/>
    <col min="6" max="6" width="15.875" bestFit="1" customWidth="1"/>
    <col min="7" max="7" width="13" bestFit="1" customWidth="1"/>
    <col min="8" max="8" width="15.875" bestFit="1" customWidth="1"/>
    <col min="9" max="9" width="21.75" bestFit="1" customWidth="1"/>
    <col min="10" max="10" width="14.25" bestFit="1" customWidth="1"/>
    <col min="11" max="11" width="12.875" bestFit="1" customWidth="1"/>
    <col min="12" max="12" width="11.5" bestFit="1" customWidth="1"/>
    <col min="13" max="13" width="10" bestFit="1" customWidth="1"/>
    <col min="14" max="14" width="12.5" bestFit="1" customWidth="1"/>
    <col min="15" max="15" width="14.5" bestFit="1" customWidth="1"/>
    <col min="16" max="16" width="12.5" bestFit="1" customWidth="1"/>
  </cols>
  <sheetData>
    <row r="1" spans="1:16" ht="12" thickBot="1">
      <c r="A1" s="2" t="s">
        <v>67</v>
      </c>
      <c r="B1" s="3" t="s">
        <v>68</v>
      </c>
      <c r="C1" s="3" t="s">
        <v>32</v>
      </c>
      <c r="D1" s="3" t="s">
        <v>69</v>
      </c>
      <c r="E1" s="3" t="s">
        <v>70</v>
      </c>
      <c r="F1" s="3" t="s">
        <v>5</v>
      </c>
      <c r="G1" s="3" t="s">
        <v>7</v>
      </c>
      <c r="H1" s="3" t="s">
        <v>9</v>
      </c>
      <c r="I1" s="3" t="s">
        <v>11</v>
      </c>
      <c r="J1" s="3" t="s">
        <v>13</v>
      </c>
      <c r="K1" s="94" t="s">
        <v>33</v>
      </c>
      <c r="L1" s="3" t="s">
        <v>16</v>
      </c>
      <c r="M1" s="3" t="s">
        <v>17</v>
      </c>
      <c r="N1" s="3" t="s">
        <v>34</v>
      </c>
      <c r="O1" s="45" t="s">
        <v>20</v>
      </c>
      <c r="P1" s="168" t="s">
        <v>21</v>
      </c>
    </row>
    <row r="2" spans="1:16">
      <c r="A2" s="22" t="s">
        <v>53</v>
      </c>
      <c r="B2" s="20" t="s">
        <v>145</v>
      </c>
      <c r="C2" s="20" t="s">
        <v>86</v>
      </c>
      <c r="D2" s="20" t="s">
        <v>146</v>
      </c>
      <c r="E2" s="20">
        <v>1</v>
      </c>
      <c r="F2" s="20"/>
      <c r="G2" s="20"/>
      <c r="H2" s="20"/>
      <c r="I2" s="20"/>
      <c r="J2" s="20"/>
      <c r="K2" s="20"/>
      <c r="L2" s="20">
        <v>2</v>
      </c>
      <c r="M2" s="20">
        <v>2</v>
      </c>
      <c r="N2" s="28"/>
      <c r="O2" s="19"/>
      <c r="P2" s="19"/>
    </row>
    <row r="3" spans="1:16">
      <c r="A3" s="5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8"/>
      <c r="O3" s="19"/>
      <c r="P3" s="19"/>
    </row>
    <row r="4" spans="1:16">
      <c r="A4" s="5"/>
      <c r="B4" s="20"/>
      <c r="C4" s="20"/>
      <c r="D4" s="20" t="s">
        <v>127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/>
      <c r="O4" s="19"/>
      <c r="P4" s="19"/>
    </row>
    <row r="5" spans="1:16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8"/>
      <c r="O5" s="19"/>
      <c r="P5" s="19"/>
    </row>
    <row r="6" spans="1:16">
      <c r="A6" s="5"/>
      <c r="B6" s="20"/>
      <c r="C6" s="20"/>
      <c r="D6" s="20" t="s">
        <v>88</v>
      </c>
      <c r="E6" s="20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>
        <v>1</v>
      </c>
      <c r="O6" s="19">
        <v>1</v>
      </c>
      <c r="P6" s="19">
        <v>1</v>
      </c>
    </row>
    <row r="7" spans="1:16">
      <c r="A7" s="5"/>
      <c r="B7" s="20"/>
      <c r="C7" s="27"/>
      <c r="D7" s="20"/>
      <c r="E7" s="20"/>
      <c r="F7" s="20"/>
      <c r="G7" s="20"/>
      <c r="H7" s="20"/>
      <c r="I7" s="20"/>
      <c r="J7" s="20"/>
      <c r="K7" s="20"/>
      <c r="L7" s="20"/>
      <c r="M7" s="20"/>
      <c r="N7" s="28"/>
      <c r="O7" s="19"/>
      <c r="P7" s="19"/>
    </row>
    <row r="8" spans="1:16">
      <c r="A8" s="5"/>
      <c r="B8" s="20"/>
      <c r="C8" s="20"/>
      <c r="D8" s="20" t="s">
        <v>87</v>
      </c>
      <c r="E8" s="20">
        <v>1</v>
      </c>
      <c r="F8" s="20"/>
      <c r="G8" s="20"/>
      <c r="H8" s="20"/>
      <c r="I8" s="20"/>
      <c r="J8" s="20"/>
      <c r="K8" s="20"/>
      <c r="L8" s="20">
        <v>1</v>
      </c>
      <c r="M8" s="20">
        <v>1</v>
      </c>
      <c r="N8" s="28"/>
      <c r="O8" s="19"/>
      <c r="P8" s="19"/>
    </row>
    <row r="9" spans="1:16">
      <c r="A9" s="5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8"/>
      <c r="O9" s="19"/>
      <c r="P9" s="19"/>
    </row>
    <row r="10" spans="1:16">
      <c r="A10" s="5"/>
      <c r="B10" s="20"/>
      <c r="C10" s="20"/>
      <c r="D10" s="20" t="s">
        <v>95</v>
      </c>
      <c r="E10" s="20">
        <v>1</v>
      </c>
      <c r="F10" s="20"/>
      <c r="G10" s="20"/>
      <c r="H10" s="20"/>
      <c r="I10" s="20"/>
      <c r="J10" s="20"/>
      <c r="K10" s="20"/>
      <c r="L10" s="20">
        <v>1</v>
      </c>
      <c r="M10" s="20">
        <v>1</v>
      </c>
      <c r="N10" s="28">
        <v>1</v>
      </c>
      <c r="O10" s="19">
        <v>1</v>
      </c>
      <c r="P10" s="19"/>
    </row>
    <row r="11" spans="1:16">
      <c r="A11" s="5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8"/>
      <c r="O11" s="19"/>
      <c r="P11" s="19"/>
    </row>
    <row r="12" spans="1:16">
      <c r="A12" s="5"/>
      <c r="B12" s="20"/>
      <c r="C12" s="20"/>
      <c r="D12" s="20" t="s">
        <v>89</v>
      </c>
      <c r="E12" s="20">
        <v>1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s="20"/>
      <c r="N12" s="28"/>
      <c r="O12" s="19"/>
      <c r="P12" s="19"/>
    </row>
    <row r="13" spans="1:16">
      <c r="A13" s="5"/>
      <c r="B13" s="20"/>
      <c r="C13" s="20"/>
      <c r="D13" s="20" t="s">
        <v>90</v>
      </c>
      <c r="E13" s="20">
        <v>1</v>
      </c>
      <c r="F13" s="20"/>
      <c r="G13" s="20"/>
      <c r="H13" s="20"/>
      <c r="I13" s="20"/>
      <c r="J13" s="20"/>
      <c r="K13" s="20"/>
      <c r="L13" s="20">
        <v>1</v>
      </c>
      <c r="M13" s="20">
        <v>1</v>
      </c>
      <c r="N13" s="28"/>
      <c r="O13" s="19"/>
      <c r="P13" s="19"/>
    </row>
    <row r="14" spans="1:16">
      <c r="A14" s="5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8"/>
      <c r="O14" s="19"/>
      <c r="P14" s="19"/>
    </row>
    <row r="15" spans="1:16">
      <c r="A15" s="5"/>
      <c r="B15" s="20"/>
      <c r="C15" s="20"/>
      <c r="D15" s="20" t="s">
        <v>147</v>
      </c>
      <c r="E15" s="20">
        <v>1</v>
      </c>
      <c r="F15" s="20"/>
      <c r="G15" s="20"/>
      <c r="H15" s="20"/>
      <c r="I15" s="20"/>
      <c r="J15" s="20"/>
      <c r="K15" s="20"/>
      <c r="L15" s="20">
        <v>1</v>
      </c>
      <c r="M15" s="20">
        <v>1</v>
      </c>
      <c r="N15" s="28"/>
      <c r="O15" s="19"/>
      <c r="P15" s="19"/>
    </row>
    <row r="16" spans="1:16" ht="12" thickBot="1">
      <c r="A16" s="5"/>
      <c r="B16" s="20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9"/>
      <c r="O16" s="158"/>
      <c r="P16" s="158"/>
    </row>
    <row r="17" spans="3:16" ht="12" thickBot="1">
      <c r="C17" s="39" t="s">
        <v>63</v>
      </c>
      <c r="D17" s="40"/>
      <c r="E17" s="40"/>
      <c r="F17" s="40">
        <f>SUBTOTAL(109,Tabel3121437[Toiletrolhouder])</f>
        <v>1</v>
      </c>
      <c r="G17" s="40">
        <f>SUBTOTAL(109,Tabel3121437[Seatcleaner])</f>
        <v>1</v>
      </c>
      <c r="H17" s="40">
        <f>SUBTOTAL(109,Tabel3121437[Luchtverfrisser])</f>
        <v>1</v>
      </c>
      <c r="I17" s="40">
        <f>SUBTOTAL(109,Tabel3121437[Toiletborstel + houder])</f>
        <v>1</v>
      </c>
      <c r="J17" s="40">
        <f>SUBTOTAL(109,Tabel3121437[Vouwdoekjes])</f>
        <v>1</v>
      </c>
      <c r="K17" s="40">
        <f>SUBTOTAL(109,Tabel3121437[Verbandzakhouder])</f>
        <v>1</v>
      </c>
      <c r="L17" s="40">
        <f>SUBTOTAL(109,Tabel3121437[Foamzeep])</f>
        <v>9</v>
      </c>
      <c r="M17" s="40">
        <f>SUBTOTAL(109,Tabel3121437[Poetsrol])</f>
        <v>8</v>
      </c>
      <c r="N17" s="160">
        <f>SUBTOTAL(109,Tabel3121437[Handcreme])</f>
        <v>2</v>
      </c>
      <c r="O17" s="39">
        <f>SUBTOTAL(109,Tabel3121437[Industriezeep])</f>
        <v>2</v>
      </c>
      <c r="P17" s="44">
        <f>SUM(P2:P16)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95B3-E6A7-4C9F-9A6F-891B54F7B4B3}">
  <dimension ref="A1:P17"/>
  <sheetViews>
    <sheetView zoomScale="85" zoomScaleNormal="85" workbookViewId="0">
      <selection activeCell="P27" sqref="P27"/>
    </sheetView>
  </sheetViews>
  <sheetFormatPr defaultRowHeight="11.25"/>
  <cols>
    <col min="1" max="3" width="18.875" style="18" bestFit="1" customWidth="1"/>
    <col min="4" max="4" width="16.75" style="18" bestFit="1" customWidth="1"/>
    <col min="5" max="5" width="19.75" style="18" bestFit="1" customWidth="1"/>
    <col min="6" max="6" width="15.875" style="18" bestFit="1" customWidth="1"/>
    <col min="7" max="7" width="13" style="18" bestFit="1" customWidth="1"/>
    <col min="8" max="8" width="15.875" style="18" bestFit="1" customWidth="1"/>
    <col min="9" max="9" width="21.75" style="18" bestFit="1" customWidth="1"/>
    <col min="10" max="10" width="14.25" style="18" bestFit="1" customWidth="1"/>
    <col min="11" max="11" width="12.875" style="18" bestFit="1" customWidth="1"/>
    <col min="12" max="12" width="11.5" style="18" bestFit="1" customWidth="1"/>
    <col min="13" max="13" width="10" style="18" bestFit="1" customWidth="1"/>
    <col min="14" max="14" width="12.5" style="18" bestFit="1" customWidth="1"/>
    <col min="15" max="15" width="14.5" style="18" bestFit="1" customWidth="1"/>
    <col min="16" max="16" width="12.5" style="18" bestFit="1" customWidth="1"/>
    <col min="17" max="16384" width="9" style="18"/>
  </cols>
  <sheetData>
    <row r="1" spans="1:16" ht="12" thickBot="1">
      <c r="A1" s="15" t="s">
        <v>67</v>
      </c>
      <c r="B1" s="16" t="s">
        <v>68</v>
      </c>
      <c r="C1" s="16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94" t="s">
        <v>33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21</v>
      </c>
    </row>
    <row r="2" spans="1:16">
      <c r="A2" s="24" t="s">
        <v>54</v>
      </c>
      <c r="B2" s="24" t="s">
        <v>148</v>
      </c>
      <c r="C2" s="20" t="s">
        <v>149</v>
      </c>
      <c r="D2" s="20" t="s">
        <v>87</v>
      </c>
      <c r="E2" s="20">
        <v>1</v>
      </c>
      <c r="F2" s="20"/>
      <c r="G2" s="20"/>
      <c r="H2" s="20"/>
      <c r="I2" s="20"/>
      <c r="J2" s="20">
        <v>1</v>
      </c>
      <c r="K2" s="20"/>
      <c r="L2" s="20">
        <v>1</v>
      </c>
      <c r="M2" s="20"/>
      <c r="N2" s="28"/>
      <c r="O2" s="19"/>
      <c r="P2" s="19"/>
    </row>
    <row r="3" spans="1:16">
      <c r="A3" s="19"/>
      <c r="B3" s="80"/>
      <c r="C3" s="27"/>
      <c r="D3" s="1"/>
      <c r="E3" s="20"/>
      <c r="F3" s="20"/>
      <c r="G3" s="20"/>
      <c r="H3" s="20"/>
      <c r="I3" s="20"/>
      <c r="J3" s="20"/>
      <c r="K3" s="20"/>
      <c r="L3" s="20"/>
      <c r="M3" s="20"/>
      <c r="N3" s="28"/>
      <c r="O3" s="19"/>
      <c r="P3" s="19"/>
    </row>
    <row r="4" spans="1:16">
      <c r="A4" s="19"/>
      <c r="B4" s="80"/>
      <c r="C4" s="27" t="s">
        <v>149</v>
      </c>
      <c r="D4" s="20" t="s">
        <v>150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/>
      <c r="O4" s="19"/>
      <c r="P4" s="19">
        <v>1</v>
      </c>
    </row>
    <row r="5" spans="1:16">
      <c r="A5" s="19"/>
      <c r="B5" s="80"/>
      <c r="C5" s="27"/>
      <c r="D5" s="20" t="s">
        <v>151</v>
      </c>
      <c r="E5" s="20">
        <v>1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/>
      <c r="L5" s="20"/>
      <c r="M5" s="20"/>
      <c r="N5" s="28"/>
      <c r="O5" s="19"/>
      <c r="P5" s="19"/>
    </row>
    <row r="6" spans="1:16">
      <c r="A6" s="19"/>
      <c r="B6" s="80"/>
      <c r="C6" s="27"/>
      <c r="D6" s="20" t="s">
        <v>152</v>
      </c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/>
      <c r="M6" s="20"/>
      <c r="N6" s="28"/>
      <c r="O6" s="19"/>
      <c r="P6" s="19"/>
    </row>
    <row r="7" spans="1:16">
      <c r="A7" s="19"/>
      <c r="B7" s="80"/>
      <c r="C7" s="27"/>
      <c r="D7" s="20" t="s">
        <v>116</v>
      </c>
      <c r="E7" s="20">
        <v>1</v>
      </c>
      <c r="F7" s="20"/>
      <c r="G7" s="20"/>
      <c r="H7" s="20"/>
      <c r="I7" s="20"/>
      <c r="J7" s="20">
        <v>1</v>
      </c>
      <c r="K7" s="20"/>
      <c r="L7" s="20"/>
      <c r="M7" s="20"/>
      <c r="N7" s="28"/>
      <c r="O7" s="19"/>
      <c r="P7" s="19"/>
    </row>
    <row r="8" spans="1:16">
      <c r="A8" s="19"/>
      <c r="B8" s="80"/>
      <c r="C8" s="27"/>
      <c r="D8" s="1"/>
      <c r="E8" s="20"/>
      <c r="F8" s="20"/>
      <c r="G8" s="20"/>
      <c r="H8" s="20"/>
      <c r="I8" s="20"/>
      <c r="J8" s="20"/>
      <c r="K8" s="20"/>
      <c r="L8" s="20"/>
      <c r="M8" s="20"/>
      <c r="N8" s="28"/>
      <c r="O8" s="19"/>
      <c r="P8" s="19"/>
    </row>
    <row r="9" spans="1:16">
      <c r="A9" s="19"/>
      <c r="B9" s="80"/>
      <c r="C9" s="27" t="s">
        <v>149</v>
      </c>
      <c r="D9" s="20" t="s">
        <v>95</v>
      </c>
      <c r="E9" s="20">
        <v>1</v>
      </c>
      <c r="F9" s="20"/>
      <c r="G9" s="20"/>
      <c r="H9" s="20"/>
      <c r="I9" s="20"/>
      <c r="J9" s="20"/>
      <c r="K9" s="20"/>
      <c r="L9" s="20">
        <v>1</v>
      </c>
      <c r="M9" s="20">
        <v>1</v>
      </c>
      <c r="N9" s="28">
        <v>1</v>
      </c>
      <c r="O9" s="19">
        <v>1</v>
      </c>
      <c r="P9" s="19"/>
    </row>
    <row r="10" spans="1:16">
      <c r="A10" s="19"/>
      <c r="B10" s="80"/>
      <c r="C10" s="27"/>
      <c r="D10" s="1"/>
      <c r="E10" s="20"/>
      <c r="F10" s="20"/>
      <c r="G10" s="20"/>
      <c r="H10" s="20"/>
      <c r="I10" s="20"/>
      <c r="J10" s="20"/>
      <c r="K10" s="20"/>
      <c r="L10" s="20"/>
      <c r="M10" s="20"/>
      <c r="N10" s="28"/>
      <c r="O10" s="19"/>
      <c r="P10" s="19"/>
    </row>
    <row r="11" spans="1:16">
      <c r="A11" s="19"/>
      <c r="B11" s="80"/>
      <c r="C11" s="27" t="s">
        <v>149</v>
      </c>
      <c r="D11" s="20" t="s">
        <v>90</v>
      </c>
      <c r="E11" s="20">
        <v>1</v>
      </c>
      <c r="F11" s="20"/>
      <c r="G11" s="20"/>
      <c r="H11" s="20"/>
      <c r="I11" s="20"/>
      <c r="J11" s="20"/>
      <c r="K11" s="20"/>
      <c r="L11" s="20">
        <v>1</v>
      </c>
      <c r="M11" s="20">
        <v>1</v>
      </c>
      <c r="N11" s="28"/>
      <c r="O11" s="19"/>
      <c r="P11" s="19"/>
    </row>
    <row r="12" spans="1:16">
      <c r="A12" s="19"/>
      <c r="B12" s="80"/>
      <c r="C12" s="27"/>
      <c r="D12" s="1"/>
      <c r="E12" s="20"/>
      <c r="F12" s="20"/>
      <c r="G12" s="20"/>
      <c r="H12" s="20"/>
      <c r="I12" s="20"/>
      <c r="J12" s="20"/>
      <c r="K12" s="20"/>
      <c r="L12" s="20"/>
      <c r="M12" s="20"/>
      <c r="N12" s="28"/>
      <c r="O12" s="19"/>
      <c r="P12" s="19"/>
    </row>
    <row r="13" spans="1:16">
      <c r="A13" s="19"/>
      <c r="B13" s="80"/>
      <c r="C13" s="27" t="s">
        <v>153</v>
      </c>
      <c r="D13" s="20" t="s">
        <v>92</v>
      </c>
      <c r="E13" s="20">
        <v>1</v>
      </c>
      <c r="F13" s="20"/>
      <c r="G13" s="20"/>
      <c r="H13" s="20"/>
      <c r="I13" s="20"/>
      <c r="J13" s="20"/>
      <c r="K13" s="20"/>
      <c r="L13" s="20">
        <v>1</v>
      </c>
      <c r="M13" s="20">
        <v>1</v>
      </c>
      <c r="N13" s="28">
        <v>1</v>
      </c>
      <c r="O13" s="19">
        <v>1</v>
      </c>
      <c r="P13" s="19"/>
    </row>
    <row r="14" spans="1:16">
      <c r="A14" s="19"/>
      <c r="B14" s="80"/>
      <c r="C14" s="27"/>
      <c r="D14" s="1"/>
      <c r="E14" s="20"/>
      <c r="F14" s="20"/>
      <c r="G14" s="20"/>
      <c r="H14" s="20"/>
      <c r="I14" s="20"/>
      <c r="J14" s="20"/>
      <c r="K14" s="20"/>
      <c r="L14" s="20"/>
      <c r="M14" s="20"/>
      <c r="N14" s="28"/>
      <c r="O14" s="19"/>
      <c r="P14" s="19"/>
    </row>
    <row r="15" spans="1:16">
      <c r="A15" s="19"/>
      <c r="B15" s="80"/>
      <c r="C15" s="27" t="s">
        <v>154</v>
      </c>
      <c r="D15" s="20" t="s">
        <v>92</v>
      </c>
      <c r="E15" s="20">
        <v>1</v>
      </c>
      <c r="F15" s="20"/>
      <c r="G15" s="20"/>
      <c r="H15" s="20"/>
      <c r="I15" s="20"/>
      <c r="J15" s="20"/>
      <c r="K15" s="20"/>
      <c r="L15" s="20">
        <v>1</v>
      </c>
      <c r="M15" s="20">
        <v>1</v>
      </c>
      <c r="N15" s="28">
        <v>1</v>
      </c>
      <c r="O15" s="19">
        <v>1</v>
      </c>
      <c r="P15" s="19"/>
    </row>
    <row r="16" spans="1:16" ht="12" thickBot="1">
      <c r="A16" s="19"/>
      <c r="B16" s="80"/>
      <c r="C16" s="27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8"/>
      <c r="O16" s="158"/>
      <c r="P16" s="158"/>
    </row>
    <row r="17" spans="1:16" ht="12" thickBot="1">
      <c r="A17" s="91"/>
      <c r="B17" s="10"/>
      <c r="C17" s="39" t="s">
        <v>63</v>
      </c>
      <c r="D17" s="40"/>
      <c r="E17" s="40"/>
      <c r="F17" s="40">
        <f>SUBTOTAL(109,Tabel3121439[Toiletrolhouder])</f>
        <v>2</v>
      </c>
      <c r="G17" s="40">
        <f>SUBTOTAL(109,Tabel3121439[Seatcleaner])</f>
        <v>2</v>
      </c>
      <c r="H17" s="40">
        <f>SUBTOTAL(109,Tabel3121439[Luchtverfrisser])</f>
        <v>2</v>
      </c>
      <c r="I17" s="40">
        <f>SUBTOTAL(109,Tabel3121439[Toiletborstel + houder])</f>
        <v>2</v>
      </c>
      <c r="J17" s="40">
        <f>SUBTOTAL(109,Tabel3121439[Vouwdoekjes])</f>
        <v>4</v>
      </c>
      <c r="K17" s="40">
        <f>SUBTOTAL(109,Tabel3121439[Verbandzakhouder])</f>
        <v>1</v>
      </c>
      <c r="L17" s="40">
        <f>SUBTOTAL(109,Tabel3121439[Foamzeep])</f>
        <v>6</v>
      </c>
      <c r="M17" s="40">
        <f>SUBTOTAL(109,Tabel3121439[Poetsrol])</f>
        <v>5</v>
      </c>
      <c r="N17" s="160">
        <f>SUBTOTAL(109,Tabel3121439[Handcreme])</f>
        <v>3</v>
      </c>
      <c r="O17" s="149">
        <f>SUBTOTAL(109,Tabel3121439[Industriezeep])</f>
        <v>3</v>
      </c>
      <c r="P17" s="44" t="s">
        <v>155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B50BB-C39F-4703-8F65-351B965DA098}">
  <dimension ref="A1:O1048572"/>
  <sheetViews>
    <sheetView zoomScale="85" zoomScaleNormal="85" workbookViewId="0">
      <selection activeCell="O26" sqref="O26"/>
    </sheetView>
  </sheetViews>
  <sheetFormatPr defaultRowHeight="20.100000000000001" customHeight="1"/>
  <cols>
    <col min="1" max="1" width="29.75" bestFit="1" customWidth="1"/>
    <col min="2" max="2" width="15.875" bestFit="1" customWidth="1"/>
    <col min="3" max="3" width="15.25" bestFit="1" customWidth="1"/>
    <col min="4" max="4" width="15.875" bestFit="1" customWidth="1"/>
    <col min="5" max="5" width="21.75" bestFit="1" customWidth="1"/>
    <col min="6" max="6" width="13.625" bestFit="1" customWidth="1"/>
    <col min="7" max="7" width="19.375" bestFit="1" customWidth="1"/>
    <col min="8" max="8" width="11.5" bestFit="1" customWidth="1"/>
    <col min="9" max="9" width="10" bestFit="1" customWidth="1"/>
    <col min="10" max="10" width="12.5" bestFit="1" customWidth="1"/>
    <col min="11" max="11" width="14.5" bestFit="1" customWidth="1"/>
    <col min="12" max="12" width="13" bestFit="1" customWidth="1"/>
    <col min="13" max="13" width="13.875" customWidth="1"/>
    <col min="14" max="14" width="12.5" bestFit="1" customWidth="1"/>
    <col min="15" max="15" width="31.5" bestFit="1" customWidth="1"/>
  </cols>
  <sheetData>
    <row r="1" spans="1:15" ht="20.100000000000001" customHeight="1" thickBot="1">
      <c r="A1" s="144" t="s">
        <v>32</v>
      </c>
      <c r="B1" s="145" t="s">
        <v>5</v>
      </c>
      <c r="C1" s="145" t="s">
        <v>7</v>
      </c>
      <c r="D1" s="145" t="s">
        <v>9</v>
      </c>
      <c r="E1" s="145" t="s">
        <v>11</v>
      </c>
      <c r="F1" s="145" t="s">
        <v>13</v>
      </c>
      <c r="G1" s="145" t="s">
        <v>33</v>
      </c>
      <c r="H1" s="145" t="s">
        <v>16</v>
      </c>
      <c r="I1" s="145" t="s">
        <v>17</v>
      </c>
      <c r="J1" s="145" t="s">
        <v>34</v>
      </c>
      <c r="K1" s="146" t="s">
        <v>20</v>
      </c>
      <c r="L1" s="145" t="s">
        <v>35</v>
      </c>
      <c r="M1" s="145" t="s">
        <v>36</v>
      </c>
      <c r="N1" s="147" t="s">
        <v>21</v>
      </c>
    </row>
    <row r="2" spans="1:15" ht="20.100000000000001" customHeight="1">
      <c r="A2" s="143" t="s">
        <v>37</v>
      </c>
      <c r="B2" s="23">
        <f>Tabel312[[#Totals],[Toiletrolhouder]]</f>
        <v>36</v>
      </c>
      <c r="C2" s="23">
        <f>Tabel312[[#Totals],[Seatcleaner]]</f>
        <v>36</v>
      </c>
      <c r="D2" s="23">
        <f>Tabel312[[#Totals],[Luchtverfrisser]]</f>
        <v>36</v>
      </c>
      <c r="E2" s="23">
        <f>Tabel312[[#Totals],[Toiletborstel + houder]]</f>
        <v>36</v>
      </c>
      <c r="F2" s="23">
        <f>Tabel312[[#Totals],[Vouwdoekjes]]</f>
        <v>0</v>
      </c>
      <c r="G2" s="23">
        <v>0</v>
      </c>
      <c r="H2" s="23">
        <f>Tabel312[[#Totals],[Foamzeep]]</f>
        <v>36</v>
      </c>
      <c r="I2" s="23">
        <f>Tabel312[[#Totals],[Poetsrol]]</f>
        <v>11</v>
      </c>
      <c r="J2" s="23">
        <f>Tabel312[[#Totals],[Handcreme]]</f>
        <v>0</v>
      </c>
      <c r="K2" s="23">
        <f>Tabel312[[#Totals],[Industriezeep]]</f>
        <v>0</v>
      </c>
      <c r="L2" s="23">
        <f>Tabel312[[#Totals],[Handdoekrol]]</f>
        <v>30</v>
      </c>
      <c r="M2" s="23">
        <f>Tabel312[[#Totals],[Hygienebox]]</f>
        <v>19</v>
      </c>
      <c r="N2" s="23">
        <f>Tabel312[[#Totals],[Douchegel]]</f>
        <v>2</v>
      </c>
    </row>
    <row r="3" spans="1:15" ht="20.100000000000001" customHeight="1">
      <c r="A3" s="69" t="s">
        <v>38</v>
      </c>
      <c r="B3" s="20">
        <f>Tabel31214[[#Totals],[Toiletrolhouder]]</f>
        <v>1</v>
      </c>
      <c r="C3" s="20">
        <f>Tabel31214[[#Totals],[Seatcleaner]]</f>
        <v>1</v>
      </c>
      <c r="D3" s="20">
        <f>Tabel31214[[#Totals],[Luchtverfrisser]]</f>
        <v>1</v>
      </c>
      <c r="E3" s="20">
        <f>Tabel31214[[#Totals],[Toiletborstel + houder]]</f>
        <v>1</v>
      </c>
      <c r="F3" s="20">
        <f>Tabel31214[[#Totals],[Vouwdoekjes]]</f>
        <v>1</v>
      </c>
      <c r="G3" s="20">
        <f>Tabel31214[[#Totals],[Verbandzakhouder]]</f>
        <v>1</v>
      </c>
      <c r="H3" s="20">
        <f>Tabel31214[[#Totals],[Foamzeep]]</f>
        <v>4</v>
      </c>
      <c r="I3" s="20">
        <f>Tabel31214[[#Totals],[Poetsrol]]</f>
        <v>4</v>
      </c>
      <c r="J3" s="20">
        <f>Tabel31214[[#Totals],[Handcreme]]</f>
        <v>0</v>
      </c>
      <c r="K3" s="28">
        <f>Tabel31214[[#Totals],[Industriezeep]]</f>
        <v>0</v>
      </c>
      <c r="L3" s="20">
        <v>0</v>
      </c>
      <c r="M3" s="20">
        <v>0</v>
      </c>
      <c r="N3" s="20">
        <f>Tabel31214[[#Totals],[Douchegel]]</f>
        <v>1</v>
      </c>
    </row>
    <row r="4" spans="1:15" ht="20.100000000000001" customHeight="1">
      <c r="A4" s="68" t="s">
        <v>39</v>
      </c>
      <c r="B4" s="20">
        <f>Tabel3121416[[#Totals],[Toiletrolhouder]]</f>
        <v>6</v>
      </c>
      <c r="C4" s="20">
        <f>Tabel3121416[[#Totals],[Seatcleaner]]</f>
        <v>6</v>
      </c>
      <c r="D4" s="20">
        <f>Tabel3121416[[#Totals],[Luchtverfrisser]]</f>
        <v>6</v>
      </c>
      <c r="E4" s="20">
        <f>Tabel3121416[[#Totals],[Toiletborstel + houder]]</f>
        <v>6</v>
      </c>
      <c r="F4" s="20">
        <f>Tabel3121416[[#Totals],[Vouwdoekjes]]</f>
        <v>6</v>
      </c>
      <c r="G4" s="20">
        <f>Tabel3121416[[#Totals],[Verbandzakhouder]]</f>
        <v>3</v>
      </c>
      <c r="H4" s="20">
        <f>Tabel3121416[[#Totals],[Foamzeep]]</f>
        <v>10</v>
      </c>
      <c r="I4" s="20">
        <f>Tabel3121416[[#Totals],[Poetsrol]]</f>
        <v>4</v>
      </c>
      <c r="J4" s="20">
        <f>Tabel3121416[[#Totals],[Handcreme]]</f>
        <v>2</v>
      </c>
      <c r="K4" s="28">
        <f>Tabel3121416[[#Totals],[Industriezeep]]</f>
        <v>2</v>
      </c>
      <c r="L4" s="20">
        <v>0</v>
      </c>
      <c r="M4" s="20">
        <v>0</v>
      </c>
      <c r="N4" s="20">
        <f>Tabel3121416[[#Totals],[Douchegel]]</f>
        <v>1</v>
      </c>
    </row>
    <row r="5" spans="1:15" ht="20.100000000000001" customHeight="1">
      <c r="A5" s="69" t="s">
        <v>40</v>
      </c>
      <c r="B5" s="20">
        <f>Tabel312141618[[#Totals],[Toiletrolhouder]]</f>
        <v>1</v>
      </c>
      <c r="C5" s="20">
        <f>Tabel312141618[[#Totals],[Seatcleaner]]</f>
        <v>1</v>
      </c>
      <c r="D5" s="20">
        <f>Tabel312141618[[#Totals],[Luchtverfrisser]]</f>
        <v>1</v>
      </c>
      <c r="E5" s="20">
        <f>Tabel312141618[[#Totals],[Toiletborstel + houder]]</f>
        <v>1</v>
      </c>
      <c r="F5" s="20">
        <f>Tabel312141618[[#Totals],[Vouwdoekjes]]</f>
        <v>1</v>
      </c>
      <c r="G5" s="20">
        <f>Tabel312141618[[#Totals],[Verbandzakhouder]]</f>
        <v>1</v>
      </c>
      <c r="H5" s="20">
        <f>Tabel312141618[[#Totals],[Foamzeep]]</f>
        <v>5</v>
      </c>
      <c r="I5" s="20">
        <f>Tabel312141618[[#Totals],[Poetsrol]]</f>
        <v>4</v>
      </c>
      <c r="J5" s="20">
        <f>Tabel312141618[[#Totals],[Handcreme]]</f>
        <v>1</v>
      </c>
      <c r="K5" s="28">
        <f>Tabel312141618[[#Totals],[Industriezeep]]</f>
        <v>1</v>
      </c>
      <c r="L5" s="20">
        <v>0</v>
      </c>
      <c r="M5" s="20">
        <v>0</v>
      </c>
      <c r="N5" s="20">
        <f>Tabel312141618[[#Totals],[Douchegel]]</f>
        <v>1</v>
      </c>
    </row>
    <row r="6" spans="1:15" ht="20.100000000000001" customHeight="1" thickBot="1">
      <c r="A6" s="128" t="s">
        <v>41</v>
      </c>
      <c r="B6" s="24">
        <f>Tabel312148[[#Totals],[Toiletrolhouder]]</f>
        <v>8</v>
      </c>
      <c r="C6" s="24">
        <f>Tabel312148[[#Totals],[Seatcleaner]]</f>
        <v>8</v>
      </c>
      <c r="D6" s="24">
        <f>Tabel312148[[#Totals],[Luchtverfrisser]]</f>
        <v>9</v>
      </c>
      <c r="E6" s="24">
        <f>Tabel312148[[#Totals],[Toiletborstel + houder]]</f>
        <v>8</v>
      </c>
      <c r="F6" s="24">
        <f>Tabel312148[[#Totals],[Vouwdoekjes]]</f>
        <v>4</v>
      </c>
      <c r="G6" s="24">
        <f>Tabel312148[[#Totals],[Verbandzakhouder]]</f>
        <v>2</v>
      </c>
      <c r="H6" s="24">
        <f>Tabel312148[[#Totals],[Foamzeep]]</f>
        <v>10</v>
      </c>
      <c r="I6" s="24">
        <f>Tabel312148[[#Totals],[Poetsrol]]</f>
        <v>8</v>
      </c>
      <c r="J6" s="24">
        <f>Tabel312148[[#Totals],[Handcreme]]</f>
        <v>2</v>
      </c>
      <c r="K6" s="29">
        <f>Tabel312148[[#Totals],[Seatcleaner]]</f>
        <v>8</v>
      </c>
      <c r="L6" s="24">
        <v>0</v>
      </c>
      <c r="M6" s="24">
        <v>0</v>
      </c>
      <c r="N6" s="24">
        <f>Tabel312148[[#Totals],[Douchegel]]</f>
        <v>1</v>
      </c>
    </row>
    <row r="7" spans="1:15" ht="21" customHeight="1" thickBot="1">
      <c r="A7" s="131" t="s">
        <v>42</v>
      </c>
      <c r="B7" s="132">
        <f>Tabel312149[[#Totals],[Toiletrolhouder]]</f>
        <v>0</v>
      </c>
      <c r="C7" s="132">
        <f>Tabel312149[[#Totals],[Seatcleaner]]</f>
        <v>0</v>
      </c>
      <c r="D7" s="132">
        <f>Tabel312149[[#Totals],[Luchtverfrisser]]</f>
        <v>0</v>
      </c>
      <c r="E7" s="132">
        <f>Tabel312149[[#Totals],[Toiletborstel + houder]]</f>
        <v>0</v>
      </c>
      <c r="F7" s="132">
        <f>Tabel312149[[#Totals],[Vouwdoekjes]]</f>
        <v>0</v>
      </c>
      <c r="G7" s="132">
        <f>Tabel312149[[#Totals],[Verbandzakhouder]]</f>
        <v>0</v>
      </c>
      <c r="H7" s="132">
        <f>Tabel312149[[#Totals],[Foamzeep]]</f>
        <v>0</v>
      </c>
      <c r="I7" s="132">
        <f>Tabel312149[[#Totals],[Poetsrol]]</f>
        <v>0</v>
      </c>
      <c r="J7" s="132">
        <f>Tabel312149[[#Totals],[Handcreme]]</f>
        <v>0</v>
      </c>
      <c r="K7" s="133">
        <f>Tabel312149[[#Totals],[Industriezeep]]</f>
        <v>0</v>
      </c>
      <c r="L7" s="132">
        <v>0</v>
      </c>
      <c r="M7" s="133">
        <v>0</v>
      </c>
      <c r="N7" s="154" t="str">
        <f>Tabel312149[[#Totals],[Douchegel]]</f>
        <v>0</v>
      </c>
      <c r="O7" s="134" t="s">
        <v>43</v>
      </c>
    </row>
    <row r="8" spans="1:15" ht="20.100000000000001" customHeight="1">
      <c r="A8" s="129" t="s">
        <v>44</v>
      </c>
      <c r="B8" s="23">
        <f>Tabel3121411[[#Totals],[Toiletrolhouder]]</f>
        <v>3</v>
      </c>
      <c r="C8" s="23">
        <f>Tabel3121411[[#Totals],[Seatcleaner]]</f>
        <v>3</v>
      </c>
      <c r="D8" s="23">
        <f>Tabel3121411[[#Totals],[Luchtverfrisser]]</f>
        <v>3</v>
      </c>
      <c r="E8" s="23">
        <f>Tabel3121411[[#Totals],[Toiletborstel + houder]]</f>
        <v>3</v>
      </c>
      <c r="F8" s="23">
        <f>Tabel3121411[[#Totals],[Vouwdoekjes]]</f>
        <v>3</v>
      </c>
      <c r="G8" s="23">
        <f>Tabel3121411[[#Totals],[Verbandzakhouder]]</f>
        <v>1</v>
      </c>
      <c r="H8" s="23">
        <f>Tabel3121411[[#Totals],[Foamzeep]]</f>
        <v>9</v>
      </c>
      <c r="I8" s="23">
        <f>Tabel3121411[[#Totals],[Poetsrol]]</f>
        <v>6</v>
      </c>
      <c r="J8" s="23">
        <f>Tabel3121411[[#Totals],[Handcreme]]</f>
        <v>1</v>
      </c>
      <c r="K8" s="130">
        <f>Tabel3121411[[#Totals],[Industriezeep]]</f>
        <v>1</v>
      </c>
      <c r="L8" s="23">
        <v>0</v>
      </c>
      <c r="M8" s="23">
        <v>0</v>
      </c>
      <c r="N8" s="23">
        <f>Tabel3121411[[#Totals],[Douchegel]]</f>
        <v>1</v>
      </c>
    </row>
    <row r="9" spans="1:15" ht="20.100000000000001" customHeight="1">
      <c r="A9" s="69" t="s">
        <v>45</v>
      </c>
      <c r="B9" s="20">
        <f>Tabel3121421[[#Totals],[Toiletrolhouder]]</f>
        <v>3</v>
      </c>
      <c r="C9" s="20">
        <f>Tabel3121421[[#Totals],[Seatcleaner]]</f>
        <v>3</v>
      </c>
      <c r="D9" s="20">
        <f>Tabel3121421[[#Totals],[Luchtverfrisser]]</f>
        <v>3</v>
      </c>
      <c r="E9" s="20">
        <f>Tabel3121421[[#Totals],[Toiletborstel + houder]]</f>
        <v>3</v>
      </c>
      <c r="F9" s="20">
        <f>Tabel3121421[[#Totals],[Vouwdoekjes]]</f>
        <v>3</v>
      </c>
      <c r="G9" s="20">
        <f>Tabel3121421[[#Totals],[Verbandzakhouder]]</f>
        <v>1</v>
      </c>
      <c r="H9" s="20">
        <f>Tabel3121421[[#Totals],[Foamzeep]]</f>
        <v>5</v>
      </c>
      <c r="I9" s="20">
        <f>Tabel3121421[[#Totals],[Poetsrol]]</f>
        <v>2</v>
      </c>
      <c r="J9" s="20">
        <f>Tabel3121421[[#Totals],[Handcreme]]</f>
        <v>1</v>
      </c>
      <c r="K9" s="28">
        <f>Tabel3121421[[#Totals],[Industriezeep]]</f>
        <v>1</v>
      </c>
      <c r="L9" s="20">
        <v>0</v>
      </c>
      <c r="M9" s="20">
        <v>0</v>
      </c>
      <c r="N9" s="20" t="str">
        <f>Tabel3121421[[#Totals],[Douchegel]]</f>
        <v>0</v>
      </c>
    </row>
    <row r="10" spans="1:15" ht="20.100000000000001" customHeight="1">
      <c r="A10" s="69" t="s">
        <v>46</v>
      </c>
      <c r="B10" s="20">
        <f>Tabel3121423[[#Totals],[Toiletrolhouder]]</f>
        <v>10</v>
      </c>
      <c r="C10" s="20">
        <f>Tabel3121423[[#Totals],[Seatcleaner]]</f>
        <v>8</v>
      </c>
      <c r="D10" s="20">
        <f>Tabel3121423[[#Totals],[Luchtverfrisser]]</f>
        <v>8</v>
      </c>
      <c r="E10" s="20">
        <f>Tabel3121423[[#Totals],[Toiletborstel + houder]]</f>
        <v>10</v>
      </c>
      <c r="F10" s="20">
        <f>Tabel3121423[[#Totals],[Vouwdoekjes]]</f>
        <v>10</v>
      </c>
      <c r="G10" s="20">
        <f>Tabel3121423[[#Totals],[Verbandzakhouder]]</f>
        <v>5</v>
      </c>
      <c r="H10" s="20">
        <f>Tabel3121423[[#Totals],[Foamzeep]]</f>
        <v>15</v>
      </c>
      <c r="I10" s="20">
        <f>Tabel3121423[[#Totals],[Poetsrol]]</f>
        <v>7</v>
      </c>
      <c r="J10" s="20">
        <f>Tabel3121423[[#Totals],[Handcreme]]</f>
        <v>2</v>
      </c>
      <c r="K10" s="28">
        <f>Tabel3121423[[#Totals],[Industriezeep]]</f>
        <v>2</v>
      </c>
      <c r="L10" s="20">
        <v>0</v>
      </c>
      <c r="M10" s="20">
        <v>0</v>
      </c>
      <c r="N10" s="20">
        <f>Tabel3121423[[#Totals],[Douchegel]]</f>
        <v>4</v>
      </c>
    </row>
    <row r="11" spans="1:15" ht="20.100000000000001" customHeight="1">
      <c r="A11" s="69" t="s">
        <v>47</v>
      </c>
      <c r="B11" s="20">
        <f>Tabel3121425[[#Totals],[Toiletrolhouder]]</f>
        <v>1</v>
      </c>
      <c r="C11" s="20">
        <f>Tabel3121425[[#Totals],[Seatcleaner]]</f>
        <v>1</v>
      </c>
      <c r="D11" s="20">
        <f>Tabel3121425[[#Totals],[Luchtverfrisser]]</f>
        <v>1</v>
      </c>
      <c r="E11" s="20">
        <f>Tabel3121425[[#Totals],[Toiletborstel + houder]]</f>
        <v>1</v>
      </c>
      <c r="F11" s="20">
        <f>Tabel3121425[[#Totals],[Vouwdoekjes]]</f>
        <v>1</v>
      </c>
      <c r="G11" s="20">
        <f>Tabel3121425[[#Totals],[Verbandzakhouder]]</f>
        <v>1</v>
      </c>
      <c r="H11" s="20">
        <f>Tabel3121425[[#Totals],[Foamzeep]]</f>
        <v>6</v>
      </c>
      <c r="I11" s="20">
        <f>Tabel3121425[[#Totals],[Poetsrol]]</f>
        <v>5</v>
      </c>
      <c r="J11" s="20">
        <f>Tabel3121425[[#Totals],[Handcreme]]</f>
        <v>1</v>
      </c>
      <c r="K11" s="28">
        <f>Tabel3121425[[#Totals],[Industriezeep]]</f>
        <v>1</v>
      </c>
      <c r="L11" s="20">
        <v>0</v>
      </c>
      <c r="M11" s="20">
        <v>0</v>
      </c>
      <c r="N11" s="20">
        <f>Tabel3121425[[#Totals],[Douchegel]]</f>
        <v>1</v>
      </c>
    </row>
    <row r="12" spans="1:15" ht="20.100000000000001" customHeight="1">
      <c r="A12" s="69" t="s">
        <v>48</v>
      </c>
      <c r="B12" s="20">
        <f>Tabel3121427[[#Totals],[Toiletrolhouder]]</f>
        <v>2</v>
      </c>
      <c r="C12" s="20">
        <f>Tabel3121427[[#Totals],[Seatcleaner]]</f>
        <v>2</v>
      </c>
      <c r="D12" s="20">
        <f>Tabel3121427[[#Totals],[Luchtverfrisser]]</f>
        <v>2</v>
      </c>
      <c r="E12" s="20">
        <f>Tabel3121427[[#Totals],[Toiletborstel + houder]]</f>
        <v>2</v>
      </c>
      <c r="F12" s="20">
        <f>Tabel3121427[[#Totals],[Vouwdoekjes]]</f>
        <v>2</v>
      </c>
      <c r="G12" s="20">
        <f>Tabel3121427[[#Totals],[Verbandzakhouder]]</f>
        <v>1</v>
      </c>
      <c r="H12" s="20">
        <f>Tabel3121427[[#Totals],[Foamzeep]]</f>
        <v>3</v>
      </c>
      <c r="I12" s="20">
        <f>Tabel3121427[[#Totals],[Poetsrol]]</f>
        <v>2</v>
      </c>
      <c r="J12" s="20">
        <f>Tabel3121427[[#Totals],[Handcreme]]</f>
        <v>1</v>
      </c>
      <c r="K12" s="28">
        <f>Tabel3121427[[#Totals],[Industriezeep]]</f>
        <v>1</v>
      </c>
      <c r="L12" s="20">
        <v>0</v>
      </c>
      <c r="M12" s="20">
        <v>0</v>
      </c>
      <c r="N12" s="20">
        <f>Tabel3121427[[#Totals],[Douchegel]]</f>
        <v>1</v>
      </c>
    </row>
    <row r="13" spans="1:15" ht="20.100000000000001" customHeight="1">
      <c r="A13" s="69" t="s">
        <v>49</v>
      </c>
      <c r="B13" s="20">
        <f>Tabel3121429[[#Totals],[Toiletrolhouder]]</f>
        <v>4</v>
      </c>
      <c r="C13" s="20">
        <f>Tabel3121429[[#Totals],[Seatcleaner]]</f>
        <v>4</v>
      </c>
      <c r="D13" s="20">
        <f>Tabel3121429[[#Totals],[Luchtverfrisser]]</f>
        <v>4</v>
      </c>
      <c r="E13" s="20">
        <f>Tabel3121429[[#Totals],[Toiletborstel + houder]]</f>
        <v>4</v>
      </c>
      <c r="F13" s="20">
        <f>Tabel3121429[[#Totals],[Vouwdoekjes]]</f>
        <v>4</v>
      </c>
      <c r="G13" s="20">
        <f>Tabel3121429[[#Totals],[Verbandzakhouder]]</f>
        <v>1</v>
      </c>
      <c r="H13" s="20">
        <f>Tabel3121429[[#Totals],[Foamzeep]]</f>
        <v>10</v>
      </c>
      <c r="I13" s="20">
        <f>Tabel3121429[[#Totals],[Poetsrol]]</f>
        <v>6</v>
      </c>
      <c r="J13" s="20">
        <f>Tabel3121429[[#Totals],[Handcreme]]</f>
        <v>6</v>
      </c>
      <c r="K13" s="28">
        <f>Tabel3121429[[#Totals],[Industriezeep]]</f>
        <v>6</v>
      </c>
      <c r="L13" s="20">
        <v>0</v>
      </c>
      <c r="M13" s="20">
        <v>0</v>
      </c>
      <c r="N13" s="20" t="str">
        <f>Tabel3121429[[#Totals],[Douchegel]]</f>
        <v>0</v>
      </c>
    </row>
    <row r="14" spans="1:15" ht="20.100000000000001" customHeight="1">
      <c r="A14" s="69" t="s">
        <v>50</v>
      </c>
      <c r="B14" s="20">
        <f>Tabel3121433[[#Totals],[Toiletrolhouder]]</f>
        <v>2</v>
      </c>
      <c r="C14" s="20">
        <f>Tabel3121433[[#Totals],[Seatcleaner]]</f>
        <v>2</v>
      </c>
      <c r="D14" s="20">
        <f>Tabel3121433[[#Totals],[Luchtverfrisser]]</f>
        <v>2</v>
      </c>
      <c r="E14" s="20">
        <f>Tabel3121433[[#Totals],[Toiletborstel + houder]]</f>
        <v>2</v>
      </c>
      <c r="F14" s="20">
        <f>Tabel3121433[[#Totals],[Vouwdoekjes]]</f>
        <v>2</v>
      </c>
      <c r="G14" s="20">
        <f>Tabel3121433[[#Totals],[Verbandzakhouder]]</f>
        <v>2</v>
      </c>
      <c r="H14" s="20">
        <f>Tabel3121433[[#Totals],[Foamzeep]]</f>
        <v>9</v>
      </c>
      <c r="I14" s="20">
        <f>Tabel3121433[[#Totals],[Poetsrol]]</f>
        <v>7</v>
      </c>
      <c r="J14" s="20">
        <f>Tabel3121433[[#Totals],[Handcreme]]</f>
        <v>1</v>
      </c>
      <c r="K14" s="28">
        <f>Tabel3121433[[#Totals],[Industriezeep]]</f>
        <v>1</v>
      </c>
      <c r="L14" s="20">
        <v>0</v>
      </c>
      <c r="M14" s="20">
        <v>0</v>
      </c>
      <c r="N14" s="20">
        <f>Tabel3121433[[#Totals],[Douchegel]]</f>
        <v>1</v>
      </c>
    </row>
    <row r="15" spans="1:15" ht="20.100000000000001" customHeight="1">
      <c r="A15" s="69" t="s">
        <v>51</v>
      </c>
      <c r="B15" s="20">
        <f>Tabel312143351[[#Totals],[Toiletrolhouder]]</f>
        <v>2</v>
      </c>
      <c r="C15" s="20">
        <f>Tabel312143351[[#Totals],[Seatcleaner]]</f>
        <v>2</v>
      </c>
      <c r="D15" s="20">
        <f>Tabel312143351[[#Totals],[Luchtverfrisser]]</f>
        <v>2</v>
      </c>
      <c r="E15" s="20">
        <f>Tabel312143351[[#Totals],[Toiletborstel + houder]]</f>
        <v>2</v>
      </c>
      <c r="F15" s="20">
        <f>Tabel312143351[[#Totals],[Vouwdoekjes]]</f>
        <v>2</v>
      </c>
      <c r="G15" s="20">
        <f>Tabel312143351[[#Totals],[Verbandzakhouder]]</f>
        <v>1</v>
      </c>
      <c r="H15" s="20">
        <f>Tabel312143351[[#Totals],[Foamzeep]]</f>
        <v>5</v>
      </c>
      <c r="I15" s="20">
        <f>Tabel312143351[[#Totals],[Poetsrol]]</f>
        <v>4</v>
      </c>
      <c r="J15" s="20">
        <f>Tabel312143351[[#Totals],[Handcreme]]</f>
        <v>1</v>
      </c>
      <c r="K15" s="28">
        <f>Tabel312143351[[#Totals],[Industriezeep]]</f>
        <v>1</v>
      </c>
      <c r="L15" s="20">
        <v>0</v>
      </c>
      <c r="M15" s="20">
        <v>0</v>
      </c>
      <c r="N15" s="20">
        <f>Tabel312143351[[#Totals],[Douchegel]]</f>
        <v>1</v>
      </c>
    </row>
    <row r="16" spans="1:15" ht="20.100000000000001" customHeight="1">
      <c r="A16" s="69" t="s">
        <v>52</v>
      </c>
      <c r="B16" s="20">
        <f>Tabel31214335135[[#Totals],[Toiletrolhouder]]</f>
        <v>5</v>
      </c>
      <c r="C16" s="20">
        <f>Tabel31214335135[[#Totals],[Seatcleaner]]</f>
        <v>5</v>
      </c>
      <c r="D16" s="20">
        <f>Tabel31214335135[[#Totals],[Luchtverfrisser]]</f>
        <v>5</v>
      </c>
      <c r="E16" s="20">
        <f>Tabel31214335135[[#Totals],[Toiletborstel + houder]]</f>
        <v>5</v>
      </c>
      <c r="F16" s="20">
        <f>Tabel31214335135[[#Totals],[Vouwdoekjes]]</f>
        <v>3</v>
      </c>
      <c r="G16" s="20">
        <f>Tabel31214335135[[#Totals],[Verbandzakhouder]]</f>
        <v>1</v>
      </c>
      <c r="H16" s="20">
        <f>Tabel31214335135[[#Totals],[Foamzeep]]</f>
        <v>8</v>
      </c>
      <c r="I16" s="20">
        <f>Tabel31214335135[[#Totals],[Poetsrol]]</f>
        <v>3</v>
      </c>
      <c r="J16" s="20">
        <f>Tabel31214335135[[#Totals],[Handcreme]]</f>
        <v>1</v>
      </c>
      <c r="K16" s="28">
        <f>Tabel31214335135[[#Totals],[Industriezeep]]</f>
        <v>1</v>
      </c>
      <c r="L16" s="20">
        <v>0</v>
      </c>
      <c r="M16" s="20">
        <v>0</v>
      </c>
      <c r="N16" s="20">
        <f>Tabel31214335135[[#Totals],[Douchegel]]</f>
        <v>1</v>
      </c>
    </row>
    <row r="17" spans="1:15" ht="20.100000000000001" customHeight="1">
      <c r="A17" s="69" t="s">
        <v>53</v>
      </c>
      <c r="B17" s="20">
        <f>Tabel3121437[[#Totals],[Toiletrolhouder]]</f>
        <v>1</v>
      </c>
      <c r="C17" s="20">
        <f>Tabel3121437[[#Totals],[Seatcleaner]]</f>
        <v>1</v>
      </c>
      <c r="D17" s="20">
        <f>Tabel3121437[[#Totals],[Luchtverfrisser]]</f>
        <v>1</v>
      </c>
      <c r="E17" s="20">
        <f>Tabel3121437[[#Totals],[Toiletborstel + houder]]</f>
        <v>1</v>
      </c>
      <c r="F17" s="20">
        <f>Tabel3121437[[#Totals],[Vouwdoekjes]]</f>
        <v>1</v>
      </c>
      <c r="G17" s="20">
        <f>Tabel3121437[[#Totals],[Verbandzakhouder]]</f>
        <v>1</v>
      </c>
      <c r="H17" s="20">
        <f>Tabel3121437[[#Totals],[Foamzeep]]</f>
        <v>9</v>
      </c>
      <c r="I17" s="20">
        <f>Tabel3121437[[#Totals],[Poetsrol]]</f>
        <v>8</v>
      </c>
      <c r="J17" s="20">
        <f>Tabel3121437[[#Totals],[Handcreme]]</f>
        <v>2</v>
      </c>
      <c r="K17" s="28">
        <f>Tabel3121437[[#Totals],[Industriezeep]]</f>
        <v>2</v>
      </c>
      <c r="L17" s="20">
        <v>0</v>
      </c>
      <c r="M17" s="20">
        <v>0</v>
      </c>
      <c r="N17" s="20">
        <f>Tabel3121437[[#Totals],[Douchegel]]</f>
        <v>1</v>
      </c>
    </row>
    <row r="18" spans="1:15" ht="20.100000000000001" customHeight="1">
      <c r="A18" s="69" t="s">
        <v>54</v>
      </c>
      <c r="B18" s="20">
        <f>Tabel3121439[[#Totals],[Toiletrolhouder]]</f>
        <v>2</v>
      </c>
      <c r="C18" s="20">
        <f>Tabel3121439[[#Totals],[Seatcleaner]]</f>
        <v>2</v>
      </c>
      <c r="D18" s="20">
        <f>Tabel3121439[[#Totals],[Luchtverfrisser]]</f>
        <v>2</v>
      </c>
      <c r="E18" s="20">
        <f>Tabel3121439[[#Totals],[Toiletborstel + houder]]</f>
        <v>2</v>
      </c>
      <c r="F18" s="20">
        <f>Tabel3121439[[#Totals],[Vouwdoekjes]]</f>
        <v>4</v>
      </c>
      <c r="G18" s="20">
        <f>Tabel3121439[[#Totals],[Verbandzakhouder]]</f>
        <v>1</v>
      </c>
      <c r="H18" s="20">
        <f>Tabel3121439[[#Totals],[Foamzeep]]</f>
        <v>6</v>
      </c>
      <c r="I18" s="20">
        <f>Tabel3121439[[#Totals],[Poetsrol]]</f>
        <v>5</v>
      </c>
      <c r="J18" s="20">
        <f>Tabel3121439[[#Totals],[Handcreme]]</f>
        <v>3</v>
      </c>
      <c r="K18" s="28">
        <f>Tabel3121439[[#Totals],[Industriezeep]]</f>
        <v>3</v>
      </c>
      <c r="L18" s="20">
        <v>0</v>
      </c>
      <c r="M18" s="20">
        <v>0</v>
      </c>
      <c r="N18" s="20" t="str">
        <f>Tabel3121439[[#Totals],[Douchegel]]</f>
        <v>1</v>
      </c>
    </row>
    <row r="19" spans="1:15" ht="20.100000000000001" customHeight="1">
      <c r="A19" s="69" t="s">
        <v>55</v>
      </c>
      <c r="B19" s="20">
        <f>Tabel3121441[[#Totals],[Toiletrolhouder]]</f>
        <v>2</v>
      </c>
      <c r="C19" s="20">
        <f>Tabel3121441[[#Totals],[Seatcleaner]]</f>
        <v>2</v>
      </c>
      <c r="D19" s="20">
        <f>Tabel3121441[[#Totals],[Luchtverfrisser]]</f>
        <v>2</v>
      </c>
      <c r="E19" s="20">
        <f>Tabel3121441[[#Totals],[Toiletborstel + houder]]</f>
        <v>2</v>
      </c>
      <c r="F19" s="20">
        <f>Tabel3121441[[#Totals],[Vouwdoekjes]]</f>
        <v>2</v>
      </c>
      <c r="G19" s="20">
        <f>Tabel3121441[[#Totals],[Verbandzakhouder]]</f>
        <v>1</v>
      </c>
      <c r="H19" s="20">
        <f>Tabel3121441[[#Totals],[Foamzeep]]</f>
        <v>6</v>
      </c>
      <c r="I19" s="20">
        <f>Tabel3121441[[#Totals],[Poetsrol]]</f>
        <v>4</v>
      </c>
      <c r="J19" s="20">
        <f>Tabel3121441[[#Totals],[Handcreme]]</f>
        <v>1</v>
      </c>
      <c r="K19" s="28">
        <f>Tabel3121441[[#Totals],[Industriezeep]]</f>
        <v>1</v>
      </c>
      <c r="L19" s="20">
        <v>0</v>
      </c>
      <c r="M19" s="20">
        <v>0</v>
      </c>
      <c r="N19" s="20">
        <f>Tabel3121441[[#Totals],[Douchegel]]</f>
        <v>1</v>
      </c>
    </row>
    <row r="20" spans="1:15" ht="20.100000000000001" customHeight="1">
      <c r="A20" s="69" t="s">
        <v>56</v>
      </c>
      <c r="B20" s="20">
        <f>Tabel3121445[[#Totals],[Toiletrolhouder]]</f>
        <v>3</v>
      </c>
      <c r="C20" s="20">
        <f>Tabel3121445[[#Totals],[Seatcleaner]]</f>
        <v>3</v>
      </c>
      <c r="D20" s="20">
        <f>Tabel3121445[[#Totals],[Luchtverfrisser]]</f>
        <v>3</v>
      </c>
      <c r="E20" s="20">
        <f>Tabel3121445[[#Totals],[Toiletborstel + houder]]</f>
        <v>3</v>
      </c>
      <c r="F20" s="20">
        <f>Tabel3121445[[#Totals],[Vouwdoekjes]]</f>
        <v>3</v>
      </c>
      <c r="G20" s="20">
        <f>Tabel3121445[[#Totals],[Verbandzakhouder]]</f>
        <v>1</v>
      </c>
      <c r="H20" s="20">
        <f>Tabel3121445[[#Totals],[Foamzeep]]</f>
        <v>7</v>
      </c>
      <c r="I20" s="20">
        <f>Tabel3121445[[#Totals],[Poetsrol]]</f>
        <v>4</v>
      </c>
      <c r="J20" s="20">
        <f>Tabel3121445[[#Totals],[Handcreme]]</f>
        <v>1</v>
      </c>
      <c r="K20" s="28">
        <f>Tabel3121445[[#Totals],[Industriezeep]]</f>
        <v>1</v>
      </c>
      <c r="L20" s="20">
        <v>0</v>
      </c>
      <c r="M20" s="20">
        <v>0</v>
      </c>
      <c r="N20" s="20" t="str">
        <f>Tabel3121445[[#Totals],[Douchegel]]</f>
        <v>0</v>
      </c>
    </row>
    <row r="21" spans="1:15" ht="20.100000000000001" customHeight="1">
      <c r="A21" s="69" t="s">
        <v>57</v>
      </c>
      <c r="B21" s="20">
        <f>Tabel3121449[[#Totals],[Toiletrolhouder]]</f>
        <v>2</v>
      </c>
      <c r="C21" s="20">
        <f>Tabel3121449[[#Totals],[Seatcleaner]]</f>
        <v>2</v>
      </c>
      <c r="D21" s="20">
        <f>Tabel3121449[[#Totals],[Luchtverfrisser]]</f>
        <v>2</v>
      </c>
      <c r="E21" s="20">
        <f>Tabel3121449[[#Totals],[Toiletborstel + houder]]</f>
        <v>2</v>
      </c>
      <c r="F21" s="20">
        <f>Tabel3121449[[#Totals],[Vouwdoekjes]]</f>
        <v>2</v>
      </c>
      <c r="G21" s="20">
        <f>Tabel3121449[[#Totals],[Verbandzakhouder]]</f>
        <v>1</v>
      </c>
      <c r="H21" s="20">
        <f>Tabel3121449[[#Totals],[Foamzeep]]</f>
        <v>4</v>
      </c>
      <c r="I21" s="20">
        <f>Tabel3121449[[#Totals],[Poetsrol]]</f>
        <v>2</v>
      </c>
      <c r="J21" s="20">
        <f>Tabel3121449[[#Totals],[Handcreme]]</f>
        <v>0</v>
      </c>
      <c r="K21" s="28">
        <f>Tabel3121449[[#Totals],[Industriezeep]]</f>
        <v>0</v>
      </c>
      <c r="L21" s="20">
        <v>0</v>
      </c>
      <c r="M21" s="20">
        <v>0</v>
      </c>
      <c r="N21" s="20">
        <f>Tabel3121449[[#Totals],[Douchegel]]</f>
        <v>1</v>
      </c>
    </row>
    <row r="22" spans="1:15" ht="20.100000000000001" customHeight="1" thickBot="1">
      <c r="A22" s="128" t="s">
        <v>58</v>
      </c>
      <c r="B22" s="24">
        <f>Tabel3121431[[#Totals],[Toiletrolhouder]]</f>
        <v>2</v>
      </c>
      <c r="C22" s="24">
        <f>Tabel3121431[[#Totals],[Seatcleaner]]</f>
        <v>2</v>
      </c>
      <c r="D22" s="24">
        <f>Tabel3121431[[#Totals],[Luchtverfrisser]]</f>
        <v>2</v>
      </c>
      <c r="E22" s="24">
        <f>Tabel3121431[[#Totals],[Toiletborstel + houder]]</f>
        <v>2</v>
      </c>
      <c r="F22" s="24">
        <f>Tabel3121431[[#Totals],[Vouwdoekjes]]</f>
        <v>2</v>
      </c>
      <c r="G22" s="24">
        <f>Tabel3121431[[#Totals],[Verbandzakhouder]]</f>
        <v>1</v>
      </c>
      <c r="H22" s="24">
        <f>Tabel3121431[[#Totals],[Foamzeep]]</f>
        <v>6</v>
      </c>
      <c r="I22" s="24">
        <f>Tabel3121431[[#Totals],[Poetsrol]]</f>
        <v>4</v>
      </c>
      <c r="J22" s="24">
        <f>Tabel3121431[[#Totals],[Handcreme]]</f>
        <v>2</v>
      </c>
      <c r="K22" s="29">
        <f>Tabel3121431[[#Totals],[Industriezeep]]</f>
        <v>2</v>
      </c>
      <c r="L22" s="24">
        <v>0</v>
      </c>
      <c r="M22" s="24">
        <v>0</v>
      </c>
      <c r="N22" s="24" t="str">
        <f>Tabel3121431[[#Totals],[Douchegel]]</f>
        <v>0</v>
      </c>
    </row>
    <row r="23" spans="1:15" ht="20.100000000000001" customHeight="1" thickBot="1">
      <c r="A23" s="131" t="s">
        <v>59</v>
      </c>
      <c r="B23" s="132">
        <v>0</v>
      </c>
      <c r="C23" s="132">
        <v>0</v>
      </c>
      <c r="D23" s="132">
        <v>0</v>
      </c>
      <c r="E23" s="132">
        <v>0</v>
      </c>
      <c r="F23" s="132">
        <v>0</v>
      </c>
      <c r="G23" s="132">
        <v>0</v>
      </c>
      <c r="H23" s="132">
        <v>0</v>
      </c>
      <c r="I23" s="132">
        <v>0</v>
      </c>
      <c r="J23" s="132">
        <v>0</v>
      </c>
      <c r="K23" s="133">
        <v>0</v>
      </c>
      <c r="L23" s="132">
        <v>0</v>
      </c>
      <c r="M23" s="133">
        <v>0</v>
      </c>
      <c r="N23" s="154">
        <f>'Infohal Apeldoorn'!O4</f>
        <v>0</v>
      </c>
      <c r="O23" s="142" t="s">
        <v>60</v>
      </c>
    </row>
    <row r="24" spans="1:15" ht="20.100000000000001" customHeight="1">
      <c r="A24" s="129" t="s">
        <v>61</v>
      </c>
      <c r="B24" s="23">
        <f>Tabel3121439[[#Totals],[Toiletrolhouder]]</f>
        <v>2</v>
      </c>
      <c r="C24" s="23">
        <f>Tabel3121439[[#Totals],[Seatcleaner]]</f>
        <v>2</v>
      </c>
      <c r="D24" s="23">
        <f>Tabel3121439[[#Totals],[Luchtverfrisser]]</f>
        <v>2</v>
      </c>
      <c r="E24" s="23">
        <f>Tabel3121439[[#Totals],[Toiletborstel + houder]]</f>
        <v>2</v>
      </c>
      <c r="F24" s="23">
        <f>Tabel3121439[[#Totals],[Vouwdoekjes]]</f>
        <v>4</v>
      </c>
      <c r="G24" s="23">
        <f>Tabel3121439[[#Totals],[Verbandzakhouder]]</f>
        <v>1</v>
      </c>
      <c r="H24" s="23">
        <f>Tabel3121439[[#Totals],[Foamzeep]]</f>
        <v>6</v>
      </c>
      <c r="I24" s="23">
        <f>Tabel3121439[[#Totals],[Poetsrol]]</f>
        <v>5</v>
      </c>
      <c r="J24" s="23">
        <f>Tabel3121439[[#Totals],[Handcreme]]</f>
        <v>3</v>
      </c>
      <c r="K24" s="130">
        <f>Tabel3121439[[#Totals],[Industriezeep]]</f>
        <v>3</v>
      </c>
      <c r="L24" s="23">
        <v>0</v>
      </c>
      <c r="M24" s="23">
        <v>0</v>
      </c>
      <c r="N24" s="23" t="str">
        <f>Tabel312143152[[#Totals],[Douchegel]]</f>
        <v>0</v>
      </c>
    </row>
    <row r="25" spans="1:15" ht="20.100000000000001" customHeight="1">
      <c r="A25" s="68" t="s">
        <v>62</v>
      </c>
      <c r="B25" s="20">
        <f>Tabel312143147[[#Totals],[Toiletrolhouder]]</f>
        <v>29</v>
      </c>
      <c r="C25" s="20">
        <f>Tabel312143147[[#Totals],[Seatcleaner]]</f>
        <v>29</v>
      </c>
      <c r="D25" s="20">
        <f>Tabel312143147[[#Totals],[Luchtverfrisser]]</f>
        <v>0</v>
      </c>
      <c r="E25" s="20">
        <f>Tabel312143147[[#Totals],[Toiletborstel + houder]]</f>
        <v>29</v>
      </c>
      <c r="F25" s="20">
        <f>Tabel312143147[[#Totals],[Vouwdoekjes]]</f>
        <v>0</v>
      </c>
      <c r="G25" s="20">
        <f>Tabel312143147[[#Totals],[Verbandzakhouder]]</f>
        <v>0</v>
      </c>
      <c r="H25" s="20">
        <f>Tabel312143147[[#Totals],[Foamzeep]]</f>
        <v>67</v>
      </c>
      <c r="I25" s="20">
        <f>Tabel312143147[[#Totals],[Poetsrol]]</f>
        <v>67</v>
      </c>
      <c r="J25" s="20">
        <f>Tabel312143147[[#Totals],[Handcreme]]</f>
        <v>0</v>
      </c>
      <c r="K25" s="28">
        <f>Tabel312143147[[#Totals],[Industriezeep]]</f>
        <v>0</v>
      </c>
      <c r="L25" s="20">
        <v>0</v>
      </c>
      <c r="M25" s="20">
        <v>0</v>
      </c>
      <c r="N25" s="20">
        <v>0</v>
      </c>
    </row>
    <row r="26" spans="1:15" ht="20.100000000000001" customHeight="1" thickBot="1">
      <c r="A26" s="103" t="s">
        <v>63</v>
      </c>
      <c r="B26" s="104">
        <f>SUBTOTAL(109,B2:B25)</f>
        <v>127</v>
      </c>
      <c r="C26" s="104">
        <f>SUBTOTAL(109,C2:C25)</f>
        <v>125</v>
      </c>
      <c r="D26" s="104">
        <f>SUBTOTAL(109,D2:D25)</f>
        <v>97</v>
      </c>
      <c r="E26" s="104">
        <f>SUBTOTAL(109,E2:E25)</f>
        <v>127</v>
      </c>
      <c r="F26" s="104">
        <f>SUBTOTAL(109,F2:F25)</f>
        <v>60</v>
      </c>
      <c r="G26" s="104">
        <f>SUBTOTAL(109,G3:G25)</f>
        <v>28</v>
      </c>
      <c r="H26" s="104">
        <f>SUBTOTAL(109,H2:H25)</f>
        <v>246</v>
      </c>
      <c r="I26" s="104">
        <f>SUBTOTAL(109,I2:I25)</f>
        <v>172</v>
      </c>
      <c r="J26" s="104">
        <f>SUBTOTAL(109,J2:J25)</f>
        <v>32</v>
      </c>
      <c r="K26" s="105">
        <f>SUBTOTAL(109,K2:K25)</f>
        <v>38</v>
      </c>
      <c r="L26" s="104">
        <f>SUM(L2:L25)</f>
        <v>30</v>
      </c>
      <c r="M26" s="102">
        <f>SUM(M2:M25)</f>
        <v>19</v>
      </c>
      <c r="N26" s="102">
        <f>SUM(N2:N25)</f>
        <v>19</v>
      </c>
    </row>
    <row r="27" spans="1:15" ht="20.100000000000001" customHeight="1" thickBot="1">
      <c r="A27" s="150" t="s">
        <v>64</v>
      </c>
      <c r="B27" s="151"/>
      <c r="C27" s="151"/>
      <c r="D27" s="151"/>
      <c r="E27" s="151"/>
      <c r="F27" s="151"/>
      <c r="G27" s="151" t="s">
        <v>65</v>
      </c>
      <c r="H27" s="151"/>
      <c r="I27" s="151"/>
      <c r="J27" s="151" t="s">
        <v>65</v>
      </c>
      <c r="K27" s="151" t="s">
        <v>65</v>
      </c>
      <c r="L27" s="151" t="s">
        <v>66</v>
      </c>
      <c r="M27" s="152" t="s">
        <v>66</v>
      </c>
      <c r="N27" s="153"/>
    </row>
    <row r="28" spans="1:15" s="76" customFormat="1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</row>
    <row r="1048572" spans="3:3" ht="20.100000000000001" customHeight="1">
      <c r="C1048572">
        <f>SUM(C2:C1048571)</f>
        <v>250</v>
      </c>
    </row>
  </sheetData>
  <hyperlinks>
    <hyperlink ref="A2" location="Waterschapshuis!A1" display="Waterschapshuis" xr:uid="{0DC91A77-A7E9-48D7-BFBE-82F8701FC706}"/>
    <hyperlink ref="A3" location="'RWZI Bennekom'!A1" display="'RWZI Bennekom'!A1" xr:uid="{39387C57-C59E-42CE-A28B-021E7A0AEB9D}"/>
    <hyperlink ref="A4" location="'RWZi Amersfoort'!A1" display="RWZi Amersfoort" xr:uid="{794CD5D5-79FB-4A05-8DC5-C9ABE63ABBFB}"/>
    <hyperlink ref="A5" location="'RWZI Heerde'!A1" display="'RWZI Heerde'!A1" xr:uid="{6CF15FB5-F218-4D39-921E-DB8F40343D27}"/>
    <hyperlink ref="A6" location="'RWZI  Veenendaal'!A1" display="'RWZI  Veenendaal'!A1" xr:uid="{302F6CAE-341B-499A-9422-C6049380D78C}"/>
    <hyperlink ref="A7" location="'RWZI Brummen'!A1" display="'RWZI Brummen'!A1" xr:uid="{4BF4B062-E848-4AE9-B897-9F600737EE93}"/>
    <hyperlink ref="A8" location="'RWZI Epe'!A1" display="'RWZI Epe'!A1" xr:uid="{F0F740C6-99A5-4056-A4F9-3946561A0B02}"/>
    <hyperlink ref="A9" location="'RWZI Woudenberg'!A1" display="'RWZI Woudenberg'!A1" xr:uid="{7D41DEA1-B3AB-40FB-A38A-9AD0F167DA9D}"/>
    <hyperlink ref="A10" location="'RWZI Apeldoorn'!A1" display="'RWZI Apeldoorn'!A1" xr:uid="{6EDF11D2-B51F-4E1D-B501-DFDCD2EC28D9}"/>
    <hyperlink ref="A11" location="'RWZI Elburg'!A1" display="'RWZI Elburg'!A1" xr:uid="{DD19C173-BF42-4C44-B0A2-ADAA59E814CB}"/>
    <hyperlink ref="A12" location="'RWZI Soest'!A1" display="'RWZI Soest'!A1" xr:uid="{03301D68-A8F3-4CDA-936F-15672F271517}"/>
    <hyperlink ref="A13" location="'RWZI Nijkerk'!A1" display="'RWZI Nijkerk'!A1" xr:uid="{AF3E8ECD-051F-458D-A759-236A44A302C5}"/>
    <hyperlink ref="A14" location="'RWZI Renkum'!A1" display="'RWZI Renkum'!A1" xr:uid="{6837765A-F7BA-4A25-A270-8AD9392A8D17}"/>
    <hyperlink ref="A15" location="'RWZI Terwolde'!A1" display="'RWZI Terwolde'!A1" xr:uid="{5F29C948-3443-4754-B1DC-BAA2964028F1}"/>
    <hyperlink ref="A16" location="'Steunpunt Twello'!A1" display="'Steunpunt Twello'!A1" xr:uid="{13F57494-546F-4B16-A003-64185D20CD13}"/>
    <hyperlink ref="A17" location="'RWZI Hattem'!A1" display="'RWZI Hattem'!A1" xr:uid="{E47E8CEC-AF4B-479C-89E1-6B9057CD318A}"/>
    <hyperlink ref="A18" location="'RWZI Ede'!A1" display="'RWZI Ede'!A1" xr:uid="{DE60C4E6-2578-444A-97B6-914AEC2BAC5B}"/>
    <hyperlink ref="A19" location="'Steunpunt KLeine Gat'!A1" display="'Steunpunt KLeine Gat'!A1" xr:uid="{4028AC5A-2F7D-4E2A-964B-2B621FC37A0D}"/>
    <hyperlink ref="A20" location="'Steunpunt Kallenbroek'!A1" display="'Steunpunt Kallenbroek'!A1" xr:uid="{A1B10324-AE89-4B46-A126-5D769EFF992D}"/>
    <hyperlink ref="A21" location="'Gemaal De Wenden Noordeinde'!A1" display="'Gemaal De Wenden Noordeinde'!A1" xr:uid="{E7569AF5-D05A-45A3-8631-9AF8FFD6C8AE}"/>
    <hyperlink ref="A22" location="'RWZI Harderwijk'!A1" display="'RWZI Harderwijk'!A1" xr:uid="{81AEC726-36B7-49C8-9E4E-3B9222CB2FFD}"/>
    <hyperlink ref="A23" location="'Infohal Apeldoorn'!A1" display="'Infohal Apeldoorn'!A1" xr:uid="{3ABE53A3-40BA-48F5-9959-B26228BF5890}"/>
    <hyperlink ref="A24" location="'Infohal Ede'!A1" display="'Infohal Ede'!A1" xr:uid="{3B86DAE6-66D8-4540-B297-9F782B64BD54}"/>
    <hyperlink ref="A25" location="Rioolgemaal!A1" display="Rioolgemaal!A1" xr:uid="{14D1455D-43F9-44C2-8E95-B7C9E513F32B}"/>
  </hyperlinks>
  <pageMargins left="0.7" right="0.7" top="0.75" bottom="0.75" header="0.3" footer="0.3"/>
  <ignoredErrors>
    <ignoredError sqref="B3:B26 L2:L26 N3:N26" calculatedColumn="1"/>
  </ignoredErrors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D0C2-2B2F-494E-89EA-EE80887384F3}">
  <dimension ref="A1:P11"/>
  <sheetViews>
    <sheetView zoomScale="85" zoomScaleNormal="85" workbookViewId="0">
      <selection activeCell="O23" sqref="O23"/>
    </sheetView>
  </sheetViews>
  <sheetFormatPr defaultRowHeight="11.25"/>
  <cols>
    <col min="1" max="1" width="17.75" style="18" bestFit="1" customWidth="1"/>
    <col min="2" max="2" width="16.5" style="18" customWidth="1"/>
    <col min="3" max="3" width="17" style="18" customWidth="1"/>
    <col min="4" max="4" width="21.375" style="18" customWidth="1"/>
    <col min="5" max="5" width="19.75" style="18" bestFit="1" customWidth="1"/>
    <col min="6" max="6" width="15.875" style="18" bestFit="1" customWidth="1"/>
    <col min="7" max="7" width="13" style="18" bestFit="1" customWidth="1"/>
    <col min="8" max="8" width="15.875" style="18" bestFit="1" customWidth="1"/>
    <col min="9" max="9" width="21.75" style="18" bestFit="1" customWidth="1"/>
    <col min="10" max="10" width="14.25" style="18" bestFit="1" customWidth="1"/>
    <col min="11" max="11" width="12.875" style="18" bestFit="1" customWidth="1"/>
    <col min="12" max="12" width="11.5" style="18" bestFit="1" customWidth="1"/>
    <col min="13" max="13" width="10" style="18" bestFit="1" customWidth="1"/>
    <col min="14" max="14" width="12.5" style="18" bestFit="1" customWidth="1"/>
    <col min="15" max="15" width="14.5" style="18" bestFit="1" customWidth="1"/>
    <col min="16" max="16" width="12.5" style="18" bestFit="1" customWidth="1"/>
    <col min="17" max="16384" width="9" style="18"/>
  </cols>
  <sheetData>
    <row r="1" spans="1:16" ht="12" thickBot="1">
      <c r="A1" s="15" t="s">
        <v>67</v>
      </c>
      <c r="B1" s="16" t="s">
        <v>68</v>
      </c>
      <c r="C1" s="16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94" t="s">
        <v>33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21</v>
      </c>
    </row>
    <row r="2" spans="1:16">
      <c r="A2" s="22" t="s">
        <v>156</v>
      </c>
      <c r="B2" s="20" t="s">
        <v>157</v>
      </c>
      <c r="C2" s="20" t="s">
        <v>86</v>
      </c>
      <c r="D2" s="20" t="s">
        <v>88</v>
      </c>
      <c r="E2" s="20">
        <v>1</v>
      </c>
      <c r="F2" s="20"/>
      <c r="G2" s="20"/>
      <c r="H2" s="20"/>
      <c r="I2" s="20"/>
      <c r="J2" s="20"/>
      <c r="K2" s="20"/>
      <c r="L2" s="20">
        <v>1</v>
      </c>
      <c r="M2" s="20">
        <v>1</v>
      </c>
      <c r="N2" s="28"/>
      <c r="O2" s="19"/>
      <c r="P2" s="19">
        <v>1</v>
      </c>
    </row>
    <row r="3" spans="1:16">
      <c r="A3" s="22"/>
      <c r="B3" s="20"/>
      <c r="C3" s="20"/>
      <c r="D3" s="19" t="s">
        <v>139</v>
      </c>
      <c r="E3" s="20">
        <v>1</v>
      </c>
      <c r="F3" s="20"/>
      <c r="G3" s="20"/>
      <c r="H3" s="20"/>
      <c r="I3" s="20"/>
      <c r="J3" s="20"/>
      <c r="K3" s="20"/>
      <c r="L3" s="20">
        <v>1</v>
      </c>
      <c r="M3" s="20">
        <v>1</v>
      </c>
      <c r="N3" s="28">
        <v>1</v>
      </c>
      <c r="O3" s="19">
        <v>1</v>
      </c>
      <c r="P3" s="19"/>
    </row>
    <row r="4" spans="1:16">
      <c r="A4" s="22"/>
      <c r="B4" s="20"/>
      <c r="C4" s="20"/>
      <c r="D4" s="19" t="s">
        <v>73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/>
      <c r="L4" s="20">
        <v>1</v>
      </c>
      <c r="M4" s="20"/>
      <c r="N4" s="28"/>
      <c r="O4" s="19"/>
      <c r="P4" s="19"/>
    </row>
    <row r="5" spans="1:16">
      <c r="A5" s="22"/>
      <c r="B5" s="20"/>
      <c r="C5" s="20"/>
      <c r="D5" s="20" t="s">
        <v>74</v>
      </c>
      <c r="E5" s="20">
        <v>1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20"/>
      <c r="N5" s="28"/>
      <c r="O5" s="19"/>
      <c r="P5" s="19"/>
    </row>
    <row r="6" spans="1:16">
      <c r="A6" s="22"/>
      <c r="B6" s="20"/>
      <c r="C6" s="20"/>
      <c r="D6" s="20" t="s">
        <v>158</v>
      </c>
      <c r="E6" s="20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/>
      <c r="O6" s="19"/>
      <c r="P6" s="19"/>
    </row>
    <row r="7" spans="1:16">
      <c r="A7" s="22"/>
      <c r="B7" s="20"/>
      <c r="C7" s="20"/>
      <c r="D7" s="20" t="s">
        <v>90</v>
      </c>
      <c r="E7" s="20">
        <v>1</v>
      </c>
      <c r="F7" s="20"/>
      <c r="G7" s="20"/>
      <c r="H7" s="20"/>
      <c r="I7" s="20"/>
      <c r="J7" s="20"/>
      <c r="K7" s="20"/>
      <c r="L7" s="20">
        <v>1</v>
      </c>
      <c r="M7" s="20">
        <v>1</v>
      </c>
      <c r="N7" s="28"/>
      <c r="O7" s="19"/>
      <c r="P7" s="19"/>
    </row>
    <row r="8" spans="1:16">
      <c r="A8" s="22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8"/>
      <c r="O8" s="19"/>
      <c r="P8" s="19"/>
    </row>
    <row r="9" spans="1:16">
      <c r="A9" s="22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8"/>
      <c r="O9" s="19"/>
      <c r="P9" s="19"/>
    </row>
    <row r="10" spans="1:16" ht="12" thickBot="1">
      <c r="A10" s="22"/>
      <c r="B10" s="2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9"/>
      <c r="O10" s="158"/>
      <c r="P10" s="158"/>
    </row>
    <row r="11" spans="1:16" ht="12" thickBot="1">
      <c r="A11" s="22"/>
      <c r="B11" s="20"/>
      <c r="C11" s="36" t="s">
        <v>63</v>
      </c>
      <c r="D11" s="37"/>
      <c r="E11" s="37"/>
      <c r="F11" s="40">
        <f>SUBTOTAL(109,Tabel3121441[Toiletrolhouder])</f>
        <v>2</v>
      </c>
      <c r="G11" s="40">
        <f>SUBTOTAL(109,Tabel3121441[Seatcleaner])</f>
        <v>2</v>
      </c>
      <c r="H11" s="40">
        <f>SUBTOTAL(109,Tabel3121441[Luchtverfrisser])</f>
        <v>2</v>
      </c>
      <c r="I11" s="40">
        <f>SUBTOTAL(109,Tabel3121441[Toiletborstel + houder])</f>
        <v>2</v>
      </c>
      <c r="J11" s="40">
        <f>SUBTOTAL(109,Tabel3121441[Vouwdoekjes])</f>
        <v>2</v>
      </c>
      <c r="K11" s="40">
        <f>SUBTOTAL(109,Tabel3121441[Verbandzakhouder])</f>
        <v>1</v>
      </c>
      <c r="L11" s="40">
        <f>SUBTOTAL(109,Tabel3121441[Foamzeep])</f>
        <v>6</v>
      </c>
      <c r="M11" s="40">
        <f>SUBTOTAL(109,Tabel3121441[Poetsrol])</f>
        <v>4</v>
      </c>
      <c r="N11" s="160">
        <f>SUBTOTAL(109,Tabel3121441[Handcreme])</f>
        <v>1</v>
      </c>
      <c r="O11" s="149">
        <f>SUBTOTAL(109,Tabel3121441[Industriezeep])</f>
        <v>1</v>
      </c>
      <c r="P11" s="44">
        <f>SUM(P2:P10)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45430-EF9A-447F-A582-DECC14B70184}">
  <dimension ref="A1:P10"/>
  <sheetViews>
    <sheetView zoomScale="85" zoomScaleNormal="85" workbookViewId="0">
      <selection activeCell="Q19" sqref="Q19"/>
    </sheetView>
  </sheetViews>
  <sheetFormatPr defaultRowHeight="11.25"/>
  <cols>
    <col min="1" max="1" width="19.125" style="18" bestFit="1" customWidth="1"/>
    <col min="2" max="2" width="26" style="18" customWidth="1"/>
    <col min="3" max="3" width="13.25" style="18" bestFit="1" customWidth="1"/>
    <col min="4" max="4" width="16.625" style="18" customWidth="1"/>
    <col min="5" max="5" width="8.375" style="18" bestFit="1" customWidth="1"/>
    <col min="6" max="6" width="15.875" style="18" bestFit="1" customWidth="1"/>
    <col min="7" max="7" width="13" style="18" bestFit="1" customWidth="1"/>
    <col min="8" max="8" width="15.875" style="18" bestFit="1" customWidth="1"/>
    <col min="9" max="9" width="21.75" style="18" bestFit="1" customWidth="1"/>
    <col min="10" max="10" width="14.25" style="18" bestFit="1" customWidth="1"/>
    <col min="11" max="11" width="12.875" style="18" bestFit="1" customWidth="1"/>
    <col min="12" max="12" width="11.5" style="18" bestFit="1" customWidth="1"/>
    <col min="13" max="13" width="10" style="18" bestFit="1" customWidth="1"/>
    <col min="14" max="14" width="12.5" style="18" bestFit="1" customWidth="1"/>
    <col min="15" max="15" width="14.5" style="18" bestFit="1" customWidth="1"/>
    <col min="16" max="16" width="12.5" style="18" bestFit="1" customWidth="1"/>
    <col min="17" max="16384" width="9" style="18"/>
  </cols>
  <sheetData>
    <row r="1" spans="1:16" ht="12" thickBot="1">
      <c r="A1" s="15" t="s">
        <v>67</v>
      </c>
      <c r="B1" s="16" t="s">
        <v>68</v>
      </c>
      <c r="C1" s="16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94" t="s">
        <v>33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21</v>
      </c>
    </row>
    <row r="2" spans="1:16">
      <c r="A2" s="22" t="s">
        <v>56</v>
      </c>
      <c r="B2" s="20" t="s">
        <v>159</v>
      </c>
      <c r="C2" s="20" t="s">
        <v>86</v>
      </c>
      <c r="D2" s="20" t="s">
        <v>90</v>
      </c>
      <c r="E2" s="20">
        <v>1</v>
      </c>
      <c r="F2" s="20"/>
      <c r="G2" s="20"/>
      <c r="H2" s="20"/>
      <c r="I2" s="20"/>
      <c r="J2" s="20"/>
      <c r="K2" s="20"/>
      <c r="L2" s="20">
        <v>1</v>
      </c>
      <c r="M2" s="20">
        <v>1</v>
      </c>
      <c r="N2" s="28"/>
      <c r="O2" s="19"/>
      <c r="P2" s="19"/>
    </row>
    <row r="3" spans="1:16">
      <c r="A3" s="22"/>
      <c r="B3" s="20"/>
      <c r="C3" s="20"/>
      <c r="D3" s="20" t="s">
        <v>95</v>
      </c>
      <c r="E3" s="20">
        <v>1</v>
      </c>
      <c r="F3" s="20"/>
      <c r="G3" s="20"/>
      <c r="H3" s="20"/>
      <c r="I3" s="20"/>
      <c r="J3" s="20"/>
      <c r="K3" s="20"/>
      <c r="L3" s="20">
        <v>1</v>
      </c>
      <c r="M3" s="20">
        <v>1</v>
      </c>
      <c r="N3" s="28">
        <v>1</v>
      </c>
      <c r="O3" s="19">
        <v>1</v>
      </c>
      <c r="P3" s="19"/>
    </row>
    <row r="4" spans="1:16">
      <c r="A4" s="22"/>
      <c r="B4" s="20"/>
      <c r="C4" s="20"/>
      <c r="D4" s="20" t="s">
        <v>127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/>
      <c r="O4" s="19"/>
      <c r="P4" s="19"/>
    </row>
    <row r="5" spans="1:16">
      <c r="A5" s="22"/>
      <c r="B5" s="20"/>
      <c r="C5" s="20"/>
      <c r="D5" s="19" t="s">
        <v>73</v>
      </c>
      <c r="E5" s="20">
        <v>2</v>
      </c>
      <c r="F5" s="20">
        <v>2</v>
      </c>
      <c r="G5" s="20">
        <v>2</v>
      </c>
      <c r="H5" s="20">
        <v>2</v>
      </c>
      <c r="I5" s="20">
        <v>2</v>
      </c>
      <c r="J5" s="20">
        <v>2</v>
      </c>
      <c r="K5" s="20"/>
      <c r="L5" s="20">
        <v>2</v>
      </c>
      <c r="M5" s="20"/>
      <c r="N5" s="28"/>
      <c r="O5" s="19"/>
      <c r="P5" s="19"/>
    </row>
    <row r="6" spans="1:16">
      <c r="A6" s="22"/>
      <c r="B6" s="20"/>
      <c r="C6" s="20"/>
      <c r="D6" s="20" t="s">
        <v>74</v>
      </c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0">
        <v>1</v>
      </c>
      <c r="K6" s="20">
        <v>1</v>
      </c>
      <c r="L6" s="20">
        <v>1</v>
      </c>
      <c r="M6" s="20"/>
      <c r="N6" s="28"/>
      <c r="O6" s="19"/>
      <c r="P6" s="19"/>
    </row>
    <row r="7" spans="1:16">
      <c r="A7" s="22"/>
      <c r="B7" s="20"/>
      <c r="C7" s="20"/>
      <c r="D7" s="20" t="s">
        <v>160</v>
      </c>
      <c r="E7" s="20">
        <v>1</v>
      </c>
      <c r="F7" s="20"/>
      <c r="G7" s="20"/>
      <c r="H7" s="20"/>
      <c r="I7" s="20"/>
      <c r="J7" s="20"/>
      <c r="K7" s="20"/>
      <c r="L7" s="20">
        <v>1</v>
      </c>
      <c r="M7" s="20">
        <v>1</v>
      </c>
      <c r="N7" s="28"/>
      <c r="O7" s="19"/>
      <c r="P7" s="19"/>
    </row>
    <row r="8" spans="1:16">
      <c r="A8" s="22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8"/>
      <c r="O8" s="19"/>
      <c r="P8" s="19"/>
    </row>
    <row r="9" spans="1:16" ht="12" thickBot="1">
      <c r="A9" s="22"/>
      <c r="B9" s="2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9"/>
      <c r="O9" s="158"/>
      <c r="P9" s="158"/>
    </row>
    <row r="10" spans="1:16" ht="12" thickBot="1">
      <c r="A10" s="22"/>
      <c r="B10" s="20"/>
      <c r="C10" s="39" t="s">
        <v>63</v>
      </c>
      <c r="D10" s="40"/>
      <c r="E10" s="40"/>
      <c r="F10" s="40">
        <f>SUBTOTAL(109,Tabel3121445[Toiletrolhouder])</f>
        <v>3</v>
      </c>
      <c r="G10" s="40">
        <f>SUBTOTAL(109,Tabel3121445[Seatcleaner])</f>
        <v>3</v>
      </c>
      <c r="H10" s="40">
        <f>SUBTOTAL(109,Tabel3121445[Luchtverfrisser])</f>
        <v>3</v>
      </c>
      <c r="I10" s="40">
        <f>SUBTOTAL(109,Tabel3121445[Toiletborstel + houder])</f>
        <v>3</v>
      </c>
      <c r="J10" s="40">
        <f>SUBTOTAL(109,Tabel3121445[Vouwdoekjes])</f>
        <v>3</v>
      </c>
      <c r="K10" s="40">
        <f>SUBTOTAL(109,Tabel3121445[Verbandzakhouder])</f>
        <v>1</v>
      </c>
      <c r="L10" s="40">
        <f>SUBTOTAL(109,Tabel3121445[Foamzeep])</f>
        <v>7</v>
      </c>
      <c r="M10" s="40">
        <f>SUBTOTAL(109,Tabel3121445[Poetsrol])</f>
        <v>4</v>
      </c>
      <c r="N10" s="160">
        <f>SUBTOTAL(109,Tabel3121445[Handcreme])</f>
        <v>1</v>
      </c>
      <c r="O10" s="149">
        <f>SUBTOTAL(109,Tabel3121445[Industriezeep])</f>
        <v>1</v>
      </c>
      <c r="P10" s="44" t="s">
        <v>111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AF6AA-AE2B-489F-BB5C-7F75C08BEDC7}">
  <dimension ref="A1:P11"/>
  <sheetViews>
    <sheetView zoomScale="85" zoomScaleNormal="85" workbookViewId="0">
      <selection activeCell="M25" sqref="M25"/>
    </sheetView>
  </sheetViews>
  <sheetFormatPr defaultRowHeight="11.25"/>
  <cols>
    <col min="1" max="1" width="21.75" customWidth="1"/>
    <col min="2" max="2" width="16.125" bestFit="1" customWidth="1"/>
    <col min="3" max="3" width="19.5" customWidth="1"/>
    <col min="4" max="4" width="18.875" bestFit="1" customWidth="1"/>
    <col min="5" max="5" width="19.75" bestFit="1" customWidth="1"/>
    <col min="6" max="6" width="15.875" bestFit="1" customWidth="1"/>
    <col min="7" max="7" width="13" bestFit="1" customWidth="1"/>
    <col min="8" max="8" width="15.875" bestFit="1" customWidth="1"/>
    <col min="9" max="9" width="21.75" bestFit="1" customWidth="1"/>
    <col min="10" max="10" width="14.25" bestFit="1" customWidth="1"/>
    <col min="11" max="11" width="12.875" bestFit="1" customWidth="1"/>
    <col min="12" max="12" width="11.5" bestFit="1" customWidth="1"/>
    <col min="13" max="13" width="10" bestFit="1" customWidth="1"/>
    <col min="14" max="14" width="12.5" bestFit="1" customWidth="1"/>
    <col min="15" max="15" width="14.5" bestFit="1" customWidth="1"/>
    <col min="16" max="16" width="12.5" bestFit="1" customWidth="1"/>
  </cols>
  <sheetData>
    <row r="1" spans="1:16" ht="12" thickBot="1">
      <c r="A1" s="15" t="s">
        <v>67</v>
      </c>
      <c r="B1" s="16" t="s">
        <v>68</v>
      </c>
      <c r="C1" s="16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94" t="s">
        <v>33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21</v>
      </c>
    </row>
    <row r="2" spans="1:16">
      <c r="A2" s="31" t="s">
        <v>161</v>
      </c>
      <c r="B2" s="22" t="s">
        <v>162</v>
      </c>
      <c r="C2" s="20" t="s">
        <v>86</v>
      </c>
      <c r="D2" s="19" t="s">
        <v>73</v>
      </c>
      <c r="E2" s="20">
        <v>1</v>
      </c>
      <c r="F2" s="20">
        <v>1</v>
      </c>
      <c r="G2" s="20">
        <v>1</v>
      </c>
      <c r="H2" s="20">
        <v>1</v>
      </c>
      <c r="I2" s="20">
        <v>1</v>
      </c>
      <c r="J2" s="20">
        <v>1</v>
      </c>
      <c r="K2" s="20"/>
      <c r="L2" s="20">
        <v>1</v>
      </c>
      <c r="M2" s="20"/>
      <c r="N2" s="28"/>
      <c r="O2" s="19"/>
      <c r="P2" s="19"/>
    </row>
    <row r="3" spans="1:16">
      <c r="A3" s="22"/>
      <c r="B3" s="20"/>
      <c r="C3" s="27"/>
      <c r="D3" s="20" t="s">
        <v>74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/>
      <c r="N3" s="28"/>
      <c r="O3" s="19"/>
      <c r="P3" s="19"/>
    </row>
    <row r="4" spans="1:16">
      <c r="A4" s="22"/>
      <c r="B4" s="20"/>
      <c r="C4" s="20"/>
      <c r="D4" s="20" t="s">
        <v>88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/>
      <c r="O4" s="19"/>
      <c r="P4" s="19">
        <v>1</v>
      </c>
    </row>
    <row r="5" spans="1:16">
      <c r="A5" s="22"/>
      <c r="B5" s="20"/>
      <c r="C5" s="20"/>
      <c r="D5" s="20" t="s">
        <v>90</v>
      </c>
      <c r="E5" s="20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8"/>
      <c r="O5" s="19"/>
      <c r="P5" s="19"/>
    </row>
    <row r="6" spans="1:16">
      <c r="A6" s="22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8"/>
      <c r="O6" s="19"/>
      <c r="P6" s="19"/>
    </row>
    <row r="7" spans="1:16">
      <c r="A7" s="22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8"/>
      <c r="O7" s="19"/>
      <c r="P7" s="19"/>
    </row>
    <row r="8" spans="1:16">
      <c r="A8" s="22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8"/>
      <c r="O8" s="19"/>
      <c r="P8" s="19"/>
    </row>
    <row r="9" spans="1:16">
      <c r="A9" s="22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8"/>
      <c r="O9" s="19"/>
      <c r="P9" s="19"/>
    </row>
    <row r="10" spans="1:16" ht="12" thickBot="1"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9"/>
      <c r="O10" s="158"/>
      <c r="P10" s="158"/>
    </row>
    <row r="11" spans="1:16" ht="12" thickBot="1">
      <c r="C11" s="39" t="s">
        <v>63</v>
      </c>
      <c r="D11" s="40"/>
      <c r="E11" s="40"/>
      <c r="F11" s="40">
        <f>SUBTOTAL(109,Tabel3121449[Toiletrolhouder])</f>
        <v>2</v>
      </c>
      <c r="G11" s="40">
        <f>SUBTOTAL(109,Tabel3121449[Seatcleaner])</f>
        <v>2</v>
      </c>
      <c r="H11" s="40">
        <f>SUBTOTAL(109,Tabel3121449[Luchtverfrisser])</f>
        <v>2</v>
      </c>
      <c r="I11" s="40">
        <f>SUBTOTAL(109,Tabel3121449[Toiletborstel + houder])</f>
        <v>2</v>
      </c>
      <c r="J11" s="40">
        <f>SUBTOTAL(109,Tabel3121449[Vouwdoekjes])</f>
        <v>2</v>
      </c>
      <c r="K11" s="40">
        <f>SUBTOTAL(109,Tabel3121449[Verbandzakhouder])</f>
        <v>1</v>
      </c>
      <c r="L11" s="40">
        <f>SUBTOTAL(109,Tabel3121449[Foamzeep])</f>
        <v>4</v>
      </c>
      <c r="M11" s="40">
        <f>SUBTOTAL(109,Tabel3121449[Poetsrol])</f>
        <v>2</v>
      </c>
      <c r="N11" s="160">
        <f>SUBTOTAL(109,Tabel3121449[Handcreme])</f>
        <v>0</v>
      </c>
      <c r="O11" s="149">
        <f>SUBTOTAL(109,Tabel3121449[Industriezeep])</f>
        <v>0</v>
      </c>
      <c r="P11" s="44">
        <f>SUM(P2:P10)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0246-D0D8-4EE2-84F6-498DED5E092F}">
  <dimension ref="A1:P18"/>
  <sheetViews>
    <sheetView zoomScale="85" zoomScaleNormal="85" workbookViewId="0">
      <selection activeCell="Q20" sqref="Q20"/>
    </sheetView>
  </sheetViews>
  <sheetFormatPr defaultRowHeight="11.25"/>
  <cols>
    <col min="1" max="1" width="16" bestFit="1" customWidth="1"/>
    <col min="2" max="2" width="13.875" customWidth="1"/>
    <col min="3" max="3" width="16" bestFit="1" customWidth="1"/>
    <col min="4" max="4" width="12.5" customWidth="1"/>
    <col min="5" max="5" width="8.375" bestFit="1" customWidth="1"/>
    <col min="6" max="6" width="15.875" bestFit="1" customWidth="1"/>
    <col min="7" max="7" width="13" bestFit="1" customWidth="1"/>
    <col min="8" max="8" width="15.875" bestFit="1" customWidth="1"/>
    <col min="9" max="9" width="21.75" bestFit="1" customWidth="1"/>
    <col min="10" max="10" width="14.25" bestFit="1" customWidth="1"/>
    <col min="11" max="11" width="12.875" bestFit="1" customWidth="1"/>
    <col min="12" max="12" width="11.5" bestFit="1" customWidth="1"/>
    <col min="13" max="13" width="10" bestFit="1" customWidth="1"/>
    <col min="14" max="14" width="12.5" bestFit="1" customWidth="1"/>
    <col min="15" max="15" width="14.5" bestFit="1" customWidth="1"/>
    <col min="16" max="16" width="12.5" bestFit="1" customWidth="1"/>
  </cols>
  <sheetData>
    <row r="1" spans="1:16" ht="12" thickBot="1">
      <c r="A1" s="2" t="s">
        <v>67</v>
      </c>
      <c r="B1" s="3" t="s">
        <v>68</v>
      </c>
      <c r="C1" s="3" t="s">
        <v>32</v>
      </c>
      <c r="D1" s="3" t="s">
        <v>69</v>
      </c>
      <c r="E1" s="3" t="s">
        <v>70</v>
      </c>
      <c r="F1" s="3" t="s">
        <v>5</v>
      </c>
      <c r="G1" s="3" t="s">
        <v>7</v>
      </c>
      <c r="H1" s="3" t="s">
        <v>9</v>
      </c>
      <c r="I1" s="3" t="s">
        <v>11</v>
      </c>
      <c r="J1" s="3" t="s">
        <v>13</v>
      </c>
      <c r="K1" s="94" t="s">
        <v>33</v>
      </c>
      <c r="L1" s="3" t="s">
        <v>16</v>
      </c>
      <c r="M1" s="3" t="s">
        <v>17</v>
      </c>
      <c r="N1" s="3" t="s">
        <v>34</v>
      </c>
      <c r="O1" s="45" t="s">
        <v>20</v>
      </c>
      <c r="P1" s="168" t="s">
        <v>21</v>
      </c>
    </row>
    <row r="2" spans="1:16">
      <c r="A2" s="22" t="s">
        <v>58</v>
      </c>
      <c r="B2" s="20" t="s">
        <v>163</v>
      </c>
      <c r="C2" s="22" t="s">
        <v>164</v>
      </c>
      <c r="D2" s="20" t="s">
        <v>92</v>
      </c>
      <c r="E2" s="20">
        <v>1</v>
      </c>
      <c r="F2" s="20"/>
      <c r="G2" s="20"/>
      <c r="H2" s="20"/>
      <c r="I2" s="20"/>
      <c r="J2" s="20"/>
      <c r="K2" s="20"/>
      <c r="L2" s="20">
        <v>1</v>
      </c>
      <c r="M2" s="20">
        <v>1</v>
      </c>
      <c r="N2" s="28">
        <v>1</v>
      </c>
      <c r="O2" s="19">
        <v>1</v>
      </c>
      <c r="P2" s="80"/>
    </row>
    <row r="3" spans="1:16">
      <c r="A3" s="22"/>
      <c r="B3" s="20"/>
      <c r="C3" s="22"/>
      <c r="D3" s="20"/>
      <c r="E3" s="20"/>
      <c r="F3" s="20"/>
      <c r="G3" s="20"/>
      <c r="H3" s="20"/>
      <c r="I3" s="20"/>
      <c r="J3" s="20"/>
      <c r="K3" s="20"/>
      <c r="L3" s="20"/>
      <c r="M3" s="20"/>
      <c r="N3" s="28"/>
      <c r="O3" s="19"/>
      <c r="P3" s="80"/>
    </row>
    <row r="4" spans="1:16">
      <c r="A4" s="22"/>
      <c r="B4" s="20"/>
      <c r="C4" s="22" t="s">
        <v>140</v>
      </c>
      <c r="D4" s="19" t="s">
        <v>73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/>
      <c r="L4" s="20">
        <v>1</v>
      </c>
      <c r="M4" s="20"/>
      <c r="N4" s="28"/>
      <c r="O4" s="19"/>
      <c r="P4" s="80"/>
    </row>
    <row r="5" spans="1:16">
      <c r="A5" s="22"/>
      <c r="B5" s="20"/>
      <c r="C5" s="27"/>
      <c r="D5" s="20" t="s">
        <v>74</v>
      </c>
      <c r="E5" s="20">
        <v>1</v>
      </c>
      <c r="F5" s="20">
        <v>1</v>
      </c>
      <c r="G5" s="20">
        <v>1</v>
      </c>
      <c r="H5" s="20">
        <v>1</v>
      </c>
      <c r="I5" s="20">
        <v>1</v>
      </c>
      <c r="J5" s="20">
        <v>1</v>
      </c>
      <c r="K5" s="20">
        <v>1</v>
      </c>
      <c r="L5" s="20">
        <v>1</v>
      </c>
      <c r="M5" s="20"/>
      <c r="N5" s="28"/>
      <c r="O5" s="19"/>
      <c r="P5" s="80"/>
    </row>
    <row r="6" spans="1:16">
      <c r="A6" s="22"/>
      <c r="B6" s="20"/>
      <c r="C6" s="22"/>
      <c r="D6" s="20" t="s">
        <v>90</v>
      </c>
      <c r="E6" s="20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/>
      <c r="O6" s="19"/>
      <c r="P6" s="80"/>
    </row>
    <row r="7" spans="1:16">
      <c r="A7" s="22"/>
      <c r="B7" s="20"/>
      <c r="C7" s="22"/>
      <c r="D7" s="20"/>
      <c r="E7" s="20"/>
      <c r="F7" s="20"/>
      <c r="G7" s="20"/>
      <c r="H7" s="20"/>
      <c r="I7" s="20"/>
      <c r="J7" s="20"/>
      <c r="K7" s="20"/>
      <c r="L7" s="20"/>
      <c r="M7" s="20"/>
      <c r="N7" s="28"/>
      <c r="O7" s="19"/>
      <c r="P7" s="80"/>
    </row>
    <row r="8" spans="1:16">
      <c r="A8" s="22"/>
      <c r="B8" s="20"/>
      <c r="C8" s="22" t="s">
        <v>149</v>
      </c>
      <c r="D8" s="20" t="s">
        <v>90</v>
      </c>
      <c r="E8" s="20">
        <v>1</v>
      </c>
      <c r="F8" s="20"/>
      <c r="G8" s="20"/>
      <c r="H8" s="20"/>
      <c r="I8" s="20"/>
      <c r="J8" s="20"/>
      <c r="K8" s="20"/>
      <c r="L8" s="20">
        <v>1</v>
      </c>
      <c r="M8" s="20">
        <v>1</v>
      </c>
      <c r="N8" s="28"/>
      <c r="O8" s="19"/>
      <c r="P8" s="80"/>
    </row>
    <row r="9" spans="1:16">
      <c r="A9" s="22"/>
      <c r="B9" s="20"/>
      <c r="C9" s="20"/>
      <c r="D9" s="20" t="s">
        <v>92</v>
      </c>
      <c r="E9" s="20">
        <v>1</v>
      </c>
      <c r="F9" s="20"/>
      <c r="G9" s="20"/>
      <c r="H9" s="20"/>
      <c r="I9" s="20"/>
      <c r="J9" s="20"/>
      <c r="K9" s="20"/>
      <c r="L9" s="20">
        <v>1</v>
      </c>
      <c r="M9" s="20">
        <v>1</v>
      </c>
      <c r="N9" s="28">
        <v>1</v>
      </c>
      <c r="O9" s="19">
        <v>1</v>
      </c>
      <c r="P9" s="80"/>
    </row>
    <row r="10" spans="1:16">
      <c r="A10" s="2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8"/>
      <c r="O10" s="19"/>
      <c r="P10" s="80"/>
    </row>
    <row r="11" spans="1:16">
      <c r="A11" s="22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8"/>
      <c r="O11" s="19"/>
      <c r="P11" s="80"/>
    </row>
    <row r="12" spans="1:16">
      <c r="A12" s="22"/>
      <c r="B12" s="20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9"/>
      <c r="O12" s="19"/>
      <c r="P12" s="80"/>
    </row>
    <row r="13" spans="1:16" ht="12" thickBot="1">
      <c r="A13" s="18"/>
      <c r="B13" s="18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9"/>
      <c r="O13" s="158"/>
      <c r="P13" s="157"/>
    </row>
    <row r="14" spans="1:16" ht="12" thickBot="1">
      <c r="A14" s="18"/>
      <c r="B14" s="18"/>
      <c r="C14" s="36" t="s">
        <v>63</v>
      </c>
      <c r="D14" s="37"/>
      <c r="E14" s="37"/>
      <c r="F14" s="37">
        <f>SUBTOTAL(109,Tabel3121431[Toiletrolhouder])</f>
        <v>2</v>
      </c>
      <c r="G14" s="37">
        <f>SUBTOTAL(109,Tabel3121431[Seatcleaner])</f>
        <v>2</v>
      </c>
      <c r="H14" s="37">
        <f>SUBTOTAL(109,Tabel3121431[Luchtverfrisser])</f>
        <v>2</v>
      </c>
      <c r="I14" s="37">
        <f>SUBTOTAL(109,Tabel3121431[Toiletborstel + houder])</f>
        <v>2</v>
      </c>
      <c r="J14" s="37">
        <f>SUBTOTAL(109,Tabel3121431[Vouwdoekjes])</f>
        <v>2</v>
      </c>
      <c r="K14" s="37">
        <f>SUBTOTAL(109,Tabel3121431[Verbandzakhouder])</f>
        <v>1</v>
      </c>
      <c r="L14" s="37">
        <f>SUBTOTAL(109,Tabel3121431[Foamzeep])</f>
        <v>6</v>
      </c>
      <c r="M14" s="37">
        <f>SUBTOTAL(109,Tabel3121431[Poetsrol])</f>
        <v>4</v>
      </c>
      <c r="N14" s="173">
        <f>SUBTOTAL(109,Tabel3121431[Handcreme])</f>
        <v>2</v>
      </c>
      <c r="O14" s="36">
        <f>SUBTOTAL(109,Tabel3121431[Industriezeep])</f>
        <v>2</v>
      </c>
      <c r="P14" s="176" t="s">
        <v>111</v>
      </c>
    </row>
    <row r="15" spans="1:16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6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</sheetData>
  <pageMargins left="0.7" right="0.7" top="0.75" bottom="0.75" header="0.3" footer="0.3"/>
  <tableParts count="2">
    <tablePart r:id="rId1"/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411B-AC05-4FAE-B8C9-DC6C8A279046}">
  <dimension ref="A1:O5"/>
  <sheetViews>
    <sheetView zoomScale="85" zoomScaleNormal="85" workbookViewId="0">
      <selection activeCell="O3" sqref="O3"/>
    </sheetView>
  </sheetViews>
  <sheetFormatPr defaultRowHeight="11.25"/>
  <cols>
    <col min="1" max="1" width="6.375" bestFit="1" customWidth="1"/>
    <col min="2" max="2" width="18.125" customWidth="1"/>
    <col min="3" max="3" width="7.125" bestFit="1" customWidth="1"/>
    <col min="4" max="4" width="6.875" bestFit="1" customWidth="1"/>
    <col min="5" max="5" width="52.375" bestFit="1" customWidth="1"/>
    <col min="6" max="6" width="13.875" bestFit="1" customWidth="1"/>
    <col min="7" max="7" width="11" bestFit="1" customWidth="1"/>
    <col min="8" max="8" width="13.875" bestFit="1" customWidth="1"/>
    <col min="9" max="9" width="19.75" bestFit="1" customWidth="1"/>
    <col min="10" max="10" width="12.25" bestFit="1" customWidth="1"/>
    <col min="11" max="11" width="10.875" bestFit="1" customWidth="1"/>
    <col min="12" max="12" width="9.5" bestFit="1" customWidth="1"/>
    <col min="13" max="13" width="8" bestFit="1" customWidth="1"/>
    <col min="14" max="14" width="10.5" bestFit="1" customWidth="1"/>
    <col min="15" max="15" width="12.5" bestFit="1" customWidth="1"/>
  </cols>
  <sheetData>
    <row r="1" spans="1:15" ht="12" thickBot="1">
      <c r="A1" s="2" t="s">
        <v>67</v>
      </c>
      <c r="B1" s="3" t="s">
        <v>68</v>
      </c>
      <c r="C1" s="3" t="s">
        <v>32</v>
      </c>
      <c r="D1" s="3" t="s">
        <v>69</v>
      </c>
      <c r="E1" s="3" t="s">
        <v>165</v>
      </c>
      <c r="F1" s="3" t="s">
        <v>5</v>
      </c>
      <c r="G1" s="3" t="s">
        <v>7</v>
      </c>
      <c r="H1" s="3" t="s">
        <v>9</v>
      </c>
      <c r="I1" s="3" t="s">
        <v>11</v>
      </c>
      <c r="J1" s="3" t="s">
        <v>13</v>
      </c>
      <c r="K1" s="95" t="s">
        <v>33</v>
      </c>
      <c r="L1" s="3" t="s">
        <v>16</v>
      </c>
      <c r="M1" s="3" t="s">
        <v>17</v>
      </c>
      <c r="N1" s="3" t="s">
        <v>34</v>
      </c>
      <c r="O1" s="4" t="s">
        <v>20</v>
      </c>
    </row>
    <row r="2" spans="1:15">
      <c r="A2" s="20" t="s">
        <v>166</v>
      </c>
      <c r="B2" s="20" t="s">
        <v>167</v>
      </c>
      <c r="C2" s="20" t="s">
        <v>90</v>
      </c>
      <c r="D2" s="20"/>
      <c r="E2" s="20">
        <v>1</v>
      </c>
      <c r="F2" s="20"/>
      <c r="G2" s="20"/>
      <c r="H2" s="20"/>
      <c r="I2" s="20"/>
      <c r="J2" s="20" t="s">
        <v>168</v>
      </c>
      <c r="K2" s="20"/>
      <c r="L2" s="20">
        <v>1</v>
      </c>
      <c r="M2" s="20"/>
      <c r="N2" s="20"/>
      <c r="O2" s="21"/>
    </row>
    <row r="3" spans="1:15">
      <c r="A3" s="22"/>
      <c r="B3" s="20"/>
      <c r="C3" s="20" t="s">
        <v>169</v>
      </c>
      <c r="D3" s="20"/>
      <c r="E3" s="20">
        <v>2</v>
      </c>
      <c r="F3" s="20">
        <v>2</v>
      </c>
      <c r="G3" s="20">
        <v>2</v>
      </c>
      <c r="H3" s="20"/>
      <c r="I3" s="20">
        <v>2</v>
      </c>
      <c r="J3" s="20"/>
      <c r="K3" s="20"/>
      <c r="L3" s="20">
        <v>2</v>
      </c>
      <c r="M3" s="20"/>
      <c r="N3" s="20"/>
      <c r="O3" s="21"/>
    </row>
    <row r="4" spans="1:15" ht="12" thickBot="1">
      <c r="A4" s="20"/>
      <c r="B4" s="20"/>
      <c r="C4" s="20"/>
      <c r="D4" s="20"/>
      <c r="E4" s="24"/>
      <c r="F4" s="24"/>
      <c r="G4" s="24"/>
      <c r="H4" s="24"/>
      <c r="I4" s="24"/>
      <c r="J4" s="20"/>
      <c r="K4" s="20"/>
      <c r="L4" s="20"/>
      <c r="M4" s="20"/>
      <c r="N4" s="20"/>
      <c r="O4" s="21"/>
    </row>
    <row r="5" spans="1:15" ht="12" thickBot="1">
      <c r="D5" s="18"/>
      <c r="E5" s="61" t="s">
        <v>170</v>
      </c>
      <c r="F5" s="62"/>
      <c r="G5" s="62"/>
      <c r="H5" s="62"/>
      <c r="I5" s="6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D5A7-8CFE-4FC5-91B4-C5752AE120DB}">
  <dimension ref="A1:P9"/>
  <sheetViews>
    <sheetView zoomScale="85" zoomScaleNormal="85" workbookViewId="0">
      <selection activeCell="N20" sqref="N20"/>
    </sheetView>
  </sheetViews>
  <sheetFormatPr defaultRowHeight="11.25"/>
  <cols>
    <col min="1" max="1" width="9.875" style="18" bestFit="1" customWidth="1"/>
    <col min="2" max="2" width="11.75" style="18" bestFit="1" customWidth="1"/>
    <col min="3" max="3" width="13.25" style="18" bestFit="1" customWidth="1"/>
    <col min="4" max="4" width="13.875" style="18" bestFit="1" customWidth="1"/>
    <col min="5" max="5" width="9" style="18" bestFit="1" customWidth="1"/>
    <col min="6" max="6" width="16.125" style="18" bestFit="1" customWidth="1"/>
    <col min="7" max="7" width="13.625" style="18" bestFit="1" customWidth="1"/>
    <col min="8" max="8" width="16" style="18" bestFit="1" customWidth="1"/>
    <col min="9" max="9" width="21.875" style="18" bestFit="1" customWidth="1"/>
    <col min="10" max="10" width="14.5" style="18" bestFit="1" customWidth="1"/>
    <col min="11" max="11" width="19.375" style="18" bestFit="1" customWidth="1"/>
    <col min="12" max="12" width="12" style="18" bestFit="1" customWidth="1"/>
    <col min="13" max="13" width="10.375" style="18" bestFit="1" customWidth="1"/>
    <col min="14" max="14" width="12.875" style="18" bestFit="1" customWidth="1"/>
    <col min="15" max="15" width="14.875" style="18" bestFit="1" customWidth="1"/>
    <col min="16" max="16" width="12.5" bestFit="1" customWidth="1"/>
  </cols>
  <sheetData>
    <row r="1" spans="1:16" ht="12" thickBot="1">
      <c r="A1" s="15" t="s">
        <v>67</v>
      </c>
      <c r="B1" s="16" t="s">
        <v>68</v>
      </c>
      <c r="C1" s="16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94" t="s">
        <v>33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21</v>
      </c>
    </row>
    <row r="2" spans="1:16">
      <c r="A2" s="22" t="s">
        <v>61</v>
      </c>
      <c r="B2" s="20" t="s">
        <v>171</v>
      </c>
      <c r="C2" s="20" t="s">
        <v>86</v>
      </c>
      <c r="D2" s="19" t="s">
        <v>73</v>
      </c>
      <c r="E2" s="20">
        <v>2</v>
      </c>
      <c r="F2" s="20">
        <v>2</v>
      </c>
      <c r="G2" s="20">
        <v>2</v>
      </c>
      <c r="H2" s="20">
        <v>2</v>
      </c>
      <c r="I2" s="20">
        <v>2</v>
      </c>
      <c r="J2" s="20">
        <v>2</v>
      </c>
      <c r="K2" s="20"/>
      <c r="L2" s="20">
        <v>2</v>
      </c>
      <c r="M2" s="20"/>
      <c r="N2" s="28"/>
      <c r="O2" s="19"/>
      <c r="P2" s="19"/>
    </row>
    <row r="3" spans="1:16">
      <c r="A3" s="22"/>
      <c r="B3" s="20"/>
      <c r="C3" s="20"/>
      <c r="D3" s="20" t="s">
        <v>74</v>
      </c>
      <c r="E3" s="20">
        <v>2</v>
      </c>
      <c r="F3" s="20">
        <v>2</v>
      </c>
      <c r="G3" s="20">
        <v>2</v>
      </c>
      <c r="H3" s="20">
        <v>2</v>
      </c>
      <c r="I3" s="20">
        <v>2</v>
      </c>
      <c r="J3" s="20"/>
      <c r="K3" s="20">
        <v>2</v>
      </c>
      <c r="L3" s="20">
        <v>2</v>
      </c>
      <c r="M3" s="20"/>
      <c r="N3" s="28"/>
      <c r="O3" s="19"/>
      <c r="P3" s="19"/>
    </row>
    <row r="4" spans="1:16">
      <c r="A4" s="22"/>
      <c r="B4" s="20"/>
      <c r="C4" s="20"/>
      <c r="D4" s="20" t="s">
        <v>90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/>
      <c r="O4" s="19"/>
      <c r="P4" s="19"/>
    </row>
    <row r="5" spans="1:16">
      <c r="A5" s="22"/>
      <c r="B5" s="20"/>
      <c r="C5" s="20"/>
      <c r="D5" s="20" t="s">
        <v>172</v>
      </c>
      <c r="E5" s="20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8"/>
      <c r="O5" s="19"/>
      <c r="P5" s="19"/>
    </row>
    <row r="6" spans="1:16">
      <c r="A6" s="22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8"/>
      <c r="O6" s="19"/>
      <c r="P6" s="19"/>
    </row>
    <row r="7" spans="1:16">
      <c r="A7" s="22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8"/>
      <c r="O7" s="19"/>
      <c r="P7" s="19"/>
    </row>
    <row r="8" spans="1:16" ht="12" thickBot="1">
      <c r="A8" s="22"/>
      <c r="B8" s="20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9"/>
      <c r="O8" s="158"/>
      <c r="P8" s="158"/>
    </row>
    <row r="9" spans="1:16" ht="12" thickBot="1">
      <c r="A9" s="22"/>
      <c r="B9" s="20"/>
      <c r="C9" s="39" t="s">
        <v>63</v>
      </c>
      <c r="D9" s="40"/>
      <c r="E9" s="40"/>
      <c r="F9" s="40">
        <f>SUBTOTAL(109,Tabel312143152[Toiletrolhouder])</f>
        <v>4</v>
      </c>
      <c r="G9" s="40">
        <f>SUBTOTAL(109,Tabel312143152[Seatcleaner])</f>
        <v>4</v>
      </c>
      <c r="H9" s="40">
        <f>SUBTOTAL(109,Tabel312143152[Luchtverfrisser])</f>
        <v>4</v>
      </c>
      <c r="I9" s="40">
        <f>SUBTOTAL(109,Tabel312143152[Toiletborstel + houder])</f>
        <v>4</v>
      </c>
      <c r="J9" s="40">
        <f>SUBTOTAL(109,Tabel312143152[Vouwdoekjes])</f>
        <v>2</v>
      </c>
      <c r="K9" s="40">
        <f>SUBTOTAL(109,Tabel312143152[Verbandzakhouder])</f>
        <v>2</v>
      </c>
      <c r="L9" s="40">
        <f>SUBTOTAL(109,Tabel312143152[Foamzeep])</f>
        <v>6</v>
      </c>
      <c r="M9" s="40">
        <f>SUBTOTAL(109,Tabel312143152[Poetsrol])</f>
        <v>2</v>
      </c>
      <c r="N9" s="160">
        <f>SUBTOTAL(109,Tabel312143152[Handcreme])</f>
        <v>0</v>
      </c>
      <c r="O9" s="39">
        <f>SUBTOTAL(109,Tabel312143152[Industriezeep])</f>
        <v>0</v>
      </c>
      <c r="P9" s="44" t="s">
        <v>111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346C-3521-4369-89BF-C86E45FC553C}">
  <dimension ref="A1:AO313"/>
  <sheetViews>
    <sheetView zoomScale="85" zoomScaleNormal="85" workbookViewId="0"/>
  </sheetViews>
  <sheetFormatPr defaultRowHeight="11.25"/>
  <cols>
    <col min="1" max="1" width="44.375" style="18" bestFit="1" customWidth="1"/>
    <col min="2" max="2" width="8.375" style="18" bestFit="1" customWidth="1"/>
    <col min="3" max="3" width="10" style="18" bestFit="1" customWidth="1"/>
    <col min="4" max="4" width="9.25" style="18" bestFit="1" customWidth="1"/>
    <col min="5" max="5" width="9" style="18" bestFit="1" customWidth="1"/>
    <col min="6" max="6" width="16.125" style="81" bestFit="1" customWidth="1"/>
    <col min="7" max="7" width="13.625" style="81" bestFit="1" customWidth="1"/>
    <col min="8" max="8" width="16" style="81" bestFit="1" customWidth="1"/>
    <col min="9" max="9" width="21.875" style="81" bestFit="1" customWidth="1"/>
    <col min="10" max="10" width="14.5" style="81" bestFit="1" customWidth="1"/>
    <col min="11" max="11" width="19.375" style="81" bestFit="1" customWidth="1"/>
    <col min="12" max="12" width="12" style="81" bestFit="1" customWidth="1"/>
    <col min="13" max="13" width="10.375" style="81" bestFit="1" customWidth="1"/>
    <col min="14" max="14" width="12.875" style="81" bestFit="1" customWidth="1"/>
    <col min="15" max="15" width="14.875" style="81" bestFit="1" customWidth="1"/>
    <col min="16" max="41" width="9" style="67"/>
    <col min="42" max="16384" width="9" style="18"/>
  </cols>
  <sheetData>
    <row r="1" spans="1:41" ht="12" thickBot="1">
      <c r="A1" s="114" t="s">
        <v>67</v>
      </c>
      <c r="B1" s="114" t="s">
        <v>68</v>
      </c>
      <c r="C1" s="114" t="s">
        <v>32</v>
      </c>
      <c r="D1" s="114" t="s">
        <v>69</v>
      </c>
      <c r="E1" s="114" t="s">
        <v>70</v>
      </c>
      <c r="F1" s="114" t="s">
        <v>5</v>
      </c>
      <c r="G1" s="114" t="s">
        <v>7</v>
      </c>
      <c r="H1" s="114" t="s">
        <v>9</v>
      </c>
      <c r="I1" s="114" t="s">
        <v>11</v>
      </c>
      <c r="J1" s="114" t="s">
        <v>13</v>
      </c>
      <c r="K1" s="115" t="s">
        <v>33</v>
      </c>
      <c r="L1" s="114" t="s">
        <v>16</v>
      </c>
      <c r="M1" s="114" t="s">
        <v>17</v>
      </c>
      <c r="N1" s="114" t="s">
        <v>34</v>
      </c>
      <c r="O1" s="114" t="s">
        <v>20</v>
      </c>
    </row>
    <row r="2" spans="1:41" s="66" customFormat="1">
      <c r="A2" s="116" t="s">
        <v>173</v>
      </c>
      <c r="B2" s="64"/>
      <c r="C2" s="64" t="s">
        <v>92</v>
      </c>
      <c r="D2" s="64" t="s">
        <v>174</v>
      </c>
      <c r="E2" s="64">
        <v>1</v>
      </c>
      <c r="F2" s="64"/>
      <c r="G2" s="64"/>
      <c r="H2" s="64"/>
      <c r="I2" s="64"/>
      <c r="J2" s="64"/>
      <c r="K2" s="64"/>
      <c r="L2" s="64">
        <v>1</v>
      </c>
      <c r="M2" s="64">
        <v>1</v>
      </c>
      <c r="N2" s="64"/>
      <c r="O2" s="11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</row>
    <row r="3" spans="1:41" s="66" customFormat="1">
      <c r="A3" s="110"/>
      <c r="B3" s="19"/>
      <c r="C3" s="19"/>
      <c r="D3" s="19" t="s">
        <v>175</v>
      </c>
      <c r="E3" s="19">
        <v>1</v>
      </c>
      <c r="F3" s="19">
        <v>1</v>
      </c>
      <c r="G3" s="19">
        <v>1</v>
      </c>
      <c r="H3" s="19"/>
      <c r="I3" s="19">
        <v>1</v>
      </c>
      <c r="J3" s="19"/>
      <c r="K3" s="19"/>
      <c r="L3" s="19">
        <v>1</v>
      </c>
      <c r="M3" s="19">
        <v>1</v>
      </c>
      <c r="N3" s="19"/>
      <c r="O3" s="108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s="66" customFormat="1" ht="12" thickBot="1">
      <c r="A4" s="118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119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</row>
    <row r="5" spans="1:41">
      <c r="A5" s="120" t="s">
        <v>176</v>
      </c>
      <c r="B5" s="99"/>
      <c r="C5" s="99" t="s">
        <v>92</v>
      </c>
      <c r="D5" s="99" t="s">
        <v>174</v>
      </c>
      <c r="E5" s="99">
        <v>1</v>
      </c>
      <c r="F5" s="99"/>
      <c r="G5" s="99"/>
      <c r="H5" s="99"/>
      <c r="I5" s="99"/>
      <c r="J5" s="99"/>
      <c r="K5" s="99"/>
      <c r="L5" s="99">
        <v>1</v>
      </c>
      <c r="M5" s="99">
        <v>1</v>
      </c>
      <c r="N5" s="99"/>
      <c r="O5" s="121"/>
    </row>
    <row r="6" spans="1:41">
      <c r="A6" s="111"/>
      <c r="B6" s="100"/>
      <c r="C6" s="100"/>
      <c r="D6" s="100" t="s">
        <v>175</v>
      </c>
      <c r="E6" s="100">
        <v>1</v>
      </c>
      <c r="F6" s="100">
        <v>1</v>
      </c>
      <c r="G6" s="100">
        <v>1</v>
      </c>
      <c r="H6" s="100"/>
      <c r="I6" s="100">
        <v>1</v>
      </c>
      <c r="J6" s="100"/>
      <c r="K6" s="100"/>
      <c r="L6" s="100"/>
      <c r="M6" s="100"/>
      <c r="N6" s="100"/>
      <c r="O6" s="109"/>
    </row>
    <row r="7" spans="1:41" ht="12" thickBot="1">
      <c r="A7" s="122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23"/>
    </row>
    <row r="8" spans="1:41" s="66" customFormat="1">
      <c r="A8" s="116" t="s">
        <v>177</v>
      </c>
      <c r="B8" s="64"/>
      <c r="C8" s="64"/>
      <c r="D8" s="64" t="s">
        <v>174</v>
      </c>
      <c r="E8" s="64">
        <v>1</v>
      </c>
      <c r="F8" s="64"/>
      <c r="G8" s="64"/>
      <c r="H8" s="64"/>
      <c r="I8" s="64"/>
      <c r="J8" s="64"/>
      <c r="K8" s="64"/>
      <c r="L8" s="64">
        <v>1</v>
      </c>
      <c r="M8" s="64">
        <v>1</v>
      </c>
      <c r="N8" s="64"/>
      <c r="O8" s="11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</row>
    <row r="9" spans="1:41" s="66" customFormat="1">
      <c r="A9" s="110"/>
      <c r="B9" s="19"/>
      <c r="C9" s="19"/>
      <c r="D9" s="19" t="s">
        <v>174</v>
      </c>
      <c r="E9" s="19">
        <v>1</v>
      </c>
      <c r="F9" s="19"/>
      <c r="G9" s="19"/>
      <c r="H9" s="19"/>
      <c r="I9" s="19"/>
      <c r="J9" s="19"/>
      <c r="K9" s="19"/>
      <c r="L9" s="19">
        <v>1</v>
      </c>
      <c r="M9" s="19">
        <v>1</v>
      </c>
      <c r="N9" s="19"/>
      <c r="O9" s="108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</row>
    <row r="10" spans="1:41" s="66" customFormat="1">
      <c r="A10" s="110"/>
      <c r="B10" s="19"/>
      <c r="C10" s="19"/>
      <c r="D10" s="19" t="s">
        <v>174</v>
      </c>
      <c r="E10" s="19">
        <v>1</v>
      </c>
      <c r="F10" s="19"/>
      <c r="G10" s="19"/>
      <c r="H10" s="19"/>
      <c r="I10" s="19"/>
      <c r="J10" s="19"/>
      <c r="K10" s="19"/>
      <c r="L10" s="19">
        <v>1</v>
      </c>
      <c r="M10" s="19">
        <v>1</v>
      </c>
      <c r="N10" s="19"/>
      <c r="O10" s="108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</row>
    <row r="11" spans="1:41" s="66" customFormat="1" ht="12" thickBot="1">
      <c r="A11" s="118"/>
      <c r="B11" s="65"/>
      <c r="C11" s="65"/>
      <c r="D11" s="65" t="s">
        <v>175</v>
      </c>
      <c r="E11" s="65">
        <v>1</v>
      </c>
      <c r="F11" s="65">
        <v>1</v>
      </c>
      <c r="G11" s="65">
        <v>1</v>
      </c>
      <c r="H11" s="65"/>
      <c r="I11" s="65">
        <v>1</v>
      </c>
      <c r="J11" s="65"/>
      <c r="K11" s="65"/>
      <c r="L11" s="65"/>
      <c r="M11" s="65"/>
      <c r="N11" s="65"/>
      <c r="O11" s="119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</row>
    <row r="12" spans="1:41">
      <c r="A12" s="120" t="s">
        <v>178</v>
      </c>
      <c r="B12" s="99"/>
      <c r="C12" s="99"/>
      <c r="D12" s="99" t="s">
        <v>174</v>
      </c>
      <c r="E12" s="99">
        <v>1</v>
      </c>
      <c r="F12" s="99"/>
      <c r="G12" s="99"/>
      <c r="H12" s="99"/>
      <c r="I12" s="99"/>
      <c r="J12" s="99"/>
      <c r="K12" s="99"/>
      <c r="L12" s="99">
        <v>1</v>
      </c>
      <c r="M12" s="99">
        <v>1</v>
      </c>
      <c r="N12" s="99"/>
      <c r="O12" s="121"/>
    </row>
    <row r="13" spans="1:41">
      <c r="A13" s="111"/>
      <c r="B13" s="100"/>
      <c r="C13" s="100"/>
      <c r="D13" s="100" t="s">
        <v>174</v>
      </c>
      <c r="E13" s="100">
        <v>1</v>
      </c>
      <c r="F13" s="100"/>
      <c r="G13" s="100"/>
      <c r="H13" s="100"/>
      <c r="I13" s="100"/>
      <c r="J13" s="100"/>
      <c r="K13" s="100"/>
      <c r="L13" s="100">
        <v>1</v>
      </c>
      <c r="M13" s="100">
        <v>1</v>
      </c>
      <c r="N13" s="100"/>
      <c r="O13" s="109"/>
    </row>
    <row r="14" spans="1:41">
      <c r="A14" s="111"/>
      <c r="B14" s="100"/>
      <c r="C14" s="100"/>
      <c r="D14" s="100" t="s">
        <v>174</v>
      </c>
      <c r="E14" s="100">
        <v>1</v>
      </c>
      <c r="F14" s="100"/>
      <c r="G14" s="100"/>
      <c r="H14" s="100"/>
      <c r="I14" s="100"/>
      <c r="J14" s="100"/>
      <c r="K14" s="100"/>
      <c r="L14" s="100">
        <v>1</v>
      </c>
      <c r="M14" s="100">
        <v>1</v>
      </c>
      <c r="N14" s="100"/>
      <c r="O14" s="109"/>
    </row>
    <row r="15" spans="1:41">
      <c r="A15" s="111"/>
      <c r="B15" s="100"/>
      <c r="C15" s="100"/>
      <c r="D15" s="100" t="s">
        <v>175</v>
      </c>
      <c r="E15" s="100">
        <v>1</v>
      </c>
      <c r="F15" s="100">
        <v>1</v>
      </c>
      <c r="G15" s="100">
        <v>1</v>
      </c>
      <c r="H15" s="100"/>
      <c r="I15" s="100">
        <v>1</v>
      </c>
      <c r="J15" s="100"/>
      <c r="K15" s="100"/>
      <c r="L15" s="100"/>
      <c r="M15" s="100"/>
      <c r="N15" s="100"/>
      <c r="O15" s="109"/>
    </row>
    <row r="16" spans="1:41" ht="12" thickBot="1">
      <c r="A16" s="122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23"/>
    </row>
    <row r="17" spans="1:41" s="66" customFormat="1">
      <c r="A17" s="116" t="s">
        <v>179</v>
      </c>
      <c r="B17" s="64"/>
      <c r="C17" s="64"/>
      <c r="D17" s="64" t="s">
        <v>174</v>
      </c>
      <c r="E17" s="64">
        <v>1</v>
      </c>
      <c r="F17" s="64"/>
      <c r="G17" s="64"/>
      <c r="H17" s="64"/>
      <c r="I17" s="64"/>
      <c r="J17" s="64"/>
      <c r="K17" s="64"/>
      <c r="L17" s="64">
        <v>1</v>
      </c>
      <c r="M17" s="64">
        <v>1</v>
      </c>
      <c r="N17" s="64"/>
      <c r="O17" s="11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</row>
    <row r="18" spans="1:41" s="66" customFormat="1">
      <c r="A18" s="110"/>
      <c r="B18" s="19"/>
      <c r="C18" s="19"/>
      <c r="D18" s="19" t="s">
        <v>175</v>
      </c>
      <c r="E18" s="19">
        <v>1</v>
      </c>
      <c r="F18" s="19">
        <v>1</v>
      </c>
      <c r="G18" s="19">
        <v>1</v>
      </c>
      <c r="H18" s="19"/>
      <c r="I18" s="19">
        <v>1</v>
      </c>
      <c r="J18" s="19"/>
      <c r="K18" s="19"/>
      <c r="L18" s="19">
        <v>1</v>
      </c>
      <c r="M18" s="19">
        <v>1</v>
      </c>
      <c r="N18" s="19"/>
      <c r="O18" s="108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</row>
    <row r="19" spans="1:41" s="66" customFormat="1" ht="12" thickBot="1">
      <c r="A19" s="118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119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</row>
    <row r="20" spans="1:41" s="66" customFormat="1">
      <c r="A20" s="120" t="s">
        <v>180</v>
      </c>
      <c r="B20" s="99"/>
      <c r="C20" s="99"/>
      <c r="D20" s="99" t="s">
        <v>174</v>
      </c>
      <c r="E20" s="99">
        <v>1</v>
      </c>
      <c r="F20" s="99"/>
      <c r="G20" s="99"/>
      <c r="H20" s="99"/>
      <c r="I20" s="99"/>
      <c r="J20" s="99"/>
      <c r="K20" s="99"/>
      <c r="L20" s="99">
        <v>1</v>
      </c>
      <c r="M20" s="99">
        <v>1</v>
      </c>
      <c r="N20" s="99"/>
      <c r="O20" s="121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</row>
    <row r="21" spans="1:41" s="66" customFormat="1">
      <c r="A21" s="111"/>
      <c r="B21" s="100"/>
      <c r="C21" s="100"/>
      <c r="D21" s="100" t="s">
        <v>175</v>
      </c>
      <c r="E21" s="100">
        <v>1</v>
      </c>
      <c r="F21" s="100">
        <v>1</v>
      </c>
      <c r="G21" s="100">
        <v>1</v>
      </c>
      <c r="H21" s="100"/>
      <c r="I21" s="100">
        <v>1</v>
      </c>
      <c r="J21" s="100"/>
      <c r="K21" s="100"/>
      <c r="L21" s="100">
        <v>1</v>
      </c>
      <c r="M21" s="100">
        <v>1</v>
      </c>
      <c r="N21" s="100"/>
      <c r="O21" s="109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</row>
    <row r="22" spans="1:41" s="66" customFormat="1" ht="12" thickBot="1">
      <c r="A22" s="122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23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</row>
    <row r="23" spans="1:41">
      <c r="A23" s="116" t="s">
        <v>181</v>
      </c>
      <c r="B23" s="64"/>
      <c r="C23" s="64"/>
      <c r="D23" s="64" t="s">
        <v>174</v>
      </c>
      <c r="E23" s="64">
        <v>1</v>
      </c>
      <c r="F23" s="64"/>
      <c r="G23" s="64"/>
      <c r="H23" s="64"/>
      <c r="I23" s="64"/>
      <c r="J23" s="64"/>
      <c r="K23" s="64"/>
      <c r="L23" s="64">
        <v>1</v>
      </c>
      <c r="M23" s="64">
        <v>1</v>
      </c>
      <c r="N23" s="64"/>
      <c r="O23" s="117"/>
    </row>
    <row r="24" spans="1:41">
      <c r="A24" s="110"/>
      <c r="B24" s="19"/>
      <c r="C24" s="19"/>
      <c r="D24" s="19" t="s">
        <v>175</v>
      </c>
      <c r="E24" s="19">
        <v>1</v>
      </c>
      <c r="F24" s="19">
        <v>1</v>
      </c>
      <c r="G24" s="19">
        <v>1</v>
      </c>
      <c r="H24" s="19"/>
      <c r="I24" s="19">
        <v>1</v>
      </c>
      <c r="J24" s="19"/>
      <c r="K24" s="19"/>
      <c r="L24" s="19">
        <v>1</v>
      </c>
      <c r="M24" s="19">
        <v>1</v>
      </c>
      <c r="N24" s="19"/>
      <c r="O24" s="108"/>
    </row>
    <row r="25" spans="1:41" ht="12" thickBot="1">
      <c r="A25" s="118"/>
      <c r="B25" s="65"/>
      <c r="C25" s="65"/>
      <c r="D25" s="65" t="s">
        <v>90</v>
      </c>
      <c r="E25" s="65">
        <v>1</v>
      </c>
      <c r="F25" s="65"/>
      <c r="G25" s="65"/>
      <c r="H25" s="65"/>
      <c r="I25" s="65"/>
      <c r="J25" s="65"/>
      <c r="K25" s="65"/>
      <c r="L25" s="65">
        <v>1</v>
      </c>
      <c r="M25" s="65">
        <v>1</v>
      </c>
      <c r="N25" s="65"/>
      <c r="O25" s="119"/>
    </row>
    <row r="26" spans="1:41" s="66" customFormat="1">
      <c r="A26" s="120" t="s">
        <v>182</v>
      </c>
      <c r="B26" s="99"/>
      <c r="C26" s="99"/>
      <c r="D26" s="99" t="s">
        <v>174</v>
      </c>
      <c r="E26" s="99">
        <v>5</v>
      </c>
      <c r="F26" s="99"/>
      <c r="G26" s="99"/>
      <c r="H26" s="99"/>
      <c r="I26" s="99"/>
      <c r="J26" s="99"/>
      <c r="K26" s="99"/>
      <c r="L26" s="99">
        <v>1</v>
      </c>
      <c r="M26" s="99">
        <v>1</v>
      </c>
      <c r="N26" s="99"/>
      <c r="O26" s="121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</row>
    <row r="27" spans="1:41" s="66" customFormat="1">
      <c r="A27" s="111"/>
      <c r="B27" s="100"/>
      <c r="C27" s="100"/>
      <c r="D27" s="100" t="s">
        <v>175</v>
      </c>
      <c r="E27" s="100">
        <v>5</v>
      </c>
      <c r="F27" s="100">
        <v>5</v>
      </c>
      <c r="G27" s="100">
        <v>5</v>
      </c>
      <c r="H27" s="100"/>
      <c r="I27" s="100">
        <v>5</v>
      </c>
      <c r="J27" s="100"/>
      <c r="K27" s="100"/>
      <c r="L27" s="100">
        <v>5</v>
      </c>
      <c r="M27" s="100">
        <v>5</v>
      </c>
      <c r="N27" s="100"/>
      <c r="O27" s="109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</row>
    <row r="28" spans="1:41" s="66" customFormat="1" ht="12" thickBot="1">
      <c r="A28" s="122"/>
      <c r="B28" s="101"/>
      <c r="C28" s="101"/>
      <c r="D28" s="101" t="s">
        <v>90</v>
      </c>
      <c r="E28" s="101">
        <v>2</v>
      </c>
      <c r="F28" s="101"/>
      <c r="G28" s="101"/>
      <c r="H28" s="101"/>
      <c r="I28" s="101"/>
      <c r="J28" s="101"/>
      <c r="K28" s="101"/>
      <c r="L28" s="101">
        <v>1</v>
      </c>
      <c r="M28" s="101">
        <v>1</v>
      </c>
      <c r="N28" s="101"/>
      <c r="O28" s="123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</row>
    <row r="29" spans="1:41">
      <c r="A29" s="116" t="s">
        <v>183</v>
      </c>
      <c r="B29" s="64"/>
      <c r="C29" s="64"/>
      <c r="D29" s="64" t="s">
        <v>174</v>
      </c>
      <c r="E29" s="64">
        <v>1</v>
      </c>
      <c r="F29" s="64"/>
      <c r="G29" s="64"/>
      <c r="H29" s="64"/>
      <c r="I29" s="64"/>
      <c r="J29" s="64"/>
      <c r="K29" s="64"/>
      <c r="L29" s="64">
        <v>1</v>
      </c>
      <c r="M29" s="64">
        <v>1</v>
      </c>
      <c r="N29" s="64"/>
      <c r="O29" s="117"/>
    </row>
    <row r="30" spans="1:41">
      <c r="A30" s="110"/>
      <c r="B30" s="19"/>
      <c r="C30" s="19"/>
      <c r="D30" s="19" t="s">
        <v>175</v>
      </c>
      <c r="E30" s="19">
        <v>1</v>
      </c>
      <c r="F30" s="19">
        <v>1</v>
      </c>
      <c r="G30" s="19">
        <v>1</v>
      </c>
      <c r="H30" s="19"/>
      <c r="I30" s="19">
        <v>1</v>
      </c>
      <c r="J30" s="19"/>
      <c r="K30" s="19"/>
      <c r="L30" s="19">
        <v>1</v>
      </c>
      <c r="M30" s="19">
        <v>1</v>
      </c>
      <c r="N30" s="19"/>
      <c r="O30" s="108"/>
    </row>
    <row r="31" spans="1:41" ht="12" thickBot="1">
      <c r="A31" s="118"/>
      <c r="B31" s="65"/>
      <c r="C31" s="65"/>
      <c r="D31" s="65" t="s">
        <v>90</v>
      </c>
      <c r="E31" s="65">
        <v>1</v>
      </c>
      <c r="F31" s="65"/>
      <c r="G31" s="65"/>
      <c r="H31" s="65"/>
      <c r="I31" s="65"/>
      <c r="J31" s="65"/>
      <c r="K31" s="65"/>
      <c r="L31" s="65">
        <v>1</v>
      </c>
      <c r="M31" s="65">
        <v>1</v>
      </c>
      <c r="N31" s="65"/>
      <c r="O31" s="119"/>
    </row>
    <row r="32" spans="1:41" s="66" customFormat="1">
      <c r="A32" s="124" t="s">
        <v>184</v>
      </c>
      <c r="B32" s="99"/>
      <c r="C32" s="99"/>
      <c r="D32" s="99" t="s">
        <v>174</v>
      </c>
      <c r="E32" s="99">
        <v>1</v>
      </c>
      <c r="F32" s="99"/>
      <c r="G32" s="99"/>
      <c r="H32" s="99"/>
      <c r="I32" s="99"/>
      <c r="J32" s="99"/>
      <c r="K32" s="99"/>
      <c r="L32" s="99">
        <v>1</v>
      </c>
      <c r="M32" s="99">
        <v>1</v>
      </c>
      <c r="N32" s="99"/>
      <c r="O32" s="121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</row>
    <row r="33" spans="1:41" s="66" customFormat="1">
      <c r="A33" s="111"/>
      <c r="B33" s="100"/>
      <c r="C33" s="100"/>
      <c r="D33" s="100" t="s">
        <v>175</v>
      </c>
      <c r="E33" s="100">
        <v>1</v>
      </c>
      <c r="F33" s="100">
        <v>1</v>
      </c>
      <c r="G33" s="100">
        <v>1</v>
      </c>
      <c r="H33" s="100"/>
      <c r="I33" s="100">
        <v>1</v>
      </c>
      <c r="J33" s="100"/>
      <c r="K33" s="100"/>
      <c r="L33" s="100">
        <v>1</v>
      </c>
      <c r="M33" s="100">
        <v>1</v>
      </c>
      <c r="N33" s="100"/>
      <c r="O33" s="109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</row>
    <row r="34" spans="1:41" s="66" customFormat="1" ht="12" thickBot="1">
      <c r="A34" s="122"/>
      <c r="B34" s="101"/>
      <c r="C34" s="101"/>
      <c r="D34" s="101" t="s">
        <v>90</v>
      </c>
      <c r="E34" s="101">
        <v>1</v>
      </c>
      <c r="F34" s="101"/>
      <c r="G34" s="101"/>
      <c r="H34" s="101"/>
      <c r="I34" s="101"/>
      <c r="J34" s="101"/>
      <c r="K34" s="101"/>
      <c r="L34" s="101">
        <v>1</v>
      </c>
      <c r="M34" s="101">
        <v>1</v>
      </c>
      <c r="N34" s="101"/>
      <c r="O34" s="123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</row>
    <row r="35" spans="1:41">
      <c r="A35" s="116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117"/>
    </row>
    <row r="36" spans="1:41" s="66" customFormat="1">
      <c r="A36" s="110" t="s">
        <v>185</v>
      </c>
      <c r="B36" s="19"/>
      <c r="C36" s="19"/>
      <c r="D36" s="19" t="s">
        <v>174</v>
      </c>
      <c r="E36" s="19">
        <v>1</v>
      </c>
      <c r="F36" s="19"/>
      <c r="G36" s="19"/>
      <c r="H36" s="19"/>
      <c r="I36" s="19"/>
      <c r="J36" s="19"/>
      <c r="K36" s="19"/>
      <c r="L36" s="19">
        <v>1</v>
      </c>
      <c r="M36" s="19">
        <v>1</v>
      </c>
      <c r="N36" s="19"/>
      <c r="O36" s="108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</row>
    <row r="37" spans="1:41" s="66" customFormat="1">
      <c r="A37" s="110"/>
      <c r="B37" s="19"/>
      <c r="C37" s="19"/>
      <c r="D37" s="19" t="s">
        <v>175</v>
      </c>
      <c r="E37" s="19">
        <v>1</v>
      </c>
      <c r="F37" s="19">
        <v>1</v>
      </c>
      <c r="G37" s="19">
        <v>1</v>
      </c>
      <c r="H37" s="19"/>
      <c r="I37" s="19">
        <v>1</v>
      </c>
      <c r="J37" s="19"/>
      <c r="K37" s="19"/>
      <c r="L37" s="19">
        <v>1</v>
      </c>
      <c r="M37" s="19">
        <v>1</v>
      </c>
      <c r="N37" s="19"/>
      <c r="O37" s="108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</row>
    <row r="38" spans="1:41" s="66" customFormat="1" ht="12" thickBot="1">
      <c r="A38" s="118"/>
      <c r="B38" s="65"/>
      <c r="C38" s="65"/>
      <c r="D38" s="65" t="s">
        <v>90</v>
      </c>
      <c r="E38" s="65">
        <v>1</v>
      </c>
      <c r="F38" s="65"/>
      <c r="G38" s="65"/>
      <c r="H38" s="65"/>
      <c r="I38" s="65"/>
      <c r="J38" s="65"/>
      <c r="K38" s="65"/>
      <c r="L38" s="65">
        <v>1</v>
      </c>
      <c r="M38" s="65">
        <v>1</v>
      </c>
      <c r="N38" s="65"/>
      <c r="O38" s="119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</row>
    <row r="39" spans="1:41">
      <c r="A39" s="120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121"/>
    </row>
    <row r="40" spans="1:41">
      <c r="A40" s="111" t="s">
        <v>186</v>
      </c>
      <c r="B40" s="100"/>
      <c r="C40" s="100"/>
      <c r="D40" s="100" t="s">
        <v>174</v>
      </c>
      <c r="E40" s="100">
        <v>1</v>
      </c>
      <c r="F40" s="100"/>
      <c r="G40" s="100"/>
      <c r="H40" s="100"/>
      <c r="I40" s="100"/>
      <c r="J40" s="100"/>
      <c r="K40" s="100"/>
      <c r="L40" s="100">
        <v>1</v>
      </c>
      <c r="M40" s="100">
        <v>1</v>
      </c>
      <c r="N40" s="100"/>
      <c r="O40" s="109"/>
    </row>
    <row r="41" spans="1:41">
      <c r="A41" s="111"/>
      <c r="B41" s="100"/>
      <c r="C41" s="100"/>
      <c r="D41" s="100" t="s">
        <v>175</v>
      </c>
      <c r="E41" s="100">
        <v>1</v>
      </c>
      <c r="F41" s="100">
        <v>1</v>
      </c>
      <c r="G41" s="100">
        <v>1</v>
      </c>
      <c r="H41" s="100"/>
      <c r="I41" s="100">
        <v>1</v>
      </c>
      <c r="J41" s="100"/>
      <c r="K41" s="100"/>
      <c r="L41" s="100">
        <v>1</v>
      </c>
      <c r="M41" s="100">
        <v>1</v>
      </c>
      <c r="N41" s="100"/>
      <c r="O41" s="109"/>
    </row>
    <row r="42" spans="1:41">
      <c r="A42" s="111"/>
      <c r="B42" s="100"/>
      <c r="C42" s="100"/>
      <c r="D42" s="100" t="s">
        <v>90</v>
      </c>
      <c r="E42" s="100">
        <v>1</v>
      </c>
      <c r="F42" s="100"/>
      <c r="G42" s="100"/>
      <c r="H42" s="100"/>
      <c r="I42" s="100"/>
      <c r="J42" s="100"/>
      <c r="K42" s="100"/>
      <c r="L42" s="100">
        <v>1</v>
      </c>
      <c r="M42" s="100">
        <v>1</v>
      </c>
      <c r="N42" s="100"/>
      <c r="O42" s="109"/>
    </row>
    <row r="43" spans="1:41" ht="12" thickBot="1">
      <c r="A43" s="122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23"/>
    </row>
    <row r="44" spans="1:41" s="66" customFormat="1">
      <c r="A44" s="116" t="s">
        <v>187</v>
      </c>
      <c r="B44" s="64"/>
      <c r="C44" s="64"/>
      <c r="D44" s="64" t="s">
        <v>174</v>
      </c>
      <c r="E44" s="64">
        <v>1</v>
      </c>
      <c r="F44" s="64"/>
      <c r="G44" s="64"/>
      <c r="H44" s="64"/>
      <c r="I44" s="64"/>
      <c r="J44" s="64"/>
      <c r="K44" s="64"/>
      <c r="L44" s="64">
        <v>1</v>
      </c>
      <c r="M44" s="64">
        <v>1</v>
      </c>
      <c r="N44" s="64"/>
      <c r="O44" s="11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</row>
    <row r="45" spans="1:41" s="66" customFormat="1">
      <c r="A45" s="110"/>
      <c r="B45" s="19"/>
      <c r="C45" s="19"/>
      <c r="D45" s="19" t="s">
        <v>175</v>
      </c>
      <c r="E45" s="19">
        <v>1</v>
      </c>
      <c r="F45" s="19">
        <v>1</v>
      </c>
      <c r="G45" s="19">
        <v>1</v>
      </c>
      <c r="H45" s="19"/>
      <c r="I45" s="19">
        <v>1</v>
      </c>
      <c r="J45" s="19"/>
      <c r="K45" s="19"/>
      <c r="L45" s="19">
        <v>1</v>
      </c>
      <c r="M45" s="19">
        <v>1</v>
      </c>
      <c r="N45" s="19"/>
      <c r="O45" s="108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</row>
    <row r="46" spans="1:41" s="66" customFormat="1">
      <c r="A46" s="110"/>
      <c r="B46" s="19"/>
      <c r="C46" s="19"/>
      <c r="D46" s="19" t="s">
        <v>90</v>
      </c>
      <c r="E46" s="19">
        <v>1</v>
      </c>
      <c r="F46" s="19"/>
      <c r="G46" s="19"/>
      <c r="H46" s="19"/>
      <c r="I46" s="19"/>
      <c r="J46" s="19"/>
      <c r="K46" s="19"/>
      <c r="L46" s="19">
        <v>1</v>
      </c>
      <c r="M46" s="19">
        <v>1</v>
      </c>
      <c r="N46" s="19"/>
      <c r="O46" s="108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</row>
    <row r="47" spans="1:41" s="66" customFormat="1" ht="12" thickBot="1">
      <c r="A47" s="118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119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</row>
    <row r="48" spans="1:41">
      <c r="A48" s="120" t="s">
        <v>188</v>
      </c>
      <c r="B48" s="99"/>
      <c r="C48" s="99"/>
      <c r="D48" s="99" t="s">
        <v>174</v>
      </c>
      <c r="E48" s="99">
        <v>1</v>
      </c>
      <c r="F48" s="99"/>
      <c r="G48" s="99"/>
      <c r="H48" s="99"/>
      <c r="I48" s="99"/>
      <c r="J48" s="99"/>
      <c r="K48" s="99"/>
      <c r="L48" s="99">
        <v>1</v>
      </c>
      <c r="M48" s="99">
        <v>1</v>
      </c>
      <c r="N48" s="99"/>
      <c r="O48" s="121"/>
    </row>
    <row r="49" spans="1:41">
      <c r="A49" s="111"/>
      <c r="B49" s="100"/>
      <c r="C49" s="100"/>
      <c r="D49" s="100" t="s">
        <v>175</v>
      </c>
      <c r="E49" s="100">
        <v>1</v>
      </c>
      <c r="F49" s="100">
        <v>1</v>
      </c>
      <c r="G49" s="100">
        <v>1</v>
      </c>
      <c r="H49" s="100"/>
      <c r="I49" s="100">
        <v>1</v>
      </c>
      <c r="J49" s="100"/>
      <c r="K49" s="100"/>
      <c r="L49" s="100">
        <v>1</v>
      </c>
      <c r="M49" s="100">
        <v>1</v>
      </c>
      <c r="N49" s="100"/>
      <c r="O49" s="109"/>
    </row>
    <row r="50" spans="1:41">
      <c r="A50" s="111"/>
      <c r="B50" s="100"/>
      <c r="C50" s="100"/>
      <c r="D50" s="100" t="s">
        <v>90</v>
      </c>
      <c r="E50" s="100">
        <v>1</v>
      </c>
      <c r="F50" s="100"/>
      <c r="G50" s="100"/>
      <c r="H50" s="100"/>
      <c r="I50" s="100"/>
      <c r="J50" s="100"/>
      <c r="K50" s="100"/>
      <c r="L50" s="100">
        <v>1</v>
      </c>
      <c r="M50" s="100">
        <v>1</v>
      </c>
      <c r="N50" s="100"/>
      <c r="O50" s="109"/>
    </row>
    <row r="51" spans="1:41" ht="12" thickBot="1">
      <c r="A51" s="122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23"/>
    </row>
    <row r="52" spans="1:41" s="66" customFormat="1">
      <c r="A52" s="116" t="s">
        <v>189</v>
      </c>
      <c r="B52" s="64"/>
      <c r="C52" s="64"/>
      <c r="D52" s="64" t="s">
        <v>174</v>
      </c>
      <c r="E52" s="64">
        <v>1</v>
      </c>
      <c r="F52" s="64"/>
      <c r="G52" s="64"/>
      <c r="H52" s="64"/>
      <c r="I52" s="64"/>
      <c r="J52" s="64"/>
      <c r="K52" s="64"/>
      <c r="L52" s="64">
        <v>1</v>
      </c>
      <c r="M52" s="64">
        <v>1</v>
      </c>
      <c r="N52" s="64"/>
      <c r="O52" s="11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</row>
    <row r="53" spans="1:41" s="66" customFormat="1">
      <c r="A53" s="110"/>
      <c r="B53" s="19"/>
      <c r="C53" s="19"/>
      <c r="D53" s="19" t="s">
        <v>175</v>
      </c>
      <c r="E53" s="19">
        <v>1</v>
      </c>
      <c r="F53" s="19">
        <v>1</v>
      </c>
      <c r="G53" s="19">
        <v>1</v>
      </c>
      <c r="H53" s="19"/>
      <c r="I53" s="19">
        <v>1</v>
      </c>
      <c r="J53" s="19"/>
      <c r="K53" s="19"/>
      <c r="L53" s="19">
        <v>1</v>
      </c>
      <c r="M53" s="19">
        <v>1</v>
      </c>
      <c r="N53" s="19"/>
      <c r="O53" s="108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</row>
    <row r="54" spans="1:41" s="66" customFormat="1">
      <c r="A54" s="110"/>
      <c r="B54" s="19"/>
      <c r="C54" s="19"/>
      <c r="D54" s="19" t="s">
        <v>90</v>
      </c>
      <c r="E54" s="19">
        <v>1</v>
      </c>
      <c r="F54" s="19"/>
      <c r="G54" s="19"/>
      <c r="H54" s="19"/>
      <c r="I54" s="19"/>
      <c r="J54" s="19"/>
      <c r="K54" s="19"/>
      <c r="L54" s="19">
        <v>1</v>
      </c>
      <c r="M54" s="19">
        <v>1</v>
      </c>
      <c r="N54" s="19"/>
      <c r="O54" s="108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</row>
    <row r="55" spans="1:41" s="66" customFormat="1" ht="12" thickBot="1">
      <c r="A55" s="118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119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</row>
    <row r="56" spans="1:41">
      <c r="A56" s="120" t="s">
        <v>190</v>
      </c>
      <c r="B56" s="99"/>
      <c r="C56" s="99"/>
      <c r="D56" s="99" t="s">
        <v>174</v>
      </c>
      <c r="E56" s="99">
        <v>1</v>
      </c>
      <c r="F56" s="99"/>
      <c r="G56" s="99"/>
      <c r="H56" s="99"/>
      <c r="I56" s="99"/>
      <c r="J56" s="99"/>
      <c r="K56" s="99"/>
      <c r="L56" s="99">
        <v>1</v>
      </c>
      <c r="M56" s="99">
        <v>1</v>
      </c>
      <c r="N56" s="99"/>
      <c r="O56" s="121"/>
    </row>
    <row r="57" spans="1:41">
      <c r="A57" s="111"/>
      <c r="B57" s="100"/>
      <c r="C57" s="100"/>
      <c r="D57" s="100" t="s">
        <v>175</v>
      </c>
      <c r="E57" s="100">
        <v>1</v>
      </c>
      <c r="F57" s="100">
        <v>1</v>
      </c>
      <c r="G57" s="100">
        <v>1</v>
      </c>
      <c r="H57" s="100"/>
      <c r="I57" s="100">
        <v>1</v>
      </c>
      <c r="J57" s="100"/>
      <c r="K57" s="100"/>
      <c r="L57" s="100">
        <v>1</v>
      </c>
      <c r="M57" s="100">
        <v>1</v>
      </c>
      <c r="N57" s="100"/>
      <c r="O57" s="109"/>
    </row>
    <row r="58" spans="1:41">
      <c r="A58" s="111"/>
      <c r="B58" s="100"/>
      <c r="C58" s="100"/>
      <c r="D58" s="100" t="s">
        <v>90</v>
      </c>
      <c r="E58" s="100">
        <v>1</v>
      </c>
      <c r="F58" s="100"/>
      <c r="G58" s="100"/>
      <c r="H58" s="100"/>
      <c r="I58" s="100"/>
      <c r="J58" s="100"/>
      <c r="K58" s="100"/>
      <c r="L58" s="100">
        <v>1</v>
      </c>
      <c r="M58" s="100">
        <v>1</v>
      </c>
      <c r="N58" s="100"/>
      <c r="O58" s="109"/>
    </row>
    <row r="59" spans="1:41" ht="12" thickBot="1">
      <c r="A59" s="122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23"/>
    </row>
    <row r="60" spans="1:41" s="66" customFormat="1" ht="12" customHeight="1">
      <c r="A60" s="125" t="s">
        <v>191</v>
      </c>
      <c r="B60" s="64"/>
      <c r="C60" s="64"/>
      <c r="D60" s="64" t="s">
        <v>174</v>
      </c>
      <c r="E60" s="64">
        <v>1</v>
      </c>
      <c r="F60" s="64"/>
      <c r="G60" s="64"/>
      <c r="H60" s="64"/>
      <c r="I60" s="64"/>
      <c r="J60" s="64"/>
      <c r="K60" s="64"/>
      <c r="L60" s="64">
        <v>1</v>
      </c>
      <c r="M60" s="64">
        <v>1</v>
      </c>
      <c r="N60" s="64"/>
      <c r="O60" s="11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</row>
    <row r="61" spans="1:41" s="66" customFormat="1">
      <c r="A61" s="110"/>
      <c r="B61" s="19"/>
      <c r="C61" s="19"/>
      <c r="D61" s="19" t="s">
        <v>175</v>
      </c>
      <c r="E61" s="19">
        <v>1</v>
      </c>
      <c r="F61" s="19">
        <v>1</v>
      </c>
      <c r="G61" s="19">
        <v>1</v>
      </c>
      <c r="H61" s="19"/>
      <c r="I61" s="19">
        <v>1</v>
      </c>
      <c r="J61" s="19"/>
      <c r="K61" s="19"/>
      <c r="L61" s="19">
        <v>1</v>
      </c>
      <c r="M61" s="19">
        <v>1</v>
      </c>
      <c r="N61" s="19"/>
      <c r="O61" s="108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</row>
    <row r="62" spans="1:41" s="66" customFormat="1">
      <c r="A62" s="110"/>
      <c r="B62" s="19"/>
      <c r="C62" s="19"/>
      <c r="D62" s="19" t="s">
        <v>90</v>
      </c>
      <c r="E62" s="19">
        <v>1</v>
      </c>
      <c r="F62" s="19"/>
      <c r="G62" s="19"/>
      <c r="H62" s="19"/>
      <c r="I62" s="19"/>
      <c r="J62" s="19"/>
      <c r="K62" s="19"/>
      <c r="L62" s="19">
        <v>1</v>
      </c>
      <c r="M62" s="19">
        <v>1</v>
      </c>
      <c r="N62" s="19"/>
      <c r="O62" s="108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</row>
    <row r="63" spans="1:41" s="66" customFormat="1" ht="12" thickBot="1">
      <c r="A63" s="118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119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</row>
    <row r="64" spans="1:41">
      <c r="A64" s="116" t="s">
        <v>192</v>
      </c>
      <c r="B64" s="64"/>
      <c r="C64" s="64"/>
      <c r="D64" s="64" t="s">
        <v>174</v>
      </c>
      <c r="E64" s="64">
        <v>1</v>
      </c>
      <c r="F64" s="64"/>
      <c r="G64" s="64"/>
      <c r="H64" s="64"/>
      <c r="I64" s="64"/>
      <c r="J64" s="64"/>
      <c r="K64" s="64"/>
      <c r="L64" s="64">
        <v>1</v>
      </c>
      <c r="M64" s="64">
        <v>1</v>
      </c>
      <c r="N64" s="64"/>
      <c r="O64" s="117"/>
    </row>
    <row r="65" spans="1:41">
      <c r="A65" s="110"/>
      <c r="B65" s="19"/>
      <c r="C65" s="19"/>
      <c r="D65" s="19" t="s">
        <v>175</v>
      </c>
      <c r="E65" s="19">
        <v>1</v>
      </c>
      <c r="F65" s="19">
        <v>1</v>
      </c>
      <c r="G65" s="19">
        <v>1</v>
      </c>
      <c r="H65" s="19"/>
      <c r="I65" s="19">
        <v>1</v>
      </c>
      <c r="J65" s="19"/>
      <c r="K65" s="19"/>
      <c r="L65" s="19">
        <v>1</v>
      </c>
      <c r="M65" s="19">
        <v>1</v>
      </c>
      <c r="N65" s="19"/>
      <c r="O65" s="108"/>
    </row>
    <row r="66" spans="1:41">
      <c r="A66" s="110"/>
      <c r="B66" s="19"/>
      <c r="C66" s="19"/>
      <c r="D66" s="19" t="s">
        <v>90</v>
      </c>
      <c r="E66" s="19">
        <v>1</v>
      </c>
      <c r="F66" s="19"/>
      <c r="G66" s="19"/>
      <c r="H66" s="19"/>
      <c r="I66" s="19"/>
      <c r="J66" s="19"/>
      <c r="K66" s="19"/>
      <c r="L66" s="19">
        <v>1</v>
      </c>
      <c r="M66" s="19">
        <v>1</v>
      </c>
      <c r="N66" s="19"/>
      <c r="O66" s="108"/>
    </row>
    <row r="67" spans="1:41" ht="12" thickBot="1">
      <c r="A67" s="118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119"/>
    </row>
    <row r="68" spans="1:41" s="66" customFormat="1">
      <c r="A68" s="120" t="s">
        <v>193</v>
      </c>
      <c r="B68" s="99"/>
      <c r="C68" s="99"/>
      <c r="D68" s="99" t="s">
        <v>174</v>
      </c>
      <c r="E68" s="99">
        <v>1</v>
      </c>
      <c r="F68" s="99"/>
      <c r="G68" s="99"/>
      <c r="H68" s="99"/>
      <c r="I68" s="99"/>
      <c r="J68" s="99"/>
      <c r="K68" s="99"/>
      <c r="L68" s="99"/>
      <c r="M68" s="99"/>
      <c r="N68" s="99"/>
      <c r="O68" s="121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</row>
    <row r="69" spans="1:41" s="66" customFormat="1">
      <c r="A69" s="111"/>
      <c r="B69" s="100"/>
      <c r="C69" s="100"/>
      <c r="D69" s="100" t="s">
        <v>175</v>
      </c>
      <c r="E69" s="100">
        <v>1</v>
      </c>
      <c r="F69" s="100">
        <v>1</v>
      </c>
      <c r="G69" s="100">
        <v>1</v>
      </c>
      <c r="H69" s="100"/>
      <c r="I69" s="100">
        <v>1</v>
      </c>
      <c r="J69" s="100"/>
      <c r="K69" s="100"/>
      <c r="L69" s="100">
        <v>1</v>
      </c>
      <c r="M69" s="100">
        <v>1</v>
      </c>
      <c r="N69" s="100"/>
      <c r="O69" s="109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</row>
    <row r="70" spans="1:41" s="66" customFormat="1">
      <c r="A70" s="111"/>
      <c r="B70" s="100"/>
      <c r="C70" s="100"/>
      <c r="D70" s="100" t="s">
        <v>90</v>
      </c>
      <c r="E70" s="100">
        <v>1</v>
      </c>
      <c r="F70" s="100"/>
      <c r="G70" s="100"/>
      <c r="H70" s="100"/>
      <c r="I70" s="100"/>
      <c r="J70" s="100"/>
      <c r="K70" s="100"/>
      <c r="L70" s="100">
        <v>1</v>
      </c>
      <c r="M70" s="100">
        <v>1</v>
      </c>
      <c r="N70" s="100"/>
      <c r="O70" s="109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</row>
    <row r="71" spans="1:41" s="66" customFormat="1" ht="12" thickBot="1">
      <c r="A71" s="122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23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</row>
    <row r="72" spans="1:41">
      <c r="A72" s="116" t="s">
        <v>194</v>
      </c>
      <c r="B72" s="64"/>
      <c r="C72" s="64"/>
      <c r="D72" s="64" t="s">
        <v>174</v>
      </c>
      <c r="E72" s="64">
        <v>1</v>
      </c>
      <c r="F72" s="64"/>
      <c r="G72" s="64"/>
      <c r="H72" s="64"/>
      <c r="I72" s="64"/>
      <c r="J72" s="64"/>
      <c r="K72" s="64"/>
      <c r="L72" s="64">
        <v>1</v>
      </c>
      <c r="M72" s="64">
        <v>1</v>
      </c>
      <c r="N72" s="64"/>
      <c r="O72" s="117"/>
    </row>
    <row r="73" spans="1:41">
      <c r="A73" s="110"/>
      <c r="B73" s="19"/>
      <c r="C73" s="19"/>
      <c r="D73" s="19" t="s">
        <v>175</v>
      </c>
      <c r="E73" s="19">
        <v>1</v>
      </c>
      <c r="F73" s="19">
        <v>1</v>
      </c>
      <c r="G73" s="19">
        <v>1</v>
      </c>
      <c r="H73" s="19"/>
      <c r="I73" s="19">
        <v>1</v>
      </c>
      <c r="J73" s="19"/>
      <c r="K73" s="19"/>
      <c r="L73" s="19">
        <v>1</v>
      </c>
      <c r="M73" s="19">
        <v>1</v>
      </c>
      <c r="N73" s="19"/>
      <c r="O73" s="108"/>
    </row>
    <row r="74" spans="1:41">
      <c r="A74" s="110"/>
      <c r="B74" s="19"/>
      <c r="C74" s="19"/>
      <c r="D74" s="19" t="s">
        <v>90</v>
      </c>
      <c r="E74" s="19">
        <v>1</v>
      </c>
      <c r="F74" s="19"/>
      <c r="G74" s="19"/>
      <c r="H74" s="19"/>
      <c r="I74" s="19"/>
      <c r="J74" s="19"/>
      <c r="K74" s="19"/>
      <c r="L74" s="19">
        <v>1</v>
      </c>
      <c r="M74" s="19">
        <v>1</v>
      </c>
      <c r="N74" s="19"/>
      <c r="O74" s="108"/>
    </row>
    <row r="75" spans="1:41" ht="12" thickBot="1">
      <c r="A75" s="118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119"/>
    </row>
    <row r="76" spans="1:41" s="66" customFormat="1">
      <c r="A76" s="120" t="s">
        <v>195</v>
      </c>
      <c r="B76" s="99"/>
      <c r="C76" s="99"/>
      <c r="D76" s="99" t="s">
        <v>174</v>
      </c>
      <c r="E76" s="99">
        <v>1</v>
      </c>
      <c r="F76" s="99"/>
      <c r="G76" s="99"/>
      <c r="H76" s="99"/>
      <c r="I76" s="99"/>
      <c r="J76" s="99"/>
      <c r="K76" s="99"/>
      <c r="L76" s="99"/>
      <c r="M76" s="99"/>
      <c r="N76" s="99"/>
      <c r="O76" s="121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</row>
    <row r="77" spans="1:41" s="66" customFormat="1">
      <c r="A77" s="111"/>
      <c r="B77" s="100"/>
      <c r="C77" s="100"/>
      <c r="D77" s="100" t="s">
        <v>175</v>
      </c>
      <c r="E77" s="100">
        <v>1</v>
      </c>
      <c r="F77" s="100">
        <v>1</v>
      </c>
      <c r="G77" s="100">
        <v>1</v>
      </c>
      <c r="H77" s="100"/>
      <c r="I77" s="100">
        <v>1</v>
      </c>
      <c r="J77" s="100"/>
      <c r="K77" s="100"/>
      <c r="L77" s="100">
        <v>1</v>
      </c>
      <c r="M77" s="100">
        <v>1</v>
      </c>
      <c r="N77" s="100"/>
      <c r="O77" s="109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</row>
    <row r="78" spans="1:41" s="66" customFormat="1">
      <c r="A78" s="111"/>
      <c r="B78" s="100"/>
      <c r="C78" s="100"/>
      <c r="D78" s="100" t="s">
        <v>90</v>
      </c>
      <c r="E78" s="100">
        <v>1</v>
      </c>
      <c r="F78" s="100"/>
      <c r="G78" s="100"/>
      <c r="H78" s="100"/>
      <c r="I78" s="100"/>
      <c r="J78" s="100"/>
      <c r="K78" s="100"/>
      <c r="L78" s="100"/>
      <c r="M78" s="100"/>
      <c r="N78" s="100"/>
      <c r="O78" s="109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</row>
    <row r="79" spans="1:41" s="66" customFormat="1" ht="12" thickBot="1">
      <c r="A79" s="122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23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</row>
    <row r="80" spans="1:41">
      <c r="A80" s="116" t="s">
        <v>196</v>
      </c>
      <c r="B80" s="64"/>
      <c r="C80" s="64"/>
      <c r="D80" s="64" t="s">
        <v>174</v>
      </c>
      <c r="E80" s="64">
        <v>1</v>
      </c>
      <c r="F80" s="64"/>
      <c r="G80" s="64"/>
      <c r="H80" s="64"/>
      <c r="I80" s="64"/>
      <c r="J80" s="64"/>
      <c r="K80" s="64"/>
      <c r="L80" s="64">
        <v>1</v>
      </c>
      <c r="M80" s="64">
        <v>1</v>
      </c>
      <c r="N80" s="64"/>
      <c r="O80" s="117"/>
    </row>
    <row r="81" spans="1:41">
      <c r="A81" s="110"/>
      <c r="B81" s="19"/>
      <c r="C81" s="19"/>
      <c r="D81" s="19" t="s">
        <v>175</v>
      </c>
      <c r="E81" s="19">
        <v>1</v>
      </c>
      <c r="F81" s="19">
        <v>1</v>
      </c>
      <c r="G81" s="19">
        <v>1</v>
      </c>
      <c r="H81" s="19"/>
      <c r="I81" s="19">
        <v>1</v>
      </c>
      <c r="J81" s="19"/>
      <c r="K81" s="19"/>
      <c r="L81" s="19">
        <v>1</v>
      </c>
      <c r="M81" s="19">
        <v>1</v>
      </c>
      <c r="N81" s="19"/>
      <c r="O81" s="108"/>
    </row>
    <row r="82" spans="1:41" ht="12" thickBot="1">
      <c r="A82" s="118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119"/>
    </row>
    <row r="83" spans="1:41" s="66" customFormat="1">
      <c r="A83" s="120"/>
      <c r="B83" s="99"/>
      <c r="C83" s="99"/>
      <c r="D83" s="99" t="s">
        <v>174</v>
      </c>
      <c r="E83" s="99">
        <v>1</v>
      </c>
      <c r="F83" s="99"/>
      <c r="G83" s="99"/>
      <c r="H83" s="99"/>
      <c r="I83" s="99"/>
      <c r="J83" s="99"/>
      <c r="K83" s="99"/>
      <c r="L83" s="99">
        <v>1</v>
      </c>
      <c r="M83" s="99">
        <v>1</v>
      </c>
      <c r="N83" s="99"/>
      <c r="O83" s="121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</row>
    <row r="84" spans="1:41" s="66" customFormat="1" ht="12" thickBot="1">
      <c r="A84" s="122" t="s">
        <v>197</v>
      </c>
      <c r="B84" s="101"/>
      <c r="C84" s="101"/>
      <c r="D84" s="101" t="s">
        <v>175</v>
      </c>
      <c r="E84" s="101">
        <v>1</v>
      </c>
      <c r="F84" s="101">
        <v>1</v>
      </c>
      <c r="G84" s="101">
        <v>1</v>
      </c>
      <c r="H84" s="101"/>
      <c r="I84" s="101">
        <v>1</v>
      </c>
      <c r="J84" s="101"/>
      <c r="K84" s="101"/>
      <c r="L84" s="101">
        <v>1</v>
      </c>
      <c r="M84" s="101">
        <v>1</v>
      </c>
      <c r="N84" s="101"/>
      <c r="O84" s="123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</row>
    <row r="85" spans="1:41" s="66" customFormat="1">
      <c r="A85" s="116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11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</row>
    <row r="86" spans="1:41">
      <c r="A86" s="110"/>
      <c r="B86" s="19"/>
      <c r="C86" s="19"/>
      <c r="D86" s="19" t="s">
        <v>174</v>
      </c>
      <c r="E86" s="19">
        <v>1</v>
      </c>
      <c r="F86" s="19"/>
      <c r="G86" s="19"/>
      <c r="H86" s="19"/>
      <c r="I86" s="19"/>
      <c r="J86" s="19"/>
      <c r="K86" s="19"/>
      <c r="L86" s="19">
        <v>1</v>
      </c>
      <c r="M86" s="19">
        <v>1</v>
      </c>
      <c r="N86" s="19"/>
      <c r="O86" s="108"/>
    </row>
    <row r="87" spans="1:41">
      <c r="A87" s="110" t="s">
        <v>198</v>
      </c>
      <c r="B87" s="19"/>
      <c r="C87" s="19"/>
      <c r="D87" s="19" t="s">
        <v>175</v>
      </c>
      <c r="E87" s="19">
        <v>1</v>
      </c>
      <c r="F87" s="19">
        <v>1</v>
      </c>
      <c r="G87" s="19">
        <v>1</v>
      </c>
      <c r="H87" s="19"/>
      <c r="I87" s="19">
        <v>1</v>
      </c>
      <c r="J87" s="19"/>
      <c r="K87" s="19"/>
      <c r="L87" s="19">
        <v>1</v>
      </c>
      <c r="M87" s="19">
        <v>1</v>
      </c>
      <c r="N87" s="19"/>
      <c r="O87" s="108"/>
    </row>
    <row r="88" spans="1:41" ht="12" thickBot="1">
      <c r="A88" s="118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119"/>
    </row>
    <row r="89" spans="1:41" s="66" customFormat="1">
      <c r="A89" s="120"/>
      <c r="B89" s="99"/>
      <c r="C89" s="99"/>
      <c r="D89" s="99" t="s">
        <v>174</v>
      </c>
      <c r="E89" s="99">
        <v>1</v>
      </c>
      <c r="F89" s="99"/>
      <c r="G89" s="99"/>
      <c r="H89" s="99"/>
      <c r="I89" s="99"/>
      <c r="J89" s="99"/>
      <c r="K89" s="99"/>
      <c r="L89" s="99">
        <v>1</v>
      </c>
      <c r="M89" s="99">
        <v>1</v>
      </c>
      <c r="N89" s="99"/>
      <c r="O89" s="121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</row>
    <row r="90" spans="1:41" s="66" customFormat="1">
      <c r="A90" s="111" t="s">
        <v>199</v>
      </c>
      <c r="B90" s="100"/>
      <c r="C90" s="100"/>
      <c r="D90" s="100" t="s">
        <v>175</v>
      </c>
      <c r="E90" s="100">
        <v>1</v>
      </c>
      <c r="F90" s="100">
        <v>1</v>
      </c>
      <c r="G90" s="100">
        <v>1</v>
      </c>
      <c r="H90" s="100"/>
      <c r="I90" s="100">
        <v>1</v>
      </c>
      <c r="J90" s="100"/>
      <c r="K90" s="100"/>
      <c r="L90" s="100">
        <v>1</v>
      </c>
      <c r="M90" s="100">
        <v>1</v>
      </c>
      <c r="N90" s="100"/>
      <c r="O90" s="109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</row>
    <row r="91" spans="1:41" s="66" customFormat="1">
      <c r="A91" s="111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9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</row>
    <row r="92" spans="1:41" s="66" customFormat="1" ht="12" thickBot="1">
      <c r="A92" s="112"/>
      <c r="B92" s="113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23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</row>
    <row r="93" spans="1:41">
      <c r="A93" s="126"/>
      <c r="B93" s="126"/>
      <c r="C93" s="127" t="s">
        <v>63</v>
      </c>
      <c r="D93" s="127"/>
      <c r="E93" s="127"/>
      <c r="F93" s="127">
        <f>SUBTOTAL(109,Tabel312143147[Toiletrolhouder])</f>
        <v>29</v>
      </c>
      <c r="G93" s="127">
        <f>SUBTOTAL(109,Tabel312143147[Seatcleaner])</f>
        <v>29</v>
      </c>
      <c r="H93" s="127">
        <f>SUBTOTAL(109,Tabel312143147[Luchtverfrisser])</f>
        <v>0</v>
      </c>
      <c r="I93" s="127">
        <f>SUBTOTAL(109,Tabel312143147[Toiletborstel + houder])</f>
        <v>29</v>
      </c>
      <c r="J93" s="127">
        <f>SUBTOTAL(109,Tabel312143147[Vouwdoekjes])</f>
        <v>0</v>
      </c>
      <c r="K93" s="127">
        <f>SUBTOTAL(109,Tabel312143147[Verbandzakhouder])</f>
        <v>0</v>
      </c>
      <c r="L93" s="127">
        <f>SUBTOTAL(109,Tabel312143147[Foamzeep])</f>
        <v>67</v>
      </c>
      <c r="M93" s="127">
        <f>SUBTOTAL(109,Tabel312143147[Poetsrol])</f>
        <v>67</v>
      </c>
      <c r="N93" s="127">
        <f>SUBTOTAL(109,Tabel312143147[Handcreme])</f>
        <v>0</v>
      </c>
      <c r="O93" s="127">
        <f>SUBTOTAL(109,Tabel312143147[Industriezeep])</f>
        <v>0</v>
      </c>
    </row>
    <row r="94" spans="1:41">
      <c r="A94" s="67"/>
      <c r="B94" s="67"/>
      <c r="C94" s="67"/>
      <c r="D94" s="67"/>
      <c r="E94" s="67"/>
      <c r="F94" s="88"/>
      <c r="G94" s="88"/>
      <c r="H94" s="88"/>
      <c r="I94" s="88"/>
      <c r="J94" s="88"/>
      <c r="K94" s="88"/>
      <c r="L94" s="88"/>
      <c r="M94" s="88"/>
      <c r="N94" s="88"/>
      <c r="O94" s="88"/>
    </row>
    <row r="95" spans="1:41">
      <c r="A95" s="67"/>
      <c r="B95" s="67"/>
      <c r="C95" s="67"/>
      <c r="D95" s="67"/>
      <c r="E95" s="67"/>
      <c r="F95" s="88"/>
      <c r="G95" s="88"/>
      <c r="H95" s="88"/>
      <c r="I95" s="88"/>
      <c r="J95" s="88"/>
      <c r="K95" s="88"/>
      <c r="L95" s="88"/>
      <c r="M95" s="88"/>
      <c r="N95" s="88"/>
      <c r="O95" s="88"/>
    </row>
    <row r="96" spans="1:41">
      <c r="A96" s="67"/>
      <c r="B96" s="67"/>
      <c r="C96" s="67"/>
      <c r="D96" s="67"/>
      <c r="E96" s="67"/>
      <c r="F96" s="88"/>
      <c r="G96" s="88"/>
      <c r="H96" s="88"/>
      <c r="I96" s="88"/>
      <c r="J96" s="88"/>
      <c r="K96" s="88"/>
      <c r="L96" s="88"/>
      <c r="M96" s="88"/>
      <c r="N96" s="88"/>
      <c r="O96" s="88"/>
    </row>
    <row r="97" spans="1:15">
      <c r="A97" s="67"/>
      <c r="B97" s="67"/>
      <c r="C97" s="67"/>
      <c r="D97" s="67"/>
      <c r="E97" s="67"/>
      <c r="F97" s="88"/>
      <c r="G97" s="88"/>
      <c r="H97" s="88"/>
      <c r="I97" s="88"/>
      <c r="J97" s="88"/>
      <c r="K97" s="88"/>
      <c r="L97" s="88"/>
      <c r="M97" s="88"/>
      <c r="N97" s="88"/>
      <c r="O97" s="88"/>
    </row>
    <row r="98" spans="1:15">
      <c r="A98" s="67"/>
      <c r="B98" s="67"/>
      <c r="C98" s="67"/>
      <c r="D98" s="67"/>
      <c r="E98" s="67"/>
      <c r="F98" s="88"/>
      <c r="G98" s="88"/>
      <c r="H98" s="88"/>
      <c r="I98" s="88"/>
      <c r="J98" s="88"/>
      <c r="K98" s="88"/>
      <c r="L98" s="88"/>
      <c r="M98" s="88"/>
      <c r="N98" s="88"/>
      <c r="O98" s="88"/>
    </row>
    <row r="99" spans="1:15">
      <c r="A99" s="67"/>
      <c r="B99" s="67"/>
      <c r="C99" s="67"/>
      <c r="D99" s="67"/>
      <c r="E99" s="67"/>
      <c r="F99" s="88"/>
      <c r="G99" s="88"/>
      <c r="H99" s="88"/>
      <c r="I99" s="88"/>
      <c r="J99" s="88"/>
      <c r="K99" s="88"/>
      <c r="L99" s="88"/>
      <c r="M99" s="88"/>
      <c r="N99" s="88"/>
      <c r="O99" s="88"/>
    </row>
    <row r="100" spans="1:15">
      <c r="A100" s="67"/>
      <c r="B100" s="67"/>
      <c r="C100" s="67"/>
      <c r="D100" s="67"/>
      <c r="E100" s="67"/>
      <c r="F100" s="88"/>
      <c r="G100" s="88"/>
      <c r="H100" s="88"/>
      <c r="I100" s="88"/>
      <c r="J100" s="88"/>
      <c r="K100" s="88"/>
      <c r="L100" s="88"/>
      <c r="M100" s="88"/>
      <c r="N100" s="88"/>
      <c r="O100" s="88"/>
    </row>
    <row r="101" spans="1:15">
      <c r="A101" s="67"/>
      <c r="B101" s="67"/>
      <c r="C101" s="67"/>
      <c r="D101" s="67"/>
      <c r="E101" s="67"/>
      <c r="F101" s="88"/>
      <c r="G101" s="88"/>
      <c r="H101" s="88"/>
      <c r="I101" s="88"/>
      <c r="J101" s="88"/>
      <c r="K101" s="88"/>
      <c r="L101" s="88"/>
      <c r="M101" s="88"/>
      <c r="N101" s="88"/>
      <c r="O101" s="88"/>
    </row>
    <row r="102" spans="1:15">
      <c r="A102" s="67"/>
      <c r="B102" s="67"/>
      <c r="C102" s="67"/>
      <c r="D102" s="67"/>
      <c r="E102" s="67"/>
      <c r="F102" s="88"/>
      <c r="G102" s="88"/>
      <c r="H102" s="88"/>
      <c r="I102" s="88"/>
      <c r="J102" s="88"/>
      <c r="K102" s="88"/>
      <c r="L102" s="88"/>
      <c r="M102" s="88"/>
      <c r="N102" s="88"/>
      <c r="O102" s="88"/>
    </row>
    <row r="103" spans="1:15">
      <c r="A103" s="67"/>
      <c r="B103" s="67"/>
      <c r="C103" s="67"/>
      <c r="D103" s="67"/>
      <c r="E103" s="67"/>
      <c r="F103" s="88"/>
      <c r="G103" s="88"/>
      <c r="H103" s="88"/>
      <c r="I103" s="88"/>
      <c r="J103" s="88"/>
      <c r="K103" s="88"/>
      <c r="L103" s="88"/>
      <c r="M103" s="88"/>
      <c r="N103" s="88"/>
      <c r="O103" s="88"/>
    </row>
    <row r="104" spans="1:15">
      <c r="A104" s="67"/>
      <c r="B104" s="67"/>
      <c r="C104" s="67"/>
      <c r="D104" s="67"/>
      <c r="E104" s="67"/>
      <c r="F104" s="88"/>
      <c r="G104" s="88"/>
      <c r="H104" s="88"/>
      <c r="I104" s="88"/>
      <c r="J104" s="88"/>
      <c r="K104" s="88"/>
      <c r="L104" s="88"/>
      <c r="M104" s="88"/>
      <c r="N104" s="88"/>
      <c r="O104" s="88"/>
    </row>
    <row r="105" spans="1:15">
      <c r="A105" s="67"/>
      <c r="B105" s="67"/>
      <c r="C105" s="67"/>
      <c r="D105" s="67"/>
      <c r="E105" s="67"/>
      <c r="F105" s="88"/>
      <c r="G105" s="88"/>
      <c r="H105" s="88"/>
      <c r="I105" s="88"/>
      <c r="J105" s="88"/>
      <c r="K105" s="88"/>
      <c r="L105" s="88"/>
      <c r="M105" s="88"/>
      <c r="N105" s="88"/>
      <c r="O105" s="88"/>
    </row>
    <row r="106" spans="1:15">
      <c r="A106" s="67"/>
      <c r="B106" s="67"/>
      <c r="C106" s="67"/>
      <c r="D106" s="67"/>
      <c r="E106" s="67"/>
      <c r="F106" s="88"/>
      <c r="G106" s="88"/>
      <c r="H106" s="88"/>
      <c r="I106" s="88"/>
      <c r="J106" s="88"/>
      <c r="K106" s="88"/>
      <c r="L106" s="88"/>
      <c r="M106" s="88"/>
      <c r="N106" s="88"/>
      <c r="O106" s="88"/>
    </row>
    <row r="107" spans="1:15">
      <c r="A107" s="67"/>
      <c r="B107" s="67"/>
      <c r="C107" s="67"/>
      <c r="D107" s="67"/>
      <c r="E107" s="67"/>
      <c r="F107" s="88"/>
      <c r="G107" s="88"/>
      <c r="H107" s="88"/>
      <c r="I107" s="88"/>
      <c r="J107" s="88"/>
      <c r="K107" s="88"/>
      <c r="L107" s="88"/>
      <c r="M107" s="88"/>
      <c r="N107" s="88"/>
      <c r="O107" s="88"/>
    </row>
    <row r="108" spans="1:15">
      <c r="A108" s="67"/>
      <c r="B108" s="67"/>
      <c r="C108" s="67"/>
      <c r="D108" s="67"/>
      <c r="E108" s="67"/>
      <c r="F108" s="88"/>
      <c r="G108" s="88"/>
      <c r="H108" s="88"/>
      <c r="I108" s="88"/>
      <c r="J108" s="88"/>
      <c r="K108" s="88"/>
      <c r="L108" s="88"/>
      <c r="M108" s="88"/>
      <c r="N108" s="88"/>
      <c r="O108" s="88"/>
    </row>
    <row r="109" spans="1:15">
      <c r="A109" s="67"/>
      <c r="B109" s="67"/>
      <c r="C109" s="67"/>
      <c r="D109" s="67"/>
      <c r="E109" s="67"/>
      <c r="F109" s="88"/>
      <c r="G109" s="88"/>
      <c r="H109" s="88"/>
      <c r="I109" s="88"/>
      <c r="J109" s="88"/>
      <c r="K109" s="88"/>
      <c r="L109" s="88"/>
      <c r="M109" s="88"/>
      <c r="N109" s="88"/>
      <c r="O109" s="88"/>
    </row>
    <row r="110" spans="1:15">
      <c r="A110" s="67"/>
      <c r="B110" s="67"/>
      <c r="C110" s="67"/>
      <c r="D110" s="67"/>
      <c r="E110" s="67"/>
      <c r="F110" s="88"/>
      <c r="G110" s="88"/>
      <c r="H110" s="88"/>
      <c r="I110" s="88"/>
      <c r="J110" s="88"/>
      <c r="K110" s="88"/>
      <c r="L110" s="88"/>
      <c r="M110" s="88"/>
      <c r="N110" s="88"/>
      <c r="O110" s="88"/>
    </row>
    <row r="111" spans="1:15">
      <c r="A111" s="67"/>
      <c r="B111" s="67"/>
      <c r="C111" s="67"/>
      <c r="D111" s="67"/>
      <c r="E111" s="67"/>
      <c r="F111" s="88"/>
      <c r="G111" s="88"/>
      <c r="H111" s="88"/>
      <c r="I111" s="88"/>
      <c r="J111" s="88"/>
      <c r="K111" s="88"/>
      <c r="L111" s="88"/>
      <c r="M111" s="88"/>
      <c r="N111" s="88"/>
      <c r="O111" s="88"/>
    </row>
    <row r="112" spans="1:15">
      <c r="A112" s="67"/>
      <c r="B112" s="67"/>
      <c r="C112" s="67"/>
      <c r="D112" s="67"/>
      <c r="E112" s="67"/>
      <c r="F112" s="88"/>
      <c r="G112" s="88"/>
      <c r="H112" s="88"/>
      <c r="I112" s="88"/>
      <c r="J112" s="88"/>
      <c r="K112" s="88"/>
      <c r="L112" s="88"/>
      <c r="M112" s="88"/>
      <c r="N112" s="88"/>
      <c r="O112" s="88"/>
    </row>
    <row r="113" spans="1:15">
      <c r="A113" s="67"/>
      <c r="B113" s="67"/>
      <c r="C113" s="67"/>
      <c r="D113" s="67"/>
      <c r="E113" s="67"/>
      <c r="F113" s="88"/>
      <c r="G113" s="88"/>
      <c r="H113" s="88"/>
      <c r="I113" s="88"/>
      <c r="J113" s="88"/>
      <c r="K113" s="88"/>
      <c r="L113" s="88"/>
      <c r="M113" s="88"/>
      <c r="N113" s="88"/>
      <c r="O113" s="88"/>
    </row>
    <row r="114" spans="1:15">
      <c r="A114" s="67"/>
      <c r="B114" s="67"/>
      <c r="C114" s="67"/>
      <c r="D114" s="67"/>
      <c r="E114" s="67"/>
      <c r="F114" s="88"/>
      <c r="G114" s="88"/>
      <c r="H114" s="88"/>
      <c r="I114" s="88"/>
      <c r="J114" s="88"/>
      <c r="K114" s="88"/>
      <c r="L114" s="88"/>
      <c r="M114" s="88"/>
      <c r="N114" s="88"/>
      <c r="O114" s="88"/>
    </row>
    <row r="115" spans="1:15">
      <c r="A115" s="67"/>
      <c r="B115" s="67"/>
      <c r="C115" s="67"/>
      <c r="D115" s="67"/>
      <c r="E115" s="67"/>
      <c r="F115" s="88"/>
      <c r="G115" s="88"/>
      <c r="H115" s="88"/>
      <c r="I115" s="88"/>
      <c r="J115" s="88"/>
      <c r="K115" s="88"/>
      <c r="L115" s="88"/>
      <c r="M115" s="88"/>
      <c r="N115" s="88"/>
      <c r="O115" s="88"/>
    </row>
    <row r="116" spans="1:15">
      <c r="A116" s="67"/>
      <c r="B116" s="67"/>
      <c r="C116" s="67"/>
      <c r="D116" s="67"/>
      <c r="E116" s="67"/>
      <c r="F116" s="88"/>
      <c r="G116" s="88"/>
      <c r="H116" s="88"/>
      <c r="I116" s="88"/>
      <c r="J116" s="88"/>
      <c r="K116" s="88"/>
      <c r="L116" s="88"/>
      <c r="M116" s="88"/>
      <c r="N116" s="88"/>
      <c r="O116" s="88"/>
    </row>
    <row r="117" spans="1:15">
      <c r="A117" s="67"/>
      <c r="B117" s="67"/>
      <c r="C117" s="67"/>
      <c r="D117" s="67"/>
      <c r="E117" s="67"/>
      <c r="F117" s="88"/>
      <c r="G117" s="88"/>
      <c r="H117" s="88"/>
      <c r="I117" s="88"/>
      <c r="J117" s="88"/>
      <c r="K117" s="88"/>
      <c r="L117" s="88"/>
      <c r="M117" s="88"/>
      <c r="N117" s="88"/>
      <c r="O117" s="88"/>
    </row>
    <row r="118" spans="1:15">
      <c r="A118" s="67"/>
      <c r="B118" s="67"/>
      <c r="C118" s="67"/>
      <c r="D118" s="67"/>
      <c r="E118" s="67"/>
      <c r="F118" s="88"/>
      <c r="G118" s="88"/>
      <c r="H118" s="88"/>
      <c r="I118" s="88"/>
      <c r="J118" s="88"/>
      <c r="K118" s="88"/>
      <c r="L118" s="88"/>
      <c r="M118" s="88"/>
      <c r="N118" s="88"/>
      <c r="O118" s="88"/>
    </row>
    <row r="119" spans="1:15">
      <c r="A119" s="67"/>
      <c r="B119" s="67"/>
      <c r="C119" s="67"/>
      <c r="D119" s="67"/>
      <c r="E119" s="67"/>
      <c r="F119" s="88"/>
      <c r="G119" s="88"/>
      <c r="H119" s="88"/>
      <c r="I119" s="88"/>
      <c r="J119" s="88"/>
      <c r="K119" s="88"/>
      <c r="L119" s="88"/>
      <c r="M119" s="88"/>
      <c r="N119" s="88"/>
      <c r="O119" s="88"/>
    </row>
    <row r="120" spans="1:15">
      <c r="A120" s="67"/>
      <c r="B120" s="67"/>
      <c r="C120" s="67"/>
      <c r="D120" s="67"/>
      <c r="E120" s="67"/>
      <c r="F120" s="88"/>
      <c r="G120" s="88"/>
      <c r="H120" s="88"/>
      <c r="I120" s="88"/>
      <c r="J120" s="88"/>
      <c r="K120" s="88"/>
      <c r="L120" s="88"/>
      <c r="M120" s="88"/>
      <c r="N120" s="88"/>
      <c r="O120" s="88"/>
    </row>
    <row r="121" spans="1:15">
      <c r="A121" s="67"/>
      <c r="B121" s="67"/>
      <c r="C121" s="67"/>
      <c r="D121" s="67"/>
      <c r="E121" s="67"/>
      <c r="F121" s="88"/>
      <c r="G121" s="88"/>
      <c r="H121" s="88"/>
      <c r="I121" s="88"/>
      <c r="J121" s="88"/>
      <c r="K121" s="88"/>
      <c r="L121" s="88"/>
      <c r="M121" s="88"/>
      <c r="N121" s="88"/>
      <c r="O121" s="88"/>
    </row>
    <row r="122" spans="1:15">
      <c r="A122" s="67"/>
      <c r="B122" s="67"/>
      <c r="C122" s="67"/>
      <c r="D122" s="67"/>
      <c r="E122" s="67"/>
      <c r="F122" s="88"/>
      <c r="G122" s="88"/>
      <c r="H122" s="88"/>
      <c r="I122" s="88"/>
      <c r="J122" s="88"/>
      <c r="K122" s="88"/>
      <c r="L122" s="88"/>
      <c r="M122" s="88"/>
      <c r="N122" s="88"/>
      <c r="O122" s="88"/>
    </row>
    <row r="123" spans="1:15">
      <c r="A123" s="67"/>
      <c r="B123" s="67"/>
      <c r="C123" s="67"/>
      <c r="D123" s="67"/>
      <c r="E123" s="67"/>
      <c r="F123" s="88"/>
      <c r="G123" s="88"/>
      <c r="H123" s="88"/>
      <c r="I123" s="88"/>
      <c r="J123" s="88"/>
      <c r="K123" s="88"/>
      <c r="L123" s="88"/>
      <c r="M123" s="88"/>
      <c r="N123" s="88"/>
      <c r="O123" s="88"/>
    </row>
    <row r="124" spans="1:15">
      <c r="A124" s="67"/>
      <c r="B124" s="67"/>
      <c r="C124" s="67"/>
      <c r="D124" s="67"/>
      <c r="E124" s="67"/>
      <c r="F124" s="88"/>
      <c r="G124" s="88"/>
      <c r="H124" s="88"/>
      <c r="I124" s="88"/>
      <c r="J124" s="88"/>
      <c r="K124" s="88"/>
      <c r="L124" s="88"/>
      <c r="M124" s="88"/>
      <c r="N124" s="88"/>
      <c r="O124" s="88"/>
    </row>
    <row r="125" spans="1:15">
      <c r="A125" s="67"/>
      <c r="B125" s="67"/>
      <c r="C125" s="67"/>
      <c r="D125" s="67"/>
      <c r="E125" s="67"/>
      <c r="F125" s="88"/>
      <c r="G125" s="88"/>
      <c r="H125" s="88"/>
      <c r="I125" s="88"/>
      <c r="J125" s="88"/>
      <c r="K125" s="88"/>
      <c r="L125" s="88"/>
      <c r="M125" s="88"/>
      <c r="N125" s="88"/>
      <c r="O125" s="88"/>
    </row>
    <row r="126" spans="1:15">
      <c r="A126" s="67"/>
      <c r="B126" s="67"/>
      <c r="C126" s="67"/>
      <c r="D126" s="67"/>
      <c r="E126" s="67"/>
      <c r="F126" s="88"/>
      <c r="G126" s="88"/>
      <c r="H126" s="88"/>
      <c r="I126" s="88"/>
      <c r="J126" s="88"/>
      <c r="K126" s="88"/>
      <c r="L126" s="88"/>
      <c r="M126" s="88"/>
      <c r="N126" s="88"/>
      <c r="O126" s="88"/>
    </row>
    <row r="127" spans="1:15">
      <c r="A127" s="67"/>
      <c r="B127" s="67"/>
      <c r="C127" s="67"/>
      <c r="D127" s="67"/>
      <c r="E127" s="67"/>
      <c r="F127" s="88"/>
      <c r="G127" s="88"/>
      <c r="H127" s="88"/>
      <c r="I127" s="88"/>
      <c r="J127" s="88"/>
      <c r="K127" s="88"/>
      <c r="L127" s="88"/>
      <c r="M127" s="88"/>
      <c r="N127" s="88"/>
      <c r="O127" s="88"/>
    </row>
    <row r="128" spans="1:15">
      <c r="A128" s="67"/>
      <c r="B128" s="67"/>
      <c r="C128" s="67"/>
      <c r="D128" s="67"/>
      <c r="E128" s="67"/>
      <c r="F128" s="88"/>
      <c r="G128" s="88"/>
      <c r="H128" s="88"/>
      <c r="I128" s="88"/>
      <c r="J128" s="88"/>
      <c r="K128" s="88"/>
      <c r="L128" s="88"/>
      <c r="M128" s="88"/>
      <c r="N128" s="88"/>
      <c r="O128" s="88"/>
    </row>
    <row r="129" spans="1:15">
      <c r="A129" s="67"/>
      <c r="B129" s="67"/>
      <c r="C129" s="67"/>
      <c r="D129" s="67"/>
      <c r="E129" s="67"/>
      <c r="F129" s="88"/>
      <c r="G129" s="88"/>
      <c r="H129" s="88"/>
      <c r="I129" s="88"/>
      <c r="J129" s="88"/>
      <c r="K129" s="88"/>
      <c r="L129" s="88"/>
      <c r="M129" s="88"/>
      <c r="N129" s="88"/>
      <c r="O129" s="88"/>
    </row>
    <row r="130" spans="1:15">
      <c r="A130" s="67"/>
      <c r="B130" s="67"/>
      <c r="C130" s="67"/>
      <c r="D130" s="67"/>
      <c r="E130" s="67"/>
      <c r="F130" s="88"/>
      <c r="G130" s="88"/>
      <c r="H130" s="88"/>
      <c r="I130" s="88"/>
      <c r="J130" s="88"/>
      <c r="K130" s="88"/>
      <c r="L130" s="88"/>
      <c r="M130" s="88"/>
      <c r="N130" s="88"/>
      <c r="O130" s="88"/>
    </row>
    <row r="131" spans="1:15">
      <c r="A131" s="67"/>
      <c r="B131" s="67"/>
      <c r="C131" s="67"/>
      <c r="D131" s="67"/>
      <c r="E131" s="67"/>
      <c r="F131" s="88"/>
      <c r="G131" s="88"/>
      <c r="H131" s="88"/>
      <c r="I131" s="88"/>
      <c r="J131" s="88"/>
      <c r="K131" s="88"/>
      <c r="L131" s="88"/>
      <c r="M131" s="88"/>
      <c r="N131" s="88"/>
      <c r="O131" s="88"/>
    </row>
    <row r="132" spans="1:15">
      <c r="A132" s="67"/>
      <c r="B132" s="67"/>
      <c r="C132" s="67"/>
      <c r="D132" s="67"/>
      <c r="E132" s="67"/>
      <c r="F132" s="88"/>
      <c r="G132" s="88"/>
      <c r="H132" s="88"/>
      <c r="I132" s="88"/>
      <c r="J132" s="88"/>
      <c r="K132" s="88"/>
      <c r="L132" s="88"/>
      <c r="M132" s="88"/>
      <c r="N132" s="88"/>
      <c r="O132" s="88"/>
    </row>
    <row r="133" spans="1:15">
      <c r="A133" s="67"/>
      <c r="B133" s="67"/>
      <c r="C133" s="67"/>
      <c r="D133" s="67"/>
      <c r="E133" s="67"/>
      <c r="F133" s="88"/>
      <c r="G133" s="88"/>
      <c r="H133" s="88"/>
      <c r="I133" s="88"/>
      <c r="J133" s="88"/>
      <c r="K133" s="88"/>
      <c r="L133" s="88"/>
      <c r="M133" s="88"/>
      <c r="N133" s="88"/>
      <c r="O133" s="88"/>
    </row>
    <row r="134" spans="1:15">
      <c r="A134" s="67"/>
      <c r="B134" s="67"/>
      <c r="C134" s="67"/>
      <c r="D134" s="67"/>
      <c r="E134" s="67"/>
      <c r="F134" s="88"/>
      <c r="G134" s="88"/>
      <c r="H134" s="88"/>
      <c r="I134" s="88"/>
      <c r="J134" s="88"/>
      <c r="K134" s="88"/>
      <c r="L134" s="88"/>
      <c r="M134" s="88"/>
      <c r="N134" s="88"/>
      <c r="O134" s="88"/>
    </row>
    <row r="135" spans="1:15">
      <c r="A135" s="67"/>
      <c r="B135" s="67"/>
      <c r="C135" s="67"/>
      <c r="D135" s="67"/>
      <c r="E135" s="67"/>
      <c r="F135" s="88"/>
      <c r="G135" s="88"/>
      <c r="H135" s="88"/>
      <c r="I135" s="88"/>
      <c r="J135" s="88"/>
      <c r="K135" s="88"/>
      <c r="L135" s="88"/>
      <c r="M135" s="88"/>
      <c r="N135" s="88"/>
      <c r="O135" s="88"/>
    </row>
    <row r="136" spans="1:15">
      <c r="A136" s="67"/>
      <c r="B136" s="67"/>
      <c r="C136" s="67"/>
      <c r="D136" s="67"/>
      <c r="E136" s="67"/>
      <c r="F136" s="88"/>
      <c r="G136" s="88"/>
      <c r="H136" s="88"/>
      <c r="I136" s="88"/>
      <c r="J136" s="88"/>
      <c r="K136" s="88"/>
      <c r="L136" s="88"/>
      <c r="M136" s="88"/>
      <c r="N136" s="88"/>
      <c r="O136" s="88"/>
    </row>
    <row r="137" spans="1:15">
      <c r="A137" s="67"/>
      <c r="B137" s="67"/>
      <c r="C137" s="67"/>
      <c r="D137" s="67"/>
      <c r="E137" s="67"/>
      <c r="F137" s="88"/>
      <c r="G137" s="88"/>
      <c r="H137" s="88"/>
      <c r="I137" s="88"/>
      <c r="J137" s="88"/>
      <c r="K137" s="88"/>
      <c r="L137" s="88"/>
      <c r="M137" s="88"/>
      <c r="N137" s="88"/>
      <c r="O137" s="88"/>
    </row>
    <row r="138" spans="1:15">
      <c r="A138" s="67"/>
      <c r="B138" s="67"/>
      <c r="C138" s="67"/>
      <c r="D138" s="67"/>
      <c r="E138" s="67"/>
      <c r="F138" s="88"/>
      <c r="G138" s="88"/>
      <c r="H138" s="88"/>
      <c r="I138" s="88"/>
      <c r="J138" s="88"/>
      <c r="K138" s="88"/>
      <c r="L138" s="88"/>
      <c r="M138" s="88"/>
      <c r="N138" s="88"/>
      <c r="O138" s="88"/>
    </row>
    <row r="139" spans="1:15">
      <c r="A139" s="67"/>
      <c r="B139" s="67"/>
      <c r="C139" s="67"/>
      <c r="D139" s="67"/>
      <c r="E139" s="67"/>
      <c r="F139" s="88"/>
      <c r="G139" s="88"/>
      <c r="H139" s="88"/>
      <c r="I139" s="88"/>
      <c r="J139" s="88"/>
      <c r="K139" s="88"/>
      <c r="L139" s="88"/>
      <c r="M139" s="88"/>
      <c r="N139" s="88"/>
      <c r="O139" s="88"/>
    </row>
    <row r="140" spans="1:15">
      <c r="A140" s="67"/>
      <c r="B140" s="67"/>
      <c r="C140" s="67"/>
      <c r="D140" s="67"/>
      <c r="E140" s="67"/>
      <c r="F140" s="88"/>
      <c r="G140" s="88"/>
      <c r="H140" s="88"/>
      <c r="I140" s="88"/>
      <c r="J140" s="88"/>
      <c r="K140" s="88"/>
      <c r="L140" s="88"/>
      <c r="M140" s="88"/>
      <c r="N140" s="88"/>
      <c r="O140" s="88"/>
    </row>
    <row r="141" spans="1:15">
      <c r="A141" s="67"/>
      <c r="B141" s="67"/>
      <c r="C141" s="67"/>
      <c r="D141" s="67"/>
      <c r="E141" s="67"/>
      <c r="F141" s="88"/>
      <c r="G141" s="88"/>
      <c r="H141" s="88"/>
      <c r="I141" s="88"/>
      <c r="J141" s="88"/>
      <c r="K141" s="88"/>
      <c r="L141" s="88"/>
      <c r="M141" s="88"/>
      <c r="N141" s="88"/>
      <c r="O141" s="88"/>
    </row>
    <row r="142" spans="1:15">
      <c r="A142" s="67"/>
      <c r="B142" s="67"/>
      <c r="C142" s="67"/>
      <c r="D142" s="67"/>
      <c r="E142" s="67"/>
      <c r="F142" s="88"/>
      <c r="G142" s="88"/>
      <c r="H142" s="88"/>
      <c r="I142" s="88"/>
      <c r="J142" s="88"/>
      <c r="K142" s="88"/>
      <c r="L142" s="88"/>
      <c r="M142" s="88"/>
      <c r="N142" s="88"/>
      <c r="O142" s="88"/>
    </row>
    <row r="143" spans="1:15">
      <c r="A143" s="67"/>
      <c r="B143" s="67"/>
      <c r="C143" s="67"/>
      <c r="D143" s="67"/>
      <c r="E143" s="67"/>
      <c r="F143" s="88"/>
      <c r="G143" s="88"/>
      <c r="H143" s="88"/>
      <c r="I143" s="88"/>
      <c r="J143" s="88"/>
      <c r="K143" s="88"/>
      <c r="L143" s="88"/>
      <c r="M143" s="88"/>
      <c r="N143" s="88"/>
      <c r="O143" s="88"/>
    </row>
    <row r="144" spans="1:15">
      <c r="A144" s="67"/>
      <c r="B144" s="67"/>
      <c r="C144" s="67"/>
      <c r="D144" s="67"/>
      <c r="E144" s="67"/>
      <c r="F144" s="88"/>
      <c r="G144" s="88"/>
      <c r="H144" s="88"/>
      <c r="I144" s="88"/>
      <c r="J144" s="88"/>
      <c r="K144" s="88"/>
      <c r="L144" s="88"/>
      <c r="M144" s="88"/>
      <c r="N144" s="88"/>
      <c r="O144" s="88"/>
    </row>
    <row r="145" spans="1:15">
      <c r="A145" s="67"/>
      <c r="B145" s="67"/>
      <c r="C145" s="67"/>
      <c r="D145" s="67"/>
      <c r="E145" s="67"/>
      <c r="F145" s="88"/>
      <c r="G145" s="88"/>
      <c r="H145" s="88"/>
      <c r="I145" s="88"/>
      <c r="J145" s="88"/>
      <c r="K145" s="88"/>
      <c r="L145" s="88"/>
      <c r="M145" s="88"/>
      <c r="N145" s="88"/>
      <c r="O145" s="88"/>
    </row>
    <row r="146" spans="1:15">
      <c r="A146" s="67"/>
      <c r="B146" s="67"/>
      <c r="C146" s="67"/>
      <c r="D146" s="67"/>
      <c r="E146" s="67"/>
      <c r="F146" s="88"/>
      <c r="G146" s="88"/>
      <c r="H146" s="88"/>
      <c r="I146" s="88"/>
      <c r="J146" s="88"/>
      <c r="K146" s="88"/>
      <c r="L146" s="88"/>
      <c r="M146" s="88"/>
      <c r="N146" s="88"/>
      <c r="O146" s="88"/>
    </row>
    <row r="147" spans="1:15">
      <c r="A147" s="67"/>
      <c r="B147" s="67"/>
      <c r="C147" s="67"/>
      <c r="D147" s="67"/>
      <c r="E147" s="67"/>
      <c r="F147" s="88"/>
      <c r="G147" s="88"/>
      <c r="H147" s="88"/>
      <c r="I147" s="88"/>
      <c r="J147" s="88"/>
      <c r="K147" s="88"/>
      <c r="L147" s="88"/>
      <c r="M147" s="88"/>
      <c r="N147" s="88"/>
      <c r="O147" s="88"/>
    </row>
    <row r="148" spans="1:15">
      <c r="A148" s="67"/>
      <c r="B148" s="67"/>
      <c r="C148" s="67"/>
      <c r="D148" s="67"/>
      <c r="E148" s="67"/>
      <c r="F148" s="88"/>
      <c r="G148" s="88"/>
      <c r="H148" s="88"/>
      <c r="I148" s="88"/>
      <c r="J148" s="88"/>
      <c r="K148" s="88"/>
      <c r="L148" s="88"/>
      <c r="M148" s="88"/>
      <c r="N148" s="88"/>
      <c r="O148" s="88"/>
    </row>
    <row r="149" spans="1:15">
      <c r="A149" s="67"/>
      <c r="B149" s="67"/>
      <c r="C149" s="67"/>
      <c r="D149" s="67"/>
      <c r="E149" s="67"/>
      <c r="F149" s="88"/>
      <c r="G149" s="88"/>
      <c r="H149" s="88"/>
      <c r="I149" s="88"/>
      <c r="J149" s="88"/>
      <c r="K149" s="88"/>
      <c r="L149" s="88"/>
      <c r="M149" s="88"/>
      <c r="N149" s="88"/>
      <c r="O149" s="88"/>
    </row>
    <row r="150" spans="1:15">
      <c r="A150" s="67"/>
      <c r="B150" s="67"/>
      <c r="C150" s="67"/>
      <c r="D150" s="67"/>
      <c r="E150" s="67"/>
      <c r="F150" s="88"/>
      <c r="G150" s="88"/>
      <c r="H150" s="88"/>
      <c r="I150" s="88"/>
      <c r="J150" s="88"/>
      <c r="K150" s="88"/>
      <c r="L150" s="88"/>
      <c r="M150" s="88"/>
      <c r="N150" s="88"/>
      <c r="O150" s="88"/>
    </row>
    <row r="151" spans="1:15">
      <c r="A151" s="67"/>
      <c r="B151" s="67"/>
      <c r="C151" s="67"/>
      <c r="D151" s="67"/>
      <c r="E151" s="67"/>
      <c r="F151" s="88"/>
      <c r="G151" s="88"/>
      <c r="H151" s="88"/>
      <c r="I151" s="88"/>
      <c r="J151" s="88"/>
      <c r="K151" s="88"/>
      <c r="L151" s="88"/>
      <c r="M151" s="88"/>
      <c r="N151" s="88"/>
      <c r="O151" s="88"/>
    </row>
    <row r="152" spans="1:15">
      <c r="A152" s="67"/>
      <c r="B152" s="67"/>
      <c r="C152" s="67"/>
      <c r="D152" s="67"/>
      <c r="E152" s="67"/>
      <c r="F152" s="88"/>
      <c r="G152" s="88"/>
      <c r="H152" s="88"/>
      <c r="I152" s="88"/>
      <c r="J152" s="88"/>
      <c r="K152" s="88"/>
      <c r="L152" s="88"/>
      <c r="M152" s="88"/>
      <c r="N152" s="88"/>
      <c r="O152" s="88"/>
    </row>
    <row r="153" spans="1:15">
      <c r="A153" s="67"/>
      <c r="B153" s="67"/>
      <c r="C153" s="67"/>
      <c r="D153" s="67"/>
      <c r="E153" s="67"/>
      <c r="F153" s="88"/>
      <c r="G153" s="88"/>
      <c r="H153" s="88"/>
      <c r="I153" s="88"/>
      <c r="J153" s="88"/>
      <c r="K153" s="88"/>
      <c r="L153" s="88"/>
      <c r="M153" s="88"/>
      <c r="N153" s="88"/>
      <c r="O153" s="88"/>
    </row>
    <row r="154" spans="1:15">
      <c r="A154" s="67"/>
      <c r="B154" s="67"/>
      <c r="C154" s="67"/>
      <c r="D154" s="67"/>
      <c r="E154" s="67"/>
      <c r="F154" s="88"/>
      <c r="G154" s="88"/>
      <c r="H154" s="88"/>
      <c r="I154" s="88"/>
      <c r="J154" s="88"/>
      <c r="K154" s="88"/>
      <c r="L154" s="88"/>
      <c r="M154" s="88"/>
      <c r="N154" s="88"/>
      <c r="O154" s="88"/>
    </row>
    <row r="155" spans="1:15">
      <c r="A155" s="67"/>
      <c r="B155" s="67"/>
      <c r="C155" s="67"/>
      <c r="D155" s="67"/>
      <c r="E155" s="67"/>
      <c r="F155" s="88"/>
      <c r="G155" s="88"/>
      <c r="H155" s="88"/>
      <c r="I155" s="88"/>
      <c r="J155" s="88"/>
      <c r="K155" s="88"/>
      <c r="L155" s="88"/>
      <c r="M155" s="88"/>
      <c r="N155" s="88"/>
      <c r="O155" s="88"/>
    </row>
    <row r="156" spans="1:15">
      <c r="A156" s="67"/>
      <c r="B156" s="67"/>
      <c r="C156" s="67"/>
      <c r="D156" s="67"/>
      <c r="E156" s="67"/>
      <c r="F156" s="88"/>
      <c r="G156" s="88"/>
      <c r="H156" s="88"/>
      <c r="I156" s="88"/>
      <c r="J156" s="88"/>
      <c r="K156" s="88"/>
      <c r="L156" s="88"/>
      <c r="M156" s="88"/>
      <c r="N156" s="88"/>
      <c r="O156" s="88"/>
    </row>
    <row r="157" spans="1:15">
      <c r="A157" s="67"/>
      <c r="B157" s="67"/>
      <c r="C157" s="67"/>
      <c r="D157" s="67"/>
      <c r="E157" s="67"/>
      <c r="F157" s="88"/>
      <c r="G157" s="88"/>
      <c r="H157" s="88"/>
      <c r="I157" s="88"/>
      <c r="J157" s="88"/>
      <c r="K157" s="88"/>
      <c r="L157" s="88"/>
      <c r="M157" s="88"/>
      <c r="N157" s="88"/>
      <c r="O157" s="88"/>
    </row>
    <row r="158" spans="1:15">
      <c r="A158" s="67"/>
      <c r="B158" s="67"/>
      <c r="C158" s="67"/>
      <c r="D158" s="67"/>
      <c r="E158" s="67"/>
      <c r="F158" s="88"/>
      <c r="G158" s="88"/>
      <c r="H158" s="88"/>
      <c r="I158" s="88"/>
      <c r="J158" s="88"/>
      <c r="K158" s="88"/>
      <c r="L158" s="88"/>
      <c r="M158" s="88"/>
      <c r="N158" s="88"/>
      <c r="O158" s="88"/>
    </row>
    <row r="159" spans="1:15">
      <c r="A159" s="67"/>
      <c r="B159" s="67"/>
      <c r="C159" s="67"/>
      <c r="D159" s="67"/>
      <c r="E159" s="67"/>
      <c r="F159" s="88"/>
      <c r="G159" s="88"/>
      <c r="H159" s="88"/>
      <c r="I159" s="88"/>
      <c r="J159" s="88"/>
      <c r="K159" s="88"/>
      <c r="L159" s="88"/>
      <c r="M159" s="88"/>
      <c r="N159" s="88"/>
      <c r="O159" s="88"/>
    </row>
    <row r="160" spans="1:15">
      <c r="A160" s="67"/>
      <c r="B160" s="67"/>
      <c r="C160" s="67"/>
      <c r="D160" s="67"/>
      <c r="E160" s="67"/>
      <c r="F160" s="88"/>
      <c r="G160" s="88"/>
      <c r="H160" s="88"/>
      <c r="I160" s="88"/>
      <c r="J160" s="88"/>
      <c r="K160" s="88"/>
      <c r="L160" s="88"/>
      <c r="M160" s="88"/>
      <c r="N160" s="88"/>
      <c r="O160" s="88"/>
    </row>
    <row r="161" spans="1:15">
      <c r="A161" s="67"/>
      <c r="B161" s="67"/>
      <c r="C161" s="67"/>
      <c r="D161" s="67"/>
      <c r="E161" s="67"/>
      <c r="F161" s="88"/>
      <c r="G161" s="88"/>
      <c r="H161" s="88"/>
      <c r="I161" s="88"/>
      <c r="J161" s="88"/>
      <c r="K161" s="88"/>
      <c r="L161" s="88"/>
      <c r="M161" s="88"/>
      <c r="N161" s="88"/>
      <c r="O161" s="88"/>
    </row>
    <row r="162" spans="1:15">
      <c r="A162" s="67"/>
      <c r="B162" s="67"/>
      <c r="C162" s="67"/>
      <c r="D162" s="67"/>
      <c r="E162" s="67"/>
      <c r="F162" s="88"/>
      <c r="G162" s="88"/>
      <c r="H162" s="88"/>
      <c r="I162" s="88"/>
      <c r="J162" s="88"/>
      <c r="K162" s="88"/>
      <c r="L162" s="88"/>
      <c r="M162" s="88"/>
      <c r="N162" s="88"/>
      <c r="O162" s="88"/>
    </row>
    <row r="163" spans="1:15">
      <c r="A163" s="67"/>
      <c r="B163" s="67"/>
      <c r="C163" s="67"/>
      <c r="D163" s="67"/>
      <c r="E163" s="67"/>
      <c r="F163" s="88"/>
      <c r="G163" s="88"/>
      <c r="H163" s="88"/>
      <c r="I163" s="88"/>
      <c r="J163" s="88"/>
      <c r="K163" s="88"/>
      <c r="L163" s="88"/>
      <c r="M163" s="88"/>
      <c r="N163" s="88"/>
      <c r="O163" s="88"/>
    </row>
    <row r="164" spans="1:15">
      <c r="A164" s="67"/>
      <c r="B164" s="67"/>
      <c r="C164" s="67"/>
      <c r="D164" s="67"/>
      <c r="E164" s="67"/>
      <c r="F164" s="88"/>
      <c r="G164" s="88"/>
      <c r="H164" s="88"/>
      <c r="I164" s="88"/>
      <c r="J164" s="88"/>
      <c r="K164" s="88"/>
      <c r="L164" s="88"/>
      <c r="M164" s="88"/>
      <c r="N164" s="88"/>
      <c r="O164" s="88"/>
    </row>
    <row r="165" spans="1:15">
      <c r="A165" s="67"/>
      <c r="B165" s="67"/>
      <c r="C165" s="67"/>
      <c r="D165" s="67"/>
      <c r="E165" s="67"/>
      <c r="F165" s="88"/>
      <c r="G165" s="88"/>
      <c r="H165" s="88"/>
      <c r="I165" s="88"/>
      <c r="J165" s="88"/>
      <c r="K165" s="88"/>
      <c r="L165" s="88"/>
      <c r="M165" s="88"/>
      <c r="N165" s="88"/>
      <c r="O165" s="88"/>
    </row>
    <row r="166" spans="1:15">
      <c r="A166" s="67"/>
      <c r="B166" s="67"/>
      <c r="C166" s="67"/>
      <c r="D166" s="67"/>
      <c r="E166" s="67"/>
      <c r="F166" s="88"/>
      <c r="G166" s="88"/>
      <c r="H166" s="88"/>
      <c r="I166" s="88"/>
      <c r="J166" s="88"/>
      <c r="K166" s="88"/>
      <c r="L166" s="88"/>
      <c r="M166" s="88"/>
      <c r="N166" s="88"/>
      <c r="O166" s="88"/>
    </row>
    <row r="167" spans="1:15">
      <c r="A167" s="67"/>
      <c r="B167" s="67"/>
      <c r="C167" s="67"/>
      <c r="D167" s="67"/>
      <c r="E167" s="67"/>
      <c r="F167" s="88"/>
      <c r="G167" s="88"/>
      <c r="H167" s="88"/>
      <c r="I167" s="88"/>
      <c r="J167" s="88"/>
      <c r="K167" s="88"/>
      <c r="L167" s="88"/>
      <c r="M167" s="88"/>
      <c r="N167" s="88"/>
      <c r="O167" s="88"/>
    </row>
    <row r="168" spans="1:15">
      <c r="A168" s="67"/>
      <c r="B168" s="67"/>
      <c r="C168" s="67"/>
      <c r="D168" s="67"/>
      <c r="E168" s="67"/>
      <c r="F168" s="88"/>
      <c r="G168" s="88"/>
      <c r="H168" s="88"/>
      <c r="I168" s="88"/>
      <c r="J168" s="88"/>
      <c r="K168" s="88"/>
      <c r="L168" s="88"/>
      <c r="M168" s="88"/>
      <c r="N168" s="88"/>
      <c r="O168" s="88"/>
    </row>
    <row r="169" spans="1:15">
      <c r="A169" s="67"/>
      <c r="B169" s="67"/>
      <c r="C169" s="67"/>
      <c r="D169" s="67"/>
      <c r="E169" s="67"/>
      <c r="F169" s="88"/>
      <c r="G169" s="88"/>
      <c r="H169" s="88"/>
      <c r="I169" s="88"/>
      <c r="J169" s="88"/>
      <c r="K169" s="88"/>
      <c r="L169" s="88"/>
      <c r="M169" s="88"/>
      <c r="N169" s="88"/>
      <c r="O169" s="88"/>
    </row>
    <row r="170" spans="1:15">
      <c r="A170" s="67"/>
      <c r="B170" s="67"/>
      <c r="C170" s="67"/>
      <c r="D170" s="67"/>
      <c r="E170" s="67"/>
      <c r="F170" s="88"/>
      <c r="G170" s="88"/>
      <c r="H170" s="88"/>
      <c r="I170" s="88"/>
      <c r="J170" s="88"/>
      <c r="K170" s="88"/>
      <c r="L170" s="88"/>
      <c r="M170" s="88"/>
      <c r="N170" s="88"/>
      <c r="O170" s="88"/>
    </row>
    <row r="171" spans="1:15">
      <c r="A171" s="67"/>
      <c r="B171" s="67"/>
      <c r="C171" s="67"/>
      <c r="D171" s="67"/>
      <c r="E171" s="67"/>
      <c r="F171" s="88"/>
      <c r="G171" s="88"/>
      <c r="H171" s="88"/>
      <c r="I171" s="88"/>
      <c r="J171" s="88"/>
      <c r="K171" s="88"/>
      <c r="L171" s="88"/>
      <c r="M171" s="88"/>
      <c r="N171" s="88"/>
      <c r="O171" s="88"/>
    </row>
    <row r="172" spans="1:15">
      <c r="A172" s="67"/>
      <c r="B172" s="67"/>
      <c r="C172" s="67"/>
      <c r="D172" s="67"/>
      <c r="E172" s="67"/>
      <c r="F172" s="88"/>
      <c r="G172" s="88"/>
      <c r="H172" s="88"/>
      <c r="I172" s="88"/>
      <c r="J172" s="88"/>
      <c r="K172" s="88"/>
      <c r="L172" s="88"/>
      <c r="M172" s="88"/>
      <c r="N172" s="88"/>
      <c r="O172" s="88"/>
    </row>
    <row r="173" spans="1:15">
      <c r="A173" s="67"/>
      <c r="B173" s="67"/>
      <c r="C173" s="67"/>
      <c r="D173" s="67"/>
      <c r="E173" s="67"/>
      <c r="F173" s="88"/>
      <c r="G173" s="88"/>
      <c r="H173" s="88"/>
      <c r="I173" s="88"/>
      <c r="J173" s="88"/>
      <c r="K173" s="88"/>
      <c r="L173" s="88"/>
      <c r="M173" s="88"/>
      <c r="N173" s="88"/>
      <c r="O173" s="88"/>
    </row>
    <row r="174" spans="1:15">
      <c r="A174" s="67"/>
      <c r="B174" s="67"/>
      <c r="C174" s="67"/>
      <c r="D174" s="67"/>
      <c r="E174" s="67"/>
      <c r="F174" s="88"/>
      <c r="G174" s="88"/>
      <c r="H174" s="88"/>
      <c r="I174" s="88"/>
      <c r="J174" s="88"/>
      <c r="K174" s="88"/>
      <c r="L174" s="88"/>
      <c r="M174" s="88"/>
      <c r="N174" s="88"/>
      <c r="O174" s="88"/>
    </row>
    <row r="175" spans="1:15">
      <c r="A175" s="67"/>
      <c r="B175" s="67"/>
      <c r="C175" s="67"/>
      <c r="D175" s="67"/>
      <c r="E175" s="67"/>
      <c r="F175" s="88"/>
      <c r="G175" s="88"/>
      <c r="H175" s="88"/>
      <c r="I175" s="88"/>
      <c r="J175" s="88"/>
      <c r="K175" s="88"/>
      <c r="L175" s="88"/>
      <c r="M175" s="88"/>
      <c r="N175" s="88"/>
      <c r="O175" s="88"/>
    </row>
    <row r="176" spans="1:15">
      <c r="A176" s="67"/>
      <c r="B176" s="67"/>
      <c r="C176" s="67"/>
      <c r="D176" s="67"/>
      <c r="E176" s="67"/>
      <c r="F176" s="88"/>
      <c r="G176" s="88"/>
      <c r="H176" s="88"/>
      <c r="I176" s="88"/>
      <c r="J176" s="88"/>
      <c r="K176" s="88"/>
      <c r="L176" s="88"/>
      <c r="M176" s="88"/>
      <c r="N176" s="88"/>
      <c r="O176" s="88"/>
    </row>
    <row r="177" spans="1:15">
      <c r="A177" s="67"/>
      <c r="B177" s="67"/>
      <c r="C177" s="67"/>
      <c r="D177" s="67"/>
      <c r="E177" s="67"/>
      <c r="F177" s="88"/>
      <c r="G177" s="88"/>
      <c r="H177" s="88"/>
      <c r="I177" s="88"/>
      <c r="J177" s="88"/>
      <c r="K177" s="88"/>
      <c r="L177" s="88"/>
      <c r="M177" s="88"/>
      <c r="N177" s="88"/>
      <c r="O177" s="88"/>
    </row>
    <row r="178" spans="1:15">
      <c r="A178" s="67"/>
      <c r="B178" s="67"/>
      <c r="C178" s="67"/>
      <c r="D178" s="67"/>
      <c r="E178" s="67"/>
      <c r="F178" s="88"/>
      <c r="G178" s="88"/>
      <c r="H178" s="88"/>
      <c r="I178" s="88"/>
      <c r="J178" s="88"/>
      <c r="K178" s="88"/>
      <c r="L178" s="88"/>
      <c r="M178" s="88"/>
      <c r="N178" s="88"/>
      <c r="O178" s="88"/>
    </row>
    <row r="179" spans="1:15">
      <c r="A179" s="67"/>
      <c r="B179" s="67"/>
      <c r="C179" s="67"/>
      <c r="D179" s="67"/>
      <c r="E179" s="67"/>
      <c r="F179" s="88"/>
      <c r="G179" s="88"/>
      <c r="H179" s="88"/>
      <c r="I179" s="88"/>
      <c r="J179" s="88"/>
      <c r="K179" s="88"/>
      <c r="L179" s="88"/>
      <c r="M179" s="88"/>
      <c r="N179" s="88"/>
      <c r="O179" s="88"/>
    </row>
    <row r="180" spans="1:15">
      <c r="A180" s="67"/>
      <c r="B180" s="67"/>
      <c r="C180" s="67"/>
      <c r="D180" s="67"/>
      <c r="E180" s="67"/>
      <c r="F180" s="88"/>
      <c r="G180" s="88"/>
      <c r="H180" s="88"/>
      <c r="I180" s="88"/>
      <c r="J180" s="88"/>
      <c r="K180" s="88"/>
      <c r="L180" s="88"/>
      <c r="M180" s="88"/>
      <c r="N180" s="88"/>
      <c r="O180" s="88"/>
    </row>
    <row r="181" spans="1:15">
      <c r="A181" s="67"/>
      <c r="B181" s="67"/>
      <c r="C181" s="67"/>
      <c r="D181" s="67"/>
      <c r="E181" s="67"/>
      <c r="F181" s="88"/>
      <c r="G181" s="88"/>
      <c r="H181" s="88"/>
      <c r="I181" s="88"/>
      <c r="J181" s="88"/>
      <c r="K181" s="88"/>
      <c r="L181" s="88"/>
      <c r="M181" s="88"/>
      <c r="N181" s="88"/>
      <c r="O181" s="88"/>
    </row>
    <row r="182" spans="1:15">
      <c r="A182" s="67"/>
      <c r="B182" s="67"/>
      <c r="C182" s="67"/>
      <c r="D182" s="67"/>
      <c r="E182" s="67"/>
      <c r="F182" s="88"/>
      <c r="G182" s="88"/>
      <c r="H182" s="88"/>
      <c r="I182" s="88"/>
      <c r="J182" s="88"/>
      <c r="K182" s="88"/>
      <c r="L182" s="88"/>
      <c r="M182" s="88"/>
      <c r="N182" s="88"/>
      <c r="O182" s="88"/>
    </row>
    <row r="183" spans="1:15">
      <c r="A183" s="67"/>
      <c r="B183" s="67"/>
      <c r="C183" s="67"/>
      <c r="D183" s="67"/>
      <c r="E183" s="67"/>
      <c r="F183" s="88"/>
      <c r="G183" s="88"/>
      <c r="H183" s="88"/>
      <c r="I183" s="88"/>
      <c r="J183" s="88"/>
      <c r="K183" s="88"/>
      <c r="L183" s="88"/>
      <c r="M183" s="88"/>
      <c r="N183" s="88"/>
      <c r="O183" s="88"/>
    </row>
    <row r="184" spans="1:15">
      <c r="A184" s="67"/>
      <c r="B184" s="67"/>
      <c r="C184" s="67"/>
      <c r="D184" s="67"/>
      <c r="E184" s="67"/>
      <c r="F184" s="88"/>
      <c r="G184" s="88"/>
      <c r="H184" s="88"/>
      <c r="I184" s="88"/>
      <c r="J184" s="88"/>
      <c r="K184" s="88"/>
      <c r="L184" s="88"/>
      <c r="M184" s="88"/>
      <c r="N184" s="88"/>
      <c r="O184" s="88"/>
    </row>
    <row r="185" spans="1:15">
      <c r="A185" s="67"/>
      <c r="B185" s="67"/>
      <c r="C185" s="67"/>
      <c r="D185" s="67"/>
      <c r="E185" s="67"/>
      <c r="F185" s="88"/>
      <c r="G185" s="88"/>
      <c r="H185" s="88"/>
      <c r="I185" s="88"/>
      <c r="J185" s="88"/>
      <c r="K185" s="88"/>
      <c r="L185" s="88"/>
      <c r="M185" s="88"/>
      <c r="N185" s="88"/>
      <c r="O185" s="88"/>
    </row>
    <row r="186" spans="1:15">
      <c r="A186" s="67"/>
      <c r="B186" s="67"/>
      <c r="C186" s="67"/>
      <c r="D186" s="67"/>
      <c r="E186" s="67"/>
      <c r="F186" s="88"/>
      <c r="G186" s="88"/>
      <c r="H186" s="88"/>
      <c r="I186" s="88"/>
      <c r="J186" s="88"/>
      <c r="K186" s="88"/>
      <c r="L186" s="88"/>
      <c r="M186" s="88"/>
      <c r="N186" s="88"/>
      <c r="O186" s="88"/>
    </row>
    <row r="187" spans="1:15">
      <c r="A187" s="67"/>
      <c r="B187" s="67"/>
      <c r="C187" s="67"/>
      <c r="D187" s="67"/>
      <c r="E187" s="67"/>
      <c r="F187" s="88"/>
      <c r="G187" s="88"/>
      <c r="H187" s="88"/>
      <c r="I187" s="88"/>
      <c r="J187" s="88"/>
      <c r="K187" s="88"/>
      <c r="L187" s="88"/>
      <c r="M187" s="88"/>
      <c r="N187" s="88"/>
      <c r="O187" s="88"/>
    </row>
    <row r="188" spans="1:15">
      <c r="A188" s="67"/>
      <c r="B188" s="67"/>
      <c r="C188" s="67"/>
      <c r="D188" s="67"/>
      <c r="E188" s="67"/>
      <c r="F188" s="88"/>
      <c r="G188" s="88"/>
      <c r="H188" s="88"/>
      <c r="I188" s="88"/>
      <c r="J188" s="88"/>
      <c r="K188" s="88"/>
      <c r="L188" s="88"/>
      <c r="M188" s="88"/>
      <c r="N188" s="88"/>
      <c r="O188" s="88"/>
    </row>
    <row r="189" spans="1:15">
      <c r="A189" s="67"/>
      <c r="B189" s="67"/>
      <c r="C189" s="67"/>
      <c r="D189" s="67"/>
      <c r="E189" s="67"/>
      <c r="F189" s="88"/>
      <c r="G189" s="88"/>
      <c r="H189" s="88"/>
      <c r="I189" s="88"/>
      <c r="J189" s="88"/>
      <c r="K189" s="88"/>
      <c r="L189" s="88"/>
      <c r="M189" s="88"/>
      <c r="N189" s="88"/>
      <c r="O189" s="88"/>
    </row>
    <row r="190" spans="1:15">
      <c r="A190" s="67"/>
      <c r="B190" s="67"/>
      <c r="C190" s="67"/>
      <c r="D190" s="67"/>
      <c r="E190" s="67"/>
      <c r="F190" s="88"/>
      <c r="G190" s="88"/>
      <c r="H190" s="88"/>
      <c r="I190" s="88"/>
      <c r="J190" s="88"/>
      <c r="K190" s="88"/>
      <c r="L190" s="88"/>
      <c r="M190" s="88"/>
      <c r="N190" s="88"/>
      <c r="O190" s="88"/>
    </row>
    <row r="191" spans="1:15">
      <c r="A191" s="67"/>
      <c r="B191" s="67"/>
      <c r="C191" s="67"/>
      <c r="D191" s="67"/>
      <c r="E191" s="67"/>
      <c r="F191" s="88"/>
      <c r="G191" s="88"/>
      <c r="H191" s="88"/>
      <c r="I191" s="88"/>
      <c r="J191" s="88"/>
      <c r="K191" s="88"/>
      <c r="L191" s="88"/>
      <c r="M191" s="88"/>
      <c r="N191" s="88"/>
      <c r="O191" s="88"/>
    </row>
    <row r="192" spans="1:15">
      <c r="A192" s="67"/>
      <c r="B192" s="67"/>
      <c r="C192" s="67"/>
      <c r="D192" s="67"/>
      <c r="E192" s="67"/>
      <c r="F192" s="88"/>
      <c r="G192" s="88"/>
      <c r="H192" s="88"/>
      <c r="I192" s="88"/>
      <c r="J192" s="88"/>
      <c r="K192" s="88"/>
      <c r="L192" s="88"/>
      <c r="M192" s="88"/>
      <c r="N192" s="88"/>
      <c r="O192" s="88"/>
    </row>
    <row r="193" spans="1:15">
      <c r="A193" s="67"/>
      <c r="B193" s="67"/>
      <c r="C193" s="67"/>
      <c r="D193" s="67"/>
      <c r="E193" s="67"/>
      <c r="F193" s="88"/>
      <c r="G193" s="88"/>
      <c r="H193" s="88"/>
      <c r="I193" s="88"/>
      <c r="J193" s="88"/>
      <c r="K193" s="88"/>
      <c r="L193" s="88"/>
      <c r="M193" s="88"/>
      <c r="N193" s="88"/>
      <c r="O193" s="88"/>
    </row>
    <row r="194" spans="1:15">
      <c r="A194" s="67"/>
      <c r="B194" s="67"/>
      <c r="C194" s="67"/>
      <c r="D194" s="67"/>
      <c r="E194" s="67"/>
      <c r="F194" s="88"/>
      <c r="G194" s="88"/>
      <c r="H194" s="88"/>
      <c r="I194" s="88"/>
      <c r="J194" s="88"/>
      <c r="K194" s="88"/>
      <c r="L194" s="88"/>
      <c r="M194" s="88"/>
      <c r="N194" s="88"/>
      <c r="O194" s="88"/>
    </row>
    <row r="195" spans="1:15">
      <c r="A195" s="67"/>
      <c r="B195" s="67"/>
      <c r="C195" s="67"/>
      <c r="D195" s="67"/>
      <c r="E195" s="67"/>
      <c r="F195" s="88"/>
      <c r="G195" s="88"/>
      <c r="H195" s="88"/>
      <c r="I195" s="88"/>
      <c r="J195" s="88"/>
      <c r="K195" s="88"/>
      <c r="L195" s="88"/>
      <c r="M195" s="88"/>
      <c r="N195" s="88"/>
      <c r="O195" s="88"/>
    </row>
    <row r="196" spans="1:15">
      <c r="A196" s="67"/>
      <c r="B196" s="67"/>
      <c r="C196" s="67"/>
      <c r="D196" s="67"/>
      <c r="E196" s="67"/>
      <c r="F196" s="88"/>
      <c r="G196" s="88"/>
      <c r="H196" s="88"/>
      <c r="I196" s="88"/>
      <c r="J196" s="88"/>
      <c r="K196" s="88"/>
      <c r="L196" s="88"/>
      <c r="M196" s="88"/>
      <c r="N196" s="88"/>
      <c r="O196" s="88"/>
    </row>
    <row r="197" spans="1:15">
      <c r="A197" s="67"/>
      <c r="B197" s="67"/>
      <c r="C197" s="67"/>
      <c r="D197" s="67"/>
      <c r="E197" s="67"/>
      <c r="F197" s="88"/>
      <c r="G197" s="88"/>
      <c r="H197" s="88"/>
      <c r="I197" s="88"/>
      <c r="J197" s="88"/>
      <c r="K197" s="88"/>
      <c r="L197" s="88"/>
      <c r="M197" s="88"/>
      <c r="N197" s="88"/>
      <c r="O197" s="88"/>
    </row>
    <row r="198" spans="1:15">
      <c r="A198" s="67"/>
      <c r="B198" s="67"/>
      <c r="C198" s="67"/>
      <c r="D198" s="67"/>
      <c r="E198" s="67"/>
      <c r="F198" s="88"/>
      <c r="G198" s="88"/>
      <c r="H198" s="88"/>
      <c r="I198" s="88"/>
      <c r="J198" s="88"/>
      <c r="K198" s="88"/>
      <c r="L198" s="88"/>
      <c r="M198" s="88"/>
      <c r="N198" s="88"/>
      <c r="O198" s="88"/>
    </row>
    <row r="199" spans="1:15">
      <c r="A199" s="67"/>
      <c r="B199" s="67"/>
      <c r="C199" s="67"/>
      <c r="D199" s="67"/>
      <c r="E199" s="67"/>
      <c r="F199" s="88"/>
      <c r="G199" s="88"/>
      <c r="H199" s="88"/>
      <c r="I199" s="88"/>
      <c r="J199" s="88"/>
      <c r="K199" s="88"/>
      <c r="L199" s="88"/>
      <c r="M199" s="88"/>
      <c r="N199" s="88"/>
      <c r="O199" s="88"/>
    </row>
    <row r="200" spans="1:15">
      <c r="A200" s="67"/>
      <c r="B200" s="67"/>
      <c r="C200" s="67"/>
      <c r="D200" s="67"/>
      <c r="E200" s="67"/>
      <c r="F200" s="88"/>
      <c r="G200" s="88"/>
      <c r="H200" s="88"/>
      <c r="I200" s="88"/>
      <c r="J200" s="88"/>
      <c r="K200" s="88"/>
      <c r="L200" s="88"/>
      <c r="M200" s="88"/>
      <c r="N200" s="88"/>
      <c r="O200" s="88"/>
    </row>
    <row r="201" spans="1:15">
      <c r="A201" s="67"/>
      <c r="B201" s="67"/>
      <c r="C201" s="67"/>
      <c r="D201" s="67"/>
      <c r="E201" s="67"/>
      <c r="F201" s="88"/>
      <c r="G201" s="88"/>
      <c r="H201" s="88"/>
      <c r="I201" s="88"/>
      <c r="J201" s="88"/>
      <c r="K201" s="88"/>
      <c r="L201" s="88"/>
      <c r="M201" s="88"/>
      <c r="N201" s="88"/>
      <c r="O201" s="88"/>
    </row>
    <row r="202" spans="1:15">
      <c r="A202" s="67"/>
      <c r="B202" s="67"/>
      <c r="C202" s="67"/>
      <c r="D202" s="67"/>
      <c r="E202" s="67"/>
      <c r="F202" s="88"/>
      <c r="G202" s="88"/>
      <c r="H202" s="88"/>
      <c r="I202" s="88"/>
      <c r="J202" s="88"/>
      <c r="K202" s="88"/>
      <c r="L202" s="88"/>
      <c r="M202" s="88"/>
      <c r="N202" s="88"/>
      <c r="O202" s="88"/>
    </row>
    <row r="203" spans="1:15">
      <c r="A203" s="67"/>
      <c r="B203" s="67"/>
      <c r="C203" s="67"/>
      <c r="D203" s="67"/>
      <c r="E203" s="67"/>
      <c r="F203" s="88"/>
      <c r="G203" s="88"/>
      <c r="H203" s="88"/>
      <c r="I203" s="88"/>
      <c r="J203" s="88"/>
      <c r="K203" s="88"/>
      <c r="L203" s="88"/>
      <c r="M203" s="88"/>
      <c r="N203" s="88"/>
      <c r="O203" s="88"/>
    </row>
    <row r="204" spans="1:15">
      <c r="A204" s="67"/>
      <c r="B204" s="67"/>
      <c r="C204" s="67"/>
      <c r="D204" s="67"/>
      <c r="E204" s="67"/>
      <c r="F204" s="88"/>
      <c r="G204" s="88"/>
      <c r="H204" s="88"/>
      <c r="I204" s="88"/>
      <c r="J204" s="88"/>
      <c r="K204" s="88"/>
      <c r="L204" s="88"/>
      <c r="M204" s="88"/>
      <c r="N204" s="88"/>
      <c r="O204" s="88"/>
    </row>
    <row r="205" spans="1:15">
      <c r="A205" s="67"/>
      <c r="B205" s="67"/>
      <c r="C205" s="67"/>
      <c r="D205" s="67"/>
      <c r="E205" s="67"/>
      <c r="F205" s="88"/>
      <c r="G205" s="88"/>
      <c r="H205" s="88"/>
      <c r="I205" s="88"/>
      <c r="J205" s="88"/>
      <c r="K205" s="88"/>
      <c r="L205" s="88"/>
      <c r="M205" s="88"/>
      <c r="N205" s="88"/>
      <c r="O205" s="88"/>
    </row>
    <row r="206" spans="1:15">
      <c r="A206" s="67"/>
      <c r="B206" s="67"/>
      <c r="C206" s="67"/>
      <c r="D206" s="67"/>
      <c r="E206" s="67"/>
      <c r="F206" s="88"/>
      <c r="G206" s="88"/>
      <c r="H206" s="88"/>
      <c r="I206" s="88"/>
      <c r="J206" s="88"/>
      <c r="K206" s="88"/>
      <c r="L206" s="88"/>
      <c r="M206" s="88"/>
      <c r="N206" s="88"/>
      <c r="O206" s="88"/>
    </row>
    <row r="207" spans="1:15">
      <c r="A207" s="67"/>
      <c r="B207" s="67"/>
      <c r="C207" s="67"/>
      <c r="D207" s="67"/>
      <c r="E207" s="67"/>
      <c r="F207" s="88"/>
      <c r="G207" s="88"/>
      <c r="H207" s="88"/>
      <c r="I207" s="88"/>
      <c r="J207" s="88"/>
      <c r="K207" s="88"/>
      <c r="L207" s="88"/>
      <c r="M207" s="88"/>
      <c r="N207" s="88"/>
      <c r="O207" s="88"/>
    </row>
    <row r="208" spans="1:15">
      <c r="A208" s="67"/>
      <c r="B208" s="67"/>
      <c r="C208" s="67"/>
      <c r="D208" s="67"/>
      <c r="E208" s="67"/>
      <c r="F208" s="88"/>
      <c r="G208" s="88"/>
      <c r="H208" s="88"/>
      <c r="I208" s="88"/>
      <c r="J208" s="88"/>
      <c r="K208" s="88"/>
      <c r="L208" s="88"/>
      <c r="M208" s="88"/>
      <c r="N208" s="88"/>
      <c r="O208" s="88"/>
    </row>
    <row r="209" spans="1:15">
      <c r="A209" s="67"/>
      <c r="B209" s="67"/>
      <c r="C209" s="67"/>
      <c r="D209" s="67"/>
      <c r="E209" s="67"/>
      <c r="F209" s="88"/>
      <c r="G209" s="88"/>
      <c r="H209" s="88"/>
      <c r="I209" s="88"/>
      <c r="J209" s="88"/>
      <c r="K209" s="88"/>
      <c r="L209" s="88"/>
      <c r="M209" s="88"/>
      <c r="N209" s="88"/>
      <c r="O209" s="88"/>
    </row>
    <row r="210" spans="1:15">
      <c r="A210" s="67"/>
      <c r="B210" s="67"/>
      <c r="C210" s="67"/>
      <c r="D210" s="67"/>
      <c r="E210" s="67"/>
      <c r="F210" s="88"/>
      <c r="G210" s="88"/>
      <c r="H210" s="88"/>
      <c r="I210" s="88"/>
      <c r="J210" s="88"/>
      <c r="K210" s="88"/>
      <c r="L210" s="88"/>
      <c r="M210" s="88"/>
      <c r="N210" s="88"/>
      <c r="O210" s="88"/>
    </row>
    <row r="211" spans="1:15">
      <c r="A211" s="67"/>
      <c r="B211" s="67"/>
      <c r="C211" s="67"/>
      <c r="D211" s="67"/>
      <c r="E211" s="67"/>
      <c r="F211" s="88"/>
      <c r="G211" s="88"/>
      <c r="H211" s="88"/>
      <c r="I211" s="88"/>
      <c r="J211" s="88"/>
      <c r="K211" s="88"/>
      <c r="L211" s="88"/>
      <c r="M211" s="88"/>
      <c r="N211" s="88"/>
      <c r="O211" s="88"/>
    </row>
    <row r="212" spans="1:15">
      <c r="A212" s="67"/>
      <c r="B212" s="67"/>
      <c r="C212" s="67"/>
      <c r="D212" s="67"/>
      <c r="E212" s="67"/>
      <c r="F212" s="88"/>
      <c r="G212" s="88"/>
      <c r="H212" s="88"/>
      <c r="I212" s="88"/>
      <c r="J212" s="88"/>
      <c r="K212" s="88"/>
      <c r="L212" s="88"/>
      <c r="M212" s="88"/>
      <c r="N212" s="88"/>
      <c r="O212" s="88"/>
    </row>
    <row r="213" spans="1:15">
      <c r="A213" s="67"/>
      <c r="B213" s="67"/>
      <c r="C213" s="67"/>
      <c r="D213" s="67"/>
      <c r="E213" s="67"/>
      <c r="F213" s="88"/>
      <c r="G213" s="88"/>
      <c r="H213" s="88"/>
      <c r="I213" s="88"/>
      <c r="J213" s="88"/>
      <c r="K213" s="88"/>
      <c r="L213" s="88"/>
      <c r="M213" s="88"/>
      <c r="N213" s="88"/>
      <c r="O213" s="88"/>
    </row>
    <row r="214" spans="1:15">
      <c r="A214" s="67"/>
      <c r="B214" s="67"/>
      <c r="C214" s="67"/>
      <c r="D214" s="67"/>
      <c r="E214" s="67"/>
      <c r="F214" s="88"/>
      <c r="G214" s="88"/>
      <c r="H214" s="88"/>
      <c r="I214" s="88"/>
      <c r="J214" s="88"/>
      <c r="K214" s="88"/>
      <c r="L214" s="88"/>
      <c r="M214" s="88"/>
      <c r="N214" s="88"/>
      <c r="O214" s="88"/>
    </row>
    <row r="215" spans="1:15">
      <c r="A215" s="67"/>
      <c r="B215" s="67"/>
      <c r="C215" s="67"/>
      <c r="D215" s="67"/>
      <c r="E215" s="67"/>
      <c r="F215" s="88"/>
      <c r="G215" s="88"/>
      <c r="H215" s="88"/>
      <c r="I215" s="88"/>
      <c r="J215" s="88"/>
      <c r="K215" s="88"/>
      <c r="L215" s="88"/>
      <c r="M215" s="88"/>
      <c r="N215" s="88"/>
      <c r="O215" s="88"/>
    </row>
    <row r="216" spans="1:15">
      <c r="A216" s="67"/>
      <c r="B216" s="67"/>
      <c r="C216" s="67"/>
      <c r="D216" s="67"/>
      <c r="E216" s="67"/>
      <c r="F216" s="88"/>
      <c r="G216" s="88"/>
      <c r="H216" s="88"/>
      <c r="I216" s="88"/>
      <c r="J216" s="88"/>
      <c r="K216" s="88"/>
      <c r="L216" s="88"/>
      <c r="M216" s="88"/>
      <c r="N216" s="88"/>
      <c r="O216" s="88"/>
    </row>
    <row r="217" spans="1:15">
      <c r="A217" s="67"/>
      <c r="B217" s="67"/>
      <c r="C217" s="67"/>
      <c r="D217" s="67"/>
      <c r="E217" s="67"/>
      <c r="F217" s="88"/>
      <c r="G217" s="88"/>
      <c r="H217" s="88"/>
      <c r="I217" s="88"/>
      <c r="J217" s="88"/>
      <c r="K217" s="88"/>
      <c r="L217" s="88"/>
      <c r="M217" s="88"/>
      <c r="N217" s="88"/>
      <c r="O217" s="88"/>
    </row>
    <row r="218" spans="1:15">
      <c r="A218" s="67"/>
      <c r="B218" s="67"/>
      <c r="C218" s="67"/>
      <c r="D218" s="67"/>
      <c r="E218" s="67"/>
      <c r="F218" s="88"/>
      <c r="G218" s="88"/>
      <c r="H218" s="88"/>
      <c r="I218" s="88"/>
      <c r="J218" s="88"/>
      <c r="K218" s="88"/>
      <c r="L218" s="88"/>
      <c r="M218" s="88"/>
      <c r="N218" s="88"/>
      <c r="O218" s="88"/>
    </row>
    <row r="219" spans="1:15">
      <c r="A219" s="67"/>
      <c r="B219" s="67"/>
      <c r="C219" s="67"/>
      <c r="D219" s="67"/>
      <c r="E219" s="67"/>
      <c r="F219" s="88"/>
      <c r="G219" s="88"/>
      <c r="H219" s="88"/>
      <c r="I219" s="88"/>
      <c r="J219" s="88"/>
      <c r="K219" s="88"/>
      <c r="L219" s="88"/>
      <c r="M219" s="88"/>
      <c r="N219" s="88"/>
      <c r="O219" s="88"/>
    </row>
    <row r="220" spans="1:15">
      <c r="A220" s="67"/>
      <c r="B220" s="67"/>
      <c r="C220" s="67"/>
      <c r="D220" s="67"/>
      <c r="E220" s="67"/>
      <c r="F220" s="88"/>
      <c r="G220" s="88"/>
      <c r="H220" s="88"/>
      <c r="I220" s="88"/>
      <c r="J220" s="88"/>
      <c r="K220" s="88"/>
      <c r="L220" s="88"/>
      <c r="M220" s="88"/>
      <c r="N220" s="88"/>
      <c r="O220" s="88"/>
    </row>
    <row r="221" spans="1:15">
      <c r="A221" s="67"/>
      <c r="B221" s="67"/>
      <c r="C221" s="67"/>
      <c r="D221" s="67"/>
      <c r="E221" s="67"/>
      <c r="F221" s="88"/>
      <c r="G221" s="88"/>
      <c r="H221" s="88"/>
      <c r="I221" s="88"/>
      <c r="J221" s="88"/>
      <c r="K221" s="88"/>
      <c r="L221" s="88"/>
      <c r="M221" s="88"/>
      <c r="N221" s="88"/>
      <c r="O221" s="88"/>
    </row>
    <row r="222" spans="1:15">
      <c r="A222" s="67"/>
      <c r="B222" s="67"/>
      <c r="C222" s="67"/>
      <c r="D222" s="67"/>
      <c r="E222" s="67"/>
      <c r="F222" s="88"/>
      <c r="G222" s="88"/>
      <c r="H222" s="88"/>
      <c r="I222" s="88"/>
      <c r="J222" s="88"/>
      <c r="K222" s="88"/>
      <c r="L222" s="88"/>
      <c r="M222" s="88"/>
      <c r="N222" s="88"/>
      <c r="O222" s="88"/>
    </row>
    <row r="223" spans="1:15">
      <c r="A223" s="67"/>
      <c r="B223" s="67"/>
      <c r="C223" s="67"/>
      <c r="D223" s="67"/>
      <c r="E223" s="67"/>
      <c r="F223" s="88"/>
      <c r="G223" s="88"/>
      <c r="H223" s="88"/>
      <c r="I223" s="88"/>
      <c r="J223" s="88"/>
      <c r="K223" s="88"/>
      <c r="L223" s="88"/>
      <c r="M223" s="88"/>
      <c r="N223" s="88"/>
      <c r="O223" s="88"/>
    </row>
    <row r="224" spans="1:15">
      <c r="A224" s="67"/>
      <c r="B224" s="67"/>
      <c r="C224" s="67"/>
      <c r="D224" s="67"/>
      <c r="E224" s="67"/>
      <c r="F224" s="88"/>
      <c r="G224" s="88"/>
      <c r="H224" s="88"/>
      <c r="I224" s="88"/>
      <c r="J224" s="88"/>
      <c r="K224" s="88"/>
      <c r="L224" s="88"/>
      <c r="M224" s="88"/>
      <c r="N224" s="88"/>
      <c r="O224" s="88"/>
    </row>
    <row r="225" spans="1:15">
      <c r="A225" s="67"/>
      <c r="B225" s="67"/>
      <c r="C225" s="67"/>
      <c r="D225" s="67"/>
      <c r="E225" s="67"/>
      <c r="F225" s="88"/>
      <c r="G225" s="88"/>
      <c r="H225" s="88"/>
      <c r="I225" s="88"/>
      <c r="J225" s="88"/>
      <c r="K225" s="88"/>
      <c r="L225" s="88"/>
      <c r="M225" s="88"/>
      <c r="N225" s="88"/>
      <c r="O225" s="88"/>
    </row>
    <row r="226" spans="1:15">
      <c r="A226" s="67"/>
      <c r="B226" s="67"/>
      <c r="C226" s="67"/>
      <c r="D226" s="67"/>
      <c r="E226" s="67"/>
      <c r="F226" s="88"/>
      <c r="G226" s="88"/>
      <c r="H226" s="88"/>
      <c r="I226" s="88"/>
      <c r="J226" s="88"/>
      <c r="K226" s="88"/>
      <c r="L226" s="88"/>
      <c r="M226" s="88"/>
      <c r="N226" s="88"/>
      <c r="O226" s="88"/>
    </row>
    <row r="227" spans="1:15">
      <c r="A227" s="67"/>
      <c r="B227" s="67"/>
      <c r="C227" s="67"/>
      <c r="D227" s="67"/>
      <c r="E227" s="67"/>
      <c r="F227" s="88"/>
      <c r="G227" s="88"/>
      <c r="H227" s="88"/>
      <c r="I227" s="88"/>
      <c r="J227" s="88"/>
      <c r="K227" s="88"/>
      <c r="L227" s="88"/>
      <c r="M227" s="88"/>
      <c r="N227" s="88"/>
      <c r="O227" s="88"/>
    </row>
    <row r="228" spans="1:15">
      <c r="A228" s="67"/>
      <c r="B228" s="67"/>
      <c r="C228" s="67"/>
      <c r="D228" s="67"/>
      <c r="E228" s="67"/>
      <c r="F228" s="88"/>
      <c r="G228" s="88"/>
      <c r="H228" s="88"/>
      <c r="I228" s="88"/>
      <c r="J228" s="88"/>
      <c r="K228" s="88"/>
      <c r="L228" s="88"/>
      <c r="M228" s="88"/>
      <c r="N228" s="88"/>
      <c r="O228" s="88"/>
    </row>
    <row r="229" spans="1:15">
      <c r="A229" s="67"/>
      <c r="B229" s="67"/>
      <c r="C229" s="67"/>
      <c r="D229" s="67"/>
      <c r="E229" s="67"/>
      <c r="F229" s="88"/>
      <c r="G229" s="88"/>
      <c r="H229" s="88"/>
      <c r="I229" s="88"/>
      <c r="J229" s="88"/>
      <c r="K229" s="88"/>
      <c r="L229" s="88"/>
      <c r="M229" s="88"/>
      <c r="N229" s="88"/>
      <c r="O229" s="88"/>
    </row>
    <row r="230" spans="1:15">
      <c r="A230" s="67"/>
      <c r="B230" s="67"/>
      <c r="C230" s="67"/>
      <c r="D230" s="67"/>
      <c r="E230" s="67"/>
      <c r="F230" s="88"/>
      <c r="G230" s="88"/>
      <c r="H230" s="88"/>
      <c r="I230" s="88"/>
      <c r="J230" s="88"/>
      <c r="K230" s="88"/>
      <c r="L230" s="88"/>
      <c r="M230" s="88"/>
      <c r="N230" s="88"/>
      <c r="O230" s="88"/>
    </row>
    <row r="231" spans="1:15">
      <c r="A231" s="67"/>
      <c r="B231" s="67"/>
      <c r="C231" s="67"/>
      <c r="D231" s="67"/>
      <c r="E231" s="67"/>
      <c r="F231" s="88"/>
      <c r="G231" s="88"/>
      <c r="H231" s="88"/>
      <c r="I231" s="88"/>
      <c r="J231" s="88"/>
      <c r="K231" s="88"/>
      <c r="L231" s="88"/>
      <c r="M231" s="88"/>
      <c r="N231" s="88"/>
      <c r="O231" s="88"/>
    </row>
    <row r="232" spans="1:15">
      <c r="A232" s="67"/>
      <c r="B232" s="67"/>
      <c r="C232" s="67"/>
      <c r="D232" s="67"/>
      <c r="E232" s="67"/>
      <c r="F232" s="88"/>
      <c r="G232" s="88"/>
      <c r="H232" s="88"/>
      <c r="I232" s="88"/>
      <c r="J232" s="88"/>
      <c r="K232" s="88"/>
      <c r="L232" s="88"/>
      <c r="M232" s="88"/>
      <c r="N232" s="88"/>
      <c r="O232" s="88"/>
    </row>
    <row r="233" spans="1:15">
      <c r="A233" s="67"/>
      <c r="B233" s="67"/>
      <c r="C233" s="67"/>
      <c r="D233" s="67"/>
      <c r="E233" s="67"/>
      <c r="F233" s="88"/>
      <c r="G233" s="88"/>
      <c r="H233" s="88"/>
      <c r="I233" s="88"/>
      <c r="J233" s="88"/>
      <c r="K233" s="88"/>
      <c r="L233" s="88"/>
      <c r="M233" s="88"/>
      <c r="N233" s="88"/>
      <c r="O233" s="88"/>
    </row>
    <row r="234" spans="1:15">
      <c r="A234" s="67"/>
      <c r="B234" s="67"/>
      <c r="C234" s="67"/>
      <c r="D234" s="67"/>
      <c r="E234" s="67"/>
      <c r="F234" s="88"/>
      <c r="G234" s="88"/>
      <c r="H234" s="88"/>
      <c r="I234" s="88"/>
      <c r="J234" s="88"/>
      <c r="K234" s="88"/>
      <c r="L234" s="88"/>
      <c r="M234" s="88"/>
      <c r="N234" s="88"/>
      <c r="O234" s="88"/>
    </row>
    <row r="235" spans="1:15">
      <c r="A235" s="67"/>
      <c r="B235" s="67"/>
      <c r="C235" s="67"/>
      <c r="D235" s="67"/>
      <c r="E235" s="67"/>
      <c r="F235" s="88"/>
      <c r="G235" s="88"/>
      <c r="H235" s="88"/>
      <c r="I235" s="88"/>
      <c r="J235" s="88"/>
      <c r="K235" s="88"/>
      <c r="L235" s="88"/>
      <c r="M235" s="88"/>
      <c r="N235" s="88"/>
      <c r="O235" s="88"/>
    </row>
    <row r="236" spans="1:15">
      <c r="A236" s="67"/>
      <c r="B236" s="67"/>
      <c r="C236" s="67"/>
      <c r="D236" s="67"/>
      <c r="E236" s="67"/>
      <c r="F236" s="88"/>
      <c r="G236" s="88"/>
      <c r="H236" s="88"/>
      <c r="I236" s="88"/>
      <c r="J236" s="88"/>
      <c r="K236" s="88"/>
      <c r="L236" s="88"/>
      <c r="M236" s="88"/>
      <c r="N236" s="88"/>
      <c r="O236" s="88"/>
    </row>
    <row r="237" spans="1:15">
      <c r="A237" s="67"/>
      <c r="B237" s="67"/>
      <c r="C237" s="67"/>
      <c r="D237" s="67"/>
      <c r="E237" s="67"/>
      <c r="F237" s="88"/>
      <c r="G237" s="88"/>
      <c r="H237" s="88"/>
      <c r="I237" s="88"/>
      <c r="J237" s="88"/>
      <c r="K237" s="88"/>
      <c r="L237" s="88"/>
      <c r="M237" s="88"/>
      <c r="N237" s="88"/>
      <c r="O237" s="88"/>
    </row>
    <row r="238" spans="1:15">
      <c r="A238" s="67"/>
      <c r="B238" s="67"/>
      <c r="C238" s="67"/>
      <c r="D238" s="67"/>
      <c r="E238" s="67"/>
      <c r="F238" s="88"/>
      <c r="G238" s="88"/>
      <c r="H238" s="88"/>
      <c r="I238" s="88"/>
      <c r="J238" s="88"/>
      <c r="K238" s="88"/>
      <c r="L238" s="88"/>
      <c r="M238" s="88"/>
      <c r="N238" s="88"/>
      <c r="O238" s="88"/>
    </row>
    <row r="239" spans="1:15">
      <c r="A239" s="67"/>
      <c r="B239" s="67"/>
      <c r="C239" s="67"/>
      <c r="D239" s="67"/>
      <c r="E239" s="67"/>
      <c r="F239" s="88"/>
      <c r="G239" s="88"/>
      <c r="H239" s="88"/>
      <c r="I239" s="88"/>
      <c r="J239" s="88"/>
      <c r="K239" s="88"/>
      <c r="L239" s="88"/>
      <c r="M239" s="88"/>
      <c r="N239" s="88"/>
      <c r="O239" s="88"/>
    </row>
    <row r="240" spans="1:15">
      <c r="A240" s="67"/>
      <c r="B240" s="67"/>
      <c r="C240" s="67"/>
      <c r="D240" s="67"/>
      <c r="E240" s="67"/>
      <c r="F240" s="88"/>
      <c r="G240" s="88"/>
      <c r="H240" s="88"/>
      <c r="I240" s="88"/>
      <c r="J240" s="88"/>
      <c r="K240" s="88"/>
      <c r="L240" s="88"/>
      <c r="M240" s="88"/>
      <c r="N240" s="88"/>
      <c r="O240" s="88"/>
    </row>
    <row r="241" spans="1:15">
      <c r="A241" s="67"/>
      <c r="B241" s="67"/>
      <c r="C241" s="67"/>
      <c r="D241" s="67"/>
      <c r="E241" s="67"/>
      <c r="F241" s="88"/>
      <c r="G241" s="88"/>
      <c r="H241" s="88"/>
      <c r="I241" s="88"/>
      <c r="J241" s="88"/>
      <c r="K241" s="88"/>
      <c r="L241" s="88"/>
      <c r="M241" s="88"/>
      <c r="N241" s="88"/>
      <c r="O241" s="88"/>
    </row>
    <row r="242" spans="1:15">
      <c r="A242" s="67"/>
      <c r="B242" s="67"/>
      <c r="C242" s="67"/>
      <c r="D242" s="67"/>
      <c r="E242" s="67"/>
      <c r="F242" s="88"/>
      <c r="G242" s="88"/>
      <c r="H242" s="88"/>
      <c r="I242" s="88"/>
      <c r="J242" s="88"/>
      <c r="K242" s="88"/>
      <c r="L242" s="88"/>
      <c r="M242" s="88"/>
      <c r="N242" s="88"/>
      <c r="O242" s="88"/>
    </row>
    <row r="243" spans="1:15">
      <c r="A243" s="67"/>
      <c r="B243" s="67"/>
      <c r="C243" s="67"/>
      <c r="D243" s="67"/>
      <c r="E243" s="67"/>
      <c r="F243" s="88"/>
      <c r="G243" s="88"/>
      <c r="H243" s="88"/>
      <c r="I243" s="88"/>
      <c r="J243" s="88"/>
      <c r="K243" s="88"/>
      <c r="L243" s="88"/>
      <c r="M243" s="88"/>
      <c r="N243" s="88"/>
      <c r="O243" s="88"/>
    </row>
    <row r="244" spans="1:15">
      <c r="A244" s="67"/>
      <c r="B244" s="67"/>
      <c r="C244" s="67"/>
      <c r="D244" s="67"/>
      <c r="E244" s="67"/>
      <c r="F244" s="88"/>
      <c r="G244" s="88"/>
      <c r="H244" s="88"/>
      <c r="I244" s="88"/>
      <c r="J244" s="88"/>
      <c r="K244" s="88"/>
      <c r="L244" s="88"/>
      <c r="M244" s="88"/>
      <c r="N244" s="88"/>
      <c r="O244" s="88"/>
    </row>
    <row r="245" spans="1:15">
      <c r="A245" s="67"/>
      <c r="B245" s="67"/>
      <c r="C245" s="67"/>
      <c r="D245" s="67"/>
      <c r="E245" s="67"/>
      <c r="F245" s="88"/>
      <c r="G245" s="88"/>
      <c r="H245" s="88"/>
      <c r="I245" s="88"/>
      <c r="J245" s="88"/>
      <c r="K245" s="88"/>
      <c r="L245" s="88"/>
      <c r="M245" s="88"/>
      <c r="N245" s="88"/>
      <c r="O245" s="88"/>
    </row>
    <row r="246" spans="1:15">
      <c r="A246" s="67"/>
      <c r="B246" s="67"/>
      <c r="C246" s="67"/>
      <c r="D246" s="67"/>
      <c r="E246" s="67"/>
      <c r="F246" s="88"/>
      <c r="G246" s="88"/>
      <c r="H246" s="88"/>
      <c r="I246" s="88"/>
      <c r="J246" s="88"/>
      <c r="K246" s="88"/>
      <c r="L246" s="88"/>
      <c r="M246" s="88"/>
      <c r="N246" s="88"/>
      <c r="O246" s="88"/>
    </row>
    <row r="247" spans="1:15">
      <c r="A247" s="67"/>
      <c r="B247" s="67"/>
      <c r="C247" s="67"/>
      <c r="D247" s="67"/>
      <c r="E247" s="67"/>
      <c r="F247" s="88"/>
      <c r="G247" s="88"/>
      <c r="H247" s="88"/>
      <c r="I247" s="88"/>
      <c r="J247" s="88"/>
      <c r="K247" s="88"/>
      <c r="L247" s="88"/>
      <c r="M247" s="88"/>
      <c r="N247" s="88"/>
      <c r="O247" s="88"/>
    </row>
    <row r="248" spans="1:15">
      <c r="A248" s="67"/>
      <c r="B248" s="67"/>
      <c r="C248" s="67"/>
      <c r="D248" s="67"/>
      <c r="E248" s="67"/>
      <c r="F248" s="88"/>
      <c r="G248" s="88"/>
      <c r="H248" s="88"/>
      <c r="I248" s="88"/>
      <c r="J248" s="88"/>
      <c r="K248" s="88"/>
      <c r="L248" s="88"/>
      <c r="M248" s="88"/>
      <c r="N248" s="88"/>
      <c r="O248" s="88"/>
    </row>
    <row r="249" spans="1:15">
      <c r="A249" s="67"/>
      <c r="B249" s="67"/>
      <c r="C249" s="67"/>
      <c r="D249" s="67"/>
      <c r="E249" s="67"/>
      <c r="F249" s="88"/>
      <c r="G249" s="88"/>
      <c r="H249" s="88"/>
      <c r="I249" s="88"/>
      <c r="J249" s="88"/>
      <c r="K249" s="88"/>
      <c r="L249" s="88"/>
      <c r="M249" s="88"/>
      <c r="N249" s="88"/>
      <c r="O249" s="88"/>
    </row>
    <row r="250" spans="1:15">
      <c r="A250" s="67"/>
      <c r="B250" s="67"/>
      <c r="C250" s="67"/>
      <c r="D250" s="67"/>
      <c r="E250" s="67"/>
      <c r="F250" s="88"/>
      <c r="G250" s="88"/>
      <c r="H250" s="88"/>
      <c r="I250" s="88"/>
      <c r="J250" s="88"/>
      <c r="K250" s="88"/>
      <c r="L250" s="88"/>
      <c r="M250" s="88"/>
      <c r="N250" s="88"/>
      <c r="O250" s="88"/>
    </row>
    <row r="251" spans="1:15">
      <c r="A251" s="67"/>
      <c r="B251" s="67"/>
      <c r="C251" s="67"/>
      <c r="D251" s="67"/>
      <c r="E251" s="67"/>
      <c r="F251" s="88"/>
      <c r="G251" s="88"/>
      <c r="H251" s="88"/>
      <c r="I251" s="88"/>
      <c r="J251" s="88"/>
      <c r="K251" s="88"/>
      <c r="L251" s="88"/>
      <c r="M251" s="88"/>
      <c r="N251" s="88"/>
      <c r="O251" s="88"/>
    </row>
    <row r="252" spans="1:15">
      <c r="A252" s="67"/>
      <c r="B252" s="67"/>
      <c r="C252" s="67"/>
      <c r="D252" s="67"/>
      <c r="E252" s="67"/>
      <c r="F252" s="88"/>
      <c r="G252" s="88"/>
      <c r="H252" s="88"/>
      <c r="I252" s="88"/>
      <c r="J252" s="88"/>
      <c r="K252" s="88"/>
      <c r="L252" s="88"/>
      <c r="M252" s="88"/>
      <c r="N252" s="88"/>
      <c r="O252" s="88"/>
    </row>
    <row r="253" spans="1:15">
      <c r="A253" s="67"/>
      <c r="B253" s="67"/>
      <c r="C253" s="67"/>
      <c r="D253" s="67"/>
      <c r="E253" s="67"/>
      <c r="F253" s="88"/>
      <c r="G253" s="88"/>
      <c r="H253" s="88"/>
      <c r="I253" s="88"/>
      <c r="J253" s="88"/>
      <c r="K253" s="88"/>
      <c r="L253" s="88"/>
      <c r="M253" s="88"/>
      <c r="N253" s="88"/>
      <c r="O253" s="88"/>
    </row>
    <row r="254" spans="1:15">
      <c r="A254" s="67"/>
      <c r="B254" s="67"/>
      <c r="C254" s="67"/>
      <c r="D254" s="67"/>
      <c r="E254" s="67"/>
      <c r="F254" s="88"/>
      <c r="G254" s="88"/>
      <c r="H254" s="88"/>
      <c r="I254" s="88"/>
      <c r="J254" s="88"/>
      <c r="K254" s="88"/>
      <c r="L254" s="88"/>
      <c r="M254" s="88"/>
      <c r="N254" s="88"/>
      <c r="O254" s="88"/>
    </row>
    <row r="255" spans="1:15">
      <c r="A255" s="67"/>
      <c r="B255" s="67"/>
      <c r="C255" s="67"/>
      <c r="D255" s="67"/>
      <c r="E255" s="67"/>
      <c r="F255" s="88"/>
      <c r="G255" s="88"/>
      <c r="H255" s="88"/>
      <c r="I255" s="88"/>
      <c r="J255" s="88"/>
      <c r="K255" s="88"/>
      <c r="L255" s="88"/>
      <c r="M255" s="88"/>
      <c r="N255" s="88"/>
      <c r="O255" s="88"/>
    </row>
    <row r="256" spans="1:15">
      <c r="A256" s="67"/>
      <c r="B256" s="67"/>
      <c r="C256" s="67"/>
      <c r="D256" s="67"/>
      <c r="E256" s="67"/>
      <c r="F256" s="88"/>
      <c r="G256" s="88"/>
      <c r="H256" s="88"/>
      <c r="I256" s="88"/>
      <c r="J256" s="88"/>
      <c r="K256" s="88"/>
      <c r="L256" s="88"/>
      <c r="M256" s="88"/>
      <c r="N256" s="88"/>
      <c r="O256" s="88"/>
    </row>
    <row r="257" spans="1:15">
      <c r="A257" s="67"/>
      <c r="B257" s="67"/>
      <c r="C257" s="67"/>
      <c r="D257" s="67"/>
      <c r="E257" s="67"/>
      <c r="F257" s="88"/>
      <c r="G257" s="88"/>
      <c r="H257" s="88"/>
      <c r="I257" s="88"/>
      <c r="J257" s="88"/>
      <c r="K257" s="88"/>
      <c r="L257" s="88"/>
      <c r="M257" s="88"/>
      <c r="N257" s="88"/>
      <c r="O257" s="88"/>
    </row>
    <row r="258" spans="1:15">
      <c r="A258" s="67"/>
      <c r="B258" s="67"/>
      <c r="C258" s="67"/>
      <c r="D258" s="67"/>
      <c r="E258" s="67"/>
      <c r="F258" s="88"/>
      <c r="G258" s="88"/>
      <c r="H258" s="88"/>
      <c r="I258" s="88"/>
      <c r="J258" s="88"/>
      <c r="K258" s="88"/>
      <c r="L258" s="88"/>
      <c r="M258" s="88"/>
      <c r="N258" s="88"/>
      <c r="O258" s="88"/>
    </row>
    <row r="259" spans="1:15">
      <c r="A259" s="67"/>
      <c r="B259" s="67"/>
      <c r="C259" s="67"/>
      <c r="D259" s="67"/>
      <c r="E259" s="67"/>
      <c r="F259" s="88"/>
      <c r="G259" s="88"/>
      <c r="H259" s="88"/>
      <c r="I259" s="88"/>
      <c r="J259" s="88"/>
      <c r="K259" s="88"/>
      <c r="L259" s="88"/>
      <c r="M259" s="88"/>
      <c r="N259" s="88"/>
      <c r="O259" s="88"/>
    </row>
    <row r="260" spans="1:15">
      <c r="A260" s="67"/>
      <c r="B260" s="67"/>
      <c r="C260" s="67"/>
      <c r="D260" s="67"/>
      <c r="E260" s="67"/>
      <c r="F260" s="88"/>
      <c r="G260" s="88"/>
      <c r="H260" s="88"/>
      <c r="I260" s="88"/>
      <c r="J260" s="88"/>
      <c r="K260" s="88"/>
      <c r="L260" s="88"/>
      <c r="M260" s="88"/>
      <c r="N260" s="88"/>
      <c r="O260" s="88"/>
    </row>
    <row r="261" spans="1:15">
      <c r="A261" s="67"/>
      <c r="B261" s="67"/>
      <c r="C261" s="67"/>
      <c r="D261" s="67"/>
      <c r="E261" s="67"/>
      <c r="F261" s="88"/>
      <c r="G261" s="88"/>
      <c r="H261" s="88"/>
      <c r="I261" s="88"/>
      <c r="J261" s="88"/>
      <c r="K261" s="88"/>
      <c r="L261" s="88"/>
      <c r="M261" s="88"/>
      <c r="N261" s="88"/>
      <c r="O261" s="88"/>
    </row>
    <row r="262" spans="1:15">
      <c r="A262" s="67"/>
      <c r="B262" s="67"/>
      <c r="C262" s="67"/>
      <c r="D262" s="67"/>
      <c r="E262" s="67"/>
      <c r="F262" s="88"/>
      <c r="G262" s="88"/>
      <c r="H262" s="88"/>
      <c r="I262" s="88"/>
      <c r="J262" s="88"/>
      <c r="K262" s="88"/>
      <c r="L262" s="88"/>
      <c r="M262" s="88"/>
      <c r="N262" s="88"/>
      <c r="O262" s="88"/>
    </row>
    <row r="263" spans="1:15">
      <c r="A263" s="67"/>
      <c r="B263" s="67"/>
      <c r="C263" s="67"/>
      <c r="D263" s="67"/>
      <c r="E263" s="67"/>
      <c r="F263" s="88"/>
      <c r="G263" s="88"/>
      <c r="H263" s="88"/>
      <c r="I263" s="88"/>
      <c r="J263" s="88"/>
      <c r="K263" s="88"/>
      <c r="L263" s="88"/>
      <c r="M263" s="88"/>
      <c r="N263" s="88"/>
      <c r="O263" s="88"/>
    </row>
    <row r="264" spans="1:15">
      <c r="A264" s="67"/>
      <c r="B264" s="67"/>
      <c r="C264" s="67"/>
      <c r="D264" s="67"/>
      <c r="E264" s="67"/>
      <c r="F264" s="88"/>
      <c r="G264" s="88"/>
      <c r="H264" s="88"/>
      <c r="I264" s="88"/>
      <c r="J264" s="88"/>
      <c r="K264" s="88"/>
      <c r="L264" s="88"/>
      <c r="M264" s="88"/>
      <c r="N264" s="88"/>
      <c r="O264" s="88"/>
    </row>
    <row r="265" spans="1:15">
      <c r="A265" s="67"/>
      <c r="B265" s="67"/>
      <c r="C265" s="67"/>
      <c r="D265" s="67"/>
      <c r="E265" s="67"/>
      <c r="F265" s="88"/>
      <c r="G265" s="88"/>
      <c r="H265" s="88"/>
      <c r="I265" s="88"/>
      <c r="J265" s="88"/>
      <c r="K265" s="88"/>
      <c r="L265" s="88"/>
      <c r="M265" s="88"/>
      <c r="N265" s="88"/>
      <c r="O265" s="88"/>
    </row>
    <row r="266" spans="1:15">
      <c r="A266" s="67"/>
      <c r="B266" s="67"/>
      <c r="C266" s="67"/>
      <c r="D266" s="67"/>
      <c r="E266" s="67"/>
      <c r="F266" s="88"/>
      <c r="G266" s="88"/>
      <c r="H266" s="88"/>
      <c r="I266" s="88"/>
      <c r="J266" s="88"/>
      <c r="K266" s="88"/>
      <c r="L266" s="88"/>
      <c r="M266" s="88"/>
      <c r="N266" s="88"/>
      <c r="O266" s="88"/>
    </row>
    <row r="267" spans="1:15">
      <c r="A267" s="67"/>
      <c r="B267" s="67"/>
      <c r="C267" s="67"/>
      <c r="D267" s="67"/>
      <c r="E267" s="67"/>
      <c r="F267" s="88"/>
      <c r="G267" s="88"/>
      <c r="H267" s="88"/>
      <c r="I267" s="88"/>
      <c r="J267" s="88"/>
      <c r="K267" s="88"/>
      <c r="L267" s="88"/>
      <c r="M267" s="88"/>
      <c r="N267" s="88"/>
      <c r="O267" s="88"/>
    </row>
    <row r="268" spans="1:15">
      <c r="A268" s="67"/>
      <c r="B268" s="67"/>
      <c r="C268" s="67"/>
      <c r="D268" s="67"/>
      <c r="E268" s="67"/>
      <c r="F268" s="88"/>
      <c r="G268" s="88"/>
      <c r="H268" s="88"/>
      <c r="I268" s="88"/>
      <c r="J268" s="88"/>
      <c r="K268" s="88"/>
      <c r="L268" s="88"/>
      <c r="M268" s="88"/>
      <c r="N268" s="88"/>
      <c r="O268" s="88"/>
    </row>
    <row r="269" spans="1:15">
      <c r="A269" s="67"/>
      <c r="B269" s="67"/>
      <c r="C269" s="67"/>
      <c r="D269" s="67"/>
      <c r="E269" s="67"/>
      <c r="F269" s="88"/>
      <c r="G269" s="88"/>
      <c r="H269" s="88"/>
      <c r="I269" s="88"/>
      <c r="J269" s="88"/>
      <c r="K269" s="88"/>
      <c r="L269" s="88"/>
      <c r="M269" s="88"/>
      <c r="N269" s="88"/>
      <c r="O269" s="88"/>
    </row>
    <row r="270" spans="1:15">
      <c r="A270" s="67"/>
      <c r="B270" s="67"/>
      <c r="C270" s="67"/>
      <c r="D270" s="67"/>
      <c r="E270" s="67"/>
      <c r="F270" s="88"/>
      <c r="G270" s="88"/>
      <c r="H270" s="88"/>
      <c r="I270" s="88"/>
      <c r="J270" s="88"/>
      <c r="K270" s="88"/>
      <c r="L270" s="88"/>
      <c r="M270" s="88"/>
      <c r="N270" s="88"/>
      <c r="O270" s="88"/>
    </row>
    <row r="271" spans="1:15">
      <c r="A271" s="67"/>
      <c r="B271" s="67"/>
      <c r="C271" s="67"/>
      <c r="D271" s="67"/>
      <c r="E271" s="67"/>
      <c r="F271" s="88"/>
      <c r="G271" s="88"/>
      <c r="H271" s="88"/>
      <c r="I271" s="88"/>
      <c r="J271" s="88"/>
      <c r="K271" s="88"/>
      <c r="L271" s="88"/>
      <c r="M271" s="88"/>
      <c r="N271" s="88"/>
      <c r="O271" s="88"/>
    </row>
    <row r="272" spans="1:15">
      <c r="A272" s="67"/>
      <c r="B272" s="67"/>
      <c r="C272" s="67"/>
      <c r="D272" s="67"/>
      <c r="E272" s="67"/>
      <c r="F272" s="88"/>
      <c r="G272" s="88"/>
      <c r="H272" s="88"/>
      <c r="I272" s="88"/>
      <c r="J272" s="88"/>
      <c r="K272" s="88"/>
      <c r="L272" s="88"/>
      <c r="M272" s="88"/>
      <c r="N272" s="88"/>
      <c r="O272" s="88"/>
    </row>
    <row r="273" spans="1:15">
      <c r="A273" s="67"/>
      <c r="B273" s="67"/>
      <c r="C273" s="67"/>
      <c r="D273" s="67"/>
      <c r="E273" s="67"/>
      <c r="F273" s="88"/>
      <c r="G273" s="88"/>
      <c r="H273" s="88"/>
      <c r="I273" s="88"/>
      <c r="J273" s="88"/>
      <c r="K273" s="88"/>
      <c r="L273" s="88"/>
      <c r="M273" s="88"/>
      <c r="N273" s="88"/>
      <c r="O273" s="88"/>
    </row>
    <row r="274" spans="1:15">
      <c r="A274" s="67"/>
      <c r="B274" s="67"/>
      <c r="C274" s="67"/>
      <c r="D274" s="67"/>
      <c r="E274" s="67"/>
      <c r="F274" s="88"/>
      <c r="G274" s="88"/>
      <c r="H274" s="88"/>
      <c r="I274" s="88"/>
      <c r="J274" s="88"/>
      <c r="K274" s="88"/>
      <c r="L274" s="88"/>
      <c r="M274" s="88"/>
      <c r="N274" s="88"/>
      <c r="O274" s="88"/>
    </row>
    <row r="275" spans="1:15">
      <c r="A275" s="67"/>
      <c r="B275" s="67"/>
      <c r="C275" s="67"/>
      <c r="D275" s="67"/>
      <c r="E275" s="67"/>
      <c r="F275" s="88"/>
      <c r="G275" s="88"/>
      <c r="H275" s="88"/>
      <c r="I275" s="88"/>
      <c r="J275" s="88"/>
      <c r="K275" s="88"/>
      <c r="L275" s="88"/>
      <c r="M275" s="88"/>
      <c r="N275" s="88"/>
      <c r="O275" s="88"/>
    </row>
    <row r="276" spans="1:15">
      <c r="A276" s="67"/>
      <c r="B276" s="67"/>
      <c r="C276" s="67"/>
      <c r="D276" s="67"/>
      <c r="E276" s="67"/>
      <c r="F276" s="88"/>
      <c r="G276" s="88"/>
      <c r="H276" s="88"/>
      <c r="I276" s="88"/>
      <c r="J276" s="88"/>
      <c r="K276" s="88"/>
      <c r="L276" s="88"/>
      <c r="M276" s="88"/>
      <c r="N276" s="88"/>
      <c r="O276" s="88"/>
    </row>
    <row r="277" spans="1:15">
      <c r="A277" s="67"/>
      <c r="B277" s="67"/>
      <c r="C277" s="67"/>
      <c r="D277" s="67"/>
      <c r="E277" s="67"/>
      <c r="F277" s="88"/>
      <c r="G277" s="88"/>
      <c r="H277" s="88"/>
      <c r="I277" s="88"/>
      <c r="J277" s="88"/>
      <c r="K277" s="88"/>
      <c r="L277" s="88"/>
      <c r="M277" s="88"/>
      <c r="N277" s="88"/>
      <c r="O277" s="88"/>
    </row>
    <row r="278" spans="1:15">
      <c r="A278" s="67"/>
      <c r="B278" s="67"/>
      <c r="C278" s="67"/>
      <c r="D278" s="67"/>
      <c r="E278" s="67"/>
      <c r="F278" s="88"/>
      <c r="G278" s="88"/>
      <c r="H278" s="88"/>
      <c r="I278" s="88"/>
      <c r="J278" s="88"/>
      <c r="K278" s="88"/>
      <c r="L278" s="88"/>
      <c r="M278" s="88"/>
      <c r="N278" s="88"/>
      <c r="O278" s="88"/>
    </row>
    <row r="279" spans="1:15">
      <c r="A279" s="67"/>
      <c r="B279" s="67"/>
      <c r="C279" s="67"/>
      <c r="D279" s="67"/>
      <c r="E279" s="67"/>
      <c r="F279" s="88"/>
      <c r="G279" s="88"/>
      <c r="H279" s="88"/>
      <c r="I279" s="88"/>
      <c r="J279" s="88"/>
      <c r="K279" s="88"/>
      <c r="L279" s="88"/>
      <c r="M279" s="88"/>
      <c r="N279" s="88"/>
      <c r="O279" s="88"/>
    </row>
    <row r="280" spans="1:15">
      <c r="A280" s="67"/>
      <c r="B280" s="67"/>
      <c r="C280" s="67"/>
      <c r="D280" s="67"/>
      <c r="E280" s="67"/>
      <c r="F280" s="88"/>
      <c r="G280" s="88"/>
      <c r="H280" s="88"/>
      <c r="I280" s="88"/>
      <c r="J280" s="88"/>
      <c r="K280" s="88"/>
      <c r="L280" s="88"/>
      <c r="M280" s="88"/>
      <c r="N280" s="88"/>
      <c r="O280" s="88"/>
    </row>
    <row r="281" spans="1:15">
      <c r="A281" s="67"/>
      <c r="B281" s="67"/>
      <c r="C281" s="67"/>
      <c r="D281" s="67"/>
      <c r="E281" s="67"/>
      <c r="F281" s="88"/>
      <c r="G281" s="88"/>
      <c r="H281" s="88"/>
      <c r="I281" s="88"/>
      <c r="J281" s="88"/>
      <c r="K281" s="88"/>
      <c r="L281" s="88"/>
      <c r="M281" s="88"/>
      <c r="N281" s="88"/>
      <c r="O281" s="88"/>
    </row>
    <row r="282" spans="1:15">
      <c r="A282" s="67"/>
      <c r="B282" s="67"/>
      <c r="C282" s="67"/>
      <c r="D282" s="67"/>
      <c r="E282" s="67"/>
      <c r="F282" s="88"/>
      <c r="G282" s="88"/>
      <c r="H282" s="88"/>
      <c r="I282" s="88"/>
      <c r="J282" s="88"/>
      <c r="K282" s="88"/>
      <c r="L282" s="88"/>
      <c r="M282" s="88"/>
      <c r="N282" s="88"/>
      <c r="O282" s="88"/>
    </row>
    <row r="283" spans="1:15">
      <c r="A283" s="67"/>
      <c r="B283" s="67"/>
      <c r="C283" s="67"/>
      <c r="D283" s="67"/>
      <c r="E283" s="67"/>
      <c r="F283" s="88"/>
      <c r="G283" s="88"/>
      <c r="H283" s="88"/>
      <c r="I283" s="88"/>
      <c r="J283" s="88"/>
      <c r="K283" s="88"/>
      <c r="L283" s="88"/>
      <c r="M283" s="88"/>
      <c r="N283" s="88"/>
      <c r="O283" s="88"/>
    </row>
    <row r="284" spans="1:15">
      <c r="A284" s="67"/>
      <c r="B284" s="67"/>
      <c r="C284" s="67"/>
      <c r="D284" s="67"/>
      <c r="E284" s="67"/>
      <c r="F284" s="88"/>
      <c r="G284" s="88"/>
      <c r="H284" s="88"/>
      <c r="I284" s="88"/>
      <c r="J284" s="88"/>
      <c r="K284" s="88"/>
      <c r="L284" s="88"/>
      <c r="M284" s="88"/>
      <c r="N284" s="88"/>
      <c r="O284" s="88"/>
    </row>
    <row r="285" spans="1:15">
      <c r="A285" s="67"/>
      <c r="B285" s="67"/>
      <c r="C285" s="67"/>
      <c r="D285" s="67"/>
      <c r="E285" s="67"/>
      <c r="F285" s="88"/>
      <c r="G285" s="88"/>
      <c r="H285" s="88"/>
      <c r="I285" s="88"/>
      <c r="J285" s="88"/>
      <c r="K285" s="88"/>
      <c r="L285" s="88"/>
      <c r="M285" s="88"/>
      <c r="N285" s="88"/>
      <c r="O285" s="88"/>
    </row>
    <row r="286" spans="1:15">
      <c r="A286" s="67"/>
      <c r="B286" s="67"/>
      <c r="C286" s="67"/>
      <c r="D286" s="67"/>
      <c r="E286" s="67"/>
      <c r="F286" s="88"/>
      <c r="G286" s="88"/>
      <c r="H286" s="88"/>
      <c r="I286" s="88"/>
      <c r="J286" s="88"/>
      <c r="K286" s="88"/>
      <c r="L286" s="88"/>
      <c r="M286" s="88"/>
      <c r="N286" s="88"/>
      <c r="O286" s="88"/>
    </row>
    <row r="287" spans="1:15">
      <c r="A287" s="67"/>
      <c r="B287" s="67"/>
      <c r="C287" s="67"/>
      <c r="D287" s="67"/>
      <c r="E287" s="67"/>
      <c r="F287" s="88"/>
      <c r="G287" s="88"/>
      <c r="H287" s="88"/>
      <c r="I287" s="88"/>
      <c r="J287" s="88"/>
      <c r="K287" s="88"/>
      <c r="L287" s="88"/>
      <c r="M287" s="88"/>
      <c r="N287" s="88"/>
      <c r="O287" s="88"/>
    </row>
    <row r="288" spans="1:15">
      <c r="A288" s="67"/>
      <c r="B288" s="67"/>
      <c r="C288" s="67"/>
      <c r="D288" s="67"/>
      <c r="E288" s="67"/>
      <c r="F288" s="88"/>
      <c r="G288" s="88"/>
      <c r="H288" s="88"/>
      <c r="I288" s="88"/>
      <c r="J288" s="88"/>
      <c r="K288" s="88"/>
      <c r="L288" s="88"/>
      <c r="M288" s="88"/>
      <c r="N288" s="88"/>
      <c r="O288" s="88"/>
    </row>
    <row r="289" spans="1:15">
      <c r="A289" s="67"/>
      <c r="B289" s="67"/>
      <c r="C289" s="67"/>
      <c r="D289" s="67"/>
      <c r="E289" s="67"/>
      <c r="F289" s="88"/>
      <c r="G289" s="88"/>
      <c r="H289" s="88"/>
      <c r="I289" s="88"/>
      <c r="J289" s="88"/>
      <c r="K289" s="88"/>
      <c r="L289" s="88"/>
      <c r="M289" s="88"/>
      <c r="N289" s="88"/>
      <c r="O289" s="88"/>
    </row>
    <row r="290" spans="1:15">
      <c r="A290" s="67"/>
      <c r="B290" s="67"/>
      <c r="C290" s="67"/>
      <c r="D290" s="67"/>
      <c r="E290" s="67"/>
      <c r="F290" s="88"/>
      <c r="G290" s="88"/>
      <c r="H290" s="88"/>
      <c r="I290" s="88"/>
      <c r="J290" s="88"/>
      <c r="K290" s="88"/>
      <c r="L290" s="88"/>
      <c r="M290" s="88"/>
      <c r="N290" s="88"/>
      <c r="O290" s="88"/>
    </row>
    <row r="291" spans="1:15">
      <c r="A291" s="67"/>
      <c r="B291" s="67"/>
      <c r="C291" s="67"/>
      <c r="D291" s="67"/>
      <c r="E291" s="67"/>
      <c r="F291" s="88"/>
      <c r="G291" s="88"/>
      <c r="H291" s="88"/>
      <c r="I291" s="88"/>
      <c r="J291" s="88"/>
      <c r="K291" s="88"/>
      <c r="L291" s="88"/>
      <c r="M291" s="88"/>
      <c r="N291" s="88"/>
      <c r="O291" s="88"/>
    </row>
    <row r="292" spans="1:15">
      <c r="A292" s="67"/>
      <c r="B292" s="67"/>
      <c r="C292" s="67"/>
      <c r="D292" s="67"/>
      <c r="E292" s="67"/>
      <c r="F292" s="88"/>
      <c r="G292" s="88"/>
      <c r="H292" s="88"/>
      <c r="I292" s="88"/>
      <c r="J292" s="88"/>
      <c r="K292" s="88"/>
      <c r="L292" s="88"/>
      <c r="M292" s="88"/>
      <c r="N292" s="88"/>
      <c r="O292" s="88"/>
    </row>
    <row r="293" spans="1:15">
      <c r="A293" s="67"/>
      <c r="B293" s="67"/>
      <c r="C293" s="67"/>
      <c r="D293" s="67"/>
      <c r="E293" s="67"/>
      <c r="F293" s="88"/>
      <c r="G293" s="88"/>
      <c r="H293" s="88"/>
      <c r="I293" s="88"/>
      <c r="J293" s="88"/>
      <c r="K293" s="88"/>
      <c r="L293" s="88"/>
      <c r="M293" s="88"/>
      <c r="N293" s="88"/>
      <c r="O293" s="88"/>
    </row>
    <row r="294" spans="1:15">
      <c r="A294" s="67"/>
      <c r="B294" s="67"/>
      <c r="C294" s="67"/>
      <c r="D294" s="67"/>
      <c r="E294" s="67"/>
      <c r="F294" s="88"/>
      <c r="G294" s="88"/>
      <c r="H294" s="88"/>
      <c r="I294" s="88"/>
      <c r="J294" s="88"/>
      <c r="K294" s="88"/>
      <c r="L294" s="88"/>
      <c r="M294" s="88"/>
      <c r="N294" s="88"/>
      <c r="O294" s="88"/>
    </row>
    <row r="295" spans="1:15">
      <c r="A295" s="67"/>
      <c r="B295" s="67"/>
      <c r="C295" s="67"/>
      <c r="D295" s="67"/>
      <c r="E295" s="67"/>
      <c r="F295" s="88"/>
      <c r="G295" s="88"/>
      <c r="H295" s="88"/>
      <c r="I295" s="88"/>
      <c r="J295" s="88"/>
      <c r="K295" s="88"/>
      <c r="L295" s="88"/>
      <c r="M295" s="88"/>
      <c r="N295" s="88"/>
      <c r="O295" s="88"/>
    </row>
    <row r="296" spans="1:15">
      <c r="A296" s="67"/>
      <c r="B296" s="67"/>
      <c r="C296" s="67"/>
      <c r="D296" s="67"/>
      <c r="E296" s="67"/>
      <c r="F296" s="88"/>
      <c r="G296" s="88"/>
      <c r="H296" s="88"/>
      <c r="I296" s="88"/>
      <c r="J296" s="88"/>
      <c r="K296" s="88"/>
      <c r="L296" s="88"/>
      <c r="M296" s="88"/>
      <c r="N296" s="88"/>
      <c r="O296" s="88"/>
    </row>
    <row r="297" spans="1:15">
      <c r="A297" s="67"/>
      <c r="B297" s="67"/>
      <c r="C297" s="67"/>
      <c r="D297" s="67"/>
      <c r="E297" s="67"/>
      <c r="F297" s="88"/>
      <c r="G297" s="88"/>
      <c r="H297" s="88"/>
      <c r="I297" s="88"/>
      <c r="J297" s="88"/>
      <c r="K297" s="88"/>
      <c r="L297" s="88"/>
      <c r="M297" s="88"/>
      <c r="N297" s="88"/>
      <c r="O297" s="88"/>
    </row>
    <row r="298" spans="1:15">
      <c r="A298" s="67"/>
      <c r="B298" s="67"/>
      <c r="C298" s="67"/>
      <c r="D298" s="67"/>
      <c r="E298" s="67"/>
      <c r="F298" s="88"/>
      <c r="G298" s="88"/>
      <c r="H298" s="88"/>
      <c r="I298" s="88"/>
      <c r="J298" s="88"/>
      <c r="K298" s="88"/>
      <c r="L298" s="88"/>
      <c r="M298" s="88"/>
      <c r="N298" s="88"/>
      <c r="O298" s="88"/>
    </row>
    <row r="299" spans="1:15">
      <c r="A299" s="67"/>
      <c r="B299" s="67"/>
      <c r="C299" s="67"/>
      <c r="D299" s="67"/>
      <c r="E299" s="67"/>
      <c r="F299" s="88"/>
      <c r="G299" s="88"/>
      <c r="H299" s="88"/>
      <c r="I299" s="88"/>
      <c r="J299" s="88"/>
      <c r="K299" s="88"/>
      <c r="L299" s="88"/>
      <c r="M299" s="88"/>
      <c r="N299" s="88"/>
      <c r="O299" s="88"/>
    </row>
    <row r="300" spans="1:15">
      <c r="A300" s="67"/>
      <c r="B300" s="67"/>
      <c r="C300" s="67"/>
      <c r="D300" s="67"/>
      <c r="E300" s="67"/>
      <c r="F300" s="88"/>
      <c r="G300" s="88"/>
      <c r="H300" s="88"/>
      <c r="I300" s="88"/>
      <c r="J300" s="88"/>
      <c r="K300" s="88"/>
      <c r="L300" s="88"/>
      <c r="M300" s="88"/>
      <c r="N300" s="88"/>
      <c r="O300" s="88"/>
    </row>
    <row r="301" spans="1:15">
      <c r="A301" s="67"/>
      <c r="B301" s="67"/>
      <c r="C301" s="67"/>
      <c r="D301" s="67"/>
      <c r="E301" s="67"/>
      <c r="F301" s="88"/>
      <c r="G301" s="88"/>
      <c r="H301" s="88"/>
      <c r="I301" s="88"/>
      <c r="J301" s="88"/>
      <c r="K301" s="88"/>
      <c r="L301" s="88"/>
      <c r="M301" s="88"/>
      <c r="N301" s="88"/>
      <c r="O301" s="88"/>
    </row>
    <row r="302" spans="1:15">
      <c r="A302" s="67"/>
      <c r="B302" s="67"/>
      <c r="C302" s="67"/>
      <c r="D302" s="67"/>
      <c r="E302" s="67"/>
      <c r="F302" s="88"/>
      <c r="G302" s="88"/>
      <c r="H302" s="88"/>
      <c r="I302" s="88"/>
      <c r="J302" s="88"/>
      <c r="K302" s="88"/>
      <c r="L302" s="88"/>
      <c r="M302" s="88"/>
      <c r="N302" s="88"/>
      <c r="O302" s="88"/>
    </row>
    <row r="303" spans="1:15">
      <c r="A303" s="67"/>
      <c r="B303" s="67"/>
      <c r="C303" s="67"/>
      <c r="D303" s="67"/>
      <c r="E303" s="67"/>
      <c r="F303" s="88"/>
      <c r="G303" s="88"/>
      <c r="H303" s="88"/>
      <c r="I303" s="88"/>
      <c r="J303" s="88"/>
      <c r="K303" s="88"/>
      <c r="L303" s="88"/>
      <c r="M303" s="88"/>
      <c r="N303" s="88"/>
      <c r="O303" s="88"/>
    </row>
    <row r="304" spans="1:15">
      <c r="A304" s="67"/>
      <c r="B304" s="67"/>
      <c r="C304" s="67"/>
      <c r="D304" s="67"/>
      <c r="E304" s="67"/>
      <c r="F304" s="88"/>
      <c r="G304" s="88"/>
      <c r="H304" s="88"/>
      <c r="I304" s="88"/>
      <c r="J304" s="88"/>
      <c r="K304" s="88"/>
      <c r="L304" s="88"/>
      <c r="M304" s="88"/>
      <c r="N304" s="88"/>
      <c r="O304" s="88"/>
    </row>
    <row r="305" spans="1:15">
      <c r="A305" s="67"/>
      <c r="B305" s="67"/>
      <c r="C305" s="67"/>
      <c r="D305" s="67"/>
      <c r="E305" s="67"/>
      <c r="F305" s="88"/>
      <c r="G305" s="88"/>
      <c r="H305" s="88"/>
      <c r="I305" s="88"/>
      <c r="J305" s="88"/>
      <c r="K305" s="88"/>
      <c r="L305" s="88"/>
      <c r="M305" s="88"/>
      <c r="N305" s="88"/>
      <c r="O305" s="88"/>
    </row>
    <row r="306" spans="1:15">
      <c r="A306" s="67"/>
      <c r="B306" s="67"/>
      <c r="C306" s="67"/>
      <c r="D306" s="67"/>
      <c r="E306" s="67"/>
      <c r="F306" s="88"/>
      <c r="G306" s="88"/>
      <c r="H306" s="88"/>
      <c r="I306" s="88"/>
      <c r="J306" s="88"/>
      <c r="K306" s="88"/>
      <c r="L306" s="88"/>
      <c r="M306" s="88"/>
      <c r="N306" s="88"/>
      <c r="O306" s="88"/>
    </row>
    <row r="307" spans="1:15">
      <c r="A307" s="67"/>
      <c r="B307" s="67"/>
      <c r="C307" s="67"/>
      <c r="D307" s="67"/>
      <c r="E307" s="67"/>
      <c r="F307" s="88"/>
      <c r="G307" s="88"/>
      <c r="H307" s="88"/>
      <c r="I307" s="88"/>
      <c r="J307" s="88"/>
      <c r="K307" s="88"/>
      <c r="L307" s="88"/>
      <c r="M307" s="88"/>
      <c r="N307" s="88"/>
      <c r="O307" s="88"/>
    </row>
    <row r="308" spans="1:15">
      <c r="A308" s="67"/>
      <c r="B308" s="67"/>
      <c r="C308" s="67"/>
      <c r="D308" s="67"/>
      <c r="E308" s="67"/>
      <c r="F308" s="88"/>
      <c r="G308" s="88"/>
      <c r="H308" s="88"/>
      <c r="I308" s="88"/>
      <c r="J308" s="88"/>
      <c r="K308" s="88"/>
      <c r="L308" s="88"/>
      <c r="M308" s="88"/>
      <c r="N308" s="88"/>
      <c r="O308" s="88"/>
    </row>
    <row r="309" spans="1:15">
      <c r="A309" s="67"/>
      <c r="B309" s="67"/>
      <c r="C309" s="67"/>
      <c r="D309" s="67"/>
      <c r="E309" s="67"/>
      <c r="F309" s="88"/>
      <c r="G309" s="88"/>
      <c r="H309" s="88"/>
      <c r="I309" s="88"/>
      <c r="J309" s="88"/>
      <c r="K309" s="88"/>
      <c r="L309" s="88"/>
      <c r="M309" s="88"/>
      <c r="N309" s="88"/>
      <c r="O309" s="88"/>
    </row>
    <row r="310" spans="1:15">
      <c r="A310" s="67"/>
      <c r="B310" s="67"/>
      <c r="C310" s="67"/>
      <c r="D310" s="67"/>
      <c r="E310" s="67"/>
      <c r="F310" s="88"/>
      <c r="G310" s="88"/>
      <c r="H310" s="88"/>
      <c r="I310" s="88"/>
      <c r="J310" s="88"/>
      <c r="K310" s="88"/>
      <c r="L310" s="88"/>
      <c r="M310" s="88"/>
      <c r="N310" s="88"/>
      <c r="O310" s="88"/>
    </row>
    <row r="311" spans="1:15">
      <c r="A311" s="67"/>
      <c r="B311" s="67"/>
      <c r="C311" s="67"/>
      <c r="D311" s="67"/>
      <c r="E311" s="67"/>
      <c r="F311" s="88"/>
      <c r="G311" s="88"/>
      <c r="H311" s="88"/>
      <c r="I311" s="88"/>
      <c r="J311" s="88"/>
      <c r="K311" s="88"/>
      <c r="L311" s="88"/>
      <c r="M311" s="88"/>
      <c r="N311" s="88"/>
      <c r="O311" s="88"/>
    </row>
    <row r="312" spans="1:15">
      <c r="C312" s="67"/>
      <c r="D312" s="67"/>
      <c r="E312" s="67"/>
      <c r="F312" s="88"/>
      <c r="G312" s="88"/>
      <c r="H312" s="88"/>
      <c r="I312" s="88"/>
      <c r="J312" s="88"/>
      <c r="K312" s="88"/>
      <c r="L312" s="88"/>
      <c r="M312" s="88"/>
      <c r="N312" s="88"/>
      <c r="O312" s="88"/>
    </row>
    <row r="313" spans="1:15">
      <c r="C313" s="67"/>
      <c r="D313" s="67"/>
      <c r="E313" s="67"/>
      <c r="F313" s="88"/>
      <c r="G313" s="88"/>
      <c r="H313" s="88"/>
      <c r="I313" s="88"/>
      <c r="J313" s="88"/>
      <c r="K313" s="88"/>
      <c r="L313" s="88"/>
      <c r="M313" s="88"/>
      <c r="N313" s="88"/>
      <c r="O313" s="88"/>
    </row>
  </sheetData>
  <sheetProtection sheet="1" objects="1" scenarios="1"/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C582-DC98-42F3-9635-3E7F8E486E0F}">
  <dimension ref="A1:Q40"/>
  <sheetViews>
    <sheetView zoomScale="85" zoomScaleNormal="85" workbookViewId="0">
      <selection activeCell="M47" sqref="M47"/>
    </sheetView>
  </sheetViews>
  <sheetFormatPr defaultRowHeight="11.25"/>
  <cols>
    <col min="1" max="1" width="14.625" style="18" bestFit="1" customWidth="1"/>
    <col min="2" max="2" width="15.75" style="18" bestFit="1" customWidth="1"/>
    <col min="3" max="3" width="9.875" style="18" bestFit="1" customWidth="1"/>
    <col min="4" max="4" width="16" style="18" bestFit="1" customWidth="1"/>
    <col min="5" max="5" width="9" style="18" bestFit="1" customWidth="1"/>
    <col min="6" max="6" width="16.125" style="18" bestFit="1" customWidth="1"/>
    <col min="7" max="7" width="13.625" style="18" bestFit="1" customWidth="1"/>
    <col min="8" max="8" width="16" style="18" bestFit="1" customWidth="1"/>
    <col min="9" max="9" width="21.875" style="18" bestFit="1" customWidth="1"/>
    <col min="10" max="10" width="14.5" style="18" bestFit="1" customWidth="1"/>
    <col min="11" max="11" width="13.25" style="18" bestFit="1" customWidth="1"/>
    <col min="12" max="12" width="12" style="18" bestFit="1" customWidth="1"/>
    <col min="13" max="13" width="10.375" style="18" bestFit="1" customWidth="1"/>
    <col min="14" max="14" width="12.875" style="18" bestFit="1" customWidth="1"/>
    <col min="15" max="15" width="14.875" style="18" bestFit="1" customWidth="1"/>
    <col min="16" max="16" width="14" style="18" bestFit="1" customWidth="1"/>
    <col min="17" max="17" width="12.5" style="18" bestFit="1" customWidth="1"/>
    <col min="18" max="16384" width="9" style="18"/>
  </cols>
  <sheetData>
    <row r="1" spans="1:17" ht="12" thickBot="1">
      <c r="A1" s="15" t="s">
        <v>67</v>
      </c>
      <c r="B1" s="16" t="s">
        <v>68</v>
      </c>
      <c r="C1" s="16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16" t="s">
        <v>36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30</v>
      </c>
      <c r="Q1" s="86" t="s">
        <v>21</v>
      </c>
    </row>
    <row r="2" spans="1:17">
      <c r="A2" s="19" t="s">
        <v>37</v>
      </c>
      <c r="B2" s="19" t="s">
        <v>71</v>
      </c>
      <c r="C2" s="19" t="s">
        <v>72</v>
      </c>
      <c r="D2" s="19" t="s">
        <v>73</v>
      </c>
      <c r="E2" s="20">
        <v>3</v>
      </c>
      <c r="F2" s="20">
        <v>3</v>
      </c>
      <c r="G2" s="20">
        <v>3</v>
      </c>
      <c r="H2" s="20">
        <v>3</v>
      </c>
      <c r="I2" s="20">
        <v>3</v>
      </c>
      <c r="J2" s="20"/>
      <c r="K2" s="20"/>
      <c r="L2" s="20">
        <v>2</v>
      </c>
      <c r="M2" s="20"/>
      <c r="N2" s="28"/>
      <c r="O2" s="20"/>
      <c r="P2" s="20">
        <v>2</v>
      </c>
      <c r="Q2" s="23"/>
    </row>
    <row r="3" spans="1:17">
      <c r="A3" s="19"/>
      <c r="B3" s="19"/>
      <c r="C3" s="19"/>
      <c r="D3" s="19" t="s">
        <v>74</v>
      </c>
      <c r="E3" s="20">
        <v>3</v>
      </c>
      <c r="F3" s="20">
        <v>3</v>
      </c>
      <c r="G3" s="20">
        <v>3</v>
      </c>
      <c r="H3" s="20">
        <v>3</v>
      </c>
      <c r="I3" s="20">
        <v>3</v>
      </c>
      <c r="J3" s="20"/>
      <c r="K3" s="20">
        <v>3</v>
      </c>
      <c r="L3" s="20">
        <v>2</v>
      </c>
      <c r="M3" s="20"/>
      <c r="N3" s="28"/>
      <c r="O3" s="20"/>
      <c r="P3" s="20">
        <v>3</v>
      </c>
      <c r="Q3" s="20"/>
    </row>
    <row r="4" spans="1:17">
      <c r="A4" s="19"/>
      <c r="B4" s="19"/>
      <c r="C4" s="19"/>
      <c r="D4" s="19" t="s">
        <v>75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/>
      <c r="O4" s="20"/>
      <c r="P4" s="20"/>
      <c r="Q4" s="20">
        <v>1</v>
      </c>
    </row>
    <row r="5" spans="1:17">
      <c r="A5" s="19"/>
      <c r="B5" s="19"/>
      <c r="C5" s="19"/>
      <c r="D5" s="19" t="s">
        <v>76</v>
      </c>
      <c r="E5" s="20">
        <v>1</v>
      </c>
      <c r="F5" s="20"/>
      <c r="G5" s="20"/>
      <c r="H5" s="20"/>
      <c r="I5" s="20"/>
      <c r="J5" s="20"/>
      <c r="K5" s="20"/>
      <c r="L5" s="20" t="s">
        <v>77</v>
      </c>
      <c r="M5" s="20"/>
      <c r="N5" s="28"/>
      <c r="O5" s="20"/>
      <c r="P5" s="20"/>
      <c r="Q5" s="20">
        <v>1</v>
      </c>
    </row>
    <row r="6" spans="1:17">
      <c r="A6" s="19"/>
      <c r="B6" s="19"/>
      <c r="C6" s="19"/>
      <c r="D6" s="20" t="s">
        <v>78</v>
      </c>
      <c r="E6" s="20">
        <v>1</v>
      </c>
      <c r="F6" s="20">
        <v>1</v>
      </c>
      <c r="G6" s="20">
        <v>1</v>
      </c>
      <c r="H6" s="20">
        <v>1</v>
      </c>
      <c r="I6" s="20">
        <v>1</v>
      </c>
      <c r="J6" s="20"/>
      <c r="K6" s="20">
        <v>1</v>
      </c>
      <c r="L6" s="20">
        <v>1</v>
      </c>
      <c r="M6" s="20"/>
      <c r="N6" s="28"/>
      <c r="O6" s="20"/>
      <c r="P6" s="20">
        <v>1</v>
      </c>
      <c r="Q6" s="20"/>
    </row>
    <row r="7" spans="1:17">
      <c r="A7" s="19"/>
      <c r="B7" s="19"/>
      <c r="C7" s="19"/>
      <c r="D7" s="19" t="s">
        <v>79</v>
      </c>
      <c r="E7" s="20">
        <v>1</v>
      </c>
      <c r="F7" s="20"/>
      <c r="G7" s="20"/>
      <c r="H7" s="20"/>
      <c r="I7" s="20"/>
      <c r="J7" s="20"/>
      <c r="K7" s="20"/>
      <c r="L7" s="20">
        <v>1</v>
      </c>
      <c r="M7" s="20">
        <v>1</v>
      </c>
      <c r="N7" s="28"/>
      <c r="O7" s="20"/>
      <c r="P7" s="20"/>
      <c r="Q7" s="20"/>
    </row>
    <row r="8" spans="1:17">
      <c r="A8" s="19"/>
      <c r="B8" s="19"/>
      <c r="C8" s="27"/>
      <c r="D8" s="20" t="s">
        <v>80</v>
      </c>
      <c r="E8" s="20">
        <v>1</v>
      </c>
      <c r="F8" s="20"/>
      <c r="G8" s="20"/>
      <c r="H8" s="20"/>
      <c r="I8" s="20"/>
      <c r="J8" s="20"/>
      <c r="K8" s="20"/>
      <c r="L8" s="20">
        <v>1</v>
      </c>
      <c r="M8" s="20">
        <v>3</v>
      </c>
      <c r="N8" s="20"/>
      <c r="O8" s="20"/>
      <c r="P8" s="20"/>
      <c r="Q8" s="20"/>
    </row>
    <row r="9" spans="1:17">
      <c r="A9" s="19"/>
      <c r="B9" s="19"/>
      <c r="C9" s="19" t="s">
        <v>81</v>
      </c>
      <c r="D9" s="19" t="s">
        <v>73</v>
      </c>
      <c r="E9" s="20">
        <v>3</v>
      </c>
      <c r="F9" s="20">
        <v>3</v>
      </c>
      <c r="G9" s="20">
        <v>3</v>
      </c>
      <c r="H9" s="20">
        <v>3</v>
      </c>
      <c r="I9" s="20">
        <v>3</v>
      </c>
      <c r="J9" s="20"/>
      <c r="K9" s="20"/>
      <c r="L9" s="20">
        <v>3</v>
      </c>
      <c r="M9" s="20"/>
      <c r="N9" s="28"/>
      <c r="O9" s="20"/>
      <c r="P9" s="20">
        <v>3</v>
      </c>
      <c r="Q9" s="20"/>
    </row>
    <row r="10" spans="1:17">
      <c r="A10" s="19"/>
      <c r="B10" s="19"/>
      <c r="C10" s="19"/>
      <c r="D10" s="19" t="s">
        <v>74</v>
      </c>
      <c r="E10" s="20">
        <v>3</v>
      </c>
      <c r="F10" s="20">
        <v>3</v>
      </c>
      <c r="G10" s="20">
        <v>3</v>
      </c>
      <c r="H10" s="20">
        <v>3</v>
      </c>
      <c r="I10" s="20">
        <v>3</v>
      </c>
      <c r="J10" s="20"/>
      <c r="K10" s="20">
        <v>3</v>
      </c>
      <c r="L10" s="20">
        <v>3</v>
      </c>
      <c r="M10" s="20"/>
      <c r="N10" s="28"/>
      <c r="O10" s="20"/>
      <c r="P10" s="20">
        <v>3</v>
      </c>
      <c r="Q10" s="20"/>
    </row>
    <row r="11" spans="1:17">
      <c r="A11" s="19"/>
      <c r="B11" s="19"/>
      <c r="C11" s="19"/>
      <c r="D11" s="19" t="s">
        <v>79</v>
      </c>
      <c r="E11" s="20">
        <v>1</v>
      </c>
      <c r="F11" s="20"/>
      <c r="G11" s="20"/>
      <c r="H11" s="20"/>
      <c r="I11" s="20"/>
      <c r="J11" s="20"/>
      <c r="K11" s="20"/>
      <c r="L11" s="20">
        <v>1</v>
      </c>
      <c r="M11" s="20">
        <v>1</v>
      </c>
      <c r="N11" s="28"/>
      <c r="O11" s="20"/>
      <c r="P11" s="20"/>
      <c r="Q11" s="20"/>
    </row>
    <row r="12" spans="1:17">
      <c r="A12" s="19"/>
      <c r="B12" s="19"/>
      <c r="C12" s="19" t="s">
        <v>82</v>
      </c>
      <c r="D12" s="19" t="s">
        <v>73</v>
      </c>
      <c r="E12" s="20">
        <v>3</v>
      </c>
      <c r="F12" s="20">
        <v>3</v>
      </c>
      <c r="G12" s="20">
        <v>3</v>
      </c>
      <c r="H12" s="20">
        <v>3</v>
      </c>
      <c r="I12" s="20">
        <v>3</v>
      </c>
      <c r="J12" s="20"/>
      <c r="K12" s="20"/>
      <c r="L12" s="20">
        <v>3</v>
      </c>
      <c r="M12" s="20"/>
      <c r="N12" s="28"/>
      <c r="O12" s="20"/>
      <c r="P12" s="20">
        <v>3</v>
      </c>
      <c r="Q12" s="20"/>
    </row>
    <row r="13" spans="1:17">
      <c r="A13" s="19"/>
      <c r="B13" s="19"/>
      <c r="C13" s="19"/>
      <c r="D13" s="19" t="s">
        <v>74</v>
      </c>
      <c r="E13" s="20">
        <v>3</v>
      </c>
      <c r="F13" s="20">
        <v>3</v>
      </c>
      <c r="G13" s="20">
        <v>3</v>
      </c>
      <c r="H13" s="20">
        <v>3</v>
      </c>
      <c r="I13" s="20">
        <v>3</v>
      </c>
      <c r="J13" s="20"/>
      <c r="K13" s="20">
        <v>3</v>
      </c>
      <c r="L13" s="20">
        <v>3</v>
      </c>
      <c r="M13" s="20"/>
      <c r="N13" s="28"/>
      <c r="O13" s="20"/>
      <c r="P13" s="20">
        <v>3</v>
      </c>
      <c r="Q13" s="20"/>
    </row>
    <row r="14" spans="1:17">
      <c r="A14" s="19"/>
      <c r="B14" s="19"/>
      <c r="C14" s="19"/>
      <c r="D14" s="19" t="s">
        <v>79</v>
      </c>
      <c r="E14" s="20">
        <v>1</v>
      </c>
      <c r="F14" s="20"/>
      <c r="G14" s="20"/>
      <c r="H14" s="20"/>
      <c r="I14" s="20"/>
      <c r="J14" s="20"/>
      <c r="K14" s="20"/>
      <c r="L14" s="20">
        <v>1</v>
      </c>
      <c r="M14" s="20">
        <v>1</v>
      </c>
      <c r="N14" s="28"/>
      <c r="O14" s="20"/>
      <c r="P14" s="20"/>
      <c r="Q14" s="20"/>
    </row>
    <row r="15" spans="1:17">
      <c r="A15" s="19"/>
      <c r="B15" s="19"/>
      <c r="C15" s="19" t="s">
        <v>83</v>
      </c>
      <c r="D15" s="19" t="s">
        <v>73</v>
      </c>
      <c r="E15" s="20">
        <v>3</v>
      </c>
      <c r="F15" s="20">
        <v>3</v>
      </c>
      <c r="G15" s="20">
        <v>3</v>
      </c>
      <c r="H15" s="20">
        <v>3</v>
      </c>
      <c r="I15" s="20">
        <v>3</v>
      </c>
      <c r="J15" s="20"/>
      <c r="K15" s="20"/>
      <c r="L15" s="20">
        <v>3</v>
      </c>
      <c r="M15" s="20"/>
      <c r="N15" s="28"/>
      <c r="O15" s="20"/>
      <c r="P15" s="20">
        <v>3</v>
      </c>
      <c r="Q15" s="20"/>
    </row>
    <row r="16" spans="1:17">
      <c r="A16" s="19"/>
      <c r="B16" s="19"/>
      <c r="C16" s="19"/>
      <c r="D16" s="19" t="s">
        <v>74</v>
      </c>
      <c r="E16" s="20">
        <v>3</v>
      </c>
      <c r="F16" s="20">
        <v>3</v>
      </c>
      <c r="G16" s="20">
        <v>3</v>
      </c>
      <c r="H16" s="20">
        <v>3</v>
      </c>
      <c r="I16" s="20">
        <v>3</v>
      </c>
      <c r="J16" s="20"/>
      <c r="K16" s="20">
        <v>3</v>
      </c>
      <c r="L16" s="20"/>
      <c r="M16" s="20"/>
      <c r="N16" s="28"/>
      <c r="O16" s="20"/>
      <c r="P16" s="20">
        <v>3</v>
      </c>
      <c r="Q16" s="20"/>
    </row>
    <row r="17" spans="1:17">
      <c r="A17" s="19"/>
      <c r="B17" s="19" t="s">
        <v>84</v>
      </c>
      <c r="C17" s="19"/>
      <c r="D17" s="19" t="s">
        <v>79</v>
      </c>
      <c r="E17" s="20">
        <v>1</v>
      </c>
      <c r="F17" s="20"/>
      <c r="G17" s="20"/>
      <c r="H17" s="20"/>
      <c r="I17" s="20"/>
      <c r="J17" s="20"/>
      <c r="K17" s="20"/>
      <c r="L17" s="20">
        <v>1</v>
      </c>
      <c r="M17" s="20">
        <v>1</v>
      </c>
      <c r="N17" s="28"/>
      <c r="O17" s="20"/>
      <c r="P17" s="20"/>
      <c r="Q17" s="20"/>
    </row>
    <row r="18" spans="1:17">
      <c r="A18" s="19"/>
      <c r="B18" s="19"/>
      <c r="C18" s="19" t="s">
        <v>72</v>
      </c>
      <c r="D18" s="19" t="s">
        <v>73</v>
      </c>
      <c r="E18" s="20">
        <v>1</v>
      </c>
      <c r="F18" s="20">
        <v>1</v>
      </c>
      <c r="G18" s="20">
        <v>1</v>
      </c>
      <c r="H18" s="20">
        <v>1</v>
      </c>
      <c r="I18" s="20">
        <v>1</v>
      </c>
      <c r="J18" s="20"/>
      <c r="K18" s="20"/>
      <c r="L18" s="20">
        <v>1</v>
      </c>
      <c r="M18" s="20"/>
      <c r="N18" s="28"/>
      <c r="O18" s="20"/>
      <c r="P18" s="20">
        <v>1</v>
      </c>
      <c r="Q18" s="20"/>
    </row>
    <row r="19" spans="1:17">
      <c r="A19" s="19"/>
      <c r="B19" s="19"/>
      <c r="C19" s="19"/>
      <c r="D19" s="19" t="s">
        <v>74</v>
      </c>
      <c r="E19" s="20">
        <v>1</v>
      </c>
      <c r="F19" s="20">
        <v>1</v>
      </c>
      <c r="G19" s="20">
        <v>1</v>
      </c>
      <c r="H19" s="20">
        <v>1</v>
      </c>
      <c r="I19" s="20">
        <v>1</v>
      </c>
      <c r="J19" s="20"/>
      <c r="K19" s="20">
        <v>1</v>
      </c>
      <c r="L19" s="20">
        <v>1</v>
      </c>
      <c r="M19" s="20"/>
      <c r="N19" s="28"/>
      <c r="O19" s="20"/>
      <c r="P19" s="20"/>
      <c r="Q19" s="20"/>
    </row>
    <row r="20" spans="1:17">
      <c r="A20" s="19"/>
      <c r="B20" s="19"/>
      <c r="C20" s="19"/>
      <c r="D20" s="20" t="s">
        <v>78</v>
      </c>
      <c r="E20" s="20">
        <v>1</v>
      </c>
      <c r="F20" s="20">
        <v>1</v>
      </c>
      <c r="G20" s="20">
        <v>1</v>
      </c>
      <c r="H20" s="20">
        <v>1</v>
      </c>
      <c r="I20" s="20">
        <v>1</v>
      </c>
      <c r="J20" s="20"/>
      <c r="K20" s="20">
        <v>1</v>
      </c>
      <c r="L20" s="20">
        <v>1</v>
      </c>
      <c r="M20" s="20"/>
      <c r="N20" s="28"/>
      <c r="O20" s="20"/>
      <c r="P20" s="20">
        <v>1</v>
      </c>
      <c r="Q20" s="20"/>
    </row>
    <row r="21" spans="1:17">
      <c r="A21" s="19"/>
      <c r="B21" s="19"/>
      <c r="C21" s="19"/>
      <c r="D21" s="19" t="s">
        <v>79</v>
      </c>
      <c r="E21" s="20">
        <v>1</v>
      </c>
      <c r="F21" s="20"/>
      <c r="G21" s="20"/>
      <c r="H21" s="20"/>
      <c r="I21" s="20"/>
      <c r="J21" s="20"/>
      <c r="K21" s="20"/>
      <c r="L21" s="20">
        <v>1</v>
      </c>
      <c r="M21" s="20">
        <v>1</v>
      </c>
      <c r="N21" s="28"/>
      <c r="O21" s="20"/>
      <c r="P21" s="20"/>
      <c r="Q21" s="20"/>
    </row>
    <row r="22" spans="1:17">
      <c r="A22" s="19"/>
      <c r="B22" s="19"/>
      <c r="C22" s="19" t="s">
        <v>81</v>
      </c>
      <c r="D22" s="19" t="s">
        <v>73</v>
      </c>
      <c r="E22" s="20">
        <v>2</v>
      </c>
      <c r="F22" s="20">
        <v>2</v>
      </c>
      <c r="G22" s="20">
        <v>2</v>
      </c>
      <c r="H22" s="20">
        <v>2</v>
      </c>
      <c r="I22" s="20">
        <v>2</v>
      </c>
      <c r="J22" s="20"/>
      <c r="K22" s="20"/>
      <c r="L22" s="20">
        <v>1</v>
      </c>
      <c r="M22" s="20"/>
      <c r="N22" s="28"/>
      <c r="O22" s="20"/>
      <c r="P22" s="20">
        <v>1</v>
      </c>
      <c r="Q22" s="20"/>
    </row>
    <row r="23" spans="1:17">
      <c r="A23" s="19"/>
      <c r="B23" s="19"/>
      <c r="C23" s="19"/>
      <c r="D23" s="19" t="s">
        <v>74</v>
      </c>
      <c r="E23" s="20">
        <v>2</v>
      </c>
      <c r="F23" s="20">
        <v>2</v>
      </c>
      <c r="G23" s="20">
        <v>2</v>
      </c>
      <c r="H23" s="20">
        <v>2</v>
      </c>
      <c r="I23" s="20">
        <v>2</v>
      </c>
      <c r="J23" s="20"/>
      <c r="K23" s="20">
        <v>2</v>
      </c>
      <c r="L23" s="20">
        <v>1</v>
      </c>
      <c r="M23" s="20"/>
      <c r="N23" s="28"/>
      <c r="O23" s="20"/>
      <c r="P23" s="20">
        <v>1</v>
      </c>
      <c r="Q23" s="20"/>
    </row>
    <row r="24" spans="1:17">
      <c r="A24" s="19"/>
      <c r="B24" s="19"/>
      <c r="C24" s="19"/>
      <c r="D24" s="19" t="s">
        <v>79</v>
      </c>
      <c r="E24" s="20">
        <v>1</v>
      </c>
      <c r="F24" s="20"/>
      <c r="G24" s="20"/>
      <c r="H24" s="20"/>
      <c r="I24" s="20"/>
      <c r="J24" s="20"/>
      <c r="K24" s="20"/>
      <c r="L24" s="20">
        <v>1</v>
      </c>
      <c r="M24" s="20">
        <v>1</v>
      </c>
      <c r="N24" s="28"/>
      <c r="O24" s="20"/>
      <c r="P24" s="20"/>
      <c r="Q24" s="20"/>
    </row>
    <row r="25" spans="1:17">
      <c r="A25" s="19"/>
      <c r="B25" s="19"/>
      <c r="C25" s="19" t="s">
        <v>82</v>
      </c>
      <c r="D25" s="19" t="s">
        <v>73</v>
      </c>
      <c r="E25" s="20">
        <v>2</v>
      </c>
      <c r="F25" s="20">
        <v>2</v>
      </c>
      <c r="G25" s="20">
        <v>2</v>
      </c>
      <c r="H25" s="20">
        <v>2</v>
      </c>
      <c r="I25" s="20">
        <v>2</v>
      </c>
      <c r="J25" s="20"/>
      <c r="K25" s="20"/>
      <c r="L25" s="20">
        <v>1</v>
      </c>
      <c r="M25" s="20"/>
      <c r="N25" s="28"/>
      <c r="O25" s="20"/>
      <c r="P25" s="20">
        <v>1</v>
      </c>
      <c r="Q25" s="20"/>
    </row>
    <row r="26" spans="1:17">
      <c r="A26" s="19"/>
      <c r="B26" s="19"/>
      <c r="C26" s="19"/>
      <c r="D26" s="19" t="s">
        <v>74</v>
      </c>
      <c r="E26" s="20">
        <v>2</v>
      </c>
      <c r="F26" s="20">
        <v>2</v>
      </c>
      <c r="G26" s="20">
        <v>2</v>
      </c>
      <c r="H26" s="20">
        <v>2</v>
      </c>
      <c r="I26" s="20">
        <v>2</v>
      </c>
      <c r="J26" s="20"/>
      <c r="K26" s="20">
        <v>2</v>
      </c>
      <c r="L26" s="20">
        <v>1</v>
      </c>
      <c r="M26" s="20"/>
      <c r="N26" s="28"/>
      <c r="O26" s="20"/>
      <c r="P26" s="20">
        <v>1</v>
      </c>
      <c r="Q26" s="20"/>
    </row>
    <row r="27" spans="1:17">
      <c r="A27" s="22"/>
      <c r="B27" s="20"/>
      <c r="C27" s="19"/>
      <c r="D27" s="19" t="s">
        <v>79</v>
      </c>
      <c r="E27" s="20">
        <v>1</v>
      </c>
      <c r="F27" s="20"/>
      <c r="G27" s="20"/>
      <c r="H27" s="20"/>
      <c r="I27" s="20"/>
      <c r="J27" s="20"/>
      <c r="K27" s="20"/>
      <c r="L27" s="20">
        <v>1</v>
      </c>
      <c r="M27" s="20">
        <v>1</v>
      </c>
      <c r="N27" s="28"/>
      <c r="O27" s="20"/>
      <c r="P27" s="20"/>
      <c r="Q27" s="20"/>
    </row>
    <row r="28" spans="1:17">
      <c r="A28" s="22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8"/>
      <c r="O28" s="20"/>
      <c r="P28" s="20"/>
      <c r="Q28" s="20"/>
    </row>
    <row r="29" spans="1:17" ht="12" thickBo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9"/>
      <c r="O29" s="24"/>
      <c r="P29" s="24"/>
      <c r="Q29" s="24"/>
    </row>
    <row r="30" spans="1:17" ht="12" thickBot="1">
      <c r="C30" s="73" t="s">
        <v>63</v>
      </c>
      <c r="D30" s="74"/>
      <c r="E30" s="74"/>
      <c r="F30" s="74">
        <f>SUBTOTAL(109,Tabel312[Toiletrolhouder])</f>
        <v>36</v>
      </c>
      <c r="G30" s="74">
        <f>SUBTOTAL(109,Tabel312[Seatcleaner])</f>
        <v>36</v>
      </c>
      <c r="H30" s="74">
        <f>SUBTOTAL(109,Tabel312[Luchtverfrisser])</f>
        <v>36</v>
      </c>
      <c r="I30" s="74">
        <f>SUBTOTAL(109,Tabel312[Toiletborstel + houder])</f>
        <v>36</v>
      </c>
      <c r="J30" s="74">
        <f>SUBTOTAL(109,Tabel312[Vouwdoekjes])</f>
        <v>0</v>
      </c>
      <c r="K30" s="74">
        <f>SUBTOTAL(109,Tabel312[Hygienebox])</f>
        <v>19</v>
      </c>
      <c r="L30" s="74">
        <f>SUBTOTAL(109,Tabel312[Foamzeep])</f>
        <v>36</v>
      </c>
      <c r="M30" s="74">
        <f>SUBTOTAL(109,Tabel312[Poetsrol])</f>
        <v>11</v>
      </c>
      <c r="N30" s="74">
        <f>SUBTOTAL(109,Tabel312[Handcreme])</f>
        <v>0</v>
      </c>
      <c r="O30" s="75">
        <f>SUBTOTAL(109,Tabel312[Industriezeep])</f>
        <v>0</v>
      </c>
      <c r="P30" s="148">
        <f>SUM(P2:P29)</f>
        <v>30</v>
      </c>
      <c r="Q30" s="149">
        <f>SUM(Q2:Q29)</f>
        <v>2</v>
      </c>
    </row>
    <row r="39" spans="1:1">
      <c r="A39" s="92"/>
    </row>
    <row r="40" spans="1:1">
      <c r="A40" s="93"/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6522-3A6B-4509-A3C0-675640B80352}">
  <dimension ref="A1:P9"/>
  <sheetViews>
    <sheetView zoomScale="85" zoomScaleNormal="85" workbookViewId="0">
      <selection activeCell="M28" sqref="M28:M29"/>
    </sheetView>
  </sheetViews>
  <sheetFormatPr defaultRowHeight="11.25"/>
  <cols>
    <col min="1" max="1" width="14" style="18" bestFit="1" customWidth="1"/>
    <col min="2" max="2" width="17.625" style="18" customWidth="1"/>
    <col min="3" max="3" width="18.25" style="18" customWidth="1"/>
    <col min="4" max="4" width="19.375" style="18" bestFit="1" customWidth="1"/>
    <col min="5" max="5" width="8.625" style="18" bestFit="1" customWidth="1"/>
    <col min="6" max="6" width="16.25" style="18" bestFit="1" customWidth="1"/>
    <col min="7" max="7" width="13.25" style="18" bestFit="1" customWidth="1"/>
    <col min="8" max="8" width="16" style="18" bestFit="1" customWidth="1"/>
    <col min="9" max="9" width="22.5" style="18" bestFit="1" customWidth="1"/>
    <col min="10" max="10" width="14.5" style="18" bestFit="1" customWidth="1"/>
    <col min="11" max="11" width="18.75" style="18" bestFit="1" customWidth="1"/>
    <col min="12" max="12" width="11.75" style="18" bestFit="1" customWidth="1"/>
    <col min="13" max="13" width="10.25" style="18" bestFit="1" customWidth="1"/>
    <col min="14" max="14" width="12.875" style="18" bestFit="1" customWidth="1"/>
    <col min="15" max="15" width="15" style="18" bestFit="1" customWidth="1"/>
    <col min="16" max="16" width="12.5" style="18" bestFit="1" customWidth="1"/>
    <col min="17" max="16384" width="9" style="18"/>
  </cols>
  <sheetData>
    <row r="1" spans="1:16">
      <c r="A1" s="15" t="s">
        <v>67</v>
      </c>
      <c r="B1" s="16" t="s">
        <v>68</v>
      </c>
      <c r="C1" s="16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16" t="s">
        <v>33</v>
      </c>
      <c r="L1" s="16" t="s">
        <v>16</v>
      </c>
      <c r="M1" s="16" t="s">
        <v>17</v>
      </c>
      <c r="N1" s="16" t="s">
        <v>34</v>
      </c>
      <c r="O1" s="71" t="s">
        <v>20</v>
      </c>
      <c r="P1" s="72" t="s">
        <v>21</v>
      </c>
    </row>
    <row r="2" spans="1:16">
      <c r="A2" s="22" t="s">
        <v>38</v>
      </c>
      <c r="B2" s="22" t="s">
        <v>85</v>
      </c>
      <c r="C2" s="20" t="s">
        <v>86</v>
      </c>
      <c r="D2" s="20" t="s">
        <v>87</v>
      </c>
      <c r="E2" s="20">
        <v>1</v>
      </c>
      <c r="F2" s="1"/>
      <c r="G2" s="1"/>
      <c r="H2" s="1"/>
      <c r="I2" s="1"/>
      <c r="J2" s="20"/>
      <c r="K2" s="1"/>
      <c r="L2" s="20">
        <v>1</v>
      </c>
      <c r="M2" s="78">
        <v>1</v>
      </c>
      <c r="N2" s="7"/>
      <c r="O2" s="80"/>
      <c r="P2" s="19"/>
    </row>
    <row r="3" spans="1:16">
      <c r="A3" s="22"/>
      <c r="B3" s="20"/>
      <c r="C3" s="1"/>
      <c r="D3" s="20" t="s">
        <v>88</v>
      </c>
      <c r="E3" s="20">
        <v>1</v>
      </c>
      <c r="F3" s="1"/>
      <c r="G3" s="1"/>
      <c r="H3" s="1"/>
      <c r="I3" s="1"/>
      <c r="J3" s="20"/>
      <c r="K3" s="20"/>
      <c r="L3" s="20">
        <v>1</v>
      </c>
      <c r="M3" s="78">
        <v>1</v>
      </c>
      <c r="N3" s="7"/>
      <c r="O3" s="80"/>
      <c r="P3" s="19">
        <v>1</v>
      </c>
    </row>
    <row r="4" spans="1:16">
      <c r="A4" s="22"/>
      <c r="B4" s="20"/>
      <c r="C4" s="20"/>
      <c r="D4" s="20" t="s">
        <v>89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/>
      <c r="M4" s="78"/>
      <c r="N4" s="7"/>
      <c r="O4" s="80"/>
      <c r="P4" s="19"/>
    </row>
    <row r="5" spans="1:16">
      <c r="A5" s="22"/>
      <c r="B5" s="20"/>
      <c r="C5" s="20"/>
      <c r="D5" s="20" t="s">
        <v>90</v>
      </c>
      <c r="E5" s="20">
        <v>1</v>
      </c>
      <c r="F5" s="1"/>
      <c r="G5" s="1"/>
      <c r="H5" s="1"/>
      <c r="I5" s="1"/>
      <c r="J5" s="20"/>
      <c r="K5" s="1"/>
      <c r="L5" s="20">
        <v>1</v>
      </c>
      <c r="M5" s="78">
        <v>1</v>
      </c>
      <c r="N5" s="7"/>
      <c r="O5" s="80"/>
      <c r="P5" s="19"/>
    </row>
    <row r="6" spans="1:16">
      <c r="A6" s="22"/>
      <c r="B6" s="20"/>
      <c r="C6" s="20"/>
      <c r="D6" s="20"/>
      <c r="E6" s="20"/>
      <c r="F6" s="1"/>
      <c r="G6" s="1"/>
      <c r="H6" s="1"/>
      <c r="I6" s="1"/>
      <c r="J6" s="1"/>
      <c r="K6" s="1"/>
      <c r="L6" s="1"/>
      <c r="M6" s="78"/>
      <c r="N6" s="7"/>
      <c r="O6" s="80"/>
      <c r="P6" s="19"/>
    </row>
    <row r="7" spans="1:16">
      <c r="A7" s="22"/>
      <c r="B7" s="20"/>
      <c r="C7" s="20" t="s">
        <v>91</v>
      </c>
      <c r="D7" s="20" t="s">
        <v>92</v>
      </c>
      <c r="E7" s="20">
        <v>1</v>
      </c>
      <c r="F7" s="1"/>
      <c r="G7" s="1"/>
      <c r="H7" s="1"/>
      <c r="I7" s="1"/>
      <c r="J7" s="20"/>
      <c r="K7" s="1"/>
      <c r="L7" s="20">
        <v>1</v>
      </c>
      <c r="M7" s="78">
        <v>1</v>
      </c>
      <c r="N7" s="7"/>
      <c r="O7" s="80"/>
      <c r="P7" s="19"/>
    </row>
    <row r="8" spans="1:16" ht="12" thickBot="1">
      <c r="A8" s="31"/>
      <c r="B8" s="20"/>
      <c r="C8" s="20"/>
      <c r="D8" s="20"/>
      <c r="E8" s="20"/>
      <c r="F8" s="1"/>
      <c r="G8" s="1"/>
      <c r="H8" s="1"/>
      <c r="I8" s="1"/>
      <c r="J8" s="1"/>
      <c r="K8" s="1"/>
      <c r="L8" s="1"/>
      <c r="M8" s="1"/>
      <c r="N8" s="7"/>
      <c r="O8" s="157"/>
      <c r="P8" s="158"/>
    </row>
    <row r="9" spans="1:16" ht="12" thickBot="1">
      <c r="A9" s="22"/>
      <c r="B9" s="20"/>
      <c r="C9" s="41" t="s">
        <v>63</v>
      </c>
      <c r="D9" s="42"/>
      <c r="E9" s="42"/>
      <c r="F9" s="42">
        <f>SUBTOTAL(109,Tabel31214[Toiletrolhouder])</f>
        <v>1</v>
      </c>
      <c r="G9" s="42">
        <f>SUBTOTAL(109,Tabel31214[Seatcleaner])</f>
        <v>1</v>
      </c>
      <c r="H9" s="42">
        <f>SUBTOTAL(109,Tabel31214[Luchtverfrisser])</f>
        <v>1</v>
      </c>
      <c r="I9" s="42">
        <f>SUBTOTAL(109,Tabel31214[Toiletborstel + houder])</f>
        <v>1</v>
      </c>
      <c r="J9" s="42">
        <f>SUBTOTAL(109,Tabel31214[Vouwdoekjes])</f>
        <v>1</v>
      </c>
      <c r="K9" s="42">
        <f>SUBTOTAL(109,Tabel31214[Verbandzakhouder])</f>
        <v>1</v>
      </c>
      <c r="L9" s="42">
        <f>SUBTOTAL(109,Tabel31214[Foamzeep])</f>
        <v>4</v>
      </c>
      <c r="M9" s="42">
        <f>SUBTOTAL(109,Tabel31214[Poetsrol])</f>
        <v>4</v>
      </c>
      <c r="N9" s="156">
        <f>SUBTOTAL(109,Tabel31214[Handcreme])</f>
        <v>0</v>
      </c>
      <c r="O9" s="159">
        <f>SUBTOTAL(109,Tabel31214[Industriezeep])</f>
        <v>0</v>
      </c>
      <c r="P9" s="149">
        <f>SUM(P2:P8)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1A71-6703-4EF8-843D-B623F133C16E}">
  <dimension ref="A1:P11"/>
  <sheetViews>
    <sheetView zoomScale="85" zoomScaleNormal="85" workbookViewId="0">
      <selection activeCell="O23" sqref="O23"/>
    </sheetView>
  </sheetViews>
  <sheetFormatPr defaultRowHeight="11.25"/>
  <cols>
    <col min="1" max="1" width="13.75" style="18" bestFit="1" customWidth="1"/>
    <col min="2" max="2" width="15.25" style="18" customWidth="1"/>
    <col min="3" max="3" width="19.5" style="18" customWidth="1"/>
    <col min="4" max="4" width="20" style="18" customWidth="1"/>
    <col min="5" max="5" width="20" style="18" bestFit="1" customWidth="1"/>
    <col min="6" max="6" width="16.25" style="18" bestFit="1" customWidth="1"/>
    <col min="7" max="7" width="13.25" style="18" bestFit="1" customWidth="1"/>
    <col min="8" max="8" width="16" style="18" bestFit="1" customWidth="1"/>
    <col min="9" max="9" width="22.5" style="18" bestFit="1" customWidth="1"/>
    <col min="10" max="10" width="14.5" style="18" bestFit="1" customWidth="1"/>
    <col min="11" max="11" width="15" style="18" customWidth="1"/>
    <col min="12" max="12" width="11.75" style="18" bestFit="1" customWidth="1"/>
    <col min="13" max="13" width="10.25" style="18" bestFit="1" customWidth="1"/>
    <col min="14" max="14" width="12.875" style="18" bestFit="1" customWidth="1"/>
    <col min="15" max="15" width="15" style="18" bestFit="1" customWidth="1"/>
    <col min="16" max="16" width="12.5" style="18" bestFit="1" customWidth="1"/>
    <col min="17" max="16384" width="9" style="18"/>
  </cols>
  <sheetData>
    <row r="1" spans="1:16" ht="12" thickBot="1">
      <c r="A1" s="161" t="s">
        <v>67</v>
      </c>
      <c r="B1" s="162" t="s">
        <v>68</v>
      </c>
      <c r="C1" s="162" t="s">
        <v>32</v>
      </c>
      <c r="D1" s="162" t="s">
        <v>69</v>
      </c>
      <c r="E1" s="162" t="s">
        <v>70</v>
      </c>
      <c r="F1" s="162" t="s">
        <v>5</v>
      </c>
      <c r="G1" s="162" t="s">
        <v>7</v>
      </c>
      <c r="H1" s="162" t="s">
        <v>9</v>
      </c>
      <c r="I1" s="162" t="s">
        <v>11</v>
      </c>
      <c r="J1" s="162" t="s">
        <v>13</v>
      </c>
      <c r="K1" s="162" t="s">
        <v>33</v>
      </c>
      <c r="L1" s="162" t="s">
        <v>16</v>
      </c>
      <c r="M1" s="162" t="s">
        <v>17</v>
      </c>
      <c r="N1" s="162" t="s">
        <v>34</v>
      </c>
      <c r="O1" s="163" t="s">
        <v>20</v>
      </c>
      <c r="P1" s="86" t="s">
        <v>21</v>
      </c>
    </row>
    <row r="2" spans="1:16">
      <c r="A2" s="57" t="s">
        <v>93</v>
      </c>
      <c r="B2" s="20" t="s">
        <v>94</v>
      </c>
      <c r="C2" s="20" t="s">
        <v>86</v>
      </c>
      <c r="D2" s="19" t="s">
        <v>73</v>
      </c>
      <c r="E2" s="20">
        <v>2</v>
      </c>
      <c r="F2" s="20">
        <v>2</v>
      </c>
      <c r="G2" s="20">
        <v>2</v>
      </c>
      <c r="H2" s="20">
        <v>2</v>
      </c>
      <c r="I2" s="20">
        <v>2</v>
      </c>
      <c r="J2" s="20">
        <v>2</v>
      </c>
      <c r="K2" s="20"/>
      <c r="L2" s="20">
        <v>2</v>
      </c>
      <c r="M2" s="20"/>
      <c r="N2" s="28"/>
      <c r="O2" s="19"/>
      <c r="P2" s="23"/>
    </row>
    <row r="3" spans="1:16">
      <c r="A3" s="57"/>
      <c r="B3" s="20"/>
      <c r="C3" s="27"/>
      <c r="D3" s="20" t="s">
        <v>74</v>
      </c>
      <c r="E3" s="20">
        <v>2</v>
      </c>
      <c r="F3" s="20">
        <v>2</v>
      </c>
      <c r="G3" s="20">
        <v>2</v>
      </c>
      <c r="H3" s="20">
        <v>2</v>
      </c>
      <c r="I3" s="20">
        <v>2</v>
      </c>
      <c r="J3" s="20">
        <v>2</v>
      </c>
      <c r="K3" s="20">
        <v>2</v>
      </c>
      <c r="L3" s="20">
        <v>2</v>
      </c>
      <c r="M3" s="20"/>
      <c r="N3" s="28"/>
      <c r="O3" s="19"/>
      <c r="P3" s="20"/>
    </row>
    <row r="4" spans="1:16">
      <c r="A4" s="57"/>
      <c r="B4" s="20"/>
      <c r="C4" s="27"/>
      <c r="D4" s="20" t="s">
        <v>78</v>
      </c>
      <c r="E4" s="20">
        <v>1</v>
      </c>
      <c r="F4" s="20">
        <v>1</v>
      </c>
      <c r="G4" s="20">
        <v>1</v>
      </c>
      <c r="H4" s="20">
        <v>1</v>
      </c>
      <c r="I4" s="20">
        <v>1</v>
      </c>
      <c r="J4" s="20">
        <v>1</v>
      </c>
      <c r="K4" s="20">
        <v>1</v>
      </c>
      <c r="L4" s="20">
        <v>1</v>
      </c>
      <c r="M4" s="20"/>
      <c r="N4" s="28"/>
      <c r="O4" s="19"/>
      <c r="P4" s="20"/>
    </row>
    <row r="5" spans="1:16">
      <c r="A5" s="57"/>
      <c r="B5" s="20"/>
      <c r="C5" s="20"/>
      <c r="D5" s="20" t="s">
        <v>88</v>
      </c>
      <c r="E5" s="20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8">
        <v>1</v>
      </c>
      <c r="O5" s="19">
        <v>1</v>
      </c>
      <c r="P5" s="20">
        <v>1</v>
      </c>
    </row>
    <row r="6" spans="1:16">
      <c r="A6" s="57"/>
      <c r="B6" s="20"/>
      <c r="C6" s="1"/>
      <c r="D6" s="20" t="s">
        <v>87</v>
      </c>
      <c r="E6" s="20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/>
      <c r="O6" s="19"/>
      <c r="P6" s="20"/>
    </row>
    <row r="7" spans="1:16">
      <c r="A7" s="57"/>
      <c r="B7" s="20"/>
      <c r="C7" s="20"/>
      <c r="D7" s="20" t="s">
        <v>90</v>
      </c>
      <c r="E7" s="20">
        <v>1</v>
      </c>
      <c r="F7" s="20"/>
      <c r="G7" s="20"/>
      <c r="H7" s="20"/>
      <c r="I7" s="20"/>
      <c r="J7" s="20"/>
      <c r="K7" s="20"/>
      <c r="L7" s="20">
        <v>1</v>
      </c>
      <c r="M7" s="20">
        <v>1</v>
      </c>
      <c r="N7" s="28"/>
      <c r="O7" s="19"/>
      <c r="P7" s="20"/>
    </row>
    <row r="8" spans="1:16">
      <c r="A8" s="57"/>
      <c r="B8" s="20"/>
      <c r="C8" s="20"/>
      <c r="D8" s="20" t="s">
        <v>95</v>
      </c>
      <c r="E8" s="20">
        <v>1</v>
      </c>
      <c r="F8" s="20"/>
      <c r="G8" s="20"/>
      <c r="H8" s="20"/>
      <c r="I8" s="20"/>
      <c r="J8" s="20"/>
      <c r="K8" s="20"/>
      <c r="L8" s="20">
        <v>1</v>
      </c>
      <c r="M8" s="20">
        <v>1</v>
      </c>
      <c r="N8" s="28">
        <v>1</v>
      </c>
      <c r="O8" s="19">
        <v>1</v>
      </c>
      <c r="P8" s="20"/>
    </row>
    <row r="9" spans="1:16">
      <c r="A9" s="57"/>
      <c r="B9" s="20"/>
      <c r="C9" s="20" t="s">
        <v>96</v>
      </c>
      <c r="D9" s="20" t="s">
        <v>97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/>
      <c r="L9" s="20">
        <v>1</v>
      </c>
      <c r="M9" s="20"/>
      <c r="N9" s="28"/>
      <c r="O9" s="19"/>
      <c r="P9" s="20"/>
    </row>
    <row r="10" spans="1:16" ht="12" thickBot="1">
      <c r="A10" s="57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8"/>
      <c r="O10" s="158"/>
      <c r="P10" s="24"/>
    </row>
    <row r="11" spans="1:16" ht="12" thickBot="1">
      <c r="A11" s="164"/>
      <c r="B11" s="165"/>
      <c r="C11" s="39" t="s">
        <v>63</v>
      </c>
      <c r="D11" s="40"/>
      <c r="E11" s="40"/>
      <c r="F11" s="40">
        <f>SUBTOTAL(109,Tabel3121416[Toiletrolhouder])</f>
        <v>6</v>
      </c>
      <c r="G11" s="40">
        <f>SUBTOTAL(109,Tabel3121416[Seatcleaner])</f>
        <v>6</v>
      </c>
      <c r="H11" s="40">
        <f>SUBTOTAL(109,Tabel3121416[Luchtverfrisser])</f>
        <v>6</v>
      </c>
      <c r="I11" s="40">
        <f>SUBTOTAL(109,Tabel3121416[Toiletborstel + houder])</f>
        <v>6</v>
      </c>
      <c r="J11" s="40">
        <f>SUBTOTAL(109,Tabel3121416[Vouwdoekjes])</f>
        <v>6</v>
      </c>
      <c r="K11" s="40">
        <f>SUBTOTAL(109,Tabel3121416[Verbandzakhouder])</f>
        <v>3</v>
      </c>
      <c r="L11" s="40">
        <f>SUBTOTAL(109,Tabel3121416[Foamzeep])</f>
        <v>10</v>
      </c>
      <c r="M11" s="40">
        <f>SUBTOTAL(109,Tabel3121416[Poetsrol])</f>
        <v>4</v>
      </c>
      <c r="N11" s="160">
        <f>SUBTOTAL(109,Tabel3121416[Handcreme])</f>
        <v>2</v>
      </c>
      <c r="O11" s="159">
        <f>SUBTOTAL(109,Tabel3121416[Industriezeep])</f>
        <v>2</v>
      </c>
      <c r="P11" s="149">
        <f>SUM(P2:P10)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BE0D-04E2-4EB1-905B-69D88D9229D5}">
  <dimension ref="A1:P11"/>
  <sheetViews>
    <sheetView zoomScale="85" zoomScaleNormal="85" workbookViewId="0">
      <selection activeCell="M26" sqref="M26"/>
    </sheetView>
  </sheetViews>
  <sheetFormatPr defaultRowHeight="11.25"/>
  <cols>
    <col min="1" max="1" width="13.25" style="18" bestFit="1" customWidth="1"/>
    <col min="2" max="2" width="20.875" style="18" customWidth="1"/>
    <col min="3" max="3" width="14.625" style="18" customWidth="1"/>
    <col min="4" max="4" width="18.875" style="18" bestFit="1" customWidth="1"/>
    <col min="5" max="5" width="8.625" style="18" bestFit="1" customWidth="1"/>
    <col min="6" max="6" width="16.25" style="18" bestFit="1" customWidth="1"/>
    <col min="7" max="7" width="13.25" style="18" bestFit="1" customWidth="1"/>
    <col min="8" max="8" width="16" style="18" bestFit="1" customWidth="1"/>
    <col min="9" max="9" width="22.5" style="18" bestFit="1" customWidth="1"/>
    <col min="10" max="10" width="14.5" style="18" bestFit="1" customWidth="1"/>
    <col min="11" max="11" width="13.125" style="18" bestFit="1" customWidth="1"/>
    <col min="12" max="12" width="11.75" style="18" bestFit="1" customWidth="1"/>
    <col min="13" max="13" width="10.25" style="18" bestFit="1" customWidth="1"/>
    <col min="14" max="14" width="12.875" style="18" bestFit="1" customWidth="1"/>
    <col min="15" max="15" width="15" style="18" bestFit="1" customWidth="1"/>
    <col min="16" max="16" width="12.5" style="18" bestFit="1" customWidth="1"/>
    <col min="17" max="16384" width="9" style="18"/>
  </cols>
  <sheetData>
    <row r="1" spans="1:16" ht="12" thickBot="1">
      <c r="A1" s="25" t="s">
        <v>67</v>
      </c>
      <c r="B1" s="26" t="s">
        <v>68</v>
      </c>
      <c r="C1" s="38" t="s">
        <v>32</v>
      </c>
      <c r="D1" s="16" t="s">
        <v>69</v>
      </c>
      <c r="E1" s="16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86" t="s">
        <v>33</v>
      </c>
      <c r="L1" s="16" t="s">
        <v>16</v>
      </c>
      <c r="M1" s="16" t="s">
        <v>17</v>
      </c>
      <c r="N1" s="16" t="s">
        <v>34</v>
      </c>
      <c r="O1" s="17" t="s">
        <v>20</v>
      </c>
      <c r="P1" s="72" t="s">
        <v>21</v>
      </c>
    </row>
    <row r="2" spans="1:16">
      <c r="A2" s="27" t="s">
        <v>40</v>
      </c>
      <c r="B2" s="27" t="s">
        <v>98</v>
      </c>
      <c r="C2" s="27" t="s">
        <v>86</v>
      </c>
      <c r="D2" s="27" t="s">
        <v>92</v>
      </c>
      <c r="E2" s="20">
        <v>1</v>
      </c>
      <c r="F2" s="20"/>
      <c r="G2" s="20"/>
      <c r="H2" s="20"/>
      <c r="I2" s="20"/>
      <c r="J2" s="20"/>
      <c r="K2" s="20"/>
      <c r="L2" s="20">
        <v>1</v>
      </c>
      <c r="M2" s="20">
        <v>1</v>
      </c>
      <c r="N2" s="20"/>
      <c r="O2" s="28"/>
      <c r="P2" s="19"/>
    </row>
    <row r="3" spans="1:16">
      <c r="A3" s="27"/>
      <c r="B3" s="28"/>
      <c r="C3" s="6"/>
      <c r="D3" s="20" t="s">
        <v>89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/>
      <c r="N3" s="20"/>
      <c r="O3" s="28"/>
      <c r="P3" s="19"/>
    </row>
    <row r="4" spans="1:16">
      <c r="A4" s="27"/>
      <c r="B4" s="28"/>
      <c r="C4" s="27"/>
      <c r="D4" s="20" t="s">
        <v>99</v>
      </c>
      <c r="E4" s="20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0"/>
      <c r="O4" s="28"/>
      <c r="P4" s="19">
        <v>1</v>
      </c>
    </row>
    <row r="5" spans="1:16">
      <c r="A5" s="27"/>
      <c r="B5" s="28"/>
      <c r="C5" s="27"/>
      <c r="D5" s="20" t="s">
        <v>87</v>
      </c>
      <c r="E5" s="20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0"/>
      <c r="O5" s="28"/>
      <c r="P5" s="19"/>
    </row>
    <row r="6" spans="1:16">
      <c r="A6" s="27"/>
      <c r="B6" s="28"/>
      <c r="C6" s="27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8"/>
      <c r="P6" s="19"/>
    </row>
    <row r="7" spans="1:16">
      <c r="A7" s="27"/>
      <c r="B7" s="28"/>
      <c r="C7" s="27" t="s">
        <v>95</v>
      </c>
      <c r="D7" s="20" t="s">
        <v>92</v>
      </c>
      <c r="E7" s="20">
        <v>1</v>
      </c>
      <c r="F7" s="20"/>
      <c r="G7" s="20"/>
      <c r="H7" s="20"/>
      <c r="I7" s="20"/>
      <c r="J7" s="20"/>
      <c r="K7" s="20"/>
      <c r="L7" s="20">
        <v>1</v>
      </c>
      <c r="M7" s="20">
        <v>1</v>
      </c>
      <c r="N7" s="20">
        <v>1</v>
      </c>
      <c r="O7" s="28">
        <v>1</v>
      </c>
      <c r="P7" s="19"/>
    </row>
    <row r="8" spans="1:16">
      <c r="A8" s="27"/>
      <c r="B8" s="28"/>
      <c r="C8" s="27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8"/>
      <c r="P8" s="19"/>
    </row>
    <row r="9" spans="1:16">
      <c r="A9" s="27"/>
      <c r="B9" s="27"/>
      <c r="C9" s="27"/>
      <c r="D9" s="20"/>
      <c r="E9" s="20"/>
      <c r="F9" s="1"/>
      <c r="G9" s="1"/>
      <c r="H9" s="1"/>
      <c r="I9" s="1"/>
      <c r="J9" s="1"/>
      <c r="K9" s="1"/>
      <c r="L9" s="1"/>
      <c r="M9" s="1"/>
      <c r="N9" s="1"/>
      <c r="O9" s="7"/>
      <c r="P9" s="19"/>
    </row>
    <row r="10" spans="1:16" ht="12" thickBot="1">
      <c r="A10" s="27"/>
      <c r="B10" s="28"/>
      <c r="C10" s="27"/>
      <c r="D10" s="20"/>
      <c r="E10" s="20"/>
      <c r="F10" s="1"/>
      <c r="G10" s="1"/>
      <c r="H10" s="1"/>
      <c r="I10" s="1"/>
      <c r="J10" s="1"/>
      <c r="K10" s="1"/>
      <c r="L10" s="1"/>
      <c r="M10" s="1"/>
      <c r="N10" s="1"/>
      <c r="O10" s="7"/>
      <c r="P10" s="158"/>
    </row>
    <row r="11" spans="1:16" ht="12" thickBot="1">
      <c r="A11" s="27"/>
      <c r="B11" s="28"/>
      <c r="C11" s="39" t="s">
        <v>63</v>
      </c>
      <c r="D11" s="40"/>
      <c r="E11" s="40"/>
      <c r="F11" s="40">
        <f>SUBTOTAL(109,Tabel312141618[Toiletrolhouder])</f>
        <v>1</v>
      </c>
      <c r="G11" s="40">
        <f>SUBTOTAL(109,Tabel312141618[Seatcleaner])</f>
        <v>1</v>
      </c>
      <c r="H11" s="40">
        <f>SUBTOTAL(109,Tabel312141618[Luchtverfrisser])</f>
        <v>1</v>
      </c>
      <c r="I11" s="40">
        <f>SUBTOTAL(109,Tabel312141618[Toiletborstel + houder])</f>
        <v>1</v>
      </c>
      <c r="J11" s="40">
        <f>SUBTOTAL(109,Tabel312141618[Vouwdoekjes])</f>
        <v>1</v>
      </c>
      <c r="K11" s="40">
        <f>SUBTOTAL(109,Tabel312141618[Verbandzakhouder])</f>
        <v>1</v>
      </c>
      <c r="L11" s="40">
        <f>SUBTOTAL(109,Tabel312141618[Foamzeep])</f>
        <v>5</v>
      </c>
      <c r="M11" s="40">
        <f>SUBTOTAL(109,Tabel312141618[Poetsrol])</f>
        <v>4</v>
      </c>
      <c r="N11" s="40">
        <f>SUBTOTAL(109,Tabel312141618[Handcreme])</f>
        <v>1</v>
      </c>
      <c r="O11" s="160">
        <f>SUBTOTAL(109,Tabel312141618[Industriezeep])</f>
        <v>1</v>
      </c>
      <c r="P11" s="149">
        <f>SUM(P2:P10)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D01C-D30E-4033-9211-981A1E748F9C}">
  <dimension ref="A1:P16"/>
  <sheetViews>
    <sheetView zoomScale="85" zoomScaleNormal="85" workbookViewId="0">
      <selection activeCell="J57" sqref="J57"/>
    </sheetView>
  </sheetViews>
  <sheetFormatPr defaultRowHeight="11.25"/>
  <cols>
    <col min="1" max="1" width="18.125" style="18" customWidth="1"/>
    <col min="2" max="2" width="13.25" style="18" customWidth="1"/>
    <col min="3" max="3" width="15.25" style="18" bestFit="1" customWidth="1"/>
    <col min="4" max="4" width="18.875" style="18" bestFit="1" customWidth="1"/>
    <col min="5" max="5" width="8.625" style="18" bestFit="1" customWidth="1"/>
    <col min="6" max="6" width="16.25" style="18" bestFit="1" customWidth="1"/>
    <col min="7" max="7" width="13.25" style="18" bestFit="1" customWidth="1"/>
    <col min="8" max="8" width="16" style="18" bestFit="1" customWidth="1"/>
    <col min="9" max="9" width="22.5" style="18" bestFit="1" customWidth="1"/>
    <col min="10" max="10" width="14.5" style="18" bestFit="1" customWidth="1"/>
    <col min="11" max="11" width="13.125" style="18" bestFit="1" customWidth="1"/>
    <col min="12" max="12" width="11.75" style="18" bestFit="1" customWidth="1"/>
    <col min="13" max="13" width="10.25" style="18" bestFit="1" customWidth="1"/>
    <col min="14" max="14" width="12.875" style="18" bestFit="1" customWidth="1"/>
    <col min="15" max="15" width="15" style="18" bestFit="1" customWidth="1"/>
    <col min="16" max="16" width="12.5" style="18" bestFit="1" customWidth="1"/>
    <col min="17" max="16384" width="9" style="18"/>
  </cols>
  <sheetData>
    <row r="1" spans="1:16" ht="12" thickBot="1">
      <c r="A1" s="70" t="s">
        <v>67</v>
      </c>
      <c r="B1" s="30" t="s">
        <v>68</v>
      </c>
      <c r="C1" s="32" t="s">
        <v>32</v>
      </c>
      <c r="D1" s="33" t="s">
        <v>69</v>
      </c>
      <c r="E1" s="33" t="s">
        <v>70</v>
      </c>
      <c r="F1" s="33" t="s">
        <v>5</v>
      </c>
      <c r="G1" s="33" t="s">
        <v>7</v>
      </c>
      <c r="H1" s="33" t="s">
        <v>9</v>
      </c>
      <c r="I1" s="33" t="s">
        <v>11</v>
      </c>
      <c r="J1" s="33" t="s">
        <v>13</v>
      </c>
      <c r="K1" s="86" t="s">
        <v>33</v>
      </c>
      <c r="L1" s="33" t="s">
        <v>16</v>
      </c>
      <c r="M1" s="33" t="s">
        <v>17</v>
      </c>
      <c r="N1" s="33" t="s">
        <v>34</v>
      </c>
      <c r="O1" s="34" t="s">
        <v>20</v>
      </c>
      <c r="P1" s="33" t="s">
        <v>21</v>
      </c>
    </row>
    <row r="2" spans="1:16">
      <c r="A2" s="20" t="s">
        <v>100</v>
      </c>
      <c r="B2" s="31" t="s">
        <v>101</v>
      </c>
      <c r="C2" s="35" t="s">
        <v>86</v>
      </c>
      <c r="D2" s="20" t="s">
        <v>90</v>
      </c>
      <c r="E2" s="19"/>
      <c r="F2" s="80"/>
      <c r="G2" s="80"/>
      <c r="H2" s="80"/>
      <c r="I2" s="80"/>
      <c r="J2" s="19"/>
      <c r="K2" s="19"/>
      <c r="L2" s="19">
        <v>1</v>
      </c>
      <c r="M2" s="135">
        <v>1</v>
      </c>
      <c r="N2" s="80"/>
      <c r="O2" s="85"/>
      <c r="P2" s="166"/>
    </row>
    <row r="3" spans="1:16">
      <c r="A3" s="20"/>
      <c r="B3" s="31"/>
      <c r="C3" s="35"/>
      <c r="D3" s="19" t="s">
        <v>73</v>
      </c>
      <c r="E3" s="19">
        <v>2</v>
      </c>
      <c r="F3" s="19">
        <v>2</v>
      </c>
      <c r="G3" s="19">
        <v>2</v>
      </c>
      <c r="H3" s="19">
        <v>2</v>
      </c>
      <c r="I3" s="19">
        <v>2</v>
      </c>
      <c r="J3" s="19">
        <v>1</v>
      </c>
      <c r="K3" s="19"/>
      <c r="L3" s="19">
        <v>1</v>
      </c>
      <c r="M3" s="135"/>
      <c r="N3" s="80"/>
      <c r="O3" s="85"/>
      <c r="P3" s="19"/>
    </row>
    <row r="4" spans="1:16">
      <c r="A4" s="20"/>
      <c r="B4" s="31"/>
      <c r="C4" s="35"/>
      <c r="D4" s="20" t="s">
        <v>74</v>
      </c>
      <c r="E4" s="19">
        <v>2</v>
      </c>
      <c r="F4" s="19">
        <v>2</v>
      </c>
      <c r="G4" s="19">
        <v>2</v>
      </c>
      <c r="H4" s="19">
        <v>2</v>
      </c>
      <c r="I4" s="19">
        <v>2</v>
      </c>
      <c r="J4" s="19">
        <v>1</v>
      </c>
      <c r="K4" s="19"/>
      <c r="L4" s="19">
        <v>1</v>
      </c>
      <c r="M4" s="135"/>
      <c r="N4" s="80"/>
      <c r="O4" s="85"/>
      <c r="P4" s="19"/>
    </row>
    <row r="5" spans="1:16">
      <c r="A5" s="20"/>
      <c r="B5" s="31"/>
      <c r="C5" s="35"/>
      <c r="D5" s="19" t="s">
        <v>92</v>
      </c>
      <c r="E5" s="19"/>
      <c r="F5" s="80"/>
      <c r="G5" s="80"/>
      <c r="H5" s="80"/>
      <c r="I5" s="80"/>
      <c r="J5" s="19"/>
      <c r="K5" s="19"/>
      <c r="L5" s="19">
        <v>1</v>
      </c>
      <c r="M5" s="135">
        <v>1</v>
      </c>
      <c r="N5" s="80"/>
      <c r="O5" s="85"/>
      <c r="P5" s="19"/>
    </row>
    <row r="6" spans="1:16">
      <c r="A6" s="20"/>
      <c r="B6" s="31"/>
      <c r="C6" s="35"/>
      <c r="D6" s="19"/>
      <c r="E6" s="19"/>
      <c r="F6" s="80"/>
      <c r="G6" s="80"/>
      <c r="H6" s="80"/>
      <c r="I6" s="80"/>
      <c r="J6" s="80"/>
      <c r="K6" s="80"/>
      <c r="L6" s="80"/>
      <c r="M6" s="80"/>
      <c r="N6" s="80"/>
      <c r="O6" s="85"/>
      <c r="P6" s="19"/>
    </row>
    <row r="7" spans="1:16">
      <c r="A7" s="20"/>
      <c r="B7" s="31"/>
      <c r="C7" s="35" t="s">
        <v>95</v>
      </c>
      <c r="D7" s="20" t="s">
        <v>89</v>
      </c>
      <c r="E7" s="19">
        <v>4</v>
      </c>
      <c r="F7" s="19">
        <v>4</v>
      </c>
      <c r="G7" s="19">
        <v>4</v>
      </c>
      <c r="H7" s="19">
        <v>4</v>
      </c>
      <c r="I7" s="19">
        <v>4</v>
      </c>
      <c r="J7" s="19">
        <v>2</v>
      </c>
      <c r="K7" s="19">
        <v>2</v>
      </c>
      <c r="L7" s="19">
        <v>1</v>
      </c>
      <c r="M7" s="19">
        <v>1</v>
      </c>
      <c r="N7" s="80"/>
      <c r="O7" s="85"/>
      <c r="P7" s="19"/>
    </row>
    <row r="8" spans="1:16">
      <c r="A8" s="20"/>
      <c r="B8" s="31"/>
      <c r="C8" s="35"/>
      <c r="D8" s="19" t="s">
        <v>102</v>
      </c>
      <c r="E8" s="19"/>
      <c r="F8" s="80"/>
      <c r="G8" s="80"/>
      <c r="H8" s="80"/>
      <c r="I8" s="80"/>
      <c r="J8" s="19"/>
      <c r="K8" s="80"/>
      <c r="L8" s="19">
        <v>1</v>
      </c>
      <c r="M8" s="135">
        <v>1</v>
      </c>
      <c r="N8" s="80"/>
      <c r="O8" s="85"/>
      <c r="P8" s="19"/>
    </row>
    <row r="9" spans="1:16">
      <c r="A9" s="20"/>
      <c r="B9" s="31"/>
      <c r="C9" s="35"/>
      <c r="D9" s="35" t="s">
        <v>103</v>
      </c>
      <c r="E9" s="19">
        <v>2</v>
      </c>
      <c r="F9" s="80"/>
      <c r="G9" s="80"/>
      <c r="H9" s="80"/>
      <c r="I9" s="80"/>
      <c r="J9" s="80"/>
      <c r="K9" s="80"/>
      <c r="L9" s="19">
        <v>1</v>
      </c>
      <c r="M9" s="19">
        <v>1</v>
      </c>
      <c r="N9" s="19">
        <v>1</v>
      </c>
      <c r="O9" s="96">
        <v>1</v>
      </c>
      <c r="P9" s="19">
        <v>1</v>
      </c>
    </row>
    <row r="10" spans="1:16">
      <c r="A10" s="20"/>
      <c r="B10" s="31"/>
      <c r="C10" s="35"/>
      <c r="D10" s="19" t="s">
        <v>104</v>
      </c>
      <c r="E10" s="19">
        <v>1</v>
      </c>
      <c r="F10" s="80"/>
      <c r="G10" s="80"/>
      <c r="H10" s="19">
        <v>1</v>
      </c>
      <c r="I10" s="80"/>
      <c r="J10" s="80"/>
      <c r="K10" s="80"/>
      <c r="L10" s="80"/>
      <c r="M10" s="80"/>
      <c r="N10" s="80"/>
      <c r="O10" s="85"/>
      <c r="P10" s="19"/>
    </row>
    <row r="11" spans="1:16">
      <c r="A11" s="20"/>
      <c r="B11" s="31"/>
      <c r="C11" s="35"/>
      <c r="D11" s="19" t="s">
        <v>92</v>
      </c>
      <c r="E11" s="19"/>
      <c r="F11" s="80"/>
      <c r="G11" s="80"/>
      <c r="H11" s="80"/>
      <c r="I11" s="80"/>
      <c r="J11" s="19"/>
      <c r="K11" s="19"/>
      <c r="L11" s="19">
        <v>1</v>
      </c>
      <c r="M11" s="19">
        <v>1</v>
      </c>
      <c r="N11" s="19">
        <v>1</v>
      </c>
      <c r="O11" s="96">
        <v>1</v>
      </c>
      <c r="P11" s="19"/>
    </row>
    <row r="12" spans="1:16">
      <c r="A12" s="20"/>
      <c r="B12" s="31"/>
      <c r="C12" s="35"/>
      <c r="D12" s="19"/>
      <c r="E12" s="19"/>
      <c r="F12" s="80"/>
      <c r="G12" s="80"/>
      <c r="H12" s="80"/>
      <c r="I12" s="80"/>
      <c r="J12" s="80"/>
      <c r="K12" s="80"/>
      <c r="L12" s="80"/>
      <c r="M12" s="80"/>
      <c r="N12" s="80"/>
      <c r="O12" s="85"/>
      <c r="P12" s="19"/>
    </row>
    <row r="13" spans="1:16">
      <c r="A13" s="20"/>
      <c r="B13" s="31"/>
      <c r="C13" s="35" t="s">
        <v>105</v>
      </c>
      <c r="D13" s="19" t="s">
        <v>92</v>
      </c>
      <c r="E13" s="19"/>
      <c r="F13" s="80"/>
      <c r="G13" s="80"/>
      <c r="H13" s="80"/>
      <c r="I13" s="80"/>
      <c r="J13" s="19"/>
      <c r="K13" s="19"/>
      <c r="L13" s="19">
        <v>1</v>
      </c>
      <c r="M13" s="135">
        <v>1</v>
      </c>
      <c r="N13" s="80"/>
      <c r="O13" s="85"/>
      <c r="P13" s="19"/>
    </row>
    <row r="14" spans="1:16">
      <c r="A14" s="20"/>
      <c r="B14" s="31"/>
      <c r="C14" s="35" t="s">
        <v>106</v>
      </c>
      <c r="D14" s="19" t="s">
        <v>92</v>
      </c>
      <c r="E14" s="19"/>
      <c r="F14" s="80"/>
      <c r="G14" s="80"/>
      <c r="H14" s="80"/>
      <c r="I14" s="80"/>
      <c r="J14" s="19"/>
      <c r="K14" s="19"/>
      <c r="L14" s="19">
        <v>1</v>
      </c>
      <c r="M14" s="135">
        <v>1</v>
      </c>
      <c r="N14" s="80"/>
      <c r="O14" s="85"/>
      <c r="P14" s="19"/>
    </row>
    <row r="15" spans="1:16" ht="12" thickBot="1">
      <c r="A15" s="20"/>
      <c r="B15" s="31"/>
      <c r="C15" s="35"/>
      <c r="D15" s="19"/>
      <c r="E15" s="19"/>
      <c r="F15" s="80"/>
      <c r="G15" s="80"/>
      <c r="H15" s="80"/>
      <c r="I15" s="80"/>
      <c r="J15" s="80"/>
      <c r="K15" s="80"/>
      <c r="L15" s="80"/>
      <c r="M15" s="80"/>
      <c r="N15" s="80"/>
      <c r="O15" s="85"/>
      <c r="P15" s="158"/>
    </row>
    <row r="16" spans="1:16" ht="12" thickBot="1">
      <c r="A16" s="20"/>
      <c r="B16" s="31"/>
      <c r="C16" s="41" t="s">
        <v>63</v>
      </c>
      <c r="D16" s="42"/>
      <c r="E16" s="42"/>
      <c r="F16" s="42">
        <f>SUBTOTAL(109,Tabel312148[Toiletrolhouder])</f>
        <v>8</v>
      </c>
      <c r="G16" s="42">
        <f>SUBTOTAL(109,Tabel312148[Seatcleaner])</f>
        <v>8</v>
      </c>
      <c r="H16" s="42">
        <f>SUBTOTAL(109,Tabel312148[Luchtverfrisser])</f>
        <v>9</v>
      </c>
      <c r="I16" s="42">
        <f>SUBTOTAL(109,Tabel312148[Toiletborstel + houder])</f>
        <v>8</v>
      </c>
      <c r="J16" s="42">
        <f>SUBTOTAL(109,Tabel312148[Vouwdoekjes])</f>
        <v>4</v>
      </c>
      <c r="K16" s="42">
        <f>SUBTOTAL(109,Tabel312148[Verbandzakhouder])</f>
        <v>2</v>
      </c>
      <c r="L16" s="42">
        <f>SUBTOTAL(109,Tabel312148[Foamzeep])</f>
        <v>10</v>
      </c>
      <c r="M16" s="42">
        <f>SUBTOTAL(109,Tabel312148[Poetsrol])</f>
        <v>8</v>
      </c>
      <c r="N16" s="42">
        <f>SUBTOTAL(109,Tabel312148[Handcreme])</f>
        <v>2</v>
      </c>
      <c r="O16" s="43">
        <f>SUBTOTAL(109,Tabel312148[Industriezeep])</f>
        <v>2</v>
      </c>
      <c r="P16" s="155">
        <f>SUM(P2:P15)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40F33-2D18-47CB-B91D-369CB0094ECA}">
  <dimension ref="A1:P18"/>
  <sheetViews>
    <sheetView zoomScale="85" zoomScaleNormal="85" workbookViewId="0">
      <selection activeCell="L34" sqref="L34"/>
    </sheetView>
  </sheetViews>
  <sheetFormatPr defaultRowHeight="11.25"/>
  <cols>
    <col min="1" max="1" width="21" bestFit="1" customWidth="1"/>
    <col min="2" max="2" width="21.5" customWidth="1"/>
    <col min="3" max="3" width="14.75" bestFit="1" customWidth="1"/>
    <col min="4" max="4" width="17" customWidth="1"/>
    <col min="5" max="5" width="8.375" bestFit="1" customWidth="1"/>
    <col min="6" max="6" width="21.625" customWidth="1"/>
    <col min="7" max="7" width="13" bestFit="1" customWidth="1"/>
    <col min="8" max="8" width="15.875" bestFit="1" customWidth="1"/>
    <col min="9" max="9" width="21.75" bestFit="1" customWidth="1"/>
    <col min="10" max="10" width="14.25" bestFit="1" customWidth="1"/>
    <col min="11" max="11" width="12.875" bestFit="1" customWidth="1"/>
    <col min="12" max="12" width="11.5" bestFit="1" customWidth="1"/>
    <col min="13" max="13" width="10" bestFit="1" customWidth="1"/>
    <col min="14" max="14" width="12.5" bestFit="1" customWidth="1"/>
    <col min="15" max="15" width="14.5" bestFit="1" customWidth="1"/>
    <col min="16" max="16" width="11.625" customWidth="1"/>
  </cols>
  <sheetData>
    <row r="1" spans="1:16" ht="12" thickBot="1">
      <c r="A1" s="2" t="s">
        <v>67</v>
      </c>
      <c r="B1" s="3" t="s">
        <v>68</v>
      </c>
      <c r="C1" s="3" t="s">
        <v>32</v>
      </c>
      <c r="D1" s="3" t="s">
        <v>69</v>
      </c>
      <c r="E1" s="3" t="s">
        <v>70</v>
      </c>
      <c r="F1" s="3" t="s">
        <v>5</v>
      </c>
      <c r="G1" s="3" t="s">
        <v>7</v>
      </c>
      <c r="H1" s="3" t="s">
        <v>9</v>
      </c>
      <c r="I1" s="3" t="s">
        <v>11</v>
      </c>
      <c r="J1" s="3" t="s">
        <v>13</v>
      </c>
      <c r="K1" s="86" t="s">
        <v>33</v>
      </c>
      <c r="L1" s="3" t="s">
        <v>16</v>
      </c>
      <c r="M1" s="3" t="s">
        <v>17</v>
      </c>
      <c r="N1" s="3" t="s">
        <v>34</v>
      </c>
      <c r="O1" s="45" t="s">
        <v>20</v>
      </c>
      <c r="P1" s="168" t="s">
        <v>21</v>
      </c>
    </row>
    <row r="2" spans="1:16">
      <c r="A2" s="22" t="s">
        <v>107</v>
      </c>
      <c r="B2" s="20" t="s">
        <v>108</v>
      </c>
      <c r="C2" s="20" t="s">
        <v>109</v>
      </c>
      <c r="D2" s="20" t="s">
        <v>95</v>
      </c>
      <c r="E2" s="20">
        <v>2</v>
      </c>
      <c r="F2" s="20"/>
      <c r="G2" s="20"/>
      <c r="H2" s="20"/>
      <c r="I2" s="20"/>
      <c r="J2" s="20"/>
      <c r="K2" s="20"/>
      <c r="L2" s="20"/>
      <c r="M2" s="20"/>
      <c r="N2" s="28"/>
      <c r="O2" s="19"/>
      <c r="P2" s="80"/>
    </row>
    <row r="3" spans="1:16">
      <c r="A3" s="22"/>
      <c r="B3" s="20"/>
      <c r="C3" s="20"/>
      <c r="D3" s="20" t="s">
        <v>89</v>
      </c>
      <c r="E3" s="20">
        <v>4</v>
      </c>
      <c r="F3" s="20"/>
      <c r="G3" s="20"/>
      <c r="H3" s="20"/>
      <c r="I3" s="20"/>
      <c r="J3" s="20"/>
      <c r="K3" s="20"/>
      <c r="L3" s="20"/>
      <c r="M3" s="20"/>
      <c r="N3" s="28"/>
      <c r="O3" s="19"/>
      <c r="P3" s="80"/>
    </row>
    <row r="4" spans="1:16">
      <c r="A4" s="22"/>
      <c r="B4" s="20"/>
      <c r="C4" s="20"/>
      <c r="D4" s="20" t="s">
        <v>110</v>
      </c>
      <c r="E4" s="20">
        <v>1</v>
      </c>
      <c r="F4" s="20"/>
      <c r="G4" s="20"/>
      <c r="H4" s="20"/>
      <c r="I4" s="20"/>
      <c r="J4" s="20"/>
      <c r="K4" s="20"/>
      <c r="L4" s="20"/>
      <c r="M4" s="20"/>
      <c r="N4" s="28"/>
      <c r="O4" s="19"/>
      <c r="P4" s="80"/>
    </row>
    <row r="5" spans="1:16">
      <c r="A5" s="2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8"/>
      <c r="O5" s="19"/>
      <c r="P5" s="80"/>
    </row>
    <row r="6" spans="1:16">
      <c r="A6" s="22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8"/>
      <c r="O6" s="19"/>
      <c r="P6" s="80"/>
    </row>
    <row r="7" spans="1:16">
      <c r="A7" s="22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8"/>
      <c r="O7" s="19"/>
      <c r="P7" s="80"/>
    </row>
    <row r="8" spans="1:16">
      <c r="A8" s="22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8"/>
      <c r="O8" s="19"/>
      <c r="P8" s="80"/>
    </row>
    <row r="9" spans="1:16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"/>
      <c r="O9" s="80"/>
      <c r="P9" s="80"/>
    </row>
    <row r="10" spans="1:16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"/>
      <c r="O10" s="80"/>
      <c r="P10" s="80"/>
    </row>
    <row r="11" spans="1:16" ht="12" thickBot="1">
      <c r="A11" s="5"/>
      <c r="B11" s="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67"/>
      <c r="O11" s="157"/>
      <c r="P11" s="157"/>
    </row>
    <row r="12" spans="1:16" ht="12" thickBot="1">
      <c r="C12" s="39" t="s">
        <v>63</v>
      </c>
      <c r="D12" s="40"/>
      <c r="E12" s="40"/>
      <c r="F12" s="40">
        <f>SUBTOTAL(109,Tabel312149[Toiletrolhouder])</f>
        <v>0</v>
      </c>
      <c r="G12" s="40">
        <f>SUBTOTAL(109,Tabel312149[Seatcleaner])</f>
        <v>0</v>
      </c>
      <c r="H12" s="40">
        <f>SUBTOTAL(109,Tabel312149[Luchtverfrisser])</f>
        <v>0</v>
      </c>
      <c r="I12" s="40">
        <f>SUBTOTAL(109,Tabel312149[Toiletborstel + houder])</f>
        <v>0</v>
      </c>
      <c r="J12" s="40">
        <f>SUBTOTAL(109,Tabel312149[Vouwdoekjes])</f>
        <v>0</v>
      </c>
      <c r="K12" s="40">
        <f>SUBTOTAL(109,Tabel312149[Verbandzakhouder])</f>
        <v>0</v>
      </c>
      <c r="L12" s="40">
        <f>SUBTOTAL(109,Tabel312149[Foamzeep])</f>
        <v>0</v>
      </c>
      <c r="M12" s="40">
        <f>SUBTOTAL(109,Tabel312149[Poetsrol])</f>
        <v>0</v>
      </c>
      <c r="N12" s="160">
        <f>SUBTOTAL(109,Tabel312149[Handcreme])</f>
        <v>0</v>
      </c>
      <c r="O12" s="39">
        <f>SUBTOTAL(109,Tabel312149[Industriezeep])</f>
        <v>0</v>
      </c>
      <c r="P12" s="44" t="s">
        <v>111</v>
      </c>
    </row>
    <row r="18" spans="8:10">
      <c r="H18" s="82" t="s">
        <v>112</v>
      </c>
      <c r="I18" s="82"/>
      <c r="J18" s="82"/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55DD-E3AA-45E6-B386-0FB44C67E71F}">
  <dimension ref="A1:P12"/>
  <sheetViews>
    <sheetView zoomScale="85" zoomScaleNormal="85" workbookViewId="0">
      <selection activeCell="O20" sqref="O20"/>
    </sheetView>
  </sheetViews>
  <sheetFormatPr defaultRowHeight="11.25"/>
  <cols>
    <col min="1" max="1" width="8" bestFit="1" customWidth="1"/>
    <col min="2" max="2" width="14.75" bestFit="1" customWidth="1"/>
    <col min="3" max="3" width="15.125" customWidth="1"/>
    <col min="4" max="4" width="20.5" customWidth="1"/>
    <col min="5" max="5" width="8.375" bestFit="1" customWidth="1"/>
    <col min="6" max="6" width="15.875" bestFit="1" customWidth="1"/>
    <col min="7" max="7" width="13" bestFit="1" customWidth="1"/>
    <col min="8" max="8" width="15.875" bestFit="1" customWidth="1"/>
    <col min="9" max="9" width="21.75" bestFit="1" customWidth="1"/>
    <col min="10" max="10" width="14.25" bestFit="1" customWidth="1"/>
    <col min="11" max="11" width="12.875" bestFit="1" customWidth="1"/>
    <col min="12" max="12" width="11.5" bestFit="1" customWidth="1"/>
    <col min="13" max="13" width="10" bestFit="1" customWidth="1"/>
    <col min="14" max="14" width="12.5" bestFit="1" customWidth="1"/>
    <col min="15" max="15" width="14.5" bestFit="1" customWidth="1"/>
    <col min="16" max="16" width="13.125" customWidth="1"/>
  </cols>
  <sheetData>
    <row r="1" spans="1:16" ht="12" thickBot="1">
      <c r="A1" s="2" t="s">
        <v>67</v>
      </c>
      <c r="B1" s="3" t="s">
        <v>68</v>
      </c>
      <c r="C1" s="3" t="s">
        <v>32</v>
      </c>
      <c r="D1" s="3" t="s">
        <v>69</v>
      </c>
      <c r="E1" s="3" t="s">
        <v>70</v>
      </c>
      <c r="F1" s="16" t="s">
        <v>5</v>
      </c>
      <c r="G1" s="16" t="s">
        <v>7</v>
      </c>
      <c r="H1" s="16" t="s">
        <v>9</v>
      </c>
      <c r="I1" s="16" t="s">
        <v>11</v>
      </c>
      <c r="J1" s="16" t="s">
        <v>13</v>
      </c>
      <c r="K1" s="94" t="s">
        <v>33</v>
      </c>
      <c r="L1" s="16" t="s">
        <v>16</v>
      </c>
      <c r="M1" s="16" t="s">
        <v>17</v>
      </c>
      <c r="N1" s="16" t="s">
        <v>34</v>
      </c>
      <c r="O1" s="170" t="s">
        <v>20</v>
      </c>
      <c r="P1" s="171" t="s">
        <v>21</v>
      </c>
    </row>
    <row r="2" spans="1:16">
      <c r="A2" s="77" t="s">
        <v>113</v>
      </c>
      <c r="B2" s="78" t="s">
        <v>114</v>
      </c>
      <c r="C2" s="79" t="s">
        <v>115</v>
      </c>
      <c r="D2" s="19" t="s">
        <v>73</v>
      </c>
      <c r="E2" s="78">
        <v>2</v>
      </c>
      <c r="F2" s="20">
        <v>2</v>
      </c>
      <c r="G2" s="20">
        <v>2</v>
      </c>
      <c r="H2" s="20">
        <v>2</v>
      </c>
      <c r="I2" s="20">
        <v>2</v>
      </c>
      <c r="J2" s="20">
        <v>2</v>
      </c>
      <c r="K2" s="20"/>
      <c r="L2" s="20">
        <v>2</v>
      </c>
      <c r="M2" s="20"/>
      <c r="N2" s="28"/>
      <c r="O2" s="19"/>
      <c r="P2" s="23"/>
    </row>
    <row r="3" spans="1:16">
      <c r="A3" s="77"/>
      <c r="B3" s="78"/>
      <c r="C3" s="6"/>
      <c r="D3" s="20" t="s">
        <v>74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  <c r="K3" s="20">
        <v>1</v>
      </c>
      <c r="L3" s="20">
        <v>1</v>
      </c>
      <c r="M3" s="20"/>
      <c r="N3" s="28"/>
      <c r="O3" s="19"/>
      <c r="P3" s="20"/>
    </row>
    <row r="4" spans="1:16">
      <c r="A4" s="77"/>
      <c r="B4" s="78"/>
      <c r="C4" s="78"/>
      <c r="D4" s="20" t="s">
        <v>88</v>
      </c>
      <c r="E4" s="78">
        <v>1</v>
      </c>
      <c r="F4" s="20"/>
      <c r="G4" s="20"/>
      <c r="H4" s="20"/>
      <c r="I4" s="20"/>
      <c r="J4" s="20"/>
      <c r="K4" s="20"/>
      <c r="L4" s="20">
        <v>1</v>
      </c>
      <c r="M4" s="20">
        <v>1</v>
      </c>
      <c r="N4" s="28"/>
      <c r="O4" s="19"/>
      <c r="P4" s="20">
        <v>1</v>
      </c>
    </row>
    <row r="5" spans="1:16">
      <c r="A5" s="77"/>
      <c r="B5" s="78"/>
      <c r="C5" s="78"/>
      <c r="D5" s="20" t="s">
        <v>87</v>
      </c>
      <c r="E5" s="78">
        <v>1</v>
      </c>
      <c r="F5" s="20"/>
      <c r="G5" s="20"/>
      <c r="H5" s="20"/>
      <c r="I5" s="20"/>
      <c r="J5" s="20"/>
      <c r="K5" s="20"/>
      <c r="L5" s="20">
        <v>1</v>
      </c>
      <c r="M5" s="20">
        <v>1</v>
      </c>
      <c r="N5" s="28"/>
      <c r="O5" s="19"/>
      <c r="P5" s="20"/>
    </row>
    <row r="6" spans="1:16">
      <c r="A6" s="77"/>
      <c r="B6" s="78"/>
      <c r="C6" s="78"/>
      <c r="D6" s="20" t="s">
        <v>90</v>
      </c>
      <c r="E6" s="78">
        <v>1</v>
      </c>
      <c r="F6" s="20"/>
      <c r="G6" s="20"/>
      <c r="H6" s="20"/>
      <c r="I6" s="20"/>
      <c r="J6" s="20"/>
      <c r="K6" s="20"/>
      <c r="L6" s="20">
        <v>1</v>
      </c>
      <c r="M6" s="20">
        <v>1</v>
      </c>
      <c r="N6" s="28"/>
      <c r="O6" s="19"/>
      <c r="P6" s="20"/>
    </row>
    <row r="7" spans="1:16">
      <c r="A7" s="77"/>
      <c r="B7" s="78"/>
      <c r="C7" s="78"/>
      <c r="D7" s="20" t="s">
        <v>116</v>
      </c>
      <c r="E7" s="78">
        <v>1</v>
      </c>
      <c r="F7" s="20"/>
      <c r="G7" s="20"/>
      <c r="H7" s="20"/>
      <c r="I7" s="20"/>
      <c r="J7" s="20"/>
      <c r="K7" s="20"/>
      <c r="L7" s="20">
        <v>1</v>
      </c>
      <c r="M7" s="20">
        <v>1</v>
      </c>
      <c r="N7" s="28"/>
      <c r="O7" s="19"/>
      <c r="P7" s="20"/>
    </row>
    <row r="8" spans="1:16">
      <c r="A8" s="77"/>
      <c r="B8" s="78"/>
      <c r="C8" s="78"/>
      <c r="D8" s="20" t="s">
        <v>90</v>
      </c>
      <c r="E8" s="78">
        <v>1</v>
      </c>
      <c r="F8" s="20"/>
      <c r="G8" s="20"/>
      <c r="H8" s="20"/>
      <c r="I8" s="20"/>
      <c r="J8" s="20"/>
      <c r="K8" s="20"/>
      <c r="L8" s="20">
        <v>1</v>
      </c>
      <c r="M8" s="20">
        <v>1</v>
      </c>
      <c r="N8" s="28"/>
      <c r="O8" s="19"/>
      <c r="P8" s="20"/>
    </row>
    <row r="9" spans="1:16">
      <c r="A9" s="77"/>
      <c r="B9" s="78"/>
      <c r="C9" s="78"/>
      <c r="D9" s="20" t="s">
        <v>95</v>
      </c>
      <c r="E9" s="78">
        <v>1</v>
      </c>
      <c r="F9" s="20"/>
      <c r="G9" s="20"/>
      <c r="H9" s="20"/>
      <c r="I9" s="20"/>
      <c r="J9" s="20"/>
      <c r="K9" s="20"/>
      <c r="L9" s="20">
        <v>1</v>
      </c>
      <c r="M9" s="20">
        <v>1</v>
      </c>
      <c r="N9" s="28">
        <v>1</v>
      </c>
      <c r="O9" s="19">
        <v>1</v>
      </c>
      <c r="P9" s="20"/>
    </row>
    <row r="10" spans="1:16">
      <c r="A10" s="77"/>
      <c r="B10" s="78"/>
      <c r="C10" s="78"/>
      <c r="D10" s="78"/>
      <c r="E10" s="78"/>
      <c r="F10" s="20"/>
      <c r="G10" s="20"/>
      <c r="H10" s="20"/>
      <c r="I10" s="20"/>
      <c r="J10" s="20"/>
      <c r="K10" s="20"/>
      <c r="L10" s="20"/>
      <c r="M10" s="20"/>
      <c r="N10" s="28"/>
      <c r="O10" s="19"/>
      <c r="P10" s="20"/>
    </row>
    <row r="11" spans="1:16" ht="12" thickBot="1">
      <c r="A11" s="77"/>
      <c r="B11" s="78"/>
      <c r="C11" s="11"/>
      <c r="D11" s="11"/>
      <c r="E11" s="11"/>
      <c r="F11" s="24"/>
      <c r="G11" s="24"/>
      <c r="H11" s="24"/>
      <c r="I11" s="24"/>
      <c r="J11" s="24"/>
      <c r="K11" s="24"/>
      <c r="L11" s="24"/>
      <c r="M11" s="24"/>
      <c r="N11" s="29"/>
      <c r="O11" s="158"/>
      <c r="P11" s="24"/>
    </row>
    <row r="12" spans="1:16" ht="12" thickBot="1">
      <c r="A12" s="77"/>
      <c r="B12" s="78"/>
      <c r="C12" s="39" t="s">
        <v>63</v>
      </c>
      <c r="D12" s="40"/>
      <c r="E12" s="40"/>
      <c r="F12" s="40">
        <f>SUBTOTAL(109,Tabel3121411[Toiletrolhouder])</f>
        <v>3</v>
      </c>
      <c r="G12" s="40">
        <f>SUBTOTAL(109,Tabel3121411[Seatcleaner])</f>
        <v>3</v>
      </c>
      <c r="H12" s="40">
        <f>SUBTOTAL(109,Tabel3121411[Luchtverfrisser])</f>
        <v>3</v>
      </c>
      <c r="I12" s="40">
        <f>SUBTOTAL(109,Tabel3121411[Toiletborstel + houder])</f>
        <v>3</v>
      </c>
      <c r="J12" s="40">
        <f>SUBTOTAL(109,Tabel3121411[Vouwdoekjes])</f>
        <v>3</v>
      </c>
      <c r="K12" s="40">
        <f>SUBTOTAL(109,Tabel3121411[Verbandzakhouder])</f>
        <v>1</v>
      </c>
      <c r="L12" s="40">
        <f>SUBTOTAL(109,Tabel3121411[Foamzeep])</f>
        <v>9</v>
      </c>
      <c r="M12" s="40">
        <f>SUBTOTAL(109,Tabel3121411[Poetsrol])</f>
        <v>6</v>
      </c>
      <c r="N12" s="160">
        <f>SUBTOTAL(109,Tabel3121411[Handcreme])</f>
        <v>1</v>
      </c>
      <c r="O12" s="149">
        <f>SUBTOTAL(109,Tabel3121411[Industriezeep])</f>
        <v>1</v>
      </c>
      <c r="P12" s="169">
        <f>SUM(P2:P11)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C23F01F75BC46960AB10D6F17CC08" ma:contentTypeVersion="14" ma:contentTypeDescription="Een nieuw document maken." ma:contentTypeScope="" ma:versionID="4e46589d0f894641d2579b6fc5110d6f">
  <xsd:schema xmlns:xsd="http://www.w3.org/2001/XMLSchema" xmlns:xs="http://www.w3.org/2001/XMLSchema" xmlns:p="http://schemas.microsoft.com/office/2006/metadata/properties" xmlns:ns2="ab240b2f-848b-4c9c-9629-b072164930e7" xmlns:ns3="963d7605-9802-420b-a44d-1399583a0e8c" targetNamespace="http://schemas.microsoft.com/office/2006/metadata/properties" ma:root="true" ma:fieldsID="4495cd5a13f0e04b342740a26af8ce5f" ns2:_="" ns3:_="">
    <xsd:import namespace="ab240b2f-848b-4c9c-9629-b072164930e7"/>
    <xsd:import namespace="963d7605-9802-420b-a44d-1399583a0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40b2f-848b-4c9c-9629-b07216493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15798b9-d85f-4e40-bcfc-5fb28d00c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d7605-9802-420b-a44d-1399583a0e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eed21c2-0e97-4ada-a6ff-b44aa6f191aa}" ma:internalName="TaxCatchAll" ma:showField="CatchAllData" ma:web="963d7605-9802-420b-a44d-1399583a0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40b2f-848b-4c9c-9629-b072164930e7">
      <Terms xmlns="http://schemas.microsoft.com/office/infopath/2007/PartnerControls"/>
    </lcf76f155ced4ddcb4097134ff3c332f>
    <TaxCatchAll xmlns="963d7605-9802-420b-a44d-1399583a0e8c" xsi:nil="true"/>
  </documentManagement>
</p:properties>
</file>

<file path=customXml/itemProps1.xml><?xml version="1.0" encoding="utf-8"?>
<ds:datastoreItem xmlns:ds="http://schemas.openxmlformats.org/officeDocument/2006/customXml" ds:itemID="{92E82ABE-5313-4149-8274-79AD3CAD8CE4}"/>
</file>

<file path=customXml/itemProps2.xml><?xml version="1.0" encoding="utf-8"?>
<ds:datastoreItem xmlns:ds="http://schemas.openxmlformats.org/officeDocument/2006/customXml" ds:itemID="{18E8CD49-0B53-492C-8521-219EED4A02C7}"/>
</file>

<file path=customXml/itemProps3.xml><?xml version="1.0" encoding="utf-8"?>
<ds:datastoreItem xmlns:ds="http://schemas.openxmlformats.org/officeDocument/2006/customXml" ds:itemID="{EF9B3967-B59C-45A8-A4F3-4E70A4D942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Waterschap Vallei en Veluwe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Wiegman-Kip, Dennie</dc:creator>
  <cp:keywords/>
  <dc:description/>
  <cp:lastModifiedBy>Wiegman-Kip, Dennie</cp:lastModifiedBy>
  <cp:revision/>
  <dcterms:created xsi:type="dcterms:W3CDTF">2025-01-21T10:32:07Z</dcterms:created>
  <dcterms:modified xsi:type="dcterms:W3CDTF">2025-03-25T07:58:48Z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0x010100A1EC23F01F75BC46960AB10D6F17CC08</vt:lpwstr>
  </property>
  <property fmtid="{D5CDD505-2E9C-101B-9397-08002B2CF9AE}" pid="3" name="MediaServiceImageTags">
    <vt:lpwstr/>
  </property>
</Properties>
</file>