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R:\Tenderdesk\2025\Begeleiding\Dijk en Waard\NVI\"/>
    </mc:Choice>
  </mc:AlternateContent>
  <xr:revisionPtr revIDLastSave="0" documentId="8_{DB03749E-D498-4DE9-9112-92CFDCD8EA3A}" xr6:coauthVersionLast="47" xr6:coauthVersionMax="47" xr10:uidLastSave="{00000000-0000-0000-0000-000000000000}"/>
  <bookViews>
    <workbookView xWindow="-108" yWindow="-108" windowWidth="23256" windowHeight="12576" activeTab="3" xr2:uid="{266F3F6A-FDA8-498A-9FA8-79025598F82F}"/>
  </bookViews>
  <sheets>
    <sheet name="Heerhugowaard per 010924" sheetId="3" r:id="rId1"/>
    <sheet name="Langedijk per 010924" sheetId="4" r:id="rId2"/>
    <sheet name="Sub D" sheetId="5" r:id="rId3"/>
    <sheet name="materieel" sheetId="6" r:id="rId4"/>
  </sheets>
  <externalReferences>
    <externalReference r:id="rId5"/>
  </externalReferences>
  <definedNames>
    <definedName name="_xlnm._FilterDatabase" localSheetId="0" hidden="1">'Heerhugowaard per 010924'!$C$1:$C$140</definedName>
    <definedName name="_xlnm._FilterDatabase" localSheetId="1" hidden="1">'Langedijk per 010924'!$A$1:$S$58</definedName>
    <definedName name="_xlnm.Print_Area" localSheetId="0">'Heerhugowaard per 010924'!$A$1:$P$133</definedName>
    <definedName name="_xlnm.Print_Area" localSheetId="1">'Langedijk per 010924'!$B$1:$Q$60</definedName>
    <definedName name="_xlnm.Print_Area" localSheetId="3">materieel!$F$1:$L$77</definedName>
    <definedName name="_xlnm.Print_Titles" localSheetId="0">'Heerhugowaard per 010924'!$1:$2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0" i="3" l="1"/>
  <c r="N140" i="3"/>
  <c r="N68" i="4"/>
  <c r="P68" i="4" s="1"/>
  <c r="Q68" i="4" s="1"/>
  <c r="U68" i="4" s="1"/>
  <c r="J68" i="4"/>
  <c r="K68" i="4" s="1"/>
  <c r="M68" i="4" s="1"/>
  <c r="N67" i="4"/>
  <c r="P67" i="4"/>
  <c r="Q67" i="4" s="1"/>
  <c r="U67" i="4" s="1"/>
  <c r="W67" i="4" s="1"/>
  <c r="J67" i="4"/>
  <c r="K67" i="4" s="1"/>
  <c r="M67" i="4" s="1"/>
  <c r="N66" i="4"/>
  <c r="Q66" i="4"/>
  <c r="I66" i="4"/>
  <c r="J66" i="4" s="1"/>
  <c r="K66" i="4" s="1"/>
  <c r="M66" i="4" s="1"/>
  <c r="G66" i="4"/>
  <c r="H66" i="4"/>
  <c r="O139" i="3"/>
  <c r="J139" i="3"/>
  <c r="L139" i="3" s="1"/>
  <c r="N139" i="3" s="1"/>
  <c r="H139" i="3"/>
  <c r="N42" i="3"/>
  <c r="P46" i="4"/>
  <c r="O46" i="4"/>
  <c r="P40" i="4"/>
  <c r="O40" i="4"/>
  <c r="O38" i="4"/>
  <c r="P17" i="4"/>
  <c r="P12" i="4"/>
  <c r="P38" i="4"/>
  <c r="P45" i="4"/>
  <c r="O105" i="3"/>
  <c r="N105" i="3"/>
  <c r="N72" i="3"/>
  <c r="N71" i="3"/>
  <c r="O64" i="3"/>
  <c r="O88" i="3"/>
  <c r="N88" i="3"/>
  <c r="N87" i="3"/>
  <c r="O86" i="3"/>
  <c r="O83" i="3"/>
  <c r="N82" i="3"/>
  <c r="N80" i="3"/>
  <c r="N79" i="3"/>
  <c r="O78" i="3"/>
  <c r="N78" i="3"/>
  <c r="N75" i="3"/>
  <c r="N70" i="3"/>
  <c r="O42" i="3"/>
  <c r="O40" i="3"/>
  <c r="O39" i="3"/>
  <c r="O38" i="3"/>
  <c r="N38" i="3"/>
  <c r="O37" i="3"/>
  <c r="O36" i="3"/>
  <c r="O35" i="3"/>
  <c r="O34" i="3"/>
  <c r="O33" i="3"/>
  <c r="N27" i="3"/>
  <c r="N8" i="3"/>
  <c r="N9" i="3"/>
  <c r="O10" i="3"/>
  <c r="O4" i="3"/>
  <c r="N4" i="3"/>
  <c r="P4" i="3" s="1"/>
  <c r="N10" i="3"/>
  <c r="P10" i="3" s="1"/>
  <c r="O29" i="3"/>
  <c r="O27" i="3"/>
  <c r="O25" i="3"/>
  <c r="O24" i="3"/>
  <c r="O23" i="3"/>
  <c r="O19" i="3"/>
  <c r="O15" i="3"/>
  <c r="O14" i="3"/>
  <c r="O6" i="3"/>
  <c r="O7" i="3"/>
  <c r="I64" i="3"/>
  <c r="J64" i="3"/>
  <c r="L64" i="3" s="1"/>
  <c r="N64" i="3" s="1"/>
  <c r="P64" i="3" s="1"/>
  <c r="M72" i="3"/>
  <c r="O72" i="3" s="1"/>
  <c r="H72" i="3"/>
  <c r="M71" i="3"/>
  <c r="O71" i="3" s="1"/>
  <c r="H71" i="3"/>
  <c r="I71" i="3" s="1"/>
  <c r="J71" i="3" s="1"/>
  <c r="H4" i="3"/>
  <c r="I4" i="3" s="1"/>
  <c r="K27" i="3"/>
  <c r="K30" i="3"/>
  <c r="K54" i="3" s="1"/>
  <c r="H27" i="3"/>
  <c r="H105" i="3"/>
  <c r="I105" i="3" s="1"/>
  <c r="M75" i="3"/>
  <c r="O75" i="3"/>
  <c r="H75" i="3"/>
  <c r="I75" i="3" s="1"/>
  <c r="J75" i="3" s="1"/>
  <c r="H78" i="3"/>
  <c r="I78" i="3" s="1"/>
  <c r="H36" i="3"/>
  <c r="I36" i="3" s="1"/>
  <c r="J36" i="3" s="1"/>
  <c r="L36" i="3" s="1"/>
  <c r="N36" i="3" s="1"/>
  <c r="P36" i="3" s="1"/>
  <c r="H38" i="3"/>
  <c r="I38" i="3" s="1"/>
  <c r="J38" i="3" s="1"/>
  <c r="J45" i="4"/>
  <c r="K45" i="4" s="1"/>
  <c r="M45" i="4" s="1"/>
  <c r="O45" i="4" s="1"/>
  <c r="G45" i="4"/>
  <c r="H45" i="4" s="1"/>
  <c r="N48" i="4"/>
  <c r="P48" i="4" s="1"/>
  <c r="J48" i="4"/>
  <c r="K48" i="4" s="1"/>
  <c r="M48" i="4" s="1"/>
  <c r="O48" i="4" s="1"/>
  <c r="G48" i="4"/>
  <c r="H48" i="4" s="1"/>
  <c r="M17" i="4"/>
  <c r="O17" i="4" s="1"/>
  <c r="I17" i="4"/>
  <c r="J17" i="4"/>
  <c r="G17" i="4"/>
  <c r="H17" i="4" s="1"/>
  <c r="J12" i="4"/>
  <c r="K12" i="4" s="1"/>
  <c r="M12" i="4" s="1"/>
  <c r="O12" i="4" s="1"/>
  <c r="G12" i="4"/>
  <c r="H12" i="4"/>
  <c r="G55" i="4"/>
  <c r="H55" i="4" s="1"/>
  <c r="J55" i="4"/>
  <c r="K55" i="4"/>
  <c r="M55" i="4" s="1"/>
  <c r="O55" i="4" s="1"/>
  <c r="N55" i="4"/>
  <c r="P55" i="4" s="1"/>
  <c r="N29" i="4"/>
  <c r="P29" i="4" s="1"/>
  <c r="I29" i="4"/>
  <c r="J29" i="4" s="1"/>
  <c r="K29" i="4" s="1"/>
  <c r="M29" i="4" s="1"/>
  <c r="O29" i="4" s="1"/>
  <c r="G29" i="4"/>
  <c r="H77" i="6"/>
  <c r="E3" i="5" s="1"/>
  <c r="N58" i="4"/>
  <c r="P58" i="4" s="1"/>
  <c r="N57" i="4"/>
  <c r="P57" i="4" s="1"/>
  <c r="N56" i="4"/>
  <c r="P56" i="4" s="1"/>
  <c r="N54" i="4"/>
  <c r="P54" i="4" s="1"/>
  <c r="N53" i="4"/>
  <c r="P53" i="4" s="1"/>
  <c r="N52" i="4"/>
  <c r="P52" i="4" s="1"/>
  <c r="N51" i="4"/>
  <c r="P51" i="4" s="1"/>
  <c r="N50" i="4"/>
  <c r="P50" i="4" s="1"/>
  <c r="N49" i="4"/>
  <c r="P49" i="4" s="1"/>
  <c r="N47" i="4"/>
  <c r="P47" i="4" s="1"/>
  <c r="N44" i="4"/>
  <c r="P44" i="4" s="1"/>
  <c r="N43" i="4"/>
  <c r="P43" i="4" s="1"/>
  <c r="N42" i="4"/>
  <c r="P42" i="4" s="1"/>
  <c r="N41" i="4"/>
  <c r="P41" i="4" s="1"/>
  <c r="N39" i="4"/>
  <c r="P39" i="4" s="1"/>
  <c r="N37" i="4"/>
  <c r="P37" i="4" s="1"/>
  <c r="N36" i="4"/>
  <c r="P36" i="4" s="1"/>
  <c r="N34" i="4"/>
  <c r="P34" i="4" s="1"/>
  <c r="N33" i="4"/>
  <c r="P33" i="4" s="1"/>
  <c r="N32" i="4"/>
  <c r="P32" i="4" s="1"/>
  <c r="N31" i="4"/>
  <c r="P31" i="4" s="1"/>
  <c r="N30" i="4"/>
  <c r="P30" i="4" s="1"/>
  <c r="N28" i="4"/>
  <c r="P28" i="4" s="1"/>
  <c r="N27" i="4"/>
  <c r="P27" i="4" s="1"/>
  <c r="N26" i="4"/>
  <c r="P26" i="4" s="1"/>
  <c r="N25" i="4"/>
  <c r="P25" i="4" s="1"/>
  <c r="N24" i="4"/>
  <c r="P24" i="4" s="1"/>
  <c r="N23" i="4"/>
  <c r="P23" i="4" s="1"/>
  <c r="N22" i="4"/>
  <c r="P22" i="4" s="1"/>
  <c r="N21" i="4"/>
  <c r="P21" i="4" s="1"/>
  <c r="N20" i="4"/>
  <c r="P20" i="4" s="1"/>
  <c r="N19" i="4"/>
  <c r="P19" i="4" s="1"/>
  <c r="N18" i="4"/>
  <c r="P18" i="4" s="1"/>
  <c r="N16" i="4"/>
  <c r="P16" i="4" s="1"/>
  <c r="N15" i="4"/>
  <c r="P15" i="4" s="1"/>
  <c r="N14" i="4"/>
  <c r="P14" i="4" s="1"/>
  <c r="N13" i="4"/>
  <c r="P13" i="4" s="1"/>
  <c r="N11" i="4"/>
  <c r="P11" i="4" s="1"/>
  <c r="N10" i="4"/>
  <c r="P10" i="4" s="1"/>
  <c r="N9" i="4"/>
  <c r="P9" i="4" s="1"/>
  <c r="N8" i="4"/>
  <c r="P8" i="4" s="1"/>
  <c r="N7" i="4"/>
  <c r="P7" i="4" s="1"/>
  <c r="N6" i="4"/>
  <c r="P6" i="4" s="1"/>
  <c r="N5" i="4"/>
  <c r="P5" i="4" s="1"/>
  <c r="N4" i="4"/>
  <c r="P4" i="4" s="1"/>
  <c r="M114" i="3"/>
  <c r="O114" i="3" s="1"/>
  <c r="M113" i="3"/>
  <c r="O113" i="3" s="1"/>
  <c r="M112" i="3"/>
  <c r="O112" i="3" s="1"/>
  <c r="M111" i="3"/>
  <c r="O111" i="3" s="1"/>
  <c r="M110" i="3"/>
  <c r="O110" i="3" s="1"/>
  <c r="M109" i="3"/>
  <c r="O109" i="3" s="1"/>
  <c r="M108" i="3"/>
  <c r="O108" i="3" s="1"/>
  <c r="M107" i="3"/>
  <c r="O107" i="3" s="1"/>
  <c r="M106" i="3"/>
  <c r="M101" i="3"/>
  <c r="O101" i="3" s="1"/>
  <c r="M100" i="3"/>
  <c r="O100" i="3" s="1"/>
  <c r="M99" i="3"/>
  <c r="O99" i="3" s="1"/>
  <c r="M98" i="3"/>
  <c r="O98" i="3" s="1"/>
  <c r="M97" i="3"/>
  <c r="O97" i="3" s="1"/>
  <c r="M96" i="3"/>
  <c r="O96" i="3" s="1"/>
  <c r="M95" i="3"/>
  <c r="M94" i="3"/>
  <c r="O94" i="3" s="1"/>
  <c r="M87" i="3"/>
  <c r="O87" i="3" s="1"/>
  <c r="M85" i="3"/>
  <c r="O85" i="3" s="1"/>
  <c r="M84" i="3"/>
  <c r="O84" i="3" s="1"/>
  <c r="M82" i="3"/>
  <c r="O82" i="3" s="1"/>
  <c r="M81" i="3"/>
  <c r="O81" i="3" s="1"/>
  <c r="M80" i="3"/>
  <c r="O80" i="3" s="1"/>
  <c r="M79" i="3"/>
  <c r="O79" i="3" s="1"/>
  <c r="M77" i="3"/>
  <c r="O77" i="3" s="1"/>
  <c r="M76" i="3"/>
  <c r="O76" i="3" s="1"/>
  <c r="M74" i="3"/>
  <c r="O74" i="3" s="1"/>
  <c r="M73" i="3"/>
  <c r="O73" i="3" s="1"/>
  <c r="M70" i="3"/>
  <c r="O70" i="3" s="1"/>
  <c r="M69" i="3"/>
  <c r="O69" i="3" s="1"/>
  <c r="M68" i="3"/>
  <c r="O68" i="3" s="1"/>
  <c r="M67" i="3"/>
  <c r="O67" i="3" s="1"/>
  <c r="M66" i="3"/>
  <c r="O66" i="3" s="1"/>
  <c r="M65" i="3"/>
  <c r="O65" i="3" s="1"/>
  <c r="M63" i="3"/>
  <c r="O63" i="3" s="1"/>
  <c r="M62" i="3"/>
  <c r="O62" i="3" s="1"/>
  <c r="M61" i="3"/>
  <c r="O61" i="3"/>
  <c r="M60" i="3"/>
  <c r="M47" i="3"/>
  <c r="O47" i="3" s="1"/>
  <c r="M46" i="3"/>
  <c r="O46" i="3" s="1"/>
  <c r="M41" i="3"/>
  <c r="O41" i="3" s="1"/>
  <c r="M28" i="3"/>
  <c r="O28" i="3" s="1"/>
  <c r="M26" i="3"/>
  <c r="O26" i="3" s="1"/>
  <c r="M9" i="3"/>
  <c r="O9" i="3" s="1"/>
  <c r="M8" i="3"/>
  <c r="O8" i="3" s="1"/>
  <c r="M5" i="3"/>
  <c r="O5" i="3"/>
  <c r="L114" i="3"/>
  <c r="N114" i="3" s="1"/>
  <c r="L101" i="3"/>
  <c r="N101" i="3" s="1"/>
  <c r="L96" i="3"/>
  <c r="N96" i="3" s="1"/>
  <c r="L99" i="3"/>
  <c r="N99" i="3" s="1"/>
  <c r="L98" i="3"/>
  <c r="N98" i="3" s="1"/>
  <c r="L94" i="3"/>
  <c r="N94" i="3" s="1"/>
  <c r="L62" i="3"/>
  <c r="N62" i="3" s="1"/>
  <c r="L47" i="3"/>
  <c r="N47" i="3" s="1"/>
  <c r="L46" i="3"/>
  <c r="L40" i="3"/>
  <c r="N40" i="3" s="1"/>
  <c r="L29" i="3"/>
  <c r="N29" i="3"/>
  <c r="L25" i="3"/>
  <c r="N25" i="3" s="1"/>
  <c r="P25" i="3" s="1"/>
  <c r="L24" i="3"/>
  <c r="N24" i="3" s="1"/>
  <c r="P24" i="3" s="1"/>
  <c r="L23" i="3"/>
  <c r="N23" i="3" s="1"/>
  <c r="M54" i="4"/>
  <c r="O54" i="4" s="1"/>
  <c r="M47" i="4"/>
  <c r="O47" i="4" s="1"/>
  <c r="M28" i="4"/>
  <c r="O28" i="4" s="1"/>
  <c r="M27" i="4"/>
  <c r="O27" i="4" s="1"/>
  <c r="M24" i="4"/>
  <c r="O24" i="4" s="1"/>
  <c r="M10" i="4"/>
  <c r="O10" i="4" s="1"/>
  <c r="G54" i="4"/>
  <c r="H54" i="4" s="1"/>
  <c r="I54" i="4" s="1"/>
  <c r="J54" i="4" s="1"/>
  <c r="G24" i="4"/>
  <c r="H24" i="4" s="1"/>
  <c r="I24" i="4" s="1"/>
  <c r="J24" i="4" s="1"/>
  <c r="G10" i="4"/>
  <c r="H10" i="4" s="1"/>
  <c r="I10" i="4" s="1"/>
  <c r="G47" i="4"/>
  <c r="H47" i="4" s="1"/>
  <c r="I47" i="4" s="1"/>
  <c r="J47" i="4" s="1"/>
  <c r="G27" i="4"/>
  <c r="H27" i="4" s="1"/>
  <c r="I27" i="4" s="1"/>
  <c r="J27" i="4" s="1"/>
  <c r="K89" i="3"/>
  <c r="I46" i="3"/>
  <c r="H99" i="3"/>
  <c r="I99" i="3" s="1"/>
  <c r="H40" i="3"/>
  <c r="I40" i="3" s="1"/>
  <c r="H94" i="3"/>
  <c r="I94" i="3" s="1"/>
  <c r="I83" i="3"/>
  <c r="J83" i="3" s="1"/>
  <c r="L83" i="3" s="1"/>
  <c r="N83" i="3" s="1"/>
  <c r="I76" i="3"/>
  <c r="J76" i="3" s="1"/>
  <c r="L76" i="3" s="1"/>
  <c r="N76" i="3" s="1"/>
  <c r="I63" i="3"/>
  <c r="J63" i="3" s="1"/>
  <c r="L63" i="3" s="1"/>
  <c r="N63" i="3" s="1"/>
  <c r="H62" i="3"/>
  <c r="I62" i="3" s="1"/>
  <c r="H47" i="3"/>
  <c r="I47" i="3" s="1"/>
  <c r="H25" i="3"/>
  <c r="I25" i="3" s="1"/>
  <c r="H24" i="3"/>
  <c r="I24" i="3" s="1"/>
  <c r="H23" i="3"/>
  <c r="I23" i="3" s="1"/>
  <c r="H29" i="3"/>
  <c r="I29" i="3" s="1"/>
  <c r="G28" i="4"/>
  <c r="H28" i="4"/>
  <c r="I28" i="4" s="1"/>
  <c r="J28" i="4" s="1"/>
  <c r="U2" i="4"/>
  <c r="J15" i="3"/>
  <c r="L15" i="3" s="1"/>
  <c r="N15" i="3" s="1"/>
  <c r="J70" i="3"/>
  <c r="J113" i="3"/>
  <c r="L113" i="3" s="1"/>
  <c r="N113" i="3" s="1"/>
  <c r="J112" i="3"/>
  <c r="L112" i="3" s="1"/>
  <c r="N112" i="3" s="1"/>
  <c r="J111" i="3"/>
  <c r="L111" i="3" s="1"/>
  <c r="N111" i="3" s="1"/>
  <c r="J110" i="3"/>
  <c r="L110" i="3" s="1"/>
  <c r="N110" i="3" s="1"/>
  <c r="J109" i="3"/>
  <c r="L109" i="3" s="1"/>
  <c r="N109" i="3" s="1"/>
  <c r="J108" i="3"/>
  <c r="L108" i="3" s="1"/>
  <c r="N108" i="3" s="1"/>
  <c r="J107" i="3"/>
  <c r="L107" i="3" s="1"/>
  <c r="N107" i="3" s="1"/>
  <c r="J106" i="3"/>
  <c r="L106" i="3" s="1"/>
  <c r="N106" i="3" s="1"/>
  <c r="J100" i="3"/>
  <c r="L100" i="3" s="1"/>
  <c r="N100" i="3" s="1"/>
  <c r="J95" i="3"/>
  <c r="L95" i="3" s="1"/>
  <c r="J86" i="3"/>
  <c r="L86" i="3"/>
  <c r="N86" i="3" s="1"/>
  <c r="J85" i="3"/>
  <c r="L85" i="3" s="1"/>
  <c r="N85" i="3" s="1"/>
  <c r="J84" i="3"/>
  <c r="L84" i="3" s="1"/>
  <c r="N84" i="3" s="1"/>
  <c r="J81" i="3"/>
  <c r="L81" i="3" s="1"/>
  <c r="N81" i="3" s="1"/>
  <c r="J74" i="3"/>
  <c r="L74" i="3" s="1"/>
  <c r="N74" i="3" s="1"/>
  <c r="J61" i="3"/>
  <c r="L61" i="3" s="1"/>
  <c r="J60" i="3"/>
  <c r="L60" i="3" s="1"/>
  <c r="N60" i="3" s="1"/>
  <c r="J41" i="3"/>
  <c r="L41" i="3" s="1"/>
  <c r="N41" i="3" s="1"/>
  <c r="J39" i="3"/>
  <c r="L39" i="3" s="1"/>
  <c r="N39" i="3" s="1"/>
  <c r="J26" i="3"/>
  <c r="L26" i="3"/>
  <c r="N26" i="3" s="1"/>
  <c r="J19" i="3"/>
  <c r="J20" i="3" s="1"/>
  <c r="J53" i="3" s="1"/>
  <c r="J14" i="3"/>
  <c r="L14" i="3" s="1"/>
  <c r="N14" i="3" s="1"/>
  <c r="J6" i="3"/>
  <c r="L6" i="3" s="1"/>
  <c r="N6" i="3" s="1"/>
  <c r="L35" i="4"/>
  <c r="L60" i="4"/>
  <c r="J35" i="4"/>
  <c r="K35" i="4"/>
  <c r="M35" i="4" s="1"/>
  <c r="O35" i="4" s="1"/>
  <c r="I35" i="4"/>
  <c r="G35" i="4"/>
  <c r="H35" i="4"/>
  <c r="I36" i="4"/>
  <c r="J36" i="4" s="1"/>
  <c r="K36" i="4" s="1"/>
  <c r="M36" i="4" s="1"/>
  <c r="O36" i="4" s="1"/>
  <c r="G36" i="4"/>
  <c r="H36" i="4"/>
  <c r="K102" i="3"/>
  <c r="H100" i="3"/>
  <c r="H26" i="3"/>
  <c r="H41" i="3"/>
  <c r="H15" i="3"/>
  <c r="H6" i="3"/>
  <c r="H61" i="3"/>
  <c r="H39" i="3"/>
  <c r="H87" i="3"/>
  <c r="I87" i="3" s="1"/>
  <c r="H86" i="3"/>
  <c r="H85" i="3"/>
  <c r="I77" i="3"/>
  <c r="J77" i="3" s="1"/>
  <c r="L77" i="3" s="1"/>
  <c r="N77" i="3" s="1"/>
  <c r="H74" i="3"/>
  <c r="I114" i="3"/>
  <c r="H113" i="3"/>
  <c r="H112" i="3"/>
  <c r="H111" i="3"/>
  <c r="H110" i="3"/>
  <c r="H109" i="3"/>
  <c r="H60" i="3"/>
  <c r="H84" i="3"/>
  <c r="H19" i="3"/>
  <c r="H20" i="3"/>
  <c r="H53" i="3" s="1"/>
  <c r="H14" i="3"/>
  <c r="H108" i="3"/>
  <c r="H107" i="3"/>
  <c r="H106" i="3"/>
  <c r="H81" i="3"/>
  <c r="H95" i="3"/>
  <c r="H82" i="3"/>
  <c r="I82" i="3" s="1"/>
  <c r="H80" i="3"/>
  <c r="I80" i="3" s="1"/>
  <c r="H79" i="3"/>
  <c r="I79" i="3" s="1"/>
  <c r="F60" i="4"/>
  <c r="I58" i="4"/>
  <c r="J58" i="4"/>
  <c r="K58" i="4" s="1"/>
  <c r="M58" i="4" s="1"/>
  <c r="O58" i="4" s="1"/>
  <c r="G58" i="4"/>
  <c r="H58" i="4" s="1"/>
  <c r="I57" i="4"/>
  <c r="J57" i="4"/>
  <c r="K57" i="4"/>
  <c r="M57" i="4" s="1"/>
  <c r="O57" i="4" s="1"/>
  <c r="H57" i="4"/>
  <c r="I56" i="4"/>
  <c r="J56" i="4" s="1"/>
  <c r="K56" i="4" s="1"/>
  <c r="M56" i="4" s="1"/>
  <c r="O56" i="4" s="1"/>
  <c r="G56" i="4"/>
  <c r="H56" i="4" s="1"/>
  <c r="I53" i="4"/>
  <c r="J53" i="4" s="1"/>
  <c r="K53" i="4" s="1"/>
  <c r="M53" i="4" s="1"/>
  <c r="O53" i="4" s="1"/>
  <c r="G53" i="4"/>
  <c r="I52" i="4"/>
  <c r="J52" i="4" s="1"/>
  <c r="K52" i="4" s="1"/>
  <c r="M52" i="4" s="1"/>
  <c r="O52" i="4" s="1"/>
  <c r="I51" i="4"/>
  <c r="J51" i="4" s="1"/>
  <c r="K51" i="4" s="1"/>
  <c r="M51" i="4" s="1"/>
  <c r="O51" i="4" s="1"/>
  <c r="I50" i="4"/>
  <c r="J50" i="4" s="1"/>
  <c r="K50" i="4" s="1"/>
  <c r="M50" i="4" s="1"/>
  <c r="O50" i="4" s="1"/>
  <c r="G50" i="4"/>
  <c r="I49" i="4"/>
  <c r="J49" i="4" s="1"/>
  <c r="K49" i="4" s="1"/>
  <c r="M49" i="4" s="1"/>
  <c r="O49" i="4" s="1"/>
  <c r="I44" i="4"/>
  <c r="J44" i="4"/>
  <c r="K44" i="4" s="1"/>
  <c r="M44" i="4" s="1"/>
  <c r="O44" i="4" s="1"/>
  <c r="G44" i="4"/>
  <c r="H44" i="4" s="1"/>
  <c r="I43" i="4"/>
  <c r="J43" i="4"/>
  <c r="K43" i="4" s="1"/>
  <c r="M43" i="4" s="1"/>
  <c r="O43" i="4" s="1"/>
  <c r="Q43" i="4" s="1"/>
  <c r="U43" i="4" s="1"/>
  <c r="G43" i="4"/>
  <c r="H43" i="4" s="1"/>
  <c r="I42" i="4"/>
  <c r="J42" i="4"/>
  <c r="K42" i="4" s="1"/>
  <c r="M42" i="4" s="1"/>
  <c r="O42" i="4" s="1"/>
  <c r="G42" i="4"/>
  <c r="H42" i="4" s="1"/>
  <c r="I41" i="4"/>
  <c r="J41" i="4" s="1"/>
  <c r="K41" i="4" s="1"/>
  <c r="M41" i="4" s="1"/>
  <c r="O41" i="4" s="1"/>
  <c r="G41" i="4"/>
  <c r="H41" i="4" s="1"/>
  <c r="J39" i="4"/>
  <c r="K39" i="4" s="1"/>
  <c r="M39" i="4" s="1"/>
  <c r="O39" i="4" s="1"/>
  <c r="G39" i="4"/>
  <c r="H39" i="4" s="1"/>
  <c r="J37" i="4"/>
  <c r="K37" i="4" s="1"/>
  <c r="M37" i="4" s="1"/>
  <c r="O37" i="4" s="1"/>
  <c r="G37" i="4"/>
  <c r="H37" i="4" s="1"/>
  <c r="I34" i="4"/>
  <c r="J34" i="4"/>
  <c r="K34" i="4" s="1"/>
  <c r="M34" i="4" s="1"/>
  <c r="O34" i="4" s="1"/>
  <c r="Q34" i="4" s="1"/>
  <c r="U34" i="4" s="1"/>
  <c r="G34" i="4"/>
  <c r="H34" i="4" s="1"/>
  <c r="I33" i="4"/>
  <c r="J33" i="4" s="1"/>
  <c r="K33" i="4" s="1"/>
  <c r="M33" i="4" s="1"/>
  <c r="O33" i="4" s="1"/>
  <c r="J32" i="4"/>
  <c r="K32" i="4" s="1"/>
  <c r="M32" i="4" s="1"/>
  <c r="O32" i="4" s="1"/>
  <c r="J31" i="4"/>
  <c r="K31" i="4"/>
  <c r="M31" i="4" s="1"/>
  <c r="O31" i="4" s="1"/>
  <c r="I30" i="4"/>
  <c r="J30" i="4"/>
  <c r="K30" i="4" s="1"/>
  <c r="M30" i="4" s="1"/>
  <c r="O30" i="4" s="1"/>
  <c r="G30" i="4"/>
  <c r="H30" i="4" s="1"/>
  <c r="I26" i="4"/>
  <c r="J26" i="4" s="1"/>
  <c r="K26" i="4" s="1"/>
  <c r="M26" i="4" s="1"/>
  <c r="O26" i="4" s="1"/>
  <c r="I25" i="4"/>
  <c r="J25" i="4" s="1"/>
  <c r="K25" i="4" s="1"/>
  <c r="M25" i="4" s="1"/>
  <c r="O25" i="4" s="1"/>
  <c r="G25" i="4"/>
  <c r="J23" i="4"/>
  <c r="K23" i="4" s="1"/>
  <c r="M23" i="4" s="1"/>
  <c r="O23" i="4" s="1"/>
  <c r="G23" i="4"/>
  <c r="H23" i="4" s="1"/>
  <c r="I22" i="4"/>
  <c r="J22" i="4" s="1"/>
  <c r="K22" i="4" s="1"/>
  <c r="M22" i="4" s="1"/>
  <c r="O22" i="4" s="1"/>
  <c r="G22" i="4"/>
  <c r="H22" i="4" s="1"/>
  <c r="J21" i="4"/>
  <c r="K21" i="4" s="1"/>
  <c r="M21" i="4" s="1"/>
  <c r="O21" i="4" s="1"/>
  <c r="G21" i="4"/>
  <c r="H21" i="4" s="1"/>
  <c r="J20" i="4"/>
  <c r="K20" i="4" s="1"/>
  <c r="M20" i="4" s="1"/>
  <c r="O20" i="4" s="1"/>
  <c r="G20" i="4"/>
  <c r="H20" i="4" s="1"/>
  <c r="J19" i="4"/>
  <c r="K19" i="4"/>
  <c r="M19" i="4" s="1"/>
  <c r="O19" i="4" s="1"/>
  <c r="G19" i="4"/>
  <c r="H19" i="4" s="1"/>
  <c r="I18" i="4"/>
  <c r="J18" i="4"/>
  <c r="K18" i="4" s="1"/>
  <c r="M18" i="4" s="1"/>
  <c r="O18" i="4" s="1"/>
  <c r="G18" i="4"/>
  <c r="H18" i="4" s="1"/>
  <c r="I9" i="4"/>
  <c r="J9" i="4"/>
  <c r="K9" i="4" s="1"/>
  <c r="M9" i="4" s="1"/>
  <c r="O9" i="4" s="1"/>
  <c r="G9" i="4"/>
  <c r="H9" i="4"/>
  <c r="J16" i="4"/>
  <c r="K16" i="4" s="1"/>
  <c r="M16" i="4" s="1"/>
  <c r="O16" i="4" s="1"/>
  <c r="G16" i="4"/>
  <c r="H16" i="4" s="1"/>
  <c r="I15" i="4"/>
  <c r="J15" i="4"/>
  <c r="K15" i="4" s="1"/>
  <c r="M15" i="4" s="1"/>
  <c r="O15" i="4" s="1"/>
  <c r="H15" i="4"/>
  <c r="I14" i="4"/>
  <c r="J14" i="4"/>
  <c r="K14" i="4" s="1"/>
  <c r="M14" i="4" s="1"/>
  <c r="O14" i="4" s="1"/>
  <c r="H14" i="4"/>
  <c r="I13" i="4"/>
  <c r="J13" i="4"/>
  <c r="K13" i="4" s="1"/>
  <c r="M13" i="4" s="1"/>
  <c r="O13" i="4" s="1"/>
  <c r="H13" i="4"/>
  <c r="I11" i="4"/>
  <c r="J11" i="4" s="1"/>
  <c r="K11" i="4" s="1"/>
  <c r="M11" i="4" s="1"/>
  <c r="O11" i="4" s="1"/>
  <c r="I8" i="4"/>
  <c r="J8" i="4" s="1"/>
  <c r="K8" i="4" s="1"/>
  <c r="M8" i="4" s="1"/>
  <c r="O8" i="4" s="1"/>
  <c r="I7" i="4"/>
  <c r="J7" i="4" s="1"/>
  <c r="K7" i="4" s="1"/>
  <c r="I6" i="4"/>
  <c r="J6" i="4" s="1"/>
  <c r="K6" i="4" s="1"/>
  <c r="M6" i="4" s="1"/>
  <c r="O6" i="4" s="1"/>
  <c r="G6" i="4"/>
  <c r="H6" i="4" s="1"/>
  <c r="J5" i="4"/>
  <c r="K5" i="4" s="1"/>
  <c r="M5" i="4" s="1"/>
  <c r="O5" i="4" s="1"/>
  <c r="G5" i="4"/>
  <c r="H5" i="4" s="1"/>
  <c r="I4" i="4"/>
  <c r="J4" i="4"/>
  <c r="K4" i="4" s="1"/>
  <c r="M4" i="4" s="1"/>
  <c r="O4" i="4" s="1"/>
  <c r="G4" i="4"/>
  <c r="H4" i="4"/>
  <c r="I73" i="3"/>
  <c r="J73" i="3" s="1"/>
  <c r="L73" i="3" s="1"/>
  <c r="N73" i="3" s="1"/>
  <c r="I68" i="3"/>
  <c r="J68" i="3" s="1"/>
  <c r="L68" i="3" s="1"/>
  <c r="N68" i="3" s="1"/>
  <c r="I69" i="3"/>
  <c r="J69" i="3" s="1"/>
  <c r="L69" i="3" s="1"/>
  <c r="N69" i="3" s="1"/>
  <c r="I67" i="3"/>
  <c r="J67" i="3" s="1"/>
  <c r="L67" i="3" s="1"/>
  <c r="N67" i="3" s="1"/>
  <c r="I66" i="3"/>
  <c r="J66" i="3" s="1"/>
  <c r="L66" i="3" s="1"/>
  <c r="N66" i="3" s="1"/>
  <c r="I65" i="3"/>
  <c r="J65" i="3" s="1"/>
  <c r="L65" i="3" s="1"/>
  <c r="N65" i="3" s="1"/>
  <c r="I37" i="3"/>
  <c r="J37" i="3" s="1"/>
  <c r="L37" i="3" s="1"/>
  <c r="N37" i="3" s="1"/>
  <c r="I35" i="3"/>
  <c r="J35" i="3"/>
  <c r="L35" i="3" s="1"/>
  <c r="N35" i="3" s="1"/>
  <c r="I34" i="3"/>
  <c r="I33" i="3"/>
  <c r="J33" i="3" s="1"/>
  <c r="L33" i="3" s="1"/>
  <c r="N33" i="3" s="1"/>
  <c r="I7" i="3"/>
  <c r="J7" i="3" s="1"/>
  <c r="L7" i="3" s="1"/>
  <c r="N7" i="3" s="1"/>
  <c r="I5" i="3"/>
  <c r="J5" i="3" s="1"/>
  <c r="L5" i="3" s="1"/>
  <c r="K11" i="3"/>
  <c r="K51" i="3" s="1"/>
  <c r="H28" i="3"/>
  <c r="I28" i="3" s="1"/>
  <c r="J28" i="3" s="1"/>
  <c r="L28" i="3" s="1"/>
  <c r="N28" i="3" s="1"/>
  <c r="K43" i="3"/>
  <c r="K55" i="3" s="1"/>
  <c r="K48" i="3"/>
  <c r="K56" i="3" s="1"/>
  <c r="H97" i="3"/>
  <c r="I97" i="3" s="1"/>
  <c r="J97" i="3" s="1"/>
  <c r="L97" i="3" s="1"/>
  <c r="N97" i="3" s="1"/>
  <c r="K115" i="3"/>
  <c r="I20" i="3"/>
  <c r="I53" i="3" s="1"/>
  <c r="I16" i="3"/>
  <c r="I52" i="3"/>
  <c r="J48" i="3"/>
  <c r="J56" i="3" s="1"/>
  <c r="N35" i="4"/>
  <c r="P35" i="4" s="1"/>
  <c r="L19" i="3"/>
  <c r="N19" i="3" s="1"/>
  <c r="U66" i="4"/>
  <c r="V66" i="4" s="1"/>
  <c r="P78" i="3" l="1"/>
  <c r="M43" i="3"/>
  <c r="M55" i="3" s="1"/>
  <c r="P15" i="3"/>
  <c r="P27" i="3"/>
  <c r="P29" i="3"/>
  <c r="P74" i="3"/>
  <c r="P99" i="3"/>
  <c r="P82" i="3"/>
  <c r="P37" i="3"/>
  <c r="M48" i="3"/>
  <c r="M56" i="3" s="1"/>
  <c r="J115" i="3"/>
  <c r="I48" i="3"/>
  <c r="I56" i="3" s="1"/>
  <c r="H102" i="3"/>
  <c r="P71" i="3"/>
  <c r="P108" i="3"/>
  <c r="P84" i="3"/>
  <c r="H16" i="3"/>
  <c r="H52" i="3" s="1"/>
  <c r="P79" i="3"/>
  <c r="P35" i="3"/>
  <c r="P42" i="3"/>
  <c r="P9" i="3"/>
  <c r="P39" i="3"/>
  <c r="H48" i="3"/>
  <c r="H56" i="3" s="1"/>
  <c r="P40" i="3"/>
  <c r="O11" i="3"/>
  <c r="O51" i="3" s="1"/>
  <c r="M115" i="3"/>
  <c r="P70" i="3"/>
  <c r="H11" i="3"/>
  <c r="H51" i="3" s="1"/>
  <c r="P83" i="3"/>
  <c r="L48" i="3"/>
  <c r="L56" i="3" s="1"/>
  <c r="M11" i="3"/>
  <c r="M51" i="3" s="1"/>
  <c r="M89" i="3"/>
  <c r="P97" i="3"/>
  <c r="P81" i="3"/>
  <c r="P41" i="3"/>
  <c r="I102" i="3"/>
  <c r="P67" i="3"/>
  <c r="P62" i="3"/>
  <c r="P109" i="3"/>
  <c r="L20" i="3"/>
  <c r="L53" i="3" s="1"/>
  <c r="P7" i="3"/>
  <c r="P68" i="3"/>
  <c r="P38" i="3"/>
  <c r="M30" i="3"/>
  <c r="M54" i="3" s="1"/>
  <c r="P86" i="3"/>
  <c r="P65" i="3"/>
  <c r="J102" i="3"/>
  <c r="P87" i="3"/>
  <c r="P6" i="3"/>
  <c r="P101" i="3"/>
  <c r="P111" i="3"/>
  <c r="L102" i="3"/>
  <c r="N95" i="3"/>
  <c r="P69" i="3"/>
  <c r="P66" i="3"/>
  <c r="P47" i="3"/>
  <c r="P113" i="3"/>
  <c r="P94" i="3"/>
  <c r="P76" i="3"/>
  <c r="O30" i="3"/>
  <c r="O54" i="3" s="1"/>
  <c r="P85" i="3"/>
  <c r="P96" i="3"/>
  <c r="P88" i="3"/>
  <c r="P28" i="3"/>
  <c r="P114" i="3"/>
  <c r="P75" i="3"/>
  <c r="H89" i="3"/>
  <c r="J16" i="3"/>
  <c r="J52" i="3" s="1"/>
  <c r="O48" i="3"/>
  <c r="O56" i="3" s="1"/>
  <c r="P77" i="3"/>
  <c r="H43" i="3"/>
  <c r="H55" i="3" s="1"/>
  <c r="P100" i="3"/>
  <c r="M102" i="3"/>
  <c r="O43" i="3"/>
  <c r="O55" i="3" s="1"/>
  <c r="P72" i="3"/>
  <c r="P8" i="3"/>
  <c r="P80" i="3"/>
  <c r="P105" i="3"/>
  <c r="P73" i="3"/>
  <c r="I115" i="3"/>
  <c r="H115" i="3"/>
  <c r="H30" i="3"/>
  <c r="H54" i="3" s="1"/>
  <c r="P139" i="3"/>
  <c r="P140" i="3"/>
  <c r="P14" i="3"/>
  <c r="N16" i="3"/>
  <c r="N52" i="3" s="1"/>
  <c r="P52" i="3" s="1"/>
  <c r="I43" i="3"/>
  <c r="I55" i="3" s="1"/>
  <c r="I11" i="3"/>
  <c r="I51" i="3" s="1"/>
  <c r="J4" i="3"/>
  <c r="J11" i="3" s="1"/>
  <c r="J51" i="3" s="1"/>
  <c r="L11" i="3"/>
  <c r="L51" i="3" s="1"/>
  <c r="N5" i="3"/>
  <c r="I89" i="3"/>
  <c r="P23" i="3"/>
  <c r="N30" i="3"/>
  <c r="N54" i="3" s="1"/>
  <c r="W68" i="4"/>
  <c r="V68" i="4"/>
  <c r="P98" i="3"/>
  <c r="P110" i="3"/>
  <c r="G3" i="5"/>
  <c r="N102" i="3"/>
  <c r="K57" i="3"/>
  <c r="K117" i="3" s="1"/>
  <c r="N61" i="3"/>
  <c r="L89" i="3"/>
  <c r="N20" i="3"/>
  <c r="N53" i="3" s="1"/>
  <c r="P53" i="3" s="1"/>
  <c r="P19" i="3"/>
  <c r="P20" i="3" s="1"/>
  <c r="P33" i="3"/>
  <c r="P26" i="3"/>
  <c r="P112" i="3"/>
  <c r="P63" i="3"/>
  <c r="P107" i="3"/>
  <c r="N115" i="3"/>
  <c r="O60" i="3"/>
  <c r="O95" i="3"/>
  <c r="O102" i="3" s="1"/>
  <c r="J34" i="3"/>
  <c r="L30" i="3"/>
  <c r="L54" i="3" s="1"/>
  <c r="W66" i="4"/>
  <c r="N46" i="3"/>
  <c r="O106" i="3"/>
  <c r="O115" i="3" s="1"/>
  <c r="I27" i="3"/>
  <c r="J27" i="3" s="1"/>
  <c r="J30" i="3" s="1"/>
  <c r="J54" i="3" s="1"/>
  <c r="L16" i="3"/>
  <c r="L52" i="3" s="1"/>
  <c r="J89" i="3"/>
  <c r="L115" i="3"/>
  <c r="Q14" i="4"/>
  <c r="U14" i="4" s="1"/>
  <c r="W14" i="4" s="1"/>
  <c r="Q46" i="4"/>
  <c r="U46" i="4" s="1"/>
  <c r="Q16" i="4"/>
  <c r="U16" i="4" s="1"/>
  <c r="Q26" i="4"/>
  <c r="U26" i="4" s="1"/>
  <c r="Q29" i="4"/>
  <c r="U29" i="4" s="1"/>
  <c r="W29" i="4" s="1"/>
  <c r="Q17" i="4"/>
  <c r="U17" i="4" s="1"/>
  <c r="Q36" i="4"/>
  <c r="U36" i="4" s="1"/>
  <c r="V36" i="4" s="1"/>
  <c r="Q30" i="4"/>
  <c r="U30" i="4" s="1"/>
  <c r="V30" i="4" s="1"/>
  <c r="Q38" i="4"/>
  <c r="U38" i="4" s="1"/>
  <c r="W38" i="4" s="1"/>
  <c r="Q21" i="4"/>
  <c r="U21" i="4" s="1"/>
  <c r="W21" i="4" s="1"/>
  <c r="Q37" i="4"/>
  <c r="U37" i="4" s="1"/>
  <c r="W37" i="4" s="1"/>
  <c r="Q50" i="4"/>
  <c r="U50" i="4" s="1"/>
  <c r="W50" i="4" s="1"/>
  <c r="Q54" i="4"/>
  <c r="U54" i="4" s="1"/>
  <c r="V54" i="4" s="1"/>
  <c r="Q51" i="4"/>
  <c r="U51" i="4" s="1"/>
  <c r="Q40" i="4"/>
  <c r="U40" i="4" s="1"/>
  <c r="V40" i="4" s="1"/>
  <c r="Q33" i="4"/>
  <c r="U33" i="4" s="1"/>
  <c r="V33" i="4" s="1"/>
  <c r="Q52" i="4"/>
  <c r="U52" i="4" s="1"/>
  <c r="V52" i="4" s="1"/>
  <c r="Q6" i="4"/>
  <c r="U6" i="4" s="1"/>
  <c r="V6" i="4" s="1"/>
  <c r="Q25" i="4"/>
  <c r="U25" i="4" s="1"/>
  <c r="V25" i="4" s="1"/>
  <c r="Q53" i="4"/>
  <c r="U53" i="4" s="1"/>
  <c r="W53" i="4" s="1"/>
  <c r="Q12" i="4"/>
  <c r="U12" i="4" s="1"/>
  <c r="W12" i="4" s="1"/>
  <c r="G60" i="4"/>
  <c r="Q8" i="4"/>
  <c r="U8" i="4" s="1"/>
  <c r="V8" i="4" s="1"/>
  <c r="Q49" i="4"/>
  <c r="U49" i="4" s="1"/>
  <c r="W49" i="4" s="1"/>
  <c r="Q18" i="4"/>
  <c r="U18" i="4" s="1"/>
  <c r="W18" i="4" s="1"/>
  <c r="Q23" i="4"/>
  <c r="U23" i="4" s="1"/>
  <c r="Q47" i="4"/>
  <c r="U47" i="4" s="1"/>
  <c r="V47" i="4" s="1"/>
  <c r="Q22" i="4"/>
  <c r="U22" i="4" s="1"/>
  <c r="W22" i="4" s="1"/>
  <c r="Q45" i="4"/>
  <c r="U45" i="4" s="1"/>
  <c r="W45" i="4" s="1"/>
  <c r="Q19" i="4"/>
  <c r="U19" i="4" s="1"/>
  <c r="V19" i="4" s="1"/>
  <c r="Q10" i="4"/>
  <c r="U10" i="4" s="1"/>
  <c r="V10" i="4" s="1"/>
  <c r="Q31" i="4"/>
  <c r="U31" i="4" s="1"/>
  <c r="W31" i="4" s="1"/>
  <c r="Q24" i="4"/>
  <c r="U24" i="4" s="1"/>
  <c r="V24" i="4" s="1"/>
  <c r="N60" i="4"/>
  <c r="Q9" i="4"/>
  <c r="U9" i="4" s="1"/>
  <c r="W9" i="4" s="1"/>
  <c r="Q39" i="4"/>
  <c r="U39" i="4" s="1"/>
  <c r="W39" i="4" s="1"/>
  <c r="Q20" i="4"/>
  <c r="U20" i="4" s="1"/>
  <c r="V20" i="4" s="1"/>
  <c r="Q48" i="4"/>
  <c r="U48" i="4" s="1"/>
  <c r="W48" i="4" s="1"/>
  <c r="W40" i="4"/>
  <c r="V26" i="4"/>
  <c r="W26" i="4"/>
  <c r="V46" i="4"/>
  <c r="W46" i="4"/>
  <c r="W36" i="4"/>
  <c r="V34" i="4"/>
  <c r="W34" i="4"/>
  <c r="P60" i="4"/>
  <c r="I60" i="4"/>
  <c r="J10" i="4"/>
  <c r="J60" i="4" s="1"/>
  <c r="V43" i="4"/>
  <c r="W43" i="4"/>
  <c r="W17" i="4"/>
  <c r="V17" i="4"/>
  <c r="Q4" i="4"/>
  <c r="Q5" i="4"/>
  <c r="U5" i="4" s="1"/>
  <c r="Q15" i="4"/>
  <c r="U15" i="4" s="1"/>
  <c r="V23" i="4"/>
  <c r="W23" i="4"/>
  <c r="V29" i="4"/>
  <c r="V51" i="4"/>
  <c r="W51" i="4"/>
  <c r="Q11" i="4"/>
  <c r="U11" i="4" s="1"/>
  <c r="Q32" i="4"/>
  <c r="U32" i="4" s="1"/>
  <c r="Q44" i="4"/>
  <c r="U44" i="4" s="1"/>
  <c r="Q35" i="4"/>
  <c r="U35" i="4" s="1"/>
  <c r="Q28" i="4"/>
  <c r="U28" i="4" s="1"/>
  <c r="Q27" i="4"/>
  <c r="U27" i="4" s="1"/>
  <c r="Q41" i="4"/>
  <c r="U41" i="4" s="1"/>
  <c r="K60" i="4"/>
  <c r="M7" i="4"/>
  <c r="Q57" i="4"/>
  <c r="U57" i="4" s="1"/>
  <c r="H60" i="4"/>
  <c r="Q42" i="4"/>
  <c r="U42" i="4" s="1"/>
  <c r="V16" i="4"/>
  <c r="W16" i="4"/>
  <c r="Q56" i="4"/>
  <c r="U56" i="4" s="1"/>
  <c r="Q13" i="4"/>
  <c r="U13" i="4" s="1"/>
  <c r="Q58" i="4"/>
  <c r="U58" i="4" s="1"/>
  <c r="Q55" i="4"/>
  <c r="U55" i="4" s="1"/>
  <c r="W47" i="4"/>
  <c r="V67" i="4"/>
  <c r="P16" i="3" l="1"/>
  <c r="M57" i="3"/>
  <c r="M117" i="3" s="1"/>
  <c r="H57" i="3"/>
  <c r="H117" i="3" s="1"/>
  <c r="P95" i="3"/>
  <c r="P102" i="3" s="1"/>
  <c r="O57" i="3"/>
  <c r="P54" i="3"/>
  <c r="N89" i="3"/>
  <c r="P61" i="3"/>
  <c r="P30" i="3"/>
  <c r="N11" i="3"/>
  <c r="N51" i="3" s="1"/>
  <c r="P5" i="3"/>
  <c r="P11" i="3" s="1"/>
  <c r="W20" i="4"/>
  <c r="P46" i="3"/>
  <c r="P48" i="3" s="1"/>
  <c r="N48" i="3"/>
  <c r="N56" i="3" s="1"/>
  <c r="P56" i="3" s="1"/>
  <c r="W19" i="4"/>
  <c r="V14" i="4"/>
  <c r="P106" i="3"/>
  <c r="P115" i="3" s="1"/>
  <c r="I30" i="3"/>
  <c r="I54" i="3" s="1"/>
  <c r="I57" i="3" s="1"/>
  <c r="I117" i="3" s="1"/>
  <c r="W30" i="4"/>
  <c r="J43" i="3"/>
  <c r="J55" i="3" s="1"/>
  <c r="J57" i="3" s="1"/>
  <c r="J117" i="3" s="1"/>
  <c r="L34" i="3"/>
  <c r="P60" i="3"/>
  <c r="O89" i="3"/>
  <c r="O117" i="3" s="1"/>
  <c r="V49" i="4"/>
  <c r="V21" i="4"/>
  <c r="V38" i="4"/>
  <c r="V53" i="4"/>
  <c r="V50" i="4"/>
  <c r="W25" i="4"/>
  <c r="W33" i="4"/>
  <c r="V39" i="4"/>
  <c r="W54" i="4"/>
  <c r="V22" i="4"/>
  <c r="W52" i="4"/>
  <c r="V18" i="4"/>
  <c r="V37" i="4"/>
  <c r="W8" i="4"/>
  <c r="V48" i="4"/>
  <c r="W6" i="4"/>
  <c r="V12" i="4"/>
  <c r="W10" i="4"/>
  <c r="V45" i="4"/>
  <c r="V9" i="4"/>
  <c r="V31" i="4"/>
  <c r="W24" i="4"/>
  <c r="W13" i="4"/>
  <c r="V13" i="4"/>
  <c r="W35" i="4"/>
  <c r="V35" i="4"/>
  <c r="O7" i="4"/>
  <c r="M60" i="4"/>
  <c r="V44" i="4"/>
  <c r="W44" i="4"/>
  <c r="V55" i="4"/>
  <c r="W55" i="4"/>
  <c r="W32" i="4"/>
  <c r="V32" i="4"/>
  <c r="V58" i="4"/>
  <c r="W58" i="4"/>
  <c r="W41" i="4"/>
  <c r="V41" i="4"/>
  <c r="U4" i="4"/>
  <c r="W42" i="4"/>
  <c r="V42" i="4"/>
  <c r="V27" i="4"/>
  <c r="W27" i="4"/>
  <c r="V15" i="4"/>
  <c r="W15" i="4"/>
  <c r="V28" i="4"/>
  <c r="W28" i="4"/>
  <c r="W57" i="4"/>
  <c r="V57" i="4"/>
  <c r="W56" i="4"/>
  <c r="V56" i="4"/>
  <c r="W11" i="4"/>
  <c r="V11" i="4"/>
  <c r="V5" i="4"/>
  <c r="W5" i="4"/>
  <c r="P89" i="3" l="1"/>
  <c r="P51" i="3"/>
  <c r="L43" i="3"/>
  <c r="L55" i="3" s="1"/>
  <c r="L57" i="3" s="1"/>
  <c r="L117" i="3" s="1"/>
  <c r="N34" i="3"/>
  <c r="V4" i="4"/>
  <c r="W4" i="4"/>
  <c r="Q7" i="4"/>
  <c r="O60" i="4"/>
  <c r="P34" i="3" l="1"/>
  <c r="P43" i="3" s="1"/>
  <c r="N43" i="3"/>
  <c r="N55" i="3" s="1"/>
  <c r="U7" i="4"/>
  <c r="Q60" i="4"/>
  <c r="U60" i="4" s="1"/>
  <c r="P55" i="3" l="1"/>
  <c r="P57" i="3" s="1"/>
  <c r="P117" i="3" s="1"/>
  <c r="P122" i="3" s="1"/>
  <c r="N57" i="3"/>
  <c r="N117" i="3" s="1"/>
  <c r="W60" i="4"/>
  <c r="V60" i="4"/>
  <c r="W7" i="4"/>
  <c r="V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Gebruiker</author>
    <author>Petra Cornelisse</author>
  </authors>
  <commentList>
    <comment ref="B39" authorId="0" shapeId="0" xr:uid="{B49C21AB-F71D-4486-AB78-41BCF38FD5DF}">
      <text>
        <r>
          <rPr>
            <b/>
            <sz val="8"/>
            <color indexed="81"/>
            <rFont val="Tahoma"/>
            <family val="2"/>
          </rPr>
          <t>Gebruiker:</t>
        </r>
        <r>
          <rPr>
            <sz val="8"/>
            <color indexed="81"/>
            <rFont val="Tahoma"/>
            <family val="2"/>
          </rPr>
          <t xml:space="preserve">
is nu activiteitencentrum Stichting  Esdegee (gehandicapten)</t>
        </r>
      </text>
    </comment>
    <comment ref="E71" authorId="1" shapeId="0" xr:uid="{72AC5BB9-E286-48B3-87A4-CC332C23D433}">
      <text>
        <r>
          <rPr>
            <sz val="9"/>
            <color indexed="81"/>
            <rFont val="Tahoma"/>
            <family val="2"/>
          </rPr>
          <t>incl. BTW en fundering</t>
        </r>
      </text>
    </comment>
    <comment ref="E72" authorId="1" shapeId="0" xr:uid="{EB504D1C-ED3A-47F1-AD38-0B240E7EEB37}">
      <text>
        <r>
          <rPr>
            <sz val="9"/>
            <color indexed="81"/>
            <rFont val="Tahoma"/>
            <family val="2"/>
          </rPr>
          <t>incl. BTW en fundering</t>
        </r>
      </text>
    </comment>
    <comment ref="B86" authorId="0" shapeId="0" xr:uid="{EBB97C04-72B8-4738-B371-10BCF6A6E21E}">
      <text>
        <r>
          <rPr>
            <b/>
            <sz val="8"/>
            <color indexed="81"/>
            <rFont val="Tahoma"/>
            <family val="2"/>
          </rPr>
          <t>Gebruiker:</t>
        </r>
        <r>
          <rPr>
            <sz val="8"/>
            <color indexed="81"/>
            <rFont val="Tahoma"/>
            <family val="2"/>
          </rPr>
          <t xml:space="preserve">
gebouw is incl. inpandige gymzaal!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R38" authorId="0" shapeId="0" xr:uid="{C8DCF64E-298C-4F57-8524-14C762931DF3}">
      <text>
        <r>
          <rPr>
            <sz val="9"/>
            <color indexed="81"/>
            <rFont val="Tahoma"/>
            <family val="2"/>
          </rPr>
          <t>incl. BTW en fundering</t>
        </r>
      </text>
    </comment>
    <comment ref="R46" authorId="0" shapeId="0" xr:uid="{E8C461FD-899B-4157-B5C5-ACE3F310B8A8}">
      <text>
        <r>
          <rPr>
            <sz val="9"/>
            <color indexed="81"/>
            <rFont val="Tahoma"/>
            <family val="2"/>
          </rPr>
          <t>incl. BTW en fundering</t>
        </r>
      </text>
    </comment>
    <comment ref="B54" authorId="0" shapeId="0" xr:uid="{6D8D0154-7579-49A2-81A2-E6627B7EAC2C}">
      <text>
        <r>
          <rPr>
            <sz val="9"/>
            <color indexed="81"/>
            <rFont val="Tahoma"/>
            <family val="2"/>
          </rPr>
          <t>rijksmonument met nummer 23928</t>
        </r>
      </text>
    </comment>
    <comment ref="L56" authorId="0" shapeId="0" xr:uid="{23DCE261-E08A-4B24-9949-E8B90DDD073A}">
      <text>
        <r>
          <rPr>
            <b/>
            <sz val="9"/>
            <color indexed="81"/>
            <rFont val="Tahoma"/>
            <family val="2"/>
          </rPr>
          <t xml:space="preserve">mail 230919
</t>
        </r>
        <r>
          <rPr>
            <sz val="9"/>
            <color indexed="81"/>
            <rFont val="Tahoma"/>
            <family val="2"/>
          </rPr>
          <t xml:space="preserve">De telefooncentrale staat er nog en het een en ander in de serverruimte.
De inventarissen op de polis voor de brandweer en werf blijven vooralsnog staan.
</t>
        </r>
      </text>
    </comment>
  </commentList>
</comments>
</file>

<file path=xl/sharedStrings.xml><?xml version="1.0" encoding="utf-8"?>
<sst xmlns="http://schemas.openxmlformats.org/spreadsheetml/2006/main" count="1933" uniqueCount="977">
  <si>
    <t>object
no.</t>
  </si>
  <si>
    <t>omschrijving</t>
  </si>
  <si>
    <t>adres</t>
  </si>
  <si>
    <t>postcode</t>
  </si>
  <si>
    <t>Taxatie-rapport</t>
  </si>
  <si>
    <t>Inventaris</t>
  </si>
  <si>
    <t>Gemeente kantoren en werkplaatsen</t>
  </si>
  <si>
    <t>Gk1</t>
  </si>
  <si>
    <t>Beukenlaan 25</t>
  </si>
  <si>
    <t>1701 DA</t>
  </si>
  <si>
    <t>Gk3</t>
  </si>
  <si>
    <t>Parelhof 1</t>
  </si>
  <si>
    <t>1703 EZ</t>
  </si>
  <si>
    <t>Gk4</t>
  </si>
  <si>
    <t>Zuidtangent 3</t>
  </si>
  <si>
    <t>1702 VR</t>
  </si>
  <si>
    <t>Gk5</t>
  </si>
  <si>
    <t>Parkeergarage</t>
  </si>
  <si>
    <t xml:space="preserve">Parelhof </t>
  </si>
  <si>
    <t>subtotaal</t>
  </si>
  <si>
    <t>Woonwagencentra</t>
  </si>
  <si>
    <t>W1</t>
  </si>
  <si>
    <t>W3</t>
  </si>
  <si>
    <t>Woonwagens</t>
  </si>
  <si>
    <t>1703 EV</t>
  </si>
  <si>
    <t>WW2</t>
  </si>
  <si>
    <t>Diamant 43</t>
  </si>
  <si>
    <t>1703 RC</t>
  </si>
  <si>
    <t>Woning</t>
  </si>
  <si>
    <t>Sportaccommodaties</t>
  </si>
  <si>
    <t>S1</t>
  </si>
  <si>
    <t>1704 BX</t>
  </si>
  <si>
    <t>S2</t>
  </si>
  <si>
    <t>Helena Nordheimlaan 3</t>
  </si>
  <si>
    <t>1705 LM</t>
  </si>
  <si>
    <t>S4</t>
  </si>
  <si>
    <t>Sporthal en zwembad
De Waardergolf</t>
  </si>
  <si>
    <t>Beukenlaan 1b</t>
  </si>
  <si>
    <t>Welzijnsaccommodaties</t>
  </si>
  <si>
    <t>Wa1</t>
  </si>
  <si>
    <t>Buurthuis De Hoeksteen</t>
  </si>
  <si>
    <t>Amatist 13</t>
  </si>
  <si>
    <t>1703 AP</t>
  </si>
  <si>
    <t>1702 TB</t>
  </si>
  <si>
    <t>Wa3</t>
  </si>
  <si>
    <t>Buurthuis De Ezel</t>
  </si>
  <si>
    <t>Fabritiuspark 20</t>
  </si>
  <si>
    <t>1701 VP</t>
  </si>
  <si>
    <t>Wa5</t>
  </si>
  <si>
    <t>Buurthuis De Link</t>
  </si>
  <si>
    <t>1703 NK</t>
  </si>
  <si>
    <t>Wa11</t>
  </si>
  <si>
    <t>Beukenlaan 1a</t>
  </si>
  <si>
    <t>1701 GP</t>
  </si>
  <si>
    <t>Wa17</t>
  </si>
  <si>
    <t>v. Veenweg 96</t>
  </si>
  <si>
    <t>1701 HH</t>
  </si>
  <si>
    <t>Wa18</t>
  </si>
  <si>
    <t>v. Foreeststraat 35</t>
  </si>
  <si>
    <t>1701 BA</t>
  </si>
  <si>
    <t>Wa19</t>
  </si>
  <si>
    <t>Buurtcentrum HVO</t>
  </si>
  <si>
    <t>1701 AA</t>
  </si>
  <si>
    <t>1702 SC</t>
  </si>
  <si>
    <t>Overige objecten</t>
  </si>
  <si>
    <t>Krusemanlaan 3</t>
  </si>
  <si>
    <t>1701 VM</t>
  </si>
  <si>
    <t>O7</t>
  </si>
  <si>
    <t>O8</t>
  </si>
  <si>
    <t>Coolplein 1</t>
  </si>
  <si>
    <t>1703 SX</t>
  </si>
  <si>
    <t>SUBTOTALEN CATAGORIËN</t>
  </si>
  <si>
    <t xml:space="preserve">Woonwagencentra </t>
  </si>
  <si>
    <t>TOTAAL</t>
  </si>
  <si>
    <t>Primair onderwijs</t>
  </si>
  <si>
    <t>PO1</t>
  </si>
  <si>
    <t>PO2</t>
  </si>
  <si>
    <t>PO3</t>
  </si>
  <si>
    <t>De Familieschool</t>
  </si>
  <si>
    <t>1702 PA</t>
  </si>
  <si>
    <t>PO4</t>
  </si>
  <si>
    <t>Zonnewijzer</t>
  </si>
  <si>
    <t>Middenweg 30a</t>
  </si>
  <si>
    <t>PO6</t>
  </si>
  <si>
    <t>Plutolaan 2a</t>
  </si>
  <si>
    <t>1702 CB</t>
  </si>
  <si>
    <t>PO7</t>
  </si>
  <si>
    <t>St. Josephschool</t>
  </si>
  <si>
    <t>Rozenhoutstraat 3</t>
  </si>
  <si>
    <t>1704 CD</t>
  </si>
  <si>
    <t>PO8</t>
  </si>
  <si>
    <t>De Boomladder</t>
  </si>
  <si>
    <t>Rozenlaan 6</t>
  </si>
  <si>
    <t>1702 TG</t>
  </si>
  <si>
    <t>PO9</t>
  </si>
  <si>
    <t>Saenredamlaan 2</t>
  </si>
  <si>
    <t>1701 MD</t>
  </si>
  <si>
    <t>PO10</t>
  </si>
  <si>
    <t>Smaragd 32</t>
  </si>
  <si>
    <t>1703 GB</t>
  </si>
  <si>
    <t>PO12</t>
  </si>
  <si>
    <t>PO13</t>
  </si>
  <si>
    <t>Onyx 89</t>
  </si>
  <si>
    <t>1703 CG</t>
  </si>
  <si>
    <t>PO14</t>
  </si>
  <si>
    <t>Windmolen 2-4</t>
  </si>
  <si>
    <t>1703 PS</t>
  </si>
  <si>
    <t>PO15</t>
  </si>
  <si>
    <t>Smaragd 27</t>
  </si>
  <si>
    <t>1703 GA</t>
  </si>
  <si>
    <t>PO16</t>
  </si>
  <si>
    <t>PO17</t>
  </si>
  <si>
    <t>Van Foreestraat 6</t>
  </si>
  <si>
    <t>PO18</t>
  </si>
  <si>
    <t>PO19</t>
  </si>
  <si>
    <t>Hasselbraam**</t>
  </si>
  <si>
    <t>Anna Polaktuin 26 en 28</t>
  </si>
  <si>
    <t>1705 JS</t>
  </si>
  <si>
    <t>PO20</t>
  </si>
  <si>
    <t>De Zeppelin**</t>
  </si>
  <si>
    <t>Anna Polaktuin 27 en 28</t>
  </si>
  <si>
    <t>PO21</t>
  </si>
  <si>
    <t>Cornelia van Arkeldijk 22</t>
  </si>
  <si>
    <t>1705 NP</t>
  </si>
  <si>
    <t>PO22</t>
  </si>
  <si>
    <t>Sara de Bronovoland 7-16</t>
  </si>
  <si>
    <t>1705 MD</t>
  </si>
  <si>
    <t>PO23</t>
  </si>
  <si>
    <t>Keerkring 49</t>
  </si>
  <si>
    <t>PO24</t>
  </si>
  <si>
    <t>Zonnegloren 1-3</t>
  </si>
  <si>
    <t>1704 ZE</t>
  </si>
  <si>
    <t>Weegbree 2-4</t>
  </si>
  <si>
    <t>1705 RA</t>
  </si>
  <si>
    <t>* particuliere school met gemeentelijke investeringen</t>
  </si>
  <si>
    <t>** Opstalverzekering loopt via verzekering V.V.E.</t>
  </si>
  <si>
    <t>Voortgezet onderwijs</t>
  </si>
  <si>
    <t>VO1</t>
  </si>
  <si>
    <t xml:space="preserve">Trinitas College: 
Johannes Bosco </t>
  </si>
  <si>
    <t>1702 CL</t>
  </si>
  <si>
    <t>VO2</t>
  </si>
  <si>
    <t>Beukenlaan 1</t>
  </si>
  <si>
    <t>1703 RD</t>
  </si>
  <si>
    <t>Gymzalen</t>
  </si>
  <si>
    <t>G1</t>
  </si>
  <si>
    <t>Gymzaal</t>
  </si>
  <si>
    <t>Dreef 14</t>
  </si>
  <si>
    <t>G2</t>
  </si>
  <si>
    <t>Eikenlaan 2</t>
  </si>
  <si>
    <t>G3</t>
  </si>
  <si>
    <t>Geul 2</t>
  </si>
  <si>
    <t>1703 KZ</t>
  </si>
  <si>
    <t>G4</t>
  </si>
  <si>
    <t>Granaat 2</t>
  </si>
  <si>
    <t>1703 BC</t>
  </si>
  <si>
    <t>G5</t>
  </si>
  <si>
    <t>J. Glijnisweg 61b</t>
  </si>
  <si>
    <t>G6</t>
  </si>
  <si>
    <t>Plutolaan 2b</t>
  </si>
  <si>
    <t>G7</t>
  </si>
  <si>
    <t>Rembrandtstraat 44</t>
  </si>
  <si>
    <t>1701 JC</t>
  </si>
  <si>
    <t>G8</t>
  </si>
  <si>
    <t>Rozenhoutstraat 1</t>
  </si>
  <si>
    <t>G9</t>
  </si>
  <si>
    <t>Smaragd 30</t>
  </si>
  <si>
    <t>G11</t>
  </si>
  <si>
    <t>Sub D</t>
  </si>
  <si>
    <t>door Lengkeek Taxaties</t>
  </si>
  <si>
    <t>Nieuwbouw+inventaris</t>
  </si>
  <si>
    <t>Inventaris stond nog op adres Bickerstraat 31</t>
  </si>
  <si>
    <t>zie taxatierapport 4-10-2011</t>
  </si>
  <si>
    <t>%-stijging opstal 11,58% /              %-stijging inventaris 18,23%</t>
  </si>
  <si>
    <t>%-stijging 11,58% - 18,23%</t>
  </si>
  <si>
    <t>was</t>
  </si>
  <si>
    <t>1702 GW</t>
  </si>
  <si>
    <t>1702 AJ</t>
  </si>
  <si>
    <t>Kopieerapparatuur</t>
  </si>
  <si>
    <t>1704 MX</t>
  </si>
  <si>
    <t>PO25</t>
  </si>
  <si>
    <t>gebouwen</t>
  </si>
  <si>
    <t>door Lengkeek taxaties</t>
  </si>
  <si>
    <t>Standerdmolen 2-8</t>
  </si>
  <si>
    <t>Taxuslaan 30-32</t>
  </si>
  <si>
    <t>De Zevensprong</t>
  </si>
  <si>
    <t>Gemeentehuis (inclusief PV-Panelen netto 34.500/bruto 41.745 en inventaris Jeugd en Gezin)</t>
  </si>
  <si>
    <t>Umbriëllaan 6</t>
  </si>
  <si>
    <t>Oosterweg Noord 41</t>
  </si>
  <si>
    <t>1706 AA</t>
  </si>
  <si>
    <t>Ooster Vlaerdinge 2</t>
  </si>
  <si>
    <t xml:space="preserve">Anthoniusschool </t>
  </si>
  <si>
    <t>taxatie opstal dd 10-8-2016</t>
  </si>
  <si>
    <t>De Vork 7</t>
  </si>
  <si>
    <t>Sportpark De Vork Voetbal (alleen kleedruimten)</t>
  </si>
  <si>
    <t>Theater Cool</t>
  </si>
  <si>
    <t>Jan Glijnisweg 61-61a</t>
  </si>
  <si>
    <t xml:space="preserve">Hectorlaan 7 </t>
  </si>
  <si>
    <t>Huygenscollege dependance</t>
  </si>
  <si>
    <t>400356-13</t>
  </si>
  <si>
    <t>4000355 opstaltaxaties d.d. 10-8-2016</t>
  </si>
  <si>
    <t>De Vork 3</t>
  </si>
  <si>
    <t>Deimos 13</t>
  </si>
  <si>
    <t>1702 CK</t>
  </si>
  <si>
    <t>Sporthal "Deimoshal"</t>
  </si>
  <si>
    <t>door KakesWaal bv</t>
  </si>
  <si>
    <t>1620KTA010368 getaxeerd d.d. 06-02-2017 (gebouw)</t>
  </si>
  <si>
    <t>1620KTA010495 getaxeerd d.d. 06-02-2017 (inventaris)</t>
  </si>
  <si>
    <t>Fotocabine</t>
  </si>
  <si>
    <t>4014108 getaxeerd d.d. 01-02-2018 (gebouwen)</t>
  </si>
  <si>
    <t>4000356-1 t-m 4000356-14 inventaristaxaties d.d. 26-9-2016</t>
  </si>
  <si>
    <t>Buurthuis Multi Functionele Accomodatie (MFA) de Horst</t>
  </si>
  <si>
    <t>v. Eedenplein 1 en 5</t>
  </si>
  <si>
    <t>4023552 getaxeerd d.d. 24-01-2018 (inventaris)</t>
  </si>
  <si>
    <t>Wa</t>
  </si>
  <si>
    <t>Sub C</t>
  </si>
  <si>
    <t>Exploitatiekosten (aanvullend)</t>
  </si>
  <si>
    <t>Bijzondere extra kosten (aanvullend)</t>
  </si>
  <si>
    <t>Premie‰</t>
  </si>
  <si>
    <t>Poliskosten</t>
  </si>
  <si>
    <t>Middenweg 68</t>
  </si>
  <si>
    <t>4047010-2</t>
  </si>
  <si>
    <t>Huygenscollege (excl. fundering)</t>
  </si>
  <si>
    <t>4047010-1</t>
  </si>
  <si>
    <t>taxatierapport Lengkeek dd 16-12-2019, zie mail 27-01-2020</t>
  </si>
  <si>
    <t>4047010-3 taxatie dd 16-12-2019</t>
  </si>
  <si>
    <t>4047010-2 taxatie dd 16-12-2019</t>
  </si>
  <si>
    <t>Herbouwwaarde 
per 1-9-2019</t>
  </si>
  <si>
    <t>6 stuks</t>
  </si>
  <si>
    <t>Gebouwen
indexcijfer 137,2</t>
  </si>
  <si>
    <t>Herbouwwaarde 
per 1-9-2020</t>
  </si>
  <si>
    <t>Gebouwen
indexcijfer 147,5</t>
  </si>
  <si>
    <t>4047010-1 taxatie dd 16-12-2019</t>
  </si>
  <si>
    <t>4029918-1 en 4029918-2 getaxeerd d.d. 02-07-2018 (gebouwen)</t>
  </si>
  <si>
    <t>taxatierapport 4053921-11 Lengkeek dd 1-9-2020</t>
  </si>
  <si>
    <t>taxatierapport 4053921-1 Lengkeek dd 1-8-2020</t>
  </si>
  <si>
    <t>taxatierapport 4053921-2 Lengkeek dd 1-8-2020</t>
  </si>
  <si>
    <t>taxatierapport 4053921-3 Lengkeek dd 1-8-2020</t>
  </si>
  <si>
    <t>taxatierapport 4053921-4 Lengkeek dd 1-8-2020</t>
  </si>
  <si>
    <t>taxatierapport 4053921-5 Lengkeek dd 1-8-2020</t>
  </si>
  <si>
    <t>taxatierapport 4053921-6 Lengkeek dd 1-8-2020</t>
  </si>
  <si>
    <t>taxatierapport 4053921-7 Lengkeek dd 1-9-2020</t>
  </si>
  <si>
    <t>4053921-11</t>
  </si>
  <si>
    <t>4053921-1</t>
  </si>
  <si>
    <t xml:space="preserve">4053921-2 </t>
  </si>
  <si>
    <t xml:space="preserve">4053921-3 </t>
  </si>
  <si>
    <t>4053921-4</t>
  </si>
  <si>
    <t>4053921-5</t>
  </si>
  <si>
    <t xml:space="preserve">4053921-6 </t>
  </si>
  <si>
    <t xml:space="preserve">4053921-7 </t>
  </si>
  <si>
    <t xml:space="preserve">4053921-8 </t>
  </si>
  <si>
    <t>4053921-9</t>
  </si>
  <si>
    <t>taxatierapport 4053921-9 Lengkeek dd 1-9-2020</t>
  </si>
  <si>
    <t>4053921-10</t>
  </si>
  <si>
    <t>taxatierapport 4053921-10 Lengkeek dd 1-9-2020</t>
  </si>
  <si>
    <t>4053921-12</t>
  </si>
  <si>
    <t>taxatierapport 4053921-12 Lengkeek dd 1-8-2020</t>
  </si>
  <si>
    <t>4053921-13</t>
  </si>
  <si>
    <t>taxatierapport 4053921-13 Lengkeek dd 1-9-2020</t>
  </si>
  <si>
    <t>4053921-14</t>
  </si>
  <si>
    <t>taxatierapport 4053921-14 Lengkeek dd 1-9-2020</t>
  </si>
  <si>
    <t>4053921-15</t>
  </si>
  <si>
    <t>taxatierapport 4053921-15 Lengkeek dd 1-9-2020</t>
  </si>
  <si>
    <t>4053921-16</t>
  </si>
  <si>
    <t>taxatierapport 4053921-16 Lengkeek dd 1-9-2020</t>
  </si>
  <si>
    <t>taxatierapport 4053921-17 Lengkeek dd 1-8-2020</t>
  </si>
  <si>
    <t>4053921-18</t>
  </si>
  <si>
    <t>taxatierapport 4053921-18 Lengkeek dd 1-9-2020</t>
  </si>
  <si>
    <t>4053917-1</t>
  </si>
  <si>
    <t>taxatierapport 4053917-1 Lengkeek dd 1-8-2020</t>
  </si>
  <si>
    <t>taxatierapport 4053917-2 Lengkeek dd 1-9-2020</t>
  </si>
  <si>
    <t>4053917-3</t>
  </si>
  <si>
    <t>4053917-6</t>
  </si>
  <si>
    <t>taxatierapport 4053917-3 Lengkeek dd 1-9-2020</t>
  </si>
  <si>
    <t>4053917-4</t>
  </si>
  <si>
    <t>taxatierapport 4053917-4 Lengkeek dd 1-9-2020</t>
  </si>
  <si>
    <t>4053917-5</t>
  </si>
  <si>
    <t>taxatierapport 4053917-5 Lengkeek dd 1-9-2020</t>
  </si>
  <si>
    <t>taxatierapport 4053917-6 Lengkeek dd 1-9-2020</t>
  </si>
  <si>
    <t>taxatierapport 4053917-7 Lengkeek dd 1-9-2020</t>
  </si>
  <si>
    <t>taxatierapport 4053917-8 Lengkeek dd 1-9-2020</t>
  </si>
  <si>
    <t>4053917-9</t>
  </si>
  <si>
    <t>taxatierapport 4053917-9 Lengkeek dd 1-9-2020</t>
  </si>
  <si>
    <t>4053917-10</t>
  </si>
  <si>
    <t>taxatierapport 4053917-10 Lengkeek dd 1-9-2020</t>
  </si>
  <si>
    <t>Herbouwwaarde 
per 1-9-2021</t>
  </si>
  <si>
    <t>Gebouwen
indexcijfer 154,9</t>
  </si>
  <si>
    <t>Dep 1. De Tweemaster/De Fonkelsteen</t>
  </si>
  <si>
    <t>Van Teylingenlaan 5</t>
  </si>
  <si>
    <t>Object</t>
  </si>
  <si>
    <t>Adres aanduiding</t>
  </si>
  <si>
    <t>Postcode</t>
  </si>
  <si>
    <t>Plaats</t>
  </si>
  <si>
    <t>Verzekerde som Gebouwen</t>
  </si>
  <si>
    <t>Verzekerde som 
Inventaris</t>
  </si>
  <si>
    <t>Totaal verzekerde som</t>
  </si>
  <si>
    <t>Taxatierapport inventaris</t>
  </si>
  <si>
    <t>per 01-09-2017</t>
  </si>
  <si>
    <t>per 01-09-2018</t>
  </si>
  <si>
    <t>per 01-09-2019</t>
  </si>
  <si>
    <t>per 01-09-2020</t>
  </si>
  <si>
    <t>per 01-09-2021</t>
  </si>
  <si>
    <t>na index (123,6)</t>
  </si>
  <si>
    <t>na index (128,6)</t>
  </si>
  <si>
    <t>na index (137,2)</t>
  </si>
  <si>
    <t>na index (147,5)</t>
  </si>
  <si>
    <t>na index (154,9)</t>
  </si>
  <si>
    <t>Toren Herv. Kerk Bol</t>
  </si>
  <si>
    <t>Dorpsstraat 72</t>
  </si>
  <si>
    <t>1721 BM</t>
  </si>
  <si>
    <t>Broek op Langedijk</t>
  </si>
  <si>
    <t>Thorbecke d.d. 1-9-2020, verhoogd met BTW</t>
  </si>
  <si>
    <t>4043906-3 dd 12-6-2020 Lengkeek, incl BTW</t>
  </si>
  <si>
    <t>Thorbecke d.d. 06-07-21</t>
  </si>
  <si>
    <t>Sanitair gebouw jachthaven</t>
  </si>
  <si>
    <t>Havenplein 0</t>
  </si>
  <si>
    <t>1721 CA</t>
  </si>
  <si>
    <t>Keppelsloot 6</t>
  </si>
  <si>
    <t>1721 HJ</t>
  </si>
  <si>
    <t>4043906-1 dd 23-9-2019 Lengkeek</t>
  </si>
  <si>
    <t>Keppelsloot 8</t>
  </si>
  <si>
    <t>4043906-2 dd 23-9-2019 Lengkeek</t>
  </si>
  <si>
    <t>Sluiswachterswoning</t>
  </si>
  <si>
    <t>Sluiskade 16A</t>
  </si>
  <si>
    <t>1721 CB</t>
  </si>
  <si>
    <t>Sporthal Mayersloot</t>
  </si>
  <si>
    <t>Zandsloot 12</t>
  </si>
  <si>
    <t>1721 HK</t>
  </si>
  <si>
    <t>4043906-4 dd 30-9-2019 Lengkeek</t>
  </si>
  <si>
    <t>1723 XN</t>
  </si>
  <si>
    <t>Noord-Scharwoude</t>
  </si>
  <si>
    <t>Dr. Wilminkstraat 3</t>
  </si>
  <si>
    <t>Sporthal Geestmerambacht, handbalkantine</t>
  </si>
  <si>
    <t>Sporthal Geestmerambacht, tennishal</t>
  </si>
  <si>
    <t>1723 KA</t>
  </si>
  <si>
    <t>1724 NZ</t>
  </si>
  <si>
    <t>Oudkarspel</t>
  </si>
  <si>
    <t>Lourens Bogtmanstraat 7</t>
  </si>
  <si>
    <t>1724 SV</t>
  </si>
  <si>
    <t>Gymlokaal</t>
  </si>
  <si>
    <t>Museumweg 1</t>
  </si>
  <si>
    <t>1721 BW</t>
  </si>
  <si>
    <t>4043906-8 dd 02-10-2019 Lengkeek</t>
  </si>
  <si>
    <t>Oostelijke Randweg 15</t>
  </si>
  <si>
    <t>1723 LH</t>
  </si>
  <si>
    <t>Platteven 42</t>
  </si>
  <si>
    <t>1723 AB</t>
  </si>
  <si>
    <t>4043906-9 dd 30-09-2019 Lengkeek</t>
  </si>
  <si>
    <t>Platteven 42A en B</t>
  </si>
  <si>
    <t>Platteven 44</t>
  </si>
  <si>
    <t>4043906-10 dd 02-10-2019 Lengkeek</t>
  </si>
  <si>
    <t>Schoolstraat 25</t>
  </si>
  <si>
    <t>1723 AA</t>
  </si>
  <si>
    <t>4043906-11 dd 02-10-2019 Lengkeek</t>
  </si>
  <si>
    <t>Schoolstraat 27</t>
  </si>
  <si>
    <t>4043906-12 dd 30-09-2019 Lengkeek</t>
  </si>
  <si>
    <t>Schoolstraat 29</t>
  </si>
  <si>
    <t>Loods/opslagplaats</t>
  </si>
  <si>
    <t>1723 HP</t>
  </si>
  <si>
    <t>1724 BB</t>
  </si>
  <si>
    <t>4047266 d.d. 05-12-2019, incl. fundering</t>
  </si>
  <si>
    <t>Gemeentewerf</t>
  </si>
  <si>
    <t>Berrie 8 en 8A</t>
  </si>
  <si>
    <t>4043906-34 dd 08-10-2019 Lengkeek</t>
  </si>
  <si>
    <t>Diepsmeerweg 16</t>
  </si>
  <si>
    <t>1724 PP</t>
  </si>
  <si>
    <t>Voorburggracht 427</t>
  </si>
  <si>
    <t>4043906-17 dd 14-10-2019 Lengkeek</t>
  </si>
  <si>
    <t>Voorburggracht 429</t>
  </si>
  <si>
    <t>Voorburggracht 431</t>
  </si>
  <si>
    <t>Benedenweg 103</t>
  </si>
  <si>
    <t>1834 AL</t>
  </si>
  <si>
    <t>Sint Pancras</t>
  </si>
  <si>
    <t>Sporthal de Oostwal</t>
  </si>
  <si>
    <t>Beverplein 2</t>
  </si>
  <si>
    <t>1834 GS</t>
  </si>
  <si>
    <t>4043906-19 dd 30-09-2019 Lengkeek</t>
  </si>
  <si>
    <t>1834 CC</t>
  </si>
  <si>
    <t>1834 CG</t>
  </si>
  <si>
    <t>Bovenweg 64</t>
  </si>
  <si>
    <t>Bovenweg 68</t>
  </si>
  <si>
    <t>4043906-20 dd 02-10-2019 Lengkeek</t>
  </si>
  <si>
    <t>Werkschuur begraafplaats</t>
  </si>
  <si>
    <t>Kinderdagverblijf "De Stampertjes"</t>
  </si>
  <si>
    <t>Kastanjelaan 2A</t>
  </si>
  <si>
    <t>1834 GL</t>
  </si>
  <si>
    <t>Kinderdagverblijf</t>
  </si>
  <si>
    <t>Kastanjelaan 2B</t>
  </si>
  <si>
    <t>Kastanjelaan 4</t>
  </si>
  <si>
    <t>Kerktoren Ned. Hervormde Kerk</t>
  </si>
  <si>
    <t>Kerkplein 1</t>
  </si>
  <si>
    <t>1834 AD</t>
  </si>
  <si>
    <t>4043906-21 dd 12-6-2020 Lengkeek, incl BTW</t>
  </si>
  <si>
    <t>Pluvier 2</t>
  </si>
  <si>
    <t>1834 XJ</t>
  </si>
  <si>
    <t>4043906-22 dd 02-10-2019 Lengkeek</t>
  </si>
  <si>
    <t>1834 XN</t>
  </si>
  <si>
    <t>Sperwer 3</t>
  </si>
  <si>
    <t>Sperwer 5</t>
  </si>
  <si>
    <t>Bosgroet 2</t>
  </si>
  <si>
    <t>1722 KA</t>
  </si>
  <si>
    <t>Zuid-Scharwoude</t>
  </si>
  <si>
    <t>4043906-28 dd 23-09-2019 Lengkeek</t>
  </si>
  <si>
    <t>Bosgroet 2 t/m 18</t>
  </si>
  <si>
    <t>Theater De Binding</t>
  </si>
  <si>
    <t>Bosgroet 4</t>
  </si>
  <si>
    <t>4043906-27 dd 23-09-2019 Lengkeek</t>
  </si>
  <si>
    <t>Bosgroet 14</t>
  </si>
  <si>
    <t>4043906-26 dd 24-09-2019 Lengkeek</t>
  </si>
  <si>
    <t>Bosgroet 20</t>
  </si>
  <si>
    <t>Entree en werkgebouw begraafplaats ZSW</t>
  </si>
  <si>
    <t>Oostelijke Randweg 30</t>
  </si>
  <si>
    <t>1722 GP</t>
  </si>
  <si>
    <t>4043906-30 dd 08-10-2019 Lengkeek</t>
  </si>
  <si>
    <t>Antikraak bewoning</t>
  </si>
  <si>
    <t>Vroedschap 1</t>
  </si>
  <si>
    <t>1722 GX</t>
  </si>
  <si>
    <t>Brandweerkazerne</t>
  </si>
  <si>
    <t>Vroedschap 3</t>
  </si>
  <si>
    <t>4043906-32 dd 08-10-2019 Lengkeek</t>
  </si>
  <si>
    <t xml:space="preserve">Vroedschap 7 </t>
  </si>
  <si>
    <t>Thorbecke d.d. 2-9-2020, verhoogd met BTW</t>
  </si>
  <si>
    <t>4043906-33 dd 08-10-2019 Lengkeek</t>
  </si>
  <si>
    <t>Totalen</t>
  </si>
  <si>
    <t>Thorbecke d.d. 29-9-2021, verhoogd met BTW</t>
  </si>
  <si>
    <t>Thorbecke taxatie dd 01-01-22</t>
  </si>
  <si>
    <t>Thorbecke taxatie dd 27-01-22</t>
  </si>
  <si>
    <t>Thorbecke taxatie dd 14-01-22</t>
  </si>
  <si>
    <t>Thorbecke taxatie dd 07-02-22</t>
  </si>
  <si>
    <t>Huygenscollege</t>
  </si>
  <si>
    <t>Umbriëllaan 3</t>
  </si>
  <si>
    <t>Thorbecke taxatie dd 13-01-22</t>
  </si>
  <si>
    <t>De Spinaker</t>
  </si>
  <si>
    <t>Thorbecke taxatie dd 10-01-22</t>
  </si>
  <si>
    <t>Thorbecke taxatie dd 18-01-22</t>
  </si>
  <si>
    <t>Thorbecke taxatie dd 11-01-22</t>
  </si>
  <si>
    <t>4048503 Lengkeek d.d. 16-01-2020, incl. fundering</t>
  </si>
  <si>
    <t>per 01-09-2022</t>
  </si>
  <si>
    <t>na index (163,4)</t>
  </si>
  <si>
    <t>Bovenweg 58-62</t>
  </si>
  <si>
    <t>Herbouwwaarde 
per 1-9-2022</t>
  </si>
  <si>
    <t>Waarde 
per 1-9-2022</t>
  </si>
  <si>
    <t>Gebouwen
indexcijfer 163,4</t>
  </si>
  <si>
    <t>Brandweergarage (inclusief fundering)</t>
  </si>
  <si>
    <t>Natte cellen (inclusief fundering)</t>
  </si>
  <si>
    <t>bewoner J.A. Hoedt (woonwagen incl. fundering)</t>
  </si>
  <si>
    <t>Sporthal HHW-Zuid (inclusief fundering)</t>
  </si>
  <si>
    <t>Wijkcentrum "De Vonder" (inclusief fundering)</t>
  </si>
  <si>
    <t>Helix (inclusief fundering)</t>
  </si>
  <si>
    <t>P.J. Smitschool (inclusief fundering)</t>
  </si>
  <si>
    <t>Dreef 12a
van Veenweg 4</t>
  </si>
  <si>
    <t>1701 GP
1701 HE</t>
  </si>
  <si>
    <t>Kindcentrum De Paperclip</t>
  </si>
  <si>
    <t>Reflector (inclusief fundering)</t>
  </si>
  <si>
    <t>Kindcentrum Atalanta (inclusief fundering)</t>
  </si>
  <si>
    <t>Tinitas college:
Han Fortmann (incl. funderingen)</t>
  </si>
  <si>
    <t>Praktijkschool Focus &amp; Huygens college (inclusief fundering)</t>
  </si>
  <si>
    <t>Umbriëllaan 1 - 3</t>
  </si>
  <si>
    <t>Gymzaal (incl. fundering)</t>
  </si>
  <si>
    <t>Huygenscollege (portakabins)</t>
  </si>
  <si>
    <t>n.o.t.g.</t>
  </si>
  <si>
    <t>Sporthal Geestmerambacht inventaris</t>
  </si>
  <si>
    <t>Sporthal Geestmerambacht, sporthal/gymzaal incl. 1e etage</t>
  </si>
  <si>
    <t>Kerklaan 8A</t>
  </si>
  <si>
    <t>IKC Waterrijk West</t>
  </si>
  <si>
    <t>Gemeentewerf Milieustraat, stalling en kantoor</t>
  </si>
  <si>
    <t>De Binding - Huis van de Gemeente</t>
  </si>
  <si>
    <t>Gemeentewerf (voormalig)</t>
  </si>
  <si>
    <t>Jan Arentsz</t>
  </si>
  <si>
    <t>BSO de Hasselbraam</t>
  </si>
  <si>
    <t>IKC Waterrijk Oost</t>
  </si>
  <si>
    <t>Verzekerde som 
Gebouwen</t>
  </si>
  <si>
    <t>PO De Phoenix</t>
  </si>
  <si>
    <r>
      <t>PO</t>
    </r>
    <r>
      <rPr>
        <strike/>
        <sz val="10"/>
        <rFont val="Arial"/>
        <family val="2"/>
      </rPr>
      <t xml:space="preserve"> </t>
    </r>
    <r>
      <rPr>
        <sz val="10"/>
        <rFont val="Arial"/>
        <family val="2"/>
      </rPr>
      <t>De Koolvlet</t>
    </r>
  </si>
  <si>
    <t>IKC Oudkarspel (incl. zonnepanelen)</t>
  </si>
  <si>
    <t>PO Het Mozaïek</t>
  </si>
  <si>
    <t>Zwembad Duikerdel</t>
  </si>
  <si>
    <t>KDV BSO- Pettevlet/Ziezo/Kleine Veert (vastgebouwd aan 44)</t>
  </si>
  <si>
    <t>PO De Wijde Veert</t>
  </si>
  <si>
    <t>Woning met schuur</t>
  </si>
  <si>
    <r>
      <t xml:space="preserve">Dependance school Baken (benedenverdieping), woonhuis 58 en 60 bovenverdieping </t>
    </r>
    <r>
      <rPr>
        <strike/>
        <sz val="10"/>
        <rFont val="Arial"/>
        <family val="2"/>
      </rPr>
      <t>School, woningen en loods</t>
    </r>
  </si>
  <si>
    <t>PO 't Baken</t>
  </si>
  <si>
    <t>Bovenweg 93B</t>
  </si>
  <si>
    <t>7 stuks</t>
  </si>
  <si>
    <t>Jongerencentrum Komplex</t>
  </si>
  <si>
    <t>Dependance van Pater Jan Smit School én een dependance van de Regenboogschool</t>
  </si>
  <si>
    <t>IKC de Poolster</t>
  </si>
  <si>
    <t>VSO Dijk en Waard College</t>
  </si>
  <si>
    <t>Caroussel en aanbouw voor dagbehandeling clienten Esdege Reigersdaal</t>
  </si>
  <si>
    <t>KDV - Eclips</t>
  </si>
  <si>
    <t>Deelproject</t>
  </si>
  <si>
    <t>Grootboekrekening</t>
  </si>
  <si>
    <t>U50005-100</t>
  </si>
  <si>
    <t>U50002-100</t>
  </si>
  <si>
    <t>E10050-100</t>
  </si>
  <si>
    <t>E10030-100</t>
  </si>
  <si>
    <t>E10318-100</t>
  </si>
  <si>
    <t>E10165-100</t>
  </si>
  <si>
    <t>E10132-100</t>
  </si>
  <si>
    <t>E10164-100</t>
  </si>
  <si>
    <t>E10214-101</t>
  </si>
  <si>
    <t>E10214-103</t>
  </si>
  <si>
    <t>E10214-104</t>
  </si>
  <si>
    <t>E10214-100</t>
  </si>
  <si>
    <t>E10214-102</t>
  </si>
  <si>
    <t>E10214-105</t>
  </si>
  <si>
    <t>E10214-107</t>
  </si>
  <si>
    <t>E10214-106</t>
  </si>
  <si>
    <t>E10101-100</t>
  </si>
  <si>
    <t>E10294-100</t>
  </si>
  <si>
    <t>U50008-100</t>
  </si>
  <si>
    <t>E10393-126</t>
  </si>
  <si>
    <t>E10393-131</t>
  </si>
  <si>
    <t>E10393-105</t>
  </si>
  <si>
    <t>E10393-110</t>
  </si>
  <si>
    <t>E10393-130</t>
  </si>
  <si>
    <t>E10393-111</t>
  </si>
  <si>
    <t>E10393-112</t>
  </si>
  <si>
    <t>E10393-113</t>
  </si>
  <si>
    <t>E10393-128</t>
  </si>
  <si>
    <t>E10393-115</t>
  </si>
  <si>
    <t>E10393-108</t>
  </si>
  <si>
    <t>E10134-100</t>
  </si>
  <si>
    <t>E10393-114</t>
  </si>
  <si>
    <t>E10393-117</t>
  </si>
  <si>
    <t>E10126-100</t>
  </si>
  <si>
    <t>E10393-102</t>
  </si>
  <si>
    <t>E10393-103</t>
  </si>
  <si>
    <t>E10393-104</t>
  </si>
  <si>
    <t>E10130-100</t>
  </si>
  <si>
    <t>E10393-106</t>
  </si>
  <si>
    <t>E10393-119</t>
  </si>
  <si>
    <t>E10393-118</t>
  </si>
  <si>
    <t>E10393-123</t>
  </si>
  <si>
    <t>E10393-120</t>
  </si>
  <si>
    <t>E10393-129</t>
  </si>
  <si>
    <t>E10147-100</t>
  </si>
  <si>
    <t>E10170-100</t>
  </si>
  <si>
    <t>Premie jaar incl 21% assu</t>
  </si>
  <si>
    <t>Premie jan tm aug 23</t>
  </si>
  <si>
    <t>E10195-100</t>
  </si>
  <si>
    <t>E10100-100</t>
  </si>
  <si>
    <t>E10135-100</t>
  </si>
  <si>
    <t>E10184-100</t>
  </si>
  <si>
    <t>E10169-100</t>
  </si>
  <si>
    <t>E10144-100</t>
  </si>
  <si>
    <t>E10171-100</t>
  </si>
  <si>
    <t>E10139-100</t>
  </si>
  <si>
    <t>E10173-100</t>
  </si>
  <si>
    <t>E10174-100</t>
  </si>
  <si>
    <t>E10332-102</t>
  </si>
  <si>
    <t>E10142-100</t>
  </si>
  <si>
    <t>E10146-100</t>
  </si>
  <si>
    <t>E10175-100</t>
  </si>
  <si>
    <t>E10393-101</t>
  </si>
  <si>
    <t>E10033-100</t>
  </si>
  <si>
    <t>U50020-100</t>
  </si>
  <si>
    <t>E10022-101</t>
  </si>
  <si>
    <t>E10163-100</t>
  </si>
  <si>
    <t>E10393-100</t>
  </si>
  <si>
    <t>E10026-100</t>
  </si>
  <si>
    <t>E10127-100</t>
  </si>
  <si>
    <t>E10338-101</t>
  </si>
  <si>
    <t>E10332-100</t>
  </si>
  <si>
    <t>E10338-102</t>
  </si>
  <si>
    <t>E10141-100</t>
  </si>
  <si>
    <t>E10143-100</t>
  </si>
  <si>
    <t>E10176-100</t>
  </si>
  <si>
    <t>U50018-100</t>
  </si>
  <si>
    <t>E10151-100</t>
  </si>
  <si>
    <t>E10038-100</t>
  </si>
  <si>
    <t>Premie Sept tm dec 22</t>
  </si>
  <si>
    <t>Kinderboerderij Bongelaar</t>
  </si>
  <si>
    <t>Havengebouw Broekhorn (geheel van glas) (inclusief fundering)</t>
  </si>
  <si>
    <t>Begraafplaats - Ontmoetingsgebouw</t>
  </si>
  <si>
    <t>Kindcentrum De Vaart (bakboord)</t>
  </si>
  <si>
    <t>Kindcentrum De Vaart (stuurboord)</t>
  </si>
  <si>
    <t>VO Huygenscollege (dependance) (inclusief fundering</t>
  </si>
  <si>
    <t>PO De Vlindertuin (hele complex) - inclusief fundering</t>
  </si>
  <si>
    <t>PO De Vlindertuin</t>
  </si>
  <si>
    <t>PO Campus Columbus (incl. fundering)</t>
  </si>
  <si>
    <t xml:space="preserve">PO Campus Columbus </t>
  </si>
  <si>
    <t>Taxatierapport gebouwen</t>
  </si>
  <si>
    <t>Noodlokalen Han Fortmann</t>
  </si>
  <si>
    <t>dekking in kracht herstellen zie mail 241122</t>
  </si>
  <si>
    <t>Westdijk 6</t>
  </si>
  <si>
    <t>Gereedschapsschuurtje</t>
  </si>
  <si>
    <t>De Vork 9</t>
  </si>
  <si>
    <t>De Vork 8</t>
  </si>
  <si>
    <t>Thorbecke taxatie dd 01-03-23</t>
  </si>
  <si>
    <t>Honk- Softbal vereniging The Herons (10 kleedkamers)</t>
  </si>
  <si>
    <t>Sportpark De Vork Hockeyclub NHC (alleen kleedruimten)</t>
  </si>
  <si>
    <t>Sportpark De Vork Korfbalvereniging Apollo (alleen kleedruimten)</t>
  </si>
  <si>
    <t>Thorbecke d.d. 01-03-2023</t>
  </si>
  <si>
    <t>Voorburggracht 295A/
Molenkade 1</t>
  </si>
  <si>
    <t>Heerhugowaard</t>
  </si>
  <si>
    <t>Berrie 8</t>
  </si>
  <si>
    <t>Verzekerde som</t>
  </si>
  <si>
    <t>Premie</t>
  </si>
  <si>
    <t>Behcode</t>
  </si>
  <si>
    <t>Beheerder</t>
  </si>
  <si>
    <t>RUIM Stadsbedrijf</t>
  </si>
  <si>
    <t>Kenteken</t>
  </si>
  <si>
    <t/>
  </si>
  <si>
    <t>LJZ-22-T</t>
  </si>
  <si>
    <t>LJZ-57-S</t>
  </si>
  <si>
    <t>LLP-64-Z</t>
  </si>
  <si>
    <t>LLP-65-Z</t>
  </si>
  <si>
    <t>LLP-66-Z</t>
  </si>
  <si>
    <t>LLP-67-Z</t>
  </si>
  <si>
    <t>LLP-68-Z</t>
  </si>
  <si>
    <t>LLP-69-Z</t>
  </si>
  <si>
    <t>LLP-70-Z</t>
  </si>
  <si>
    <t>LLR-81-B</t>
  </si>
  <si>
    <t>LLR-82-B</t>
  </si>
  <si>
    <t>LNG-04-L</t>
  </si>
  <si>
    <t>LNG-07-L</t>
  </si>
  <si>
    <t>LNG-08-L</t>
  </si>
  <si>
    <t>LNG-09-L</t>
  </si>
  <si>
    <t>LNJ-12-R</t>
  </si>
  <si>
    <t>LNJ-91-P</t>
  </si>
  <si>
    <t>LNJ-92-P</t>
  </si>
  <si>
    <t>LNJ-96-P</t>
  </si>
  <si>
    <t>LNL-18-B</t>
  </si>
  <si>
    <t>LRF-83-S</t>
  </si>
  <si>
    <t>T-92-BVN</t>
  </si>
  <si>
    <t>T-93-BVN</t>
  </si>
  <si>
    <t>T-48-DBK</t>
  </si>
  <si>
    <t>T-13-DBK</t>
  </si>
  <si>
    <t>TZR-61-N</t>
  </si>
  <si>
    <t>TGF-59-P</t>
  </si>
  <si>
    <t>TZR-62-N</t>
  </si>
  <si>
    <t>TZR-60-N</t>
  </si>
  <si>
    <t>TZR-59-N</t>
  </si>
  <si>
    <t>TGP-51-R</t>
  </si>
  <si>
    <t>TRR-03-F</t>
  </si>
  <si>
    <t>LLZ-03-V</t>
  </si>
  <si>
    <t>TZR-58-N</t>
  </si>
  <si>
    <t>T-05-FHH</t>
  </si>
  <si>
    <t>TZR-55-N</t>
  </si>
  <si>
    <t>TZR-54-N</t>
  </si>
  <si>
    <t>TZR-67-N</t>
  </si>
  <si>
    <t>T-31-DBK</t>
  </si>
  <si>
    <t>TZR-56-N</t>
  </si>
  <si>
    <t>TZR-43-R</t>
  </si>
  <si>
    <t>TZR-69-N</t>
  </si>
  <si>
    <t>T-35-DBK</t>
  </si>
  <si>
    <t>TZR-42-R</t>
  </si>
  <si>
    <t>T-19-BSH</t>
  </si>
  <si>
    <t>TZR-41-R</t>
  </si>
  <si>
    <t>TZR-39-R</t>
  </si>
  <si>
    <t>TZR-36-R</t>
  </si>
  <si>
    <t>TZR-40-R</t>
  </si>
  <si>
    <t>TZR-38-R</t>
  </si>
  <si>
    <t>TZR-37-R</t>
  </si>
  <si>
    <t>TZR-63-N</t>
  </si>
  <si>
    <t>T-85-BLT</t>
  </si>
  <si>
    <t>TZR-64-N</t>
  </si>
  <si>
    <t>TZR-66-N</t>
  </si>
  <si>
    <t>TGT-21-Z</t>
  </si>
  <si>
    <t>TZR-65-N</t>
  </si>
  <si>
    <t>T-98-BVD</t>
  </si>
  <si>
    <t>Categorie</t>
  </si>
  <si>
    <t>Getrokken-Gekoppeld materieel</t>
  </si>
  <si>
    <t>Land- en tuinbouwmaterieel</t>
  </si>
  <si>
    <t>opbouw</t>
  </si>
  <si>
    <t>Dekking</t>
  </si>
  <si>
    <t>Merk</t>
  </si>
  <si>
    <t>Type</t>
  </si>
  <si>
    <t>Brand</t>
  </si>
  <si>
    <t>Rioned</t>
  </si>
  <si>
    <t>Multijet 52-WK-KK</t>
  </si>
  <si>
    <t>Schuitemaker</t>
  </si>
  <si>
    <t>Virtus SH</t>
  </si>
  <si>
    <t>grote opzet sproeier 670</t>
  </si>
  <si>
    <t>grote opzetsproeier 672</t>
  </si>
  <si>
    <t>Spearhead</t>
  </si>
  <si>
    <t>5000 nummer 610</t>
  </si>
  <si>
    <t>Vekon</t>
  </si>
  <si>
    <t>prik rol</t>
  </si>
  <si>
    <t>Verti-drain</t>
  </si>
  <si>
    <t>7526</t>
  </si>
  <si>
    <t>Epoke</t>
  </si>
  <si>
    <t>City sprayer</t>
  </si>
  <si>
    <t>City Sprayer</t>
  </si>
  <si>
    <t>IMANTS</t>
  </si>
  <si>
    <t>V170</t>
  </si>
  <si>
    <t>Jako</t>
  </si>
  <si>
    <t>5000</t>
  </si>
  <si>
    <t>Irimec</t>
  </si>
  <si>
    <t>ST2</t>
  </si>
  <si>
    <t>Beco</t>
  </si>
  <si>
    <t>Brevis 100T</t>
  </si>
  <si>
    <t>Tiger 15</t>
  </si>
  <si>
    <t>Trident 5000</t>
  </si>
  <si>
    <t>TT5000E</t>
  </si>
  <si>
    <t>Green tec</t>
  </si>
  <si>
    <t>UFKES VC942-13</t>
  </si>
  <si>
    <t>DAL-BO</t>
  </si>
  <si>
    <t>Maxiroll Greenline 630x71</t>
  </si>
  <si>
    <t>EPOKE</t>
  </si>
  <si>
    <t>CITY SRAYER</t>
  </si>
  <si>
    <t>CITY SPRAYER</t>
  </si>
  <si>
    <t>hardi</t>
  </si>
  <si>
    <t>Navigator</t>
  </si>
  <si>
    <t>Nido</t>
  </si>
  <si>
    <t>Stratos</t>
  </si>
  <si>
    <t>AWK 8</t>
  </si>
  <si>
    <t>EPOKE LBO VIRTUS</t>
  </si>
  <si>
    <t>EPOKE VIRTUS MINI</t>
  </si>
  <si>
    <t>UFKES VC 942/13</t>
  </si>
  <si>
    <t>damman</t>
  </si>
  <si>
    <t>sprayer ks</t>
  </si>
  <si>
    <t>KS 3003</t>
  </si>
  <si>
    <t>DAF</t>
  </si>
  <si>
    <t>FAN CF</t>
  </si>
  <si>
    <t>DAF zijlader</t>
  </si>
  <si>
    <t>FAN CF75</t>
  </si>
  <si>
    <t>Doosan Heftruck PRO 5EE</t>
  </si>
  <si>
    <t>BT 20-5AC</t>
  </si>
  <si>
    <t>Fendt</t>
  </si>
  <si>
    <t>313 Profi/Vario</t>
  </si>
  <si>
    <t>313 S4 profi vario</t>
  </si>
  <si>
    <t>313 Vario</t>
  </si>
  <si>
    <t>313/350 Vario</t>
  </si>
  <si>
    <t>724 Vario</t>
  </si>
  <si>
    <t>Fuchs</t>
  </si>
  <si>
    <t xml:space="preserve"> MHL320</t>
  </si>
  <si>
    <t>Green tec Ufkes</t>
  </si>
  <si>
    <t>John Deere</t>
  </si>
  <si>
    <t>209F</t>
  </si>
  <si>
    <t>6330 Premium</t>
  </si>
  <si>
    <t>Gator TE</t>
  </si>
  <si>
    <t>Gator XUV 855D</t>
  </si>
  <si>
    <t>JD6130</t>
  </si>
  <si>
    <t>Linde vorkheftruck</t>
  </si>
  <si>
    <t>E 25L-01</t>
  </si>
  <si>
    <t>Manitou</t>
  </si>
  <si>
    <t>MLT 840-137</t>
  </si>
  <si>
    <t>Mitsubishi FUSO</t>
  </si>
  <si>
    <t>Canter</t>
  </si>
  <si>
    <t>Nimos</t>
  </si>
  <si>
    <t>DM-TRAC-406 comfort</t>
  </si>
  <si>
    <t>DN-TRAC 305 comfort</t>
  </si>
  <si>
    <t>DM-TRAC 305 comfort plus</t>
  </si>
  <si>
    <t>Posi-Track K/214</t>
  </si>
  <si>
    <t>Ransomes</t>
  </si>
  <si>
    <t>MP653 4WD</t>
  </si>
  <si>
    <t>Ravo</t>
  </si>
  <si>
    <t>540 STH</t>
  </si>
  <si>
    <t>RAVO 5 series 540</t>
  </si>
  <si>
    <t>SCHAEFF</t>
  </si>
  <si>
    <t>TC222</t>
  </si>
  <si>
    <t>Totaal</t>
  </si>
  <si>
    <t>CatWaarde</t>
  </si>
  <si>
    <t>Merktype</t>
  </si>
  <si>
    <t>Chassis</t>
  </si>
  <si>
    <t>Rioned Multijet 52-WK-KK</t>
  </si>
  <si>
    <t>9378</t>
  </si>
  <si>
    <t>Schuitemaker grote opzet sproeier 677</t>
  </si>
  <si>
    <t>24340235</t>
  </si>
  <si>
    <t>Schuitemaker grote opzet sproeier 670</t>
  </si>
  <si>
    <t>24340223</t>
  </si>
  <si>
    <t>Schuitemaker grote opzetsproeier 672</t>
  </si>
  <si>
    <t>24340226</t>
  </si>
  <si>
    <t>Spearhead 5000 nummer 610</t>
  </si>
  <si>
    <t>17132-5</t>
  </si>
  <si>
    <t>Vekon 6K-54-9</t>
  </si>
  <si>
    <t>Verti-drain 7526</t>
  </si>
  <si>
    <t>Epoke City sprayer</t>
  </si>
  <si>
    <t>XMZSGL4XXM0000317</t>
  </si>
  <si>
    <t>Epoke City Sprayer</t>
  </si>
  <si>
    <t>XMZSGL4XXM0000318</t>
  </si>
  <si>
    <t>IMANTS V170</t>
  </si>
  <si>
    <t>390</t>
  </si>
  <si>
    <t>Jako 5000</t>
  </si>
  <si>
    <t>5777</t>
  </si>
  <si>
    <t>Irimec ST2</t>
  </si>
  <si>
    <t>5027/B80</t>
  </si>
  <si>
    <t>5074/B80</t>
  </si>
  <si>
    <t>Beco Brevis 100T</t>
  </si>
  <si>
    <t>32197</t>
  </si>
  <si>
    <t>Jako Tiger 15</t>
  </si>
  <si>
    <t>1624</t>
  </si>
  <si>
    <t>Spearhead Trident 5000</t>
  </si>
  <si>
    <t>S-104170</t>
  </si>
  <si>
    <t>Jako TT5000E</t>
  </si>
  <si>
    <t>XL9JAT20196543252</t>
  </si>
  <si>
    <t>Green tec UFKES VC942-13</t>
  </si>
  <si>
    <t>XL9942110LD583110</t>
  </si>
  <si>
    <t>DAL-BO Maxiroll Greenline 630x71</t>
  </si>
  <si>
    <t>720</t>
  </si>
  <si>
    <t>EPOKE CITY SRAYER</t>
  </si>
  <si>
    <t>15131365</t>
  </si>
  <si>
    <t>Epoke CITY SPRAYER</t>
  </si>
  <si>
    <t>15131367</t>
  </si>
  <si>
    <t>15131368</t>
  </si>
  <si>
    <t>hardi Navigator</t>
  </si>
  <si>
    <t>HOM98034</t>
  </si>
  <si>
    <t>Nido Stratos</t>
  </si>
  <si>
    <t>XL91AHW04YL001450</t>
  </si>
  <si>
    <t>Nido AWK 8</t>
  </si>
  <si>
    <t>XL91AHW055L001609</t>
  </si>
  <si>
    <t>Schuitemaker EPOKE LBO VIRTUS</t>
  </si>
  <si>
    <t>3510604</t>
  </si>
  <si>
    <t>Schuitemaker EPOKE VIRTUS MINI</t>
  </si>
  <si>
    <t>15321657</t>
  </si>
  <si>
    <t>Green tec UFKES VC 942/13</t>
  </si>
  <si>
    <t>XL917942054583054</t>
  </si>
  <si>
    <t>groot sproeier</t>
  </si>
  <si>
    <t>kleine sproeier</t>
  </si>
  <si>
    <t>DAF FAN CF</t>
  </si>
  <si>
    <t>XLRAS75PC-OE870395</t>
  </si>
  <si>
    <t>XLRAS75PC-OE870373</t>
  </si>
  <si>
    <t>DAF FAN CF75</t>
  </si>
  <si>
    <t>XLRAS75PC-OE870381</t>
  </si>
  <si>
    <t>Doosan Heftruck PRO  5EE BT 20-5AC</t>
  </si>
  <si>
    <t>FBA06-1370-0-1379</t>
  </si>
  <si>
    <t>Fendt 313 Profi/Vario</t>
  </si>
  <si>
    <t>WAM35021-V00F07681</t>
  </si>
  <si>
    <t>Fendt 313 S4 profi vario</t>
  </si>
  <si>
    <t>WAM35021-L08638</t>
  </si>
  <si>
    <t>Fendt 313 Vario</t>
  </si>
  <si>
    <t>WAM35021-H00F06261</t>
  </si>
  <si>
    <t>Fendt 313/350 Vario</t>
  </si>
  <si>
    <t>WAM35021-C00F05520</t>
  </si>
  <si>
    <t>Fendt 724 Vario</t>
  </si>
  <si>
    <t>Fuchs MHL320</t>
  </si>
  <si>
    <t>XL9100001-ND583001</t>
  </si>
  <si>
    <t>John Deere 3720</t>
  </si>
  <si>
    <t>LV3720E39-0210</t>
  </si>
  <si>
    <t>Fendt 209F</t>
  </si>
  <si>
    <t>John Deere 6320</t>
  </si>
  <si>
    <t>L06320494158</t>
  </si>
  <si>
    <t>John Deere 6330 Premium</t>
  </si>
  <si>
    <t>LO6330P57-4581</t>
  </si>
  <si>
    <t>John Deere Gator TE</t>
  </si>
  <si>
    <t>W04X2EE0-03693</t>
  </si>
  <si>
    <t>John Deere Gator XUV 855D</t>
  </si>
  <si>
    <t>1M0855DS-CEM081079</t>
  </si>
  <si>
    <t>John Deere JD6130</t>
  </si>
  <si>
    <t>L06130G62-2184</t>
  </si>
  <si>
    <t>Linde vorkheftruck E25L-01</t>
  </si>
  <si>
    <t>H2x387D00637</t>
  </si>
  <si>
    <t>Manitou MLT 840-137</t>
  </si>
  <si>
    <t>PO350L918631</t>
  </si>
  <si>
    <t>Mitsubishi FUSO Canter</t>
  </si>
  <si>
    <t>TYBFEB71C-LDC02062</t>
  </si>
  <si>
    <t>Nimos DM-TRAC-406 comfort</t>
  </si>
  <si>
    <t>XL9DMTRA-C80135918</t>
  </si>
  <si>
    <t>Nimos DM-TRAC 305 comfort</t>
  </si>
  <si>
    <t>XL9DMTRA-CC0135005</t>
  </si>
  <si>
    <t>Nimos DM-TRAC 305 comfort plus</t>
  </si>
  <si>
    <t>XL9DM305-PH0135002</t>
  </si>
  <si>
    <t>XL9DM305-PH0135001</t>
  </si>
  <si>
    <t>XL9DM305-PG0135001</t>
  </si>
  <si>
    <t>XL9DM305-PG0135002</t>
  </si>
  <si>
    <t>XL9DM305-PE0135001</t>
  </si>
  <si>
    <t>XL9DM305-PF0135002</t>
  </si>
  <si>
    <t>Nimos Posi-Track K/214</t>
  </si>
  <si>
    <t>XL9DMPOS-IK0135009</t>
  </si>
  <si>
    <t>Ransomes MP653 4WD</t>
  </si>
  <si>
    <t>2011/88072-103-0375</t>
  </si>
  <si>
    <t>Ravo 540</t>
  </si>
  <si>
    <t>XL95F4H4C-80020365</t>
  </si>
  <si>
    <t>Ravo 540 STH</t>
  </si>
  <si>
    <t>XL95FSH4C-B1020368</t>
  </si>
  <si>
    <t>XM45F6HB6-7MA020176</t>
  </si>
  <si>
    <t>Ravo RAVO 5 series 540</t>
  </si>
  <si>
    <t>XL95F6HB6-GA020276</t>
  </si>
  <si>
    <t>SCHAEFF TC222</t>
  </si>
  <si>
    <t>TC02220404</t>
  </si>
  <si>
    <t>Intern nr</t>
  </si>
  <si>
    <t>Bouwjaar</t>
  </si>
  <si>
    <t>Werf</t>
  </si>
  <si>
    <t>Berrie 8 Oudkarspel of Beukenlaan 25 HHW</t>
  </si>
  <si>
    <t>672-462</t>
  </si>
  <si>
    <t>670-460</t>
  </si>
  <si>
    <t>Sub D Landbouwmaterieel (specificatie zie tabblad materieel)</t>
  </si>
  <si>
    <t>Toren Herv. Kerk ZSW</t>
  </si>
  <si>
    <t>Koog 30</t>
  </si>
  <si>
    <t>1722 EM</t>
  </si>
  <si>
    <t>aanpassing vs zie mail 080523</t>
  </si>
  <si>
    <t>Basisschool De Nieuwe Draai</t>
  </si>
  <si>
    <t>Merelweg 44</t>
  </si>
  <si>
    <t>1706 BE</t>
  </si>
  <si>
    <t>per 01-09-2023</t>
  </si>
  <si>
    <t>Herbouwwaarde 
per 1-9-2023</t>
  </si>
  <si>
    <t>Gebouwen
indexcijfer 125,1</t>
  </si>
  <si>
    <t>Waarde 
per 1-9-2023</t>
  </si>
  <si>
    <t>Nexus (tijdelijk leeg tot en met september 2023)</t>
  </si>
  <si>
    <t>Standardmolen 8a</t>
  </si>
  <si>
    <t>v. Teylingenlaan 1-3</t>
  </si>
  <si>
    <t>THT-38-X, meldcode 0087</t>
  </si>
  <si>
    <t>nieuw per 160823 zie mail 160823</t>
  </si>
  <si>
    <t>Thorbecke taxatie dd 01-09-23</t>
  </si>
  <si>
    <r>
      <t xml:space="preserve">Van Eedenplein </t>
    </r>
    <r>
      <rPr>
        <sz val="10"/>
        <color indexed="10"/>
        <rFont val="Arial"/>
        <family val="2"/>
      </rPr>
      <t>3</t>
    </r>
    <r>
      <rPr>
        <sz val="10"/>
        <rFont val="Arial"/>
        <family val="2"/>
      </rPr>
      <t>-9</t>
    </r>
  </si>
  <si>
    <t>aanpassing nav taxatie zie mail 181023</t>
  </si>
  <si>
    <t>Openlucht zwembad De Bever</t>
  </si>
  <si>
    <t>Kastanjelaan 2</t>
  </si>
  <si>
    <t>4043906-6 en -16 dd 24-9-2019 Lengkeek</t>
  </si>
  <si>
    <r>
      <t xml:space="preserve">Woning </t>
    </r>
    <r>
      <rPr>
        <sz val="10"/>
        <color indexed="10"/>
        <rFont val="Arial"/>
        <family val="2"/>
      </rPr>
      <t>(sloopwaarde)</t>
    </r>
  </si>
  <si>
    <t>waarde conform mail 010224</t>
  </si>
  <si>
    <t>Thorbecke d.d. 29-01-24</t>
  </si>
  <si>
    <t>nieuw per 211223 zie mail 211223//aanpassing vs conform taxatie bij mail 050224</t>
  </si>
  <si>
    <t>Thorbecke d.d. 29-01-24, incl. fundering</t>
  </si>
  <si>
    <t>Sperwer 1</t>
  </si>
  <si>
    <t>aanpassing vs zie regel hieronder</t>
  </si>
  <si>
    <t>IKC Het Vogelnest</t>
  </si>
  <si>
    <t>Thorbecke d.d. 01-03-24</t>
  </si>
  <si>
    <t>aanpassing vs zie rapport bij mail 110424</t>
  </si>
  <si>
    <t>RANSOMES RMP653</t>
  </si>
  <si>
    <t>RMP653</t>
  </si>
  <si>
    <t>T-42-FPK</t>
  </si>
  <si>
    <t>T-70-FNB</t>
  </si>
  <si>
    <t>T-78-GDP</t>
  </si>
  <si>
    <t>MULTIHOG MULTIHOG LTD</t>
  </si>
  <si>
    <t>Multihog</t>
  </si>
  <si>
    <t>nieuw 11-04-24</t>
  </si>
  <si>
    <t>nieuw 10-04-24</t>
  </si>
  <si>
    <t>E10294-101</t>
  </si>
  <si>
    <t>E10178-100</t>
  </si>
  <si>
    <t>E10393-124</t>
  </si>
  <si>
    <t>Bovenweg 74</t>
  </si>
  <si>
    <t>Woonhuis met garage(strategische aankoop)</t>
  </si>
  <si>
    <t>aanpassing omschr.zie mail 300424 en 070524</t>
  </si>
  <si>
    <t>inventaris naar Sperwer 1 zie mail 070524</t>
  </si>
  <si>
    <t>Thorbecke taxatie dd 01-04-24</t>
  </si>
  <si>
    <t>De Gording</t>
  </si>
  <si>
    <t>1701 PA</t>
  </si>
  <si>
    <t>Thorbecke taxatie dd 01-05-24</t>
  </si>
  <si>
    <t>Kantoor Wijksteunpunt De Klamp</t>
  </si>
  <si>
    <t>nieuw per 280524 zie mail 280524</t>
  </si>
  <si>
    <t>Thorbecke taxatie dd 01-07-24</t>
  </si>
  <si>
    <t>aanpassing nav taxatie zie mail 260724</t>
  </si>
  <si>
    <t>nieuw per 250324 zie mail 180324 + inventaris van Pluvier 2 zie mail 070524//aanpassing nav taxatie zie mail 260724</t>
  </si>
  <si>
    <t>nieuw per 290424 zie mail 290424//aanpassing nav taxatie zie mail 260724</t>
  </si>
  <si>
    <t>indexcijfer 122,5</t>
  </si>
  <si>
    <t>indexcijfer 125,1</t>
  </si>
  <si>
    <t>per 01-09-2024</t>
  </si>
  <si>
    <t>Herbouwwaarde 
per 1-9-2024</t>
  </si>
  <si>
    <t xml:space="preserve">Inventaris
indexcijfer 122,5
</t>
  </si>
  <si>
    <t>Waarde 
per 1-9-2024</t>
  </si>
  <si>
    <t>Totaal 
per 01-09-2024</t>
  </si>
  <si>
    <t>Gebouwen
indexcijfer 130,8</t>
  </si>
  <si>
    <t>indexcijfer 130,8</t>
  </si>
  <si>
    <t>indexcijfer 127,2</t>
  </si>
  <si>
    <t>Gemeentewerf (incl. funderingen)</t>
  </si>
  <si>
    <t>Voorburggracht 423-425</t>
  </si>
  <si>
    <t>BBS Paus Johannes (leegstand per 17/6/24)</t>
  </si>
  <si>
    <t xml:space="preserve">Inventaris
indexcijfer 127,2
</t>
  </si>
  <si>
    <t>Diamant 31, 41, 43, 47, 49</t>
  </si>
  <si>
    <t>beëindiging dekking nr 39 conform mail 220824</t>
  </si>
  <si>
    <t>Mutaties 2024</t>
  </si>
  <si>
    <t>Stationsweg 3</t>
  </si>
  <si>
    <t>sloopwaarde</t>
  </si>
  <si>
    <t>Pand Welgelegen (slooppand)</t>
  </si>
  <si>
    <t>1721 CD</t>
  </si>
  <si>
    <t>nieuw per 211124 zie mail 201124</t>
  </si>
  <si>
    <t>Mail 240924</t>
  </si>
  <si>
    <t>Mail 031024</t>
  </si>
  <si>
    <t>afvoeren per 031024</t>
  </si>
  <si>
    <t>afvoeren per 230924</t>
  </si>
  <si>
    <t>gesloopt zie mail 121124</t>
  </si>
  <si>
    <t>verhoging vs ivm oplevering fase 2 zie 2 mails 191124</t>
  </si>
  <si>
    <t>Leegstand</t>
  </si>
  <si>
    <t>Zonnepanelen</t>
  </si>
  <si>
    <t>x</t>
  </si>
  <si>
    <r>
      <t xml:space="preserve">van Veenweg 108, 110, 112, 120, </t>
    </r>
    <r>
      <rPr>
        <strike/>
        <sz val="10"/>
        <color rgb="FFFF0000"/>
        <rFont val="Arial"/>
        <family val="2"/>
      </rPr>
      <t>128</t>
    </r>
    <r>
      <rPr>
        <sz val="10"/>
        <rFont val="Arial"/>
        <family val="2"/>
      </rPr>
      <t>, 130 en 134</t>
    </r>
  </si>
  <si>
    <r>
      <t xml:space="preserve">Diamant 31, </t>
    </r>
    <r>
      <rPr>
        <strike/>
        <sz val="10"/>
        <color rgb="FFFF0000"/>
        <rFont val="Arial"/>
        <family val="2"/>
      </rPr>
      <t>39</t>
    </r>
    <r>
      <rPr>
        <sz val="10"/>
        <rFont val="Arial"/>
        <family val="2"/>
      </rPr>
      <t>, 41, 43, 47, 49</t>
    </r>
  </si>
  <si>
    <t>X</t>
  </si>
  <si>
    <t>geen elektra zonnepanelen maar collectoren voor warm water</t>
  </si>
  <si>
    <t>Levende Haven</t>
  </si>
  <si>
    <t>Onderhoud en beheer School</t>
  </si>
  <si>
    <t xml:space="preserve">Onderhoud pand </t>
  </si>
  <si>
    <t>Monument</t>
  </si>
  <si>
    <t>g/v</t>
  </si>
  <si>
    <t>leegstand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</si>
</sst>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-&quot;€&quot;\ * #,##0.00_-;_-&quot;€&quot;\ * \-#,##0.00;_-&quot;€&quot;* #0_-;_-@_-"/>
    <numFmt numFmtId="168" formatCode="_ [$€-413]\ * #,##0.00_ ;_ [$€-413]\ * \-#,##0.00_ ;_ [$€-413]\ * &quot;-&quot;??_ ;_ @_ "/>
  </numFmts>
  <fonts count="23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trike/>
      <sz val="10"/>
      <name val="Arial"/>
      <family val="2"/>
    </font>
    <font>
      <sz val="10"/>
      <color indexed="10"/>
      <name val="Arial"/>
      <family val="2"/>
    </font>
    <font>
      <sz val="10.5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6" fillId="0" borderId="0"/>
    <xf numFmtId="164" fontId="1" fillId="0" borderId="0" applyFont="0" applyFill="0" applyBorder="0" applyAlignment="0" applyProtection="0"/>
  </cellStyleXfs>
  <cellXfs count="177">
    <xf numFmtId="0" fontId="0" fillId="0" borderId="0" xfId="0"/>
    <xf numFmtId="165" fontId="0" fillId="0" borderId="0" xfId="0" applyNumberForma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/>
    <xf numFmtId="0" fontId="3" fillId="3" borderId="2" xfId="0" applyNumberFormat="1" applyFont="1" applyFill="1" applyBorder="1" applyAlignment="1">
      <alignment horizontal="center" vertical="top" wrapText="1"/>
    </xf>
    <xf numFmtId="165" fontId="3" fillId="3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3" borderId="4" xfId="0" applyNumberFormat="1" applyFont="1" applyFill="1" applyBorder="1" applyAlignment="1">
      <alignment horizontal="center" vertical="top"/>
    </xf>
    <xf numFmtId="165" fontId="3" fillId="3" borderId="4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3" borderId="5" xfId="0" applyFill="1" applyBorder="1"/>
    <xf numFmtId="0" fontId="3" fillId="3" borderId="5" xfId="0" applyFont="1" applyFill="1" applyBorder="1"/>
    <xf numFmtId="0" fontId="3" fillId="3" borderId="5" xfId="0" applyNumberFormat="1" applyFont="1" applyFill="1" applyBorder="1"/>
    <xf numFmtId="165" fontId="3" fillId="3" borderId="5" xfId="0" applyNumberFormat="1" applyFont="1" applyFill="1" applyBorder="1"/>
    <xf numFmtId="0" fontId="3" fillId="0" borderId="0" xfId="0" applyFont="1" applyFill="1"/>
    <xf numFmtId="0" fontId="1" fillId="0" borderId="0" xfId="0" applyFont="1" applyFill="1"/>
    <xf numFmtId="165" fontId="1" fillId="0" borderId="0" xfId="0" applyNumberFormat="1" applyFont="1"/>
    <xf numFmtId="0" fontId="1" fillId="0" borderId="0" xfId="0" applyNumberFormat="1" applyFont="1" applyFill="1"/>
    <xf numFmtId="165" fontId="1" fillId="0" borderId="0" xfId="0" applyNumberFormat="1" applyFont="1" applyFill="1"/>
    <xf numFmtId="0" fontId="2" fillId="3" borderId="6" xfId="0" applyFont="1" applyFill="1" applyBorder="1"/>
    <xf numFmtId="0" fontId="3" fillId="3" borderId="6" xfId="0" applyNumberFormat="1" applyFont="1" applyFill="1" applyBorder="1"/>
    <xf numFmtId="165" fontId="3" fillId="3" borderId="6" xfId="0" applyNumberFormat="1" applyFont="1" applyFill="1" applyBorder="1"/>
    <xf numFmtId="0" fontId="2" fillId="3" borderId="5" xfId="0" applyFont="1" applyFill="1" applyBorder="1"/>
    <xf numFmtId="0" fontId="5" fillId="0" borderId="0" xfId="0" applyFont="1" applyFill="1"/>
    <xf numFmtId="0" fontId="3" fillId="0" borderId="0" xfId="0" applyFont="1"/>
    <xf numFmtId="165" fontId="1" fillId="0" borderId="0" xfId="0" applyNumberFormat="1" applyFont="1" applyBorder="1"/>
    <xf numFmtId="165" fontId="8" fillId="3" borderId="5" xfId="0" applyNumberFormat="1" applyFont="1" applyFill="1" applyBorder="1"/>
    <xf numFmtId="165" fontId="1" fillId="3" borderId="5" xfId="0" applyNumberFormat="1" applyFont="1" applyFill="1" applyBorder="1"/>
    <xf numFmtId="165" fontId="1" fillId="0" borderId="0" xfId="0" applyNumberFormat="1" applyFont="1" applyFill="1" applyBorder="1"/>
    <xf numFmtId="165" fontId="3" fillId="3" borderId="7" xfId="0" applyNumberFormat="1" applyFont="1" applyFill="1" applyBorder="1"/>
    <xf numFmtId="0" fontId="3" fillId="0" borderId="0" xfId="0" applyFont="1" applyFill="1" applyBorder="1"/>
    <xf numFmtId="0" fontId="4" fillId="0" borderId="0" xfId="0" applyFont="1" applyAlignment="1">
      <alignment horizontal="right"/>
    </xf>
    <xf numFmtId="165" fontId="3" fillId="3" borderId="4" xfId="0" applyNumberFormat="1" applyFont="1" applyFill="1" applyBorder="1"/>
    <xf numFmtId="0" fontId="1" fillId="0" borderId="0" xfId="0" applyFont="1" applyFill="1" applyBorder="1"/>
    <xf numFmtId="0" fontId="1" fillId="4" borderId="0" xfId="0" applyFont="1" applyFill="1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164" fontId="1" fillId="0" borderId="0" xfId="6" applyFont="1" applyFill="1"/>
    <xf numFmtId="165" fontId="19" fillId="0" borderId="0" xfId="0" applyNumberFormat="1" applyFont="1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/>
    <xf numFmtId="0" fontId="1" fillId="3" borderId="5" xfId="0" applyNumberFormat="1" applyFont="1" applyFill="1" applyBorder="1"/>
    <xf numFmtId="0" fontId="1" fillId="3" borderId="8" xfId="0" applyNumberFormat="1" applyFont="1" applyFill="1" applyBorder="1"/>
    <xf numFmtId="165" fontId="1" fillId="3" borderId="8" xfId="0" applyNumberFormat="1" applyFont="1" applyFill="1" applyBorder="1"/>
    <xf numFmtId="0" fontId="1" fillId="0" borderId="0" xfId="0" applyNumberFormat="1" applyFont="1" applyBorder="1"/>
    <xf numFmtId="0" fontId="1" fillId="0" borderId="0" xfId="0" applyFont="1" applyFill="1" applyAlignment="1">
      <alignment vertical="top"/>
    </xf>
    <xf numFmtId="165" fontId="1" fillId="0" borderId="0" xfId="0" applyNumberFormat="1" applyFont="1" applyFill="1" applyAlignment="1">
      <alignment vertical="top"/>
    </xf>
    <xf numFmtId="165" fontId="1" fillId="0" borderId="0" xfId="0" applyNumberFormat="1" applyFont="1" applyFill="1" applyBorder="1" applyAlignment="1">
      <alignment vertical="top"/>
    </xf>
    <xf numFmtId="0" fontId="19" fillId="0" borderId="0" xfId="0" applyFont="1"/>
    <xf numFmtId="0" fontId="19" fillId="0" borderId="0" xfId="0" applyFont="1" applyFill="1"/>
    <xf numFmtId="165" fontId="19" fillId="0" borderId="0" xfId="0" applyNumberFormat="1" applyFont="1" applyFill="1" applyBorder="1"/>
    <xf numFmtId="0" fontId="19" fillId="0" borderId="0" xfId="0" applyNumberFormat="1" applyFont="1" applyFill="1"/>
    <xf numFmtId="0" fontId="19" fillId="0" borderId="0" xfId="0" applyFont="1" applyAlignment="1">
      <alignment wrapText="1"/>
    </xf>
    <xf numFmtId="0" fontId="19" fillId="0" borderId="0" xfId="4" applyFont="1" applyFill="1" applyAlignment="1">
      <alignment vertical="top" wrapText="1"/>
    </xf>
    <xf numFmtId="0" fontId="1" fillId="0" borderId="0" xfId="4" applyFill="1" applyAlignment="1">
      <alignment vertical="top"/>
    </xf>
    <xf numFmtId="0" fontId="1" fillId="0" borderId="0" xfId="4" applyFont="1" applyFill="1" applyAlignment="1">
      <alignment vertical="top" wrapText="1"/>
    </xf>
    <xf numFmtId="165" fontId="3" fillId="3" borderId="9" xfId="0" applyNumberFormat="1" applyFont="1" applyFill="1" applyBorder="1" applyAlignment="1">
      <alignment horizont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vertical="top" wrapText="1"/>
    </xf>
    <xf numFmtId="165" fontId="3" fillId="3" borderId="2" xfId="0" applyNumberFormat="1" applyFont="1" applyFill="1" applyBorder="1" applyAlignment="1">
      <alignment vertical="top" wrapText="1"/>
    </xf>
    <xf numFmtId="165" fontId="3" fillId="3" borderId="10" xfId="0" applyNumberFormat="1" applyFont="1" applyFill="1" applyBorder="1" applyAlignment="1">
      <alignment vertical="top" wrapText="1"/>
    </xf>
    <xf numFmtId="49" fontId="3" fillId="2" borderId="0" xfId="0" applyNumberFormat="1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Alignment="1">
      <alignment horizontal="center" vertical="top" wrapText="1"/>
    </xf>
    <xf numFmtId="164" fontId="3" fillId="2" borderId="0" xfId="0" applyNumberFormat="1" applyFont="1" applyFill="1" applyAlignment="1">
      <alignment vertical="top" wrapText="1"/>
    </xf>
    <xf numFmtId="0" fontId="1" fillId="0" borderId="6" xfId="0" applyFont="1" applyBorder="1"/>
    <xf numFmtId="0" fontId="1" fillId="0" borderId="0" xfId="0" applyFont="1" applyAlignment="1">
      <alignment vertical="top"/>
    </xf>
    <xf numFmtId="164" fontId="1" fillId="0" borderId="6" xfId="0" applyNumberFormat="1" applyFont="1" applyBorder="1" applyAlignment="1">
      <alignment vertical="top"/>
    </xf>
    <xf numFmtId="49" fontId="1" fillId="0" borderId="6" xfId="0" applyNumberFormat="1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3" fontId="0" fillId="0" borderId="0" xfId="0" applyNumberFormat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Border="1"/>
    <xf numFmtId="2" fontId="1" fillId="0" borderId="0" xfId="0" applyNumberFormat="1" applyFont="1" applyFill="1"/>
    <xf numFmtId="165" fontId="19" fillId="0" borderId="0" xfId="0" applyNumberFormat="1" applyFont="1"/>
    <xf numFmtId="0" fontId="1" fillId="0" borderId="0" xfId="0" applyNumberFormat="1" applyFont="1" applyFill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1" fillId="0" borderId="0" xfId="0" applyFont="1" applyAlignment="1">
      <alignment wrapText="1"/>
    </xf>
    <xf numFmtId="165" fontId="19" fillId="5" borderId="0" xfId="0" applyNumberFormat="1" applyFont="1" applyFill="1"/>
    <xf numFmtId="164" fontId="19" fillId="0" borderId="0" xfId="0" applyNumberFormat="1" applyFont="1" applyBorder="1"/>
    <xf numFmtId="164" fontId="1" fillId="0" borderId="0" xfId="0" applyNumberFormat="1" applyFont="1" applyFill="1" applyBorder="1" applyAlignment="1">
      <alignment vertical="top"/>
    </xf>
    <xf numFmtId="166" fontId="1" fillId="3" borderId="12" xfId="2" applyFont="1" applyFill="1" applyBorder="1" applyAlignment="1">
      <alignment wrapText="1"/>
    </xf>
    <xf numFmtId="166" fontId="1" fillId="3" borderId="13" xfId="1" applyFont="1" applyFill="1" applyBorder="1"/>
    <xf numFmtId="0" fontId="1" fillId="0" borderId="0" xfId="4" applyFont="1"/>
    <xf numFmtId="0" fontId="1" fillId="0" borderId="0" xfId="4" applyFont="1" applyAlignment="1">
      <alignment vertical="top"/>
    </xf>
    <xf numFmtId="165" fontId="3" fillId="3" borderId="14" xfId="0" applyNumberFormat="1" applyFont="1" applyFill="1" applyBorder="1"/>
    <xf numFmtId="164" fontId="3" fillId="2" borderId="0" xfId="0" applyNumberFormat="1" applyFont="1" applyFill="1" applyAlignment="1">
      <alignment horizontal="center" vertical="top"/>
    </xf>
    <xf numFmtId="0" fontId="19" fillId="0" borderId="6" xfId="0" applyFont="1" applyBorder="1" applyAlignment="1">
      <alignment vertical="top"/>
    </xf>
    <xf numFmtId="0" fontId="1" fillId="0" borderId="6" xfId="0" applyFont="1" applyFill="1" applyBorder="1"/>
    <xf numFmtId="0" fontId="3" fillId="2" borderId="0" xfId="0" applyFont="1" applyFill="1" applyAlignment="1">
      <alignment vertical="top"/>
    </xf>
    <xf numFmtId="0" fontId="3" fillId="6" borderId="0" xfId="0" applyFont="1" applyFill="1" applyAlignment="1"/>
    <xf numFmtId="0" fontId="0" fillId="0" borderId="0" xfId="0" applyAlignment="1"/>
    <xf numFmtId="0" fontId="0" fillId="0" borderId="6" xfId="0" applyBorder="1" applyAlignment="1">
      <alignment vertical="center"/>
    </xf>
    <xf numFmtId="164" fontId="0" fillId="0" borderId="6" xfId="6" applyFont="1" applyBorder="1" applyAlignment="1">
      <alignment vertical="center"/>
    </xf>
    <xf numFmtId="0" fontId="18" fillId="0" borderId="0" xfId="0" applyFont="1"/>
    <xf numFmtId="0" fontId="0" fillId="0" borderId="0" xfId="0" quotePrefix="1"/>
    <xf numFmtId="0" fontId="0" fillId="0" borderId="0" xfId="0" applyAlignment="1">
      <alignment wrapText="1"/>
    </xf>
    <xf numFmtId="168" fontId="0" fillId="0" borderId="0" xfId="0" applyNumberFormat="1"/>
    <xf numFmtId="168" fontId="18" fillId="0" borderId="0" xfId="0" applyNumberFormat="1" applyFont="1"/>
    <xf numFmtId="0" fontId="0" fillId="0" borderId="0" xfId="0" applyAlignment="1">
      <alignment horizontal="right"/>
    </xf>
    <xf numFmtId="168" fontId="3" fillId="0" borderId="0" xfId="0" applyNumberFormat="1" applyFont="1"/>
    <xf numFmtId="0" fontId="19" fillId="4" borderId="0" xfId="0" applyFont="1" applyFill="1"/>
    <xf numFmtId="164" fontId="20" fillId="0" borderId="0" xfId="0" applyNumberFormat="1" applyFont="1" applyBorder="1"/>
    <xf numFmtId="165" fontId="20" fillId="0" borderId="0" xfId="0" applyNumberFormat="1" applyFont="1" applyBorder="1"/>
    <xf numFmtId="165" fontId="20" fillId="0" borderId="0" xfId="0" applyNumberFormat="1" applyFont="1" applyFill="1" applyBorder="1"/>
    <xf numFmtId="164" fontId="20" fillId="0" borderId="6" xfId="0" applyNumberFormat="1" applyFont="1" applyBorder="1" applyAlignment="1">
      <alignment vertical="top"/>
    </xf>
    <xf numFmtId="165" fontId="3" fillId="3" borderId="4" xfId="0" applyNumberFormat="1" applyFont="1" applyFill="1" applyBorder="1" applyAlignment="1">
      <alignment wrapText="1"/>
    </xf>
    <xf numFmtId="165" fontId="1" fillId="3" borderId="11" xfId="0" applyNumberFormat="1" applyFont="1" applyFill="1" applyBorder="1"/>
    <xf numFmtId="165" fontId="1" fillId="0" borderId="0" xfId="0" applyNumberFormat="1" applyFont="1" applyBorder="1" applyAlignment="1">
      <alignment vertical="top"/>
    </xf>
    <xf numFmtId="1" fontId="1" fillId="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vertical="top"/>
    </xf>
    <xf numFmtId="165" fontId="19" fillId="0" borderId="0" xfId="0" applyNumberFormat="1" applyFont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1" fontId="1" fillId="0" borderId="0" xfId="0" applyNumberFormat="1" applyFont="1" applyFill="1" applyAlignment="1">
      <alignment horizontal="left" vertical="top"/>
    </xf>
    <xf numFmtId="164" fontId="20" fillId="0" borderId="0" xfId="0" applyNumberFormat="1" applyFont="1" applyBorder="1" applyAlignment="1">
      <alignment vertical="top"/>
    </xf>
    <xf numFmtId="165" fontId="20" fillId="0" borderId="0" xfId="0" applyNumberFormat="1" applyFont="1" applyFill="1" applyBorder="1" applyAlignment="1">
      <alignment vertical="top"/>
    </xf>
    <xf numFmtId="0" fontId="1" fillId="4" borderId="0" xfId="0" applyFont="1" applyFill="1" applyAlignment="1">
      <alignment vertical="top"/>
    </xf>
    <xf numFmtId="165" fontId="19" fillId="0" borderId="0" xfId="0" applyNumberFormat="1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165" fontId="1" fillId="0" borderId="0" xfId="0" quotePrefix="1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 wrapText="1"/>
    </xf>
    <xf numFmtId="0" fontId="1" fillId="5" borderId="0" xfId="0" applyFont="1" applyFill="1" applyAlignment="1">
      <alignment vertical="top"/>
    </xf>
    <xf numFmtId="164" fontId="19" fillId="0" borderId="0" xfId="0" applyNumberFormat="1" applyFont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5" xfId="0" applyNumberFormat="1" applyFont="1" applyFill="1" applyBorder="1" applyAlignment="1">
      <alignment vertical="top"/>
    </xf>
    <xf numFmtId="165" fontId="3" fillId="3" borderId="5" xfId="0" applyNumberFormat="1" applyFont="1" applyFill="1" applyBorder="1" applyAlignment="1">
      <alignment vertical="top"/>
    </xf>
    <xf numFmtId="49" fontId="3" fillId="2" borderId="0" xfId="0" applyNumberFormat="1" applyFont="1" applyFill="1" applyAlignment="1">
      <alignment vertical="top"/>
    </xf>
    <xf numFmtId="164" fontId="1" fillId="0" borderId="0" xfId="0" applyNumberFormat="1" applyFont="1" applyAlignment="1">
      <alignment vertical="top"/>
    </xf>
    <xf numFmtId="164" fontId="19" fillId="0" borderId="6" xfId="0" applyNumberFormat="1" applyFont="1" applyBorder="1" applyAlignment="1">
      <alignment vertical="top"/>
    </xf>
    <xf numFmtId="49" fontId="1" fillId="0" borderId="15" xfId="0" applyNumberFormat="1" applyFont="1" applyBorder="1" applyAlignment="1">
      <alignment vertical="top"/>
    </xf>
    <xf numFmtId="0" fontId="0" fillId="0" borderId="15" xfId="0" applyBorder="1" applyAlignment="1">
      <alignment vertical="top"/>
    </xf>
    <xf numFmtId="164" fontId="0" fillId="0" borderId="0" xfId="0" applyNumberFormat="1" applyAlignment="1">
      <alignment vertical="top"/>
    </xf>
    <xf numFmtId="164" fontId="0" fillId="0" borderId="15" xfId="0" applyNumberFormat="1" applyBorder="1" applyAlignment="1">
      <alignment vertical="top"/>
    </xf>
    <xf numFmtId="4" fontId="0" fillId="0" borderId="15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49" fontId="10" fillId="0" borderId="6" xfId="0" applyNumberFormat="1" applyFont="1" applyBorder="1" applyAlignment="1">
      <alignment vertical="top"/>
    </xf>
    <xf numFmtId="0" fontId="10" fillId="0" borderId="6" xfId="0" applyFont="1" applyBorder="1" applyAlignment="1">
      <alignment vertical="top"/>
    </xf>
    <xf numFmtId="164" fontId="10" fillId="0" borderId="6" xfId="0" applyNumberFormat="1" applyFont="1" applyBorder="1" applyAlignment="1">
      <alignment vertical="top"/>
    </xf>
    <xf numFmtId="164" fontId="10" fillId="0" borderId="16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4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8" fontId="19" fillId="0" borderId="0" xfId="0" applyNumberFormat="1" applyFont="1"/>
    <xf numFmtId="0" fontId="20" fillId="0" borderId="0" xfId="0" applyFont="1"/>
    <xf numFmtId="164" fontId="1" fillId="0" borderId="0" xfId="0" applyNumberFormat="1" applyFont="1"/>
    <xf numFmtId="164" fontId="1" fillId="0" borderId="17" xfId="0" applyNumberFormat="1" applyFont="1" applyBorder="1"/>
    <xf numFmtId="49" fontId="19" fillId="0" borderId="6" xfId="0" applyNumberFormat="1" applyFont="1" applyBorder="1" applyAlignment="1">
      <alignment vertical="top"/>
    </xf>
    <xf numFmtId="49" fontId="1" fillId="5" borderId="6" xfId="0" applyNumberFormat="1" applyFont="1" applyFill="1" applyBorder="1" applyAlignment="1">
      <alignment vertical="top"/>
    </xf>
    <xf numFmtId="0" fontId="1" fillId="5" borderId="0" xfId="0" applyFont="1" applyFill="1"/>
    <xf numFmtId="164" fontId="19" fillId="0" borderId="0" xfId="0" applyNumberFormat="1" applyFont="1" applyFill="1" applyBorder="1" applyAlignment="1">
      <alignment vertical="top"/>
    </xf>
    <xf numFmtId="164" fontId="19" fillId="0" borderId="0" xfId="0" applyNumberFormat="1" applyFont="1" applyAlignment="1">
      <alignment vertical="top"/>
    </xf>
    <xf numFmtId="0" fontId="19" fillId="0" borderId="0" xfId="0" applyFont="1" applyFill="1" applyAlignment="1">
      <alignment vertical="top" wrapText="1"/>
    </xf>
    <xf numFmtId="165" fontId="3" fillId="3" borderId="3" xfId="0" applyNumberFormat="1" applyFont="1" applyFill="1" applyBorder="1" applyAlignment="1">
      <alignment horizontal="center" vertical="top" wrapText="1"/>
    </xf>
    <xf numFmtId="49" fontId="20" fillId="0" borderId="0" xfId="0" applyNumberFormat="1" applyFont="1" applyAlignment="1">
      <alignment vertical="top"/>
    </xf>
    <xf numFmtId="168" fontId="1" fillId="0" borderId="0" xfId="0" applyNumberFormat="1" applyFont="1"/>
    <xf numFmtId="0" fontId="15" fillId="0" borderId="0" xfId="0" applyFont="1"/>
    <xf numFmtId="0" fontId="21" fillId="0" borderId="0" xfId="0" applyFont="1" applyFill="1" applyAlignment="1">
      <alignment vertical="top"/>
    </xf>
    <xf numFmtId="0" fontId="21" fillId="0" borderId="0" xfId="0" applyFont="1" applyAlignment="1">
      <alignment vertical="top"/>
    </xf>
    <xf numFmtId="0" fontId="1" fillId="4" borderId="0" xfId="0" applyFont="1" applyFill="1" applyAlignment="1">
      <alignment wrapText="1"/>
    </xf>
    <xf numFmtId="0" fontId="19" fillId="0" borderId="0" xfId="0" applyFont="1" applyAlignment="1">
      <alignment vertical="top" wrapText="1"/>
    </xf>
    <xf numFmtId="0" fontId="0" fillId="0" borderId="0" xfId="0" applyFill="1" applyAlignment="1">
      <alignment wrapText="1"/>
    </xf>
    <xf numFmtId="0" fontId="0" fillId="0" borderId="6" xfId="0" applyBorder="1" applyAlignment="1">
      <alignment horizontal="center" vertical="center"/>
    </xf>
    <xf numFmtId="164" fontId="0" fillId="0" borderId="6" xfId="6" applyFont="1" applyBorder="1" applyAlignment="1">
      <alignment horizontal="center" vertical="center"/>
    </xf>
  </cellXfs>
  <cellStyles count="7">
    <cellStyle name="Euro" xfId="1" xr:uid="{FC893CF7-C5F1-400C-9A0E-517B86530AE7}"/>
    <cellStyle name="Euro 2" xfId="2" xr:uid="{8C263AB7-55FD-4B70-8C87-76FE0117227E}"/>
    <cellStyle name="Hyperlink 2" xfId="3" xr:uid="{E0BB015F-EF52-4101-88B3-8D8FFA24A65E}"/>
    <cellStyle name="Standaard" xfId="0" builtinId="0"/>
    <cellStyle name="Standaard 2" xfId="4" xr:uid="{E9C5D2CD-6E67-42E7-A893-04EA7E49F329}"/>
    <cellStyle name="Standaard 44" xfId="5" xr:uid="{BB2167CC-E8C1-4A35-87E0-61221CACEEC6}"/>
    <cellStyle name="Valuta" xfId="6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pcornelisse\INetCache\Content.Outlook\JE7S0231\Wijzigingen%20Dijk%20en%20Waard%20650095407.0109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erhugowaard per 010922"/>
      <sheetName val="Langedijk per 010922"/>
      <sheetName val="premieberekening"/>
    </sheetNames>
    <sheetDataSet>
      <sheetData sheetId="0" refreshError="1"/>
      <sheetData sheetId="1" refreshError="1"/>
      <sheetData sheetId="2">
        <row r="11">
          <cell r="G11">
            <v>0.63167501677002036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6BE7-0BB4-4615-96A4-2E7FEB30F57B}">
  <dimension ref="A1:AB140"/>
  <sheetViews>
    <sheetView topLeftCell="A121" zoomScaleNormal="100" workbookViewId="0">
      <selection activeCell="AA9" sqref="AA9"/>
    </sheetView>
  </sheetViews>
  <sheetFormatPr defaultRowHeight="13.2" x14ac:dyDescent="0.25"/>
  <cols>
    <col min="1" max="1" width="7" customWidth="1"/>
    <col min="2" max="2" width="55.33203125" style="38" bestFit="1" customWidth="1"/>
    <col min="3" max="3" width="25.88671875" bestFit="1" customWidth="1"/>
    <col min="4" max="4" width="12.44140625" customWidth="1"/>
    <col min="5" max="5" width="2.6640625" style="38" hidden="1" customWidth="1"/>
    <col min="6" max="6" width="3.109375" style="38" hidden="1" customWidth="1"/>
    <col min="7" max="7" width="4.33203125" style="1" hidden="1" customWidth="1"/>
    <col min="8" max="8" width="2.6640625" style="1" hidden="1" customWidth="1"/>
    <col min="9" max="9" width="3.33203125" style="1" hidden="1" customWidth="1"/>
    <col min="10" max="10" width="4" style="1" hidden="1" customWidth="1"/>
    <col min="11" max="11" width="3.88671875" style="19" hidden="1" customWidth="1"/>
    <col min="12" max="12" width="2.5546875" style="19" hidden="1" customWidth="1"/>
    <col min="13" max="13" width="4.6640625" style="19" hidden="1" customWidth="1"/>
    <col min="14" max="14" width="3.88671875" style="19" hidden="1" customWidth="1"/>
    <col min="15" max="15" width="15.109375" style="19" hidden="1" customWidth="1"/>
    <col min="16" max="16" width="5" style="1" hidden="1" customWidth="1"/>
    <col min="17" max="17" width="5.109375" hidden="1" customWidth="1"/>
    <col min="18" max="18" width="24.6640625" hidden="1" customWidth="1"/>
    <col min="19" max="19" width="16.33203125" hidden="1" customWidth="1"/>
    <col min="20" max="20" width="38.6640625" hidden="1" customWidth="1"/>
    <col min="21" max="21" width="50.88671875" hidden="1" customWidth="1"/>
    <col min="22" max="22" width="41.6640625" hidden="1" customWidth="1"/>
    <col min="24" max="24" width="8.88671875" style="106" customWidth="1"/>
    <col min="25" max="25" width="5.5546875" style="106" customWidth="1"/>
    <col min="26" max="26" width="9.109375" style="106"/>
  </cols>
  <sheetData>
    <row r="1" spans="1:28" s="38" customFormat="1" ht="88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4</v>
      </c>
      <c r="G1" s="62" t="s">
        <v>226</v>
      </c>
      <c r="H1" s="64" t="s">
        <v>229</v>
      </c>
      <c r="I1" s="65" t="s">
        <v>284</v>
      </c>
      <c r="J1" s="65" t="s">
        <v>439</v>
      </c>
      <c r="K1" s="66" t="s">
        <v>440</v>
      </c>
      <c r="L1" s="65" t="s">
        <v>886</v>
      </c>
      <c r="M1" s="66" t="s">
        <v>888</v>
      </c>
      <c r="N1" s="65" t="s">
        <v>939</v>
      </c>
      <c r="O1" s="66" t="s">
        <v>941</v>
      </c>
      <c r="P1" s="67" t="s">
        <v>942</v>
      </c>
      <c r="R1" s="91" t="s">
        <v>489</v>
      </c>
      <c r="S1" s="91" t="s">
        <v>490</v>
      </c>
      <c r="W1" s="38" t="s">
        <v>964</v>
      </c>
      <c r="X1" s="87" t="s">
        <v>965</v>
      </c>
      <c r="Y1" s="87" t="s">
        <v>971</v>
      </c>
      <c r="Z1" s="87" t="s">
        <v>972</v>
      </c>
      <c r="AA1" s="87" t="s">
        <v>973</v>
      </c>
      <c r="AB1" s="87" t="s">
        <v>974</v>
      </c>
    </row>
    <row r="2" spans="1:28" s="38" customFormat="1" ht="51.75" customHeight="1" thickBot="1" x14ac:dyDescent="0.3">
      <c r="A2" s="6"/>
      <c r="B2" s="7"/>
      <c r="C2" s="7"/>
      <c r="D2" s="7"/>
      <c r="E2" s="8" t="s">
        <v>180</v>
      </c>
      <c r="F2" s="9" t="s">
        <v>5</v>
      </c>
      <c r="G2" s="63" t="s">
        <v>228</v>
      </c>
      <c r="H2" s="63" t="s">
        <v>230</v>
      </c>
      <c r="I2" s="63" t="s">
        <v>285</v>
      </c>
      <c r="J2" s="63" t="s">
        <v>441</v>
      </c>
      <c r="K2" s="35" t="s">
        <v>5</v>
      </c>
      <c r="L2" s="166" t="s">
        <v>887</v>
      </c>
      <c r="M2" s="116" t="s">
        <v>940</v>
      </c>
      <c r="N2" s="166" t="s">
        <v>943</v>
      </c>
      <c r="O2" s="116" t="s">
        <v>949</v>
      </c>
      <c r="P2" s="32"/>
      <c r="R2" s="92"/>
      <c r="S2" s="92"/>
      <c r="T2" s="87" t="s">
        <v>172</v>
      </c>
      <c r="X2" s="87"/>
      <c r="Y2" s="87"/>
      <c r="Z2" s="87"/>
    </row>
    <row r="3" spans="1:28" s="38" customFormat="1" ht="13.8" x14ac:dyDescent="0.25">
      <c r="A3" s="10" t="s">
        <v>6</v>
      </c>
      <c r="B3" s="18"/>
      <c r="C3" s="18"/>
      <c r="D3" s="18"/>
      <c r="E3" s="4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X3" s="87" t="s">
        <v>966</v>
      </c>
      <c r="Y3" s="87"/>
      <c r="Z3" s="87"/>
    </row>
    <row r="4" spans="1:28" s="51" customFormat="1" x14ac:dyDescent="0.25">
      <c r="A4" s="51" t="s">
        <v>7</v>
      </c>
      <c r="B4" s="51" t="s">
        <v>946</v>
      </c>
      <c r="C4" s="51" t="s">
        <v>8</v>
      </c>
      <c r="D4" s="51" t="s">
        <v>9</v>
      </c>
      <c r="E4" s="51" t="s">
        <v>926</v>
      </c>
      <c r="F4" s="51" t="s">
        <v>926</v>
      </c>
      <c r="G4" s="52">
        <v>1400000</v>
      </c>
      <c r="H4" s="52">
        <f>ROUND(G4/140.3*147.5,0)</f>
        <v>1471846</v>
      </c>
      <c r="I4" s="52">
        <f>ROUND(H4/147.5*154.9,0)</f>
        <v>1545688</v>
      </c>
      <c r="J4" s="86">
        <f>ROUND(I4/154.9*163.4,0)</f>
        <v>1630506</v>
      </c>
      <c r="K4" s="52">
        <v>937750</v>
      </c>
      <c r="L4" s="163">
        <v>12571900</v>
      </c>
      <c r="M4" s="164">
        <v>1464100</v>
      </c>
      <c r="N4" s="86">
        <f>ROUND(L4/129.2*130.8,-2)</f>
        <v>12727600</v>
      </c>
      <c r="O4" s="139">
        <f>ROUND(M4/127.1*127.2,-2)</f>
        <v>1465300</v>
      </c>
      <c r="P4" s="52">
        <f>N4+O4</f>
        <v>14192900</v>
      </c>
      <c r="R4" s="94" t="s">
        <v>491</v>
      </c>
      <c r="S4" s="94">
        <v>43839</v>
      </c>
      <c r="T4" s="51" t="s">
        <v>169</v>
      </c>
      <c r="U4" s="165"/>
      <c r="X4" s="40"/>
      <c r="Y4" s="40"/>
      <c r="Z4" s="40"/>
    </row>
    <row r="5" spans="1:28" s="18" customFormat="1" ht="26.4" x14ac:dyDescent="0.25">
      <c r="A5" s="18" t="s">
        <v>10</v>
      </c>
      <c r="B5" s="40" t="s">
        <v>185</v>
      </c>
      <c r="C5" s="18" t="s">
        <v>11</v>
      </c>
      <c r="D5" s="18" t="s">
        <v>12</v>
      </c>
      <c r="E5" s="18" t="s">
        <v>242</v>
      </c>
      <c r="F5" s="21" t="s">
        <v>267</v>
      </c>
      <c r="G5" s="21">
        <v>27554812</v>
      </c>
      <c r="H5" s="21">
        <v>28850000</v>
      </c>
      <c r="I5" s="21">
        <f>ROUND(H5/147.5*154.9,0)</f>
        <v>30297390</v>
      </c>
      <c r="J5" s="82">
        <f>ROUND(I5/154.9*163.4,0)</f>
        <v>31959932</v>
      </c>
      <c r="K5" s="21">
        <v>3000000</v>
      </c>
      <c r="L5" s="86">
        <f>ROUND(J5/163.4*175.3,0)</f>
        <v>34287491</v>
      </c>
      <c r="M5" s="139">
        <f>ROUND(K5/111.7*122.5,0)</f>
        <v>3290063</v>
      </c>
      <c r="N5" s="86">
        <f>ROUND(L5/125.1*130.8,-2)</f>
        <v>35849800</v>
      </c>
      <c r="O5" s="139">
        <f>ROUND(M5/122.5*127.2,-2)</f>
        <v>3416300</v>
      </c>
      <c r="P5" s="52">
        <f t="shared" ref="P5:P10" si="0">N5+O5</f>
        <v>39266100</v>
      </c>
      <c r="R5" s="93" t="s">
        <v>492</v>
      </c>
      <c r="S5" s="93">
        <v>43839</v>
      </c>
      <c r="T5" s="18" t="s">
        <v>171</v>
      </c>
      <c r="U5" s="18" t="s">
        <v>234</v>
      </c>
      <c r="V5" s="18" t="s">
        <v>268</v>
      </c>
      <c r="X5" s="39"/>
      <c r="Y5" s="39"/>
      <c r="Z5" s="39"/>
    </row>
    <row r="6" spans="1:28" s="18" customFormat="1" x14ac:dyDescent="0.25">
      <c r="A6" s="18" t="s">
        <v>13</v>
      </c>
      <c r="B6" s="18" t="s">
        <v>442</v>
      </c>
      <c r="C6" s="18" t="s">
        <v>14</v>
      </c>
      <c r="D6" s="36" t="s">
        <v>15</v>
      </c>
      <c r="E6" s="18" t="s">
        <v>424</v>
      </c>
      <c r="F6" s="21"/>
      <c r="G6" s="21">
        <v>4090930</v>
      </c>
      <c r="H6" s="21">
        <f>ROUND(G6/137.2*147.5,0)</f>
        <v>4398048</v>
      </c>
      <c r="I6" s="21">
        <v>5287700</v>
      </c>
      <c r="J6" s="82">
        <f>ROUND(I6/159.8*163.4,0)</f>
        <v>5406822</v>
      </c>
      <c r="K6" s="21"/>
      <c r="L6" s="86">
        <f>ROUND(J6/163.4*175.3,0)</f>
        <v>5800587</v>
      </c>
      <c r="M6" s="139"/>
      <c r="N6" s="86">
        <f>ROUND(L6/125.1*130.8,-2)</f>
        <v>6064900</v>
      </c>
      <c r="O6" s="139">
        <f>ROUND(M6/122.5*127.2,-2)</f>
        <v>0</v>
      </c>
      <c r="P6" s="52">
        <f t="shared" si="0"/>
        <v>6064900</v>
      </c>
      <c r="R6" s="93" t="s">
        <v>493</v>
      </c>
      <c r="S6" s="93">
        <v>43839</v>
      </c>
      <c r="T6" s="18" t="s">
        <v>171</v>
      </c>
      <c r="X6" s="39"/>
      <c r="Y6" s="39"/>
      <c r="Z6" s="39"/>
    </row>
    <row r="7" spans="1:28" s="18" customFormat="1" x14ac:dyDescent="0.25">
      <c r="A7" s="38" t="s">
        <v>16</v>
      </c>
      <c r="B7" s="38" t="s">
        <v>17</v>
      </c>
      <c r="C7" s="38" t="s">
        <v>18</v>
      </c>
      <c r="D7" s="38" t="s">
        <v>12</v>
      </c>
      <c r="E7" s="18" t="s">
        <v>243</v>
      </c>
      <c r="F7" s="38"/>
      <c r="G7" s="21">
        <v>6854259</v>
      </c>
      <c r="H7" s="21">
        <v>7200000</v>
      </c>
      <c r="I7" s="21">
        <f>ROUND(H7/147.5*154.9,0)</f>
        <v>7561220</v>
      </c>
      <c r="J7" s="82">
        <f>ROUND(I7/154.9*163.4,0)</f>
        <v>7976135</v>
      </c>
      <c r="K7" s="21"/>
      <c r="L7" s="86">
        <f>ROUND(J7/163.4*175.3,0)</f>
        <v>8557016</v>
      </c>
      <c r="M7" s="139"/>
      <c r="N7" s="86">
        <f>ROUND(L7/125.1*130.8,-2)</f>
        <v>8946900</v>
      </c>
      <c r="O7" s="139">
        <f>ROUND(M7/122.5*127.2,-2)</f>
        <v>0</v>
      </c>
      <c r="P7" s="52">
        <f t="shared" si="0"/>
        <v>8946900</v>
      </c>
      <c r="R7" s="93" t="s">
        <v>492</v>
      </c>
      <c r="S7" s="93">
        <v>43839</v>
      </c>
      <c r="T7" s="18" t="s">
        <v>171</v>
      </c>
      <c r="U7" s="18" t="s">
        <v>235</v>
      </c>
      <c r="X7" s="39"/>
      <c r="Y7" s="39"/>
      <c r="Z7" s="39"/>
    </row>
    <row r="8" spans="1:28" s="37" customFormat="1" x14ac:dyDescent="0.25">
      <c r="A8" s="38"/>
      <c r="B8" s="38" t="s">
        <v>177</v>
      </c>
      <c r="C8" s="18" t="s">
        <v>11</v>
      </c>
      <c r="D8" s="18" t="s">
        <v>12</v>
      </c>
      <c r="E8" s="38"/>
      <c r="F8" s="18" t="s">
        <v>427</v>
      </c>
      <c r="G8" s="21"/>
      <c r="H8" s="21"/>
      <c r="I8" s="21"/>
      <c r="J8" s="21"/>
      <c r="K8" s="28">
        <v>157300</v>
      </c>
      <c r="L8" s="118"/>
      <c r="M8" s="139">
        <f>ROUND(K8/111.7*122.5,0)</f>
        <v>172509</v>
      </c>
      <c r="N8" s="86">
        <f>ROUND(L8/125.1*130.8,-2)</f>
        <v>0</v>
      </c>
      <c r="O8" s="139">
        <f>ROUND(M8/122.5*127.2,-2)</f>
        <v>179100</v>
      </c>
      <c r="P8" s="52">
        <f t="shared" si="0"/>
        <v>179100</v>
      </c>
      <c r="R8" s="93" t="s">
        <v>494</v>
      </c>
      <c r="S8" s="93">
        <v>43839</v>
      </c>
      <c r="T8" s="38"/>
      <c r="X8" s="172"/>
      <c r="Y8" s="172"/>
      <c r="Z8" s="172"/>
    </row>
    <row r="9" spans="1:28" s="18" customFormat="1" x14ac:dyDescent="0.25">
      <c r="A9" s="38"/>
      <c r="B9" s="38" t="s">
        <v>207</v>
      </c>
      <c r="C9" s="38" t="s">
        <v>11</v>
      </c>
      <c r="D9" s="38" t="s">
        <v>12</v>
      </c>
      <c r="E9" s="38"/>
      <c r="F9" s="18" t="s">
        <v>424</v>
      </c>
      <c r="G9" s="21"/>
      <c r="H9" s="21"/>
      <c r="I9" s="21"/>
      <c r="J9" s="21"/>
      <c r="K9" s="21">
        <v>15004</v>
      </c>
      <c r="L9" s="52"/>
      <c r="M9" s="139">
        <f>ROUND(K9/111.7*122.5,0)</f>
        <v>16455</v>
      </c>
      <c r="N9" s="86">
        <f>ROUND(L9/125.1*130.8,-2)</f>
        <v>0</v>
      </c>
      <c r="O9" s="139">
        <f>ROUND(M9/122.5*127.2,-2)</f>
        <v>17100</v>
      </c>
      <c r="P9" s="52">
        <f t="shared" si="0"/>
        <v>17100</v>
      </c>
      <c r="R9" s="93" t="s">
        <v>494</v>
      </c>
      <c r="S9" s="93">
        <v>43839</v>
      </c>
      <c r="U9" s="20"/>
      <c r="X9" s="39"/>
      <c r="Y9" s="39"/>
      <c r="Z9" s="39"/>
    </row>
    <row r="10" spans="1:28" s="54" customFormat="1" x14ac:dyDescent="0.25">
      <c r="B10" s="38" t="s">
        <v>930</v>
      </c>
      <c r="C10" s="38" t="s">
        <v>927</v>
      </c>
      <c r="D10" s="38" t="s">
        <v>928</v>
      </c>
      <c r="E10" s="51" t="s">
        <v>929</v>
      </c>
      <c r="F10" s="51" t="s">
        <v>929</v>
      </c>
      <c r="G10" s="84"/>
      <c r="H10" s="84"/>
      <c r="I10" s="84"/>
      <c r="J10" s="84"/>
      <c r="K10" s="84"/>
      <c r="L10" s="84">
        <v>76230</v>
      </c>
      <c r="M10" s="84">
        <v>18150</v>
      </c>
      <c r="N10" s="86">
        <f>ROUND(L10/129.2*130.8,-2)</f>
        <v>77200</v>
      </c>
      <c r="O10" s="139">
        <f>ROUND(M10/127.1*127.2,-2)</f>
        <v>18200</v>
      </c>
      <c r="P10" s="52">
        <f t="shared" si="0"/>
        <v>95400</v>
      </c>
      <c r="U10" s="54" t="s">
        <v>931</v>
      </c>
      <c r="X10" s="58"/>
      <c r="Y10" s="58"/>
      <c r="Z10" s="58"/>
    </row>
    <row r="11" spans="1:28" s="38" customFormat="1" x14ac:dyDescent="0.25">
      <c r="A11" s="43"/>
      <c r="B11" s="43"/>
      <c r="C11" s="14" t="s">
        <v>19</v>
      </c>
      <c r="D11" s="14"/>
      <c r="E11" s="15"/>
      <c r="F11" s="16"/>
      <c r="G11" s="30">
        <v>39900001</v>
      </c>
      <c r="H11" s="30">
        <f>SUM(H4:H9)</f>
        <v>41919894</v>
      </c>
      <c r="I11" s="30">
        <f>SUM(I4:I9)</f>
        <v>44691998</v>
      </c>
      <c r="J11" s="30">
        <f>SUM(J4:J9)</f>
        <v>46973395</v>
      </c>
      <c r="K11" s="30">
        <f>SUM(K4:K9)</f>
        <v>4110054</v>
      </c>
      <c r="L11" s="30">
        <f>SUM(L4:L10)</f>
        <v>61293224</v>
      </c>
      <c r="M11" s="30">
        <f>SUM(M4:M10)</f>
        <v>4961277</v>
      </c>
      <c r="N11" s="30">
        <f>SUM(N4:N10)</f>
        <v>63666400</v>
      </c>
      <c r="O11" s="30">
        <f>SUM(O4:O10)</f>
        <v>5096000</v>
      </c>
      <c r="P11" s="30">
        <f>SUM(P4:P10)</f>
        <v>68762400</v>
      </c>
      <c r="X11" s="87"/>
      <c r="Y11" s="87"/>
      <c r="Z11" s="87"/>
    </row>
    <row r="12" spans="1:28" s="38" customFormat="1" x14ac:dyDescent="0.25">
      <c r="A12" s="18"/>
      <c r="B12" s="18"/>
      <c r="C12" s="18"/>
      <c r="D12" s="18"/>
      <c r="E12" s="46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1"/>
      <c r="X12" s="87"/>
      <c r="Y12" s="87"/>
      <c r="Z12" s="87"/>
    </row>
    <row r="13" spans="1:28" s="38" customFormat="1" ht="13.8" x14ac:dyDescent="0.25">
      <c r="A13" s="10" t="s">
        <v>20</v>
      </c>
      <c r="B13" s="18"/>
      <c r="C13" s="18"/>
      <c r="D13" s="18"/>
      <c r="E13" s="46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1"/>
      <c r="X13" s="87"/>
      <c r="Y13" s="87"/>
      <c r="Z13" s="87"/>
    </row>
    <row r="14" spans="1:28" s="18" customFormat="1" ht="12.75" customHeight="1" x14ac:dyDescent="0.25">
      <c r="A14" s="18" t="s">
        <v>21</v>
      </c>
      <c r="B14" s="18" t="s">
        <v>443</v>
      </c>
      <c r="C14" s="61" t="s">
        <v>968</v>
      </c>
      <c r="D14" s="18" t="s">
        <v>227</v>
      </c>
      <c r="E14" s="18" t="s">
        <v>424</v>
      </c>
      <c r="F14" s="21"/>
      <c r="G14" s="21">
        <v>97670</v>
      </c>
      <c r="H14" s="21">
        <f>ROUND(G14/137.2*147.5,0)</f>
        <v>105002</v>
      </c>
      <c r="I14" s="21">
        <v>139150</v>
      </c>
      <c r="J14" s="82">
        <f>ROUND(I14/159.8*163.4,0)</f>
        <v>142285</v>
      </c>
      <c r="K14" s="31"/>
      <c r="L14" s="82">
        <f>ROUND(J14/163.4*175.3,0)</f>
        <v>152647</v>
      </c>
      <c r="M14" s="158"/>
      <c r="N14" s="86">
        <f>ROUND(L14/125.1*130.8,-2)</f>
        <v>159600</v>
      </c>
      <c r="O14" s="139">
        <f>ROUND(M14/122.5*127.2,-2)</f>
        <v>0</v>
      </c>
      <c r="P14" s="52">
        <f>N14+O14</f>
        <v>159600</v>
      </c>
      <c r="R14" s="94" t="s">
        <v>495</v>
      </c>
      <c r="S14" s="93">
        <v>43839</v>
      </c>
      <c r="T14" s="18" t="s">
        <v>173</v>
      </c>
      <c r="X14" s="39"/>
      <c r="Y14" s="39"/>
      <c r="Z14" s="39"/>
    </row>
    <row r="15" spans="1:28" s="51" customFormat="1" ht="26.4" x14ac:dyDescent="0.25">
      <c r="A15" s="51" t="s">
        <v>22</v>
      </c>
      <c r="B15" s="51" t="s">
        <v>443</v>
      </c>
      <c r="C15" s="40" t="s">
        <v>967</v>
      </c>
      <c r="D15" s="51" t="s">
        <v>482</v>
      </c>
      <c r="E15" s="51" t="s">
        <v>424</v>
      </c>
      <c r="F15" s="52"/>
      <c r="G15" s="52">
        <v>130227</v>
      </c>
      <c r="H15" s="52">
        <f>ROUND(G15/137.2*147.5,0)</f>
        <v>140004</v>
      </c>
      <c r="I15" s="52">
        <v>187550</v>
      </c>
      <c r="J15" s="90">
        <f>ROUND(I15/159.8*163.4/8*7,0)</f>
        <v>167803</v>
      </c>
      <c r="K15" s="53"/>
      <c r="L15" s="86">
        <f>ROUND(J15/163.4*175.3,0)</f>
        <v>180024</v>
      </c>
      <c r="M15" s="139"/>
      <c r="N15" s="86">
        <f>ROUND(L15/125.1*130.8,-2)</f>
        <v>188200</v>
      </c>
      <c r="O15" s="139">
        <f>ROUND(M15/122.5*127.2,-2)</f>
        <v>0</v>
      </c>
      <c r="P15" s="52">
        <f>N15+O15</f>
        <v>188200</v>
      </c>
      <c r="R15" s="94" t="s">
        <v>495</v>
      </c>
      <c r="S15" s="94">
        <v>43839</v>
      </c>
      <c r="T15" s="51" t="s">
        <v>173</v>
      </c>
      <c r="X15" s="40"/>
      <c r="Y15" s="40"/>
      <c r="Z15" s="40"/>
    </row>
    <row r="16" spans="1:28" s="38" customFormat="1" x14ac:dyDescent="0.25">
      <c r="A16" s="43"/>
      <c r="B16" s="43"/>
      <c r="C16" s="14" t="s">
        <v>19</v>
      </c>
      <c r="D16" s="14"/>
      <c r="E16" s="47"/>
      <c r="F16" s="30"/>
      <c r="G16" s="30">
        <v>244175</v>
      </c>
      <c r="H16" s="30">
        <f>SUM(H14:H15)</f>
        <v>245006</v>
      </c>
      <c r="I16" s="30">
        <f>SUM(I14:I15)</f>
        <v>326700</v>
      </c>
      <c r="J16" s="30">
        <f>SUM(J14:J15)</f>
        <v>310088</v>
      </c>
      <c r="K16" s="30"/>
      <c r="L16" s="30">
        <f>SUM(L14:L15)</f>
        <v>332671</v>
      </c>
      <c r="M16" s="30"/>
      <c r="N16" s="30">
        <f>SUM(N14:N15)</f>
        <v>347800</v>
      </c>
      <c r="O16" s="30"/>
      <c r="P16" s="30">
        <f>SUM(P14:P15)</f>
        <v>347800</v>
      </c>
      <c r="X16" s="87"/>
      <c r="Y16" s="87"/>
      <c r="Z16" s="87"/>
    </row>
    <row r="17" spans="1:26" s="38" customFormat="1" x14ac:dyDescent="0.25">
      <c r="A17" s="18"/>
      <c r="B17" s="18"/>
      <c r="C17" s="17"/>
      <c r="D17" s="17"/>
      <c r="E17" s="45"/>
      <c r="F17" s="31"/>
      <c r="G17" s="19"/>
      <c r="H17" s="19"/>
      <c r="I17" s="19"/>
      <c r="J17" s="19"/>
      <c r="K17" s="19"/>
      <c r="L17" s="19"/>
      <c r="M17" s="19"/>
      <c r="N17" s="19"/>
      <c r="O17" s="19"/>
      <c r="P17" s="21"/>
      <c r="X17" s="87"/>
      <c r="Y17" s="87"/>
      <c r="Z17" s="87"/>
    </row>
    <row r="18" spans="1:26" s="38" customFormat="1" ht="13.8" x14ac:dyDescent="0.25">
      <c r="A18" s="10" t="s">
        <v>23</v>
      </c>
      <c r="B18" s="18"/>
      <c r="C18" s="17"/>
      <c r="D18" s="17"/>
      <c r="E18" s="45"/>
      <c r="F18" s="31"/>
      <c r="G18" s="19"/>
      <c r="H18" s="19"/>
      <c r="I18" s="19"/>
      <c r="J18" s="19"/>
      <c r="K18" s="19"/>
      <c r="L18" s="19"/>
      <c r="M18" s="19"/>
      <c r="N18" s="19"/>
      <c r="O18" s="19"/>
      <c r="P18" s="21"/>
      <c r="X18" s="87"/>
      <c r="Y18" s="87"/>
      <c r="Z18" s="87"/>
    </row>
    <row r="19" spans="1:26" s="38" customFormat="1" x14ac:dyDescent="0.25">
      <c r="A19" s="18" t="s">
        <v>25</v>
      </c>
      <c r="B19" s="18" t="s">
        <v>444</v>
      </c>
      <c r="C19" s="18" t="s">
        <v>26</v>
      </c>
      <c r="D19" s="18" t="s">
        <v>24</v>
      </c>
      <c r="E19" s="18" t="s">
        <v>424</v>
      </c>
      <c r="F19" s="21"/>
      <c r="G19" s="21">
        <v>70652</v>
      </c>
      <c r="H19" s="21">
        <f>ROUND(G19/137.2*147.5,0)</f>
        <v>75956</v>
      </c>
      <c r="I19" s="21">
        <v>199650</v>
      </c>
      <c r="J19" s="82">
        <f>ROUND(I19/159.8*163.4,0)</f>
        <v>204148</v>
      </c>
      <c r="K19" s="31"/>
      <c r="L19" s="82">
        <f>ROUND(J19/163.4*175.3,0)</f>
        <v>219016</v>
      </c>
      <c r="M19" s="158"/>
      <c r="N19" s="86">
        <f>ROUND(L19/125.1*130.8,-2)</f>
        <v>229000</v>
      </c>
      <c r="O19" s="139">
        <f>ROUND(M19/122.5*127.2,-2)</f>
        <v>0</v>
      </c>
      <c r="P19" s="52">
        <f>N19+O19</f>
        <v>229000</v>
      </c>
      <c r="Q19" s="18"/>
      <c r="R19" s="93" t="s">
        <v>495</v>
      </c>
      <c r="S19" s="93">
        <v>43839</v>
      </c>
      <c r="T19" s="38" t="s">
        <v>173</v>
      </c>
      <c r="U19" s="18"/>
      <c r="X19" s="87"/>
      <c r="Y19" s="87"/>
      <c r="Z19" s="87"/>
    </row>
    <row r="20" spans="1:26" s="38" customFormat="1" x14ac:dyDescent="0.25">
      <c r="A20" s="43"/>
      <c r="B20" s="43"/>
      <c r="C20" s="43"/>
      <c r="D20" s="43"/>
      <c r="E20" s="47"/>
      <c r="F20" s="30"/>
      <c r="G20" s="30">
        <v>173945</v>
      </c>
      <c r="H20" s="30">
        <f>SUM(H19:H19)</f>
        <v>75956</v>
      </c>
      <c r="I20" s="30">
        <f>SUM(I19:I19)</f>
        <v>199650</v>
      </c>
      <c r="J20" s="30">
        <f>SUM(J19:J19)</f>
        <v>204148</v>
      </c>
      <c r="K20" s="30"/>
      <c r="L20" s="30">
        <f>SUM(L19:L19)</f>
        <v>219016</v>
      </c>
      <c r="M20" s="30"/>
      <c r="N20" s="30">
        <f>SUM(N19:N19)</f>
        <v>229000</v>
      </c>
      <c r="O20" s="30"/>
      <c r="P20" s="30">
        <f>SUM(P19:P19)</f>
        <v>229000</v>
      </c>
      <c r="X20" s="87"/>
      <c r="Y20" s="87"/>
      <c r="Z20" s="87"/>
    </row>
    <row r="21" spans="1:26" s="18" customFormat="1" x14ac:dyDescent="0.25">
      <c r="A21" s="36"/>
      <c r="B21" s="36"/>
      <c r="C21" s="33"/>
      <c r="D21" s="33"/>
      <c r="E21" s="45"/>
      <c r="F21" s="31"/>
      <c r="G21" s="21"/>
      <c r="H21" s="21"/>
      <c r="I21" s="21"/>
      <c r="J21" s="21"/>
      <c r="K21" s="21"/>
      <c r="L21" s="21"/>
      <c r="M21" s="19"/>
      <c r="N21" s="19"/>
      <c r="O21" s="19"/>
      <c r="P21" s="21"/>
      <c r="R21" s="38"/>
      <c r="S21" s="38"/>
      <c r="X21" s="39"/>
      <c r="Y21" s="39"/>
      <c r="Z21" s="39"/>
    </row>
    <row r="22" spans="1:26" s="38" customFormat="1" ht="13.8" x14ac:dyDescent="0.25">
      <c r="A22" s="10" t="s">
        <v>29</v>
      </c>
      <c r="B22" s="18"/>
      <c r="C22" s="18"/>
      <c r="D22" s="18"/>
      <c r="E22" s="46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1"/>
      <c r="X22" s="87"/>
      <c r="Y22" s="87"/>
      <c r="Z22" s="87"/>
    </row>
    <row r="23" spans="1:26" s="18" customFormat="1" x14ac:dyDescent="0.25">
      <c r="A23" s="18" t="s">
        <v>30</v>
      </c>
      <c r="B23" s="18" t="s">
        <v>590</v>
      </c>
      <c r="C23" s="18" t="s">
        <v>192</v>
      </c>
      <c r="D23" s="18" t="s">
        <v>31</v>
      </c>
      <c r="E23" s="18" t="s">
        <v>588</v>
      </c>
      <c r="F23" s="21"/>
      <c r="G23" s="21">
        <v>522078</v>
      </c>
      <c r="H23" s="21">
        <f>ROUND(G23/137.2*147.5,0)</f>
        <v>561272</v>
      </c>
      <c r="I23" s="21">
        <f>ROUND(H23/147.5*154.9,0)</f>
        <v>589431</v>
      </c>
      <c r="J23" s="112">
        <v>986150</v>
      </c>
      <c r="K23" s="31"/>
      <c r="L23" s="82">
        <f>ROUND(J23/174*175.3,0)</f>
        <v>993518</v>
      </c>
      <c r="M23" s="158"/>
      <c r="N23" s="86">
        <f t="shared" ref="N23:N29" si="1">ROUND(L23/125.1*130.8,-2)</f>
        <v>1038800</v>
      </c>
      <c r="O23" s="139">
        <f t="shared" ref="O23:O29" si="2">ROUND(M23/122.5*127.2,-2)</f>
        <v>0</v>
      </c>
      <c r="P23" s="52">
        <f t="shared" ref="P23:P29" si="3">N23+O23</f>
        <v>1038800</v>
      </c>
      <c r="R23" s="38" t="s">
        <v>496</v>
      </c>
      <c r="S23" s="93">
        <v>43839</v>
      </c>
      <c r="T23" s="18" t="s">
        <v>173</v>
      </c>
      <c r="U23" s="37" t="s">
        <v>191</v>
      </c>
      <c r="X23" s="39"/>
      <c r="Y23" s="39"/>
      <c r="Z23" s="39"/>
    </row>
    <row r="24" spans="1:26" s="18" customFormat="1" x14ac:dyDescent="0.25">
      <c r="A24" s="18" t="s">
        <v>30</v>
      </c>
      <c r="B24" s="18" t="s">
        <v>193</v>
      </c>
      <c r="C24" s="18" t="s">
        <v>586</v>
      </c>
      <c r="D24" s="18" t="s">
        <v>31</v>
      </c>
      <c r="E24" s="18" t="s">
        <v>588</v>
      </c>
      <c r="F24" s="21"/>
      <c r="G24" s="21">
        <v>643336</v>
      </c>
      <c r="H24" s="21">
        <f>ROUND(G24/137.2*147.5,0)</f>
        <v>691633</v>
      </c>
      <c r="I24" s="21">
        <f>ROUND(H24/147.5*154.9,0)</f>
        <v>726332</v>
      </c>
      <c r="J24" s="112">
        <v>478555</v>
      </c>
      <c r="K24" s="31"/>
      <c r="L24" s="82">
        <f>ROUND(J24/174*175.3,0)</f>
        <v>482130</v>
      </c>
      <c r="M24" s="158"/>
      <c r="N24" s="86">
        <f t="shared" si="1"/>
        <v>504100</v>
      </c>
      <c r="O24" s="139">
        <f t="shared" si="2"/>
        <v>0</v>
      </c>
      <c r="P24" s="52">
        <f t="shared" si="3"/>
        <v>504100</v>
      </c>
      <c r="R24" s="38" t="s">
        <v>496</v>
      </c>
      <c r="S24" s="93">
        <v>43839</v>
      </c>
      <c r="T24" s="18" t="s">
        <v>173</v>
      </c>
      <c r="U24" s="37" t="s">
        <v>191</v>
      </c>
      <c r="X24" s="39"/>
      <c r="Y24" s="39"/>
      <c r="Z24" s="39"/>
    </row>
    <row r="25" spans="1:26" s="18" customFormat="1" x14ac:dyDescent="0.25">
      <c r="A25" s="18" t="s">
        <v>30</v>
      </c>
      <c r="B25" s="18" t="s">
        <v>591</v>
      </c>
      <c r="C25" s="18" t="s">
        <v>587</v>
      </c>
      <c r="D25" s="18" t="s">
        <v>31</v>
      </c>
      <c r="E25" s="18" t="s">
        <v>588</v>
      </c>
      <c r="F25" s="21"/>
      <c r="G25" s="21">
        <v>643336</v>
      </c>
      <c r="H25" s="21">
        <f>ROUND(G25/137.2*147.5,0)</f>
        <v>691633</v>
      </c>
      <c r="I25" s="21">
        <f>ROUND(H25/147.5*154.9,0)</f>
        <v>726332</v>
      </c>
      <c r="J25" s="112">
        <v>356950</v>
      </c>
      <c r="K25" s="31"/>
      <c r="L25" s="82">
        <f>ROUND(J25/174*175.3,0)</f>
        <v>359617</v>
      </c>
      <c r="M25" s="158"/>
      <c r="N25" s="86">
        <f t="shared" si="1"/>
        <v>376000</v>
      </c>
      <c r="O25" s="139">
        <f t="shared" si="2"/>
        <v>0</v>
      </c>
      <c r="P25" s="52">
        <f t="shared" si="3"/>
        <v>376000</v>
      </c>
      <c r="R25" s="38" t="s">
        <v>496</v>
      </c>
      <c r="S25" s="93">
        <v>43839</v>
      </c>
      <c r="T25" s="18" t="s">
        <v>173</v>
      </c>
      <c r="U25" s="37" t="s">
        <v>191</v>
      </c>
      <c r="X25" s="39"/>
      <c r="Y25" s="39"/>
      <c r="Z25" s="39"/>
    </row>
    <row r="26" spans="1:26" s="18" customFormat="1" x14ac:dyDescent="0.25">
      <c r="A26" s="18" t="s">
        <v>32</v>
      </c>
      <c r="B26" s="18" t="s">
        <v>445</v>
      </c>
      <c r="C26" s="18" t="s">
        <v>33</v>
      </c>
      <c r="D26" s="18" t="s">
        <v>34</v>
      </c>
      <c r="E26" s="18" t="s">
        <v>424</v>
      </c>
      <c r="F26" s="18" t="s">
        <v>424</v>
      </c>
      <c r="G26" s="21">
        <v>4216279</v>
      </c>
      <c r="H26" s="21">
        <f>ROUND(G26/137.2*147.5,0)</f>
        <v>4532807</v>
      </c>
      <c r="I26" s="21">
        <v>4912600</v>
      </c>
      <c r="J26" s="82">
        <f>ROUND(I26/159.8*163.4,0)</f>
        <v>5023272</v>
      </c>
      <c r="K26" s="21">
        <v>344850</v>
      </c>
      <c r="L26" s="82">
        <f>ROUND(J26/163.4*175.3,0)</f>
        <v>5389104</v>
      </c>
      <c r="M26" s="158">
        <f>ROUND(K26/111.7*122.5,0)</f>
        <v>378193</v>
      </c>
      <c r="N26" s="86">
        <f t="shared" si="1"/>
        <v>5634700</v>
      </c>
      <c r="O26" s="139">
        <f t="shared" si="2"/>
        <v>392700</v>
      </c>
      <c r="P26" s="52">
        <f t="shared" si="3"/>
        <v>6027400</v>
      </c>
      <c r="R26" s="38" t="s">
        <v>497</v>
      </c>
      <c r="S26" s="93">
        <v>43839</v>
      </c>
      <c r="T26" s="18" t="s">
        <v>171</v>
      </c>
      <c r="X26" s="39" t="s">
        <v>969</v>
      </c>
      <c r="Y26" s="39"/>
      <c r="Z26" s="39"/>
    </row>
    <row r="27" spans="1:26" s="38" customFormat="1" x14ac:dyDescent="0.25">
      <c r="B27" s="38" t="s">
        <v>203</v>
      </c>
      <c r="C27" s="38" t="s">
        <v>201</v>
      </c>
      <c r="D27" s="38" t="s">
        <v>202</v>
      </c>
      <c r="E27" s="51" t="s">
        <v>894</v>
      </c>
      <c r="F27" s="18" t="s">
        <v>894</v>
      </c>
      <c r="G27" s="21">
        <v>3694704</v>
      </c>
      <c r="H27" s="21">
        <f>ROUND(G27/137.2*147.5,0)</f>
        <v>3972076</v>
      </c>
      <c r="I27" s="21">
        <f>ROUND(H27/147.5*154.9,0)</f>
        <v>4171353</v>
      </c>
      <c r="J27" s="82">
        <f>ROUND(I27/154.9*163.4,0)</f>
        <v>4400252</v>
      </c>
      <c r="K27" s="19">
        <f>254000+37000</f>
        <v>291000</v>
      </c>
      <c r="L27" s="89">
        <v>5311900</v>
      </c>
      <c r="M27" s="133">
        <v>363000</v>
      </c>
      <c r="N27" s="86">
        <f t="shared" si="1"/>
        <v>5553900</v>
      </c>
      <c r="O27" s="139">
        <f t="shared" si="2"/>
        <v>376900</v>
      </c>
      <c r="P27" s="52">
        <f t="shared" si="3"/>
        <v>5930800</v>
      </c>
      <c r="R27" s="38" t="s">
        <v>497</v>
      </c>
      <c r="S27" s="93">
        <v>43839</v>
      </c>
      <c r="U27" s="55" t="s">
        <v>896</v>
      </c>
      <c r="X27" s="87" t="s">
        <v>969</v>
      </c>
      <c r="Y27" s="87"/>
      <c r="Z27" s="87"/>
    </row>
    <row r="28" spans="1:26" s="51" customFormat="1" ht="26.4" x14ac:dyDescent="0.25">
      <c r="A28" s="51" t="s">
        <v>35</v>
      </c>
      <c r="B28" s="40" t="s">
        <v>36</v>
      </c>
      <c r="C28" s="51" t="s">
        <v>37</v>
      </c>
      <c r="D28" s="51" t="s">
        <v>9</v>
      </c>
      <c r="E28" s="85" t="s">
        <v>222</v>
      </c>
      <c r="F28" s="85" t="s">
        <v>222</v>
      </c>
      <c r="G28" s="52">
        <v>16000000</v>
      </c>
      <c r="H28" s="52">
        <f>ROUND(G28/140.3*147.5,0)</f>
        <v>16821098</v>
      </c>
      <c r="I28" s="52">
        <f>ROUND(H28/147.5*154.9,0)</f>
        <v>17665004</v>
      </c>
      <c r="J28" s="86">
        <f>ROUND(I28/154.9*163.4,0)</f>
        <v>18634355</v>
      </c>
      <c r="K28" s="52">
        <v>825000</v>
      </c>
      <c r="L28" s="86">
        <f>ROUND(J28/163.4*175.3,0)</f>
        <v>19991447</v>
      </c>
      <c r="M28" s="139">
        <f>ROUND(K28/111.7*122.5,0)</f>
        <v>904767</v>
      </c>
      <c r="N28" s="86">
        <f t="shared" si="1"/>
        <v>20902300</v>
      </c>
      <c r="O28" s="139">
        <f t="shared" si="2"/>
        <v>939500</v>
      </c>
      <c r="P28" s="52">
        <f t="shared" si="3"/>
        <v>21841800</v>
      </c>
      <c r="R28" s="132" t="s">
        <v>920</v>
      </c>
      <c r="S28" s="94">
        <v>43839</v>
      </c>
      <c r="T28" s="51" t="s">
        <v>171</v>
      </c>
      <c r="U28" s="73" t="s">
        <v>223</v>
      </c>
      <c r="X28" s="40" t="s">
        <v>969</v>
      </c>
      <c r="Y28" s="40"/>
      <c r="Z28" s="40"/>
    </row>
    <row r="29" spans="1:26" s="18" customFormat="1" x14ac:dyDescent="0.25">
      <c r="B29" s="39" t="s">
        <v>589</v>
      </c>
      <c r="C29" s="18" t="s">
        <v>200</v>
      </c>
      <c r="D29" s="18" t="s">
        <v>31</v>
      </c>
      <c r="E29" s="18" t="s">
        <v>588</v>
      </c>
      <c r="F29" s="21"/>
      <c r="G29" s="21">
        <v>849175</v>
      </c>
      <c r="H29" s="21">
        <f>ROUND(G29/137.2*147.5,0)</f>
        <v>912925</v>
      </c>
      <c r="I29" s="21">
        <f>ROUND(H29/147.5*154.9,0)</f>
        <v>958726</v>
      </c>
      <c r="J29" s="112">
        <v>1397550</v>
      </c>
      <c r="K29" s="19"/>
      <c r="L29" s="82">
        <f>ROUND(J29/174*175.3,0)</f>
        <v>1407991</v>
      </c>
      <c r="M29" s="158"/>
      <c r="N29" s="86">
        <f t="shared" si="1"/>
        <v>1472100</v>
      </c>
      <c r="O29" s="139">
        <f t="shared" si="2"/>
        <v>0</v>
      </c>
      <c r="P29" s="52">
        <f t="shared" si="3"/>
        <v>1472100</v>
      </c>
      <c r="R29" s="38" t="s">
        <v>498</v>
      </c>
      <c r="S29" s="93">
        <v>43839</v>
      </c>
      <c r="T29" s="41"/>
      <c r="V29" s="83"/>
      <c r="X29" s="39"/>
      <c r="Y29" s="39"/>
      <c r="Z29" s="39"/>
    </row>
    <row r="30" spans="1:26" s="38" customFormat="1" x14ac:dyDescent="0.25">
      <c r="A30" s="43"/>
      <c r="B30" s="43"/>
      <c r="C30" s="14" t="s">
        <v>19</v>
      </c>
      <c r="D30" s="14"/>
      <c r="E30" s="47"/>
      <c r="F30" s="30"/>
      <c r="G30" s="30">
        <v>26568908</v>
      </c>
      <c r="H30" s="30">
        <f t="shared" ref="H30:P30" si="4">SUM(H23:H29)</f>
        <v>28183444</v>
      </c>
      <c r="I30" s="30">
        <f t="shared" si="4"/>
        <v>29749778</v>
      </c>
      <c r="J30" s="30">
        <f t="shared" si="4"/>
        <v>31277084</v>
      </c>
      <c r="K30" s="30">
        <f t="shared" si="4"/>
        <v>1460850</v>
      </c>
      <c r="L30" s="117">
        <f t="shared" si="4"/>
        <v>33935707</v>
      </c>
      <c r="M30" s="30">
        <f t="shared" si="4"/>
        <v>1645960</v>
      </c>
      <c r="N30" s="117">
        <f t="shared" si="4"/>
        <v>35481900</v>
      </c>
      <c r="O30" s="30">
        <f t="shared" si="4"/>
        <v>1709100</v>
      </c>
      <c r="P30" s="30">
        <f t="shared" si="4"/>
        <v>37191000</v>
      </c>
      <c r="X30" s="87"/>
      <c r="Y30" s="87"/>
      <c r="Z30" s="87"/>
    </row>
    <row r="31" spans="1:26" s="38" customFormat="1" x14ac:dyDescent="0.25">
      <c r="A31" s="18"/>
      <c r="B31" s="18"/>
      <c r="C31" s="18"/>
      <c r="D31" s="18"/>
      <c r="E31" s="46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X31" s="87"/>
      <c r="Y31" s="87"/>
      <c r="Z31" s="87"/>
    </row>
    <row r="32" spans="1:26" s="38" customFormat="1" ht="13.8" x14ac:dyDescent="0.25">
      <c r="A32" s="10" t="s">
        <v>38</v>
      </c>
      <c r="B32" s="18"/>
      <c r="C32" s="18"/>
      <c r="D32" s="18"/>
      <c r="E32" s="46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X32" s="87"/>
      <c r="Y32" s="87"/>
      <c r="Z32" s="87"/>
    </row>
    <row r="33" spans="1:26" s="18" customFormat="1" x14ac:dyDescent="0.25">
      <c r="A33" s="18" t="s">
        <v>39</v>
      </c>
      <c r="B33" s="18" t="s">
        <v>40</v>
      </c>
      <c r="C33" s="18" t="s">
        <v>41</v>
      </c>
      <c r="D33" s="18" t="s">
        <v>42</v>
      </c>
      <c r="E33" s="18" t="s">
        <v>244</v>
      </c>
      <c r="F33" s="21"/>
      <c r="G33" s="21">
        <v>873499</v>
      </c>
      <c r="H33" s="21">
        <v>924000</v>
      </c>
      <c r="I33" s="21">
        <f t="shared" ref="I33:I38" si="5">ROUND(H33/147.5*154.9,0)</f>
        <v>970357</v>
      </c>
      <c r="J33" s="82">
        <f t="shared" ref="J33:J38" si="6">ROUND(I33/154.9*163.4,0)</f>
        <v>1023604</v>
      </c>
      <c r="K33" s="31"/>
      <c r="L33" s="82">
        <f t="shared" ref="L33:L39" si="7">ROUND(J33/163.4*175.3,0)</f>
        <v>1098150</v>
      </c>
      <c r="M33" s="158"/>
      <c r="N33" s="86">
        <f t="shared" ref="N33:N41" si="8">ROUND(L33/125.1*130.8,-2)</f>
        <v>1148200</v>
      </c>
      <c r="O33" s="139">
        <f t="shared" ref="O33:O42" si="9">ROUND(M33/122.5*127.2,-2)</f>
        <v>0</v>
      </c>
      <c r="P33" s="52">
        <f t="shared" ref="P33:P42" si="10">N33+O33</f>
        <v>1148200</v>
      </c>
      <c r="R33" s="38" t="s">
        <v>499</v>
      </c>
      <c r="S33" s="93">
        <v>43839</v>
      </c>
      <c r="T33" s="18" t="s">
        <v>173</v>
      </c>
      <c r="U33" s="18" t="s">
        <v>236</v>
      </c>
      <c r="X33" s="39"/>
      <c r="Y33" s="39"/>
      <c r="Z33" s="39"/>
    </row>
    <row r="34" spans="1:26" s="18" customFormat="1" x14ac:dyDescent="0.25">
      <c r="A34" s="18" t="s">
        <v>44</v>
      </c>
      <c r="B34" s="18" t="s">
        <v>45</v>
      </c>
      <c r="C34" s="18" t="s">
        <v>46</v>
      </c>
      <c r="D34" s="18" t="s">
        <v>47</v>
      </c>
      <c r="E34" s="18" t="s">
        <v>245</v>
      </c>
      <c r="F34" s="21"/>
      <c r="G34" s="21">
        <v>757758</v>
      </c>
      <c r="H34" s="21">
        <v>760000</v>
      </c>
      <c r="I34" s="21">
        <f t="shared" si="5"/>
        <v>798129</v>
      </c>
      <c r="J34" s="82">
        <f t="shared" si="6"/>
        <v>841926</v>
      </c>
      <c r="K34" s="31"/>
      <c r="L34" s="82">
        <f t="shared" si="7"/>
        <v>903241</v>
      </c>
      <c r="M34" s="158"/>
      <c r="N34" s="86">
        <f t="shared" si="8"/>
        <v>944400</v>
      </c>
      <c r="O34" s="139">
        <f t="shared" si="9"/>
        <v>0</v>
      </c>
      <c r="P34" s="52">
        <f t="shared" si="10"/>
        <v>944400</v>
      </c>
      <c r="R34" s="38" t="s">
        <v>500</v>
      </c>
      <c r="S34" s="93">
        <v>43839</v>
      </c>
      <c r="T34" s="18" t="s">
        <v>173</v>
      </c>
      <c r="U34" s="18" t="s">
        <v>237</v>
      </c>
      <c r="X34" s="39"/>
      <c r="Y34" s="39"/>
      <c r="Z34" s="39"/>
    </row>
    <row r="35" spans="1:26" s="18" customFormat="1" x14ac:dyDescent="0.25">
      <c r="A35" s="18" t="s">
        <v>48</v>
      </c>
      <c r="B35" s="18" t="s">
        <v>49</v>
      </c>
      <c r="C35" s="38" t="s">
        <v>890</v>
      </c>
      <c r="D35" s="18" t="s">
        <v>50</v>
      </c>
      <c r="E35" s="18" t="s">
        <v>246</v>
      </c>
      <c r="F35" s="21"/>
      <c r="G35" s="21">
        <v>459246</v>
      </c>
      <c r="H35" s="21">
        <v>480000</v>
      </c>
      <c r="I35" s="21">
        <f t="shared" si="5"/>
        <v>504081</v>
      </c>
      <c r="J35" s="82">
        <f t="shared" si="6"/>
        <v>531742</v>
      </c>
      <c r="K35" s="31"/>
      <c r="L35" s="82">
        <f t="shared" si="7"/>
        <v>570467</v>
      </c>
      <c r="M35" s="158"/>
      <c r="N35" s="86">
        <f t="shared" si="8"/>
        <v>596500</v>
      </c>
      <c r="O35" s="139">
        <f t="shared" si="9"/>
        <v>0</v>
      </c>
      <c r="P35" s="52">
        <f t="shared" si="10"/>
        <v>596500</v>
      </c>
      <c r="R35" s="38" t="s">
        <v>501</v>
      </c>
      <c r="S35" s="93">
        <v>43839</v>
      </c>
      <c r="T35" s="18" t="s">
        <v>173</v>
      </c>
      <c r="U35" s="18" t="s">
        <v>238</v>
      </c>
      <c r="X35" s="39"/>
      <c r="Y35" s="39"/>
      <c r="Z35" s="39"/>
    </row>
    <row r="36" spans="1:26" s="18" customFormat="1" x14ac:dyDescent="0.25">
      <c r="A36" s="18" t="s">
        <v>213</v>
      </c>
      <c r="B36" s="38" t="s">
        <v>210</v>
      </c>
      <c r="C36" s="18" t="s">
        <v>211</v>
      </c>
      <c r="D36" s="18" t="s">
        <v>175</v>
      </c>
      <c r="E36" s="20"/>
      <c r="F36" s="18" t="s">
        <v>894</v>
      </c>
      <c r="G36" s="21">
        <v>0</v>
      </c>
      <c r="H36" s="21">
        <f>ROUND(G36/137.2*147.5,0)</f>
        <v>0</v>
      </c>
      <c r="I36" s="21">
        <f t="shared" si="5"/>
        <v>0</v>
      </c>
      <c r="J36" s="82">
        <f t="shared" si="6"/>
        <v>0</v>
      </c>
      <c r="K36" s="19">
        <v>146000</v>
      </c>
      <c r="L36" s="82">
        <f>ROUND(J36/163.4*175.3,0)</f>
        <v>0</v>
      </c>
      <c r="M36" s="133">
        <v>199650</v>
      </c>
      <c r="N36" s="86">
        <f t="shared" si="8"/>
        <v>0</v>
      </c>
      <c r="O36" s="139">
        <f t="shared" si="9"/>
        <v>207300</v>
      </c>
      <c r="P36" s="52">
        <f t="shared" si="10"/>
        <v>207300</v>
      </c>
      <c r="R36" s="38" t="s">
        <v>502</v>
      </c>
      <c r="S36" s="93">
        <v>43839</v>
      </c>
      <c r="T36" s="41"/>
      <c r="U36" s="55" t="s">
        <v>896</v>
      </c>
      <c r="V36" s="83"/>
      <c r="X36" s="39"/>
      <c r="Y36" s="39"/>
      <c r="Z36" s="39"/>
    </row>
    <row r="37" spans="1:26" s="18" customFormat="1" x14ac:dyDescent="0.25">
      <c r="A37" s="18" t="s">
        <v>51</v>
      </c>
      <c r="B37" s="38" t="s">
        <v>483</v>
      </c>
      <c r="C37" s="18" t="s">
        <v>52</v>
      </c>
      <c r="D37" s="18" t="s">
        <v>9</v>
      </c>
      <c r="E37" s="18" t="s">
        <v>247</v>
      </c>
      <c r="F37" s="21"/>
      <c r="G37" s="21">
        <v>1119414</v>
      </c>
      <c r="H37" s="21">
        <v>1025000</v>
      </c>
      <c r="I37" s="21">
        <f t="shared" si="5"/>
        <v>1076424</v>
      </c>
      <c r="J37" s="82">
        <f t="shared" si="6"/>
        <v>1135492</v>
      </c>
      <c r="K37" s="31"/>
      <c r="L37" s="82">
        <f t="shared" si="7"/>
        <v>1218187</v>
      </c>
      <c r="M37" s="158"/>
      <c r="N37" s="86">
        <f t="shared" si="8"/>
        <v>1273700</v>
      </c>
      <c r="O37" s="139">
        <f t="shared" si="9"/>
        <v>0</v>
      </c>
      <c r="P37" s="52">
        <f t="shared" si="10"/>
        <v>1273700</v>
      </c>
      <c r="R37" s="38" t="s">
        <v>503</v>
      </c>
      <c r="S37" s="93">
        <v>43839</v>
      </c>
      <c r="T37" s="18" t="s">
        <v>173</v>
      </c>
      <c r="U37" s="18" t="s">
        <v>239</v>
      </c>
      <c r="X37" s="39"/>
      <c r="Y37" s="39"/>
      <c r="Z37" s="39"/>
    </row>
    <row r="38" spans="1:26" s="18" customFormat="1" x14ac:dyDescent="0.25">
      <c r="A38" s="18" t="s">
        <v>54</v>
      </c>
      <c r="B38" s="38" t="s">
        <v>571</v>
      </c>
      <c r="C38" s="18" t="s">
        <v>55</v>
      </c>
      <c r="D38" s="18" t="s">
        <v>56</v>
      </c>
      <c r="E38" s="18" t="s">
        <v>894</v>
      </c>
      <c r="F38" s="21"/>
      <c r="G38" s="21">
        <v>416262</v>
      </c>
      <c r="H38" s="21">
        <f>ROUND(G38/137.2*147.5,0)</f>
        <v>447512</v>
      </c>
      <c r="I38" s="21">
        <f t="shared" si="5"/>
        <v>469963</v>
      </c>
      <c r="J38" s="82">
        <f t="shared" si="6"/>
        <v>495752</v>
      </c>
      <c r="K38" s="31"/>
      <c r="L38" s="89">
        <v>895400</v>
      </c>
      <c r="M38" s="82"/>
      <c r="N38" s="86">
        <f t="shared" si="8"/>
        <v>936200</v>
      </c>
      <c r="O38" s="139">
        <f t="shared" si="9"/>
        <v>0</v>
      </c>
      <c r="P38" s="52">
        <f t="shared" si="10"/>
        <v>936200</v>
      </c>
      <c r="R38" s="38" t="s">
        <v>504</v>
      </c>
      <c r="S38" s="93">
        <v>43839</v>
      </c>
      <c r="T38" s="18" t="s">
        <v>173</v>
      </c>
      <c r="U38" s="55" t="s">
        <v>896</v>
      </c>
      <c r="X38" s="39"/>
      <c r="Y38" s="39" t="s">
        <v>969</v>
      </c>
      <c r="Z38" s="39"/>
    </row>
    <row r="39" spans="1:26" s="18" customFormat="1" x14ac:dyDescent="0.25">
      <c r="A39" s="18" t="s">
        <v>57</v>
      </c>
      <c r="B39" s="39" t="s">
        <v>446</v>
      </c>
      <c r="C39" s="18" t="s">
        <v>58</v>
      </c>
      <c r="D39" s="18" t="s">
        <v>59</v>
      </c>
      <c r="E39" s="18" t="s">
        <v>424</v>
      </c>
      <c r="F39" s="21"/>
      <c r="G39" s="21">
        <v>1794768</v>
      </c>
      <c r="H39" s="21">
        <f>ROUND(G39/137.2*147.5,0)</f>
        <v>1929506</v>
      </c>
      <c r="I39" s="21">
        <v>2420000</v>
      </c>
      <c r="J39" s="82">
        <f>ROUND(I39/159.8*163.4,0)</f>
        <v>2474518</v>
      </c>
      <c r="K39" s="21"/>
      <c r="L39" s="82">
        <f t="shared" si="7"/>
        <v>2654731</v>
      </c>
      <c r="M39" s="158"/>
      <c r="N39" s="86">
        <f t="shared" si="8"/>
        <v>2775700</v>
      </c>
      <c r="O39" s="139">
        <f t="shared" si="9"/>
        <v>0</v>
      </c>
      <c r="P39" s="52">
        <f t="shared" si="10"/>
        <v>2775700</v>
      </c>
      <c r="R39" s="38" t="s">
        <v>505</v>
      </c>
      <c r="S39" s="93">
        <v>43839</v>
      </c>
      <c r="T39" s="18" t="s">
        <v>171</v>
      </c>
      <c r="X39" s="39"/>
      <c r="Y39" s="39"/>
      <c r="Z39" s="39"/>
    </row>
    <row r="40" spans="1:26" s="18" customFormat="1" x14ac:dyDescent="0.25">
      <c r="A40" s="18" t="s">
        <v>60</v>
      </c>
      <c r="B40" s="18" t="s">
        <v>61</v>
      </c>
      <c r="C40" s="38" t="s">
        <v>891</v>
      </c>
      <c r="D40" s="18" t="s">
        <v>62</v>
      </c>
      <c r="E40" s="18" t="s">
        <v>588</v>
      </c>
      <c r="F40" s="21"/>
      <c r="G40" s="21">
        <v>578216</v>
      </c>
      <c r="H40" s="21">
        <f>ROUND(G40/137.2*147.5,0)</f>
        <v>621624</v>
      </c>
      <c r="I40" s="21">
        <f>ROUND(H40/147.5*154.9,0)</f>
        <v>652811</v>
      </c>
      <c r="J40" s="112">
        <v>1633500</v>
      </c>
      <c r="K40" s="31"/>
      <c r="L40" s="82">
        <f>ROUND(J40/174*175.3,0)</f>
        <v>1645704</v>
      </c>
      <c r="M40" s="158"/>
      <c r="N40" s="86">
        <f t="shared" si="8"/>
        <v>1720700</v>
      </c>
      <c r="O40" s="139">
        <f t="shared" si="9"/>
        <v>0</v>
      </c>
      <c r="P40" s="52">
        <f t="shared" si="10"/>
        <v>1720700</v>
      </c>
      <c r="R40" s="38" t="s">
        <v>506</v>
      </c>
      <c r="S40" s="93">
        <v>43839</v>
      </c>
      <c r="T40" s="18" t="s">
        <v>173</v>
      </c>
      <c r="U40" s="37" t="s">
        <v>191</v>
      </c>
      <c r="X40" s="39"/>
      <c r="Y40" s="39"/>
      <c r="Z40" s="39"/>
    </row>
    <row r="41" spans="1:26" s="38" customFormat="1" x14ac:dyDescent="0.25">
      <c r="A41" s="18"/>
      <c r="B41" s="38" t="s">
        <v>572</v>
      </c>
      <c r="C41" s="18" t="s">
        <v>189</v>
      </c>
      <c r="D41" s="18" t="s">
        <v>178</v>
      </c>
      <c r="E41" s="18" t="s">
        <v>424</v>
      </c>
      <c r="F41" s="18" t="s">
        <v>424</v>
      </c>
      <c r="G41" s="21">
        <v>450116</v>
      </c>
      <c r="H41" s="21">
        <f>ROUND(G41/137.2*147.5,0)</f>
        <v>483908</v>
      </c>
      <c r="I41" s="21">
        <v>562650</v>
      </c>
      <c r="J41" s="82">
        <f>ROUND(I41/159.8*163.4,0)</f>
        <v>575325</v>
      </c>
      <c r="K41" s="28">
        <v>42350</v>
      </c>
      <c r="L41" s="82">
        <f>ROUND(J41/163.4*175.3,0)</f>
        <v>617224</v>
      </c>
      <c r="M41" s="158">
        <f>ROUND(K41/111.7*122.5,0)</f>
        <v>46445</v>
      </c>
      <c r="N41" s="86">
        <f t="shared" si="8"/>
        <v>645300</v>
      </c>
      <c r="O41" s="139">
        <f t="shared" si="9"/>
        <v>48200</v>
      </c>
      <c r="P41" s="52">
        <f t="shared" si="10"/>
        <v>693500</v>
      </c>
      <c r="R41" s="38" t="s">
        <v>507</v>
      </c>
      <c r="S41" s="93">
        <v>43839</v>
      </c>
      <c r="U41" s="18"/>
      <c r="X41" s="87"/>
      <c r="Y41" s="87"/>
      <c r="Z41" s="87"/>
    </row>
    <row r="42" spans="1:26" s="54" customFormat="1" x14ac:dyDescent="0.25">
      <c r="B42" s="18" t="s">
        <v>900</v>
      </c>
      <c r="C42" s="38" t="s">
        <v>584</v>
      </c>
      <c r="G42" s="84"/>
      <c r="H42" s="84"/>
      <c r="I42" s="84"/>
      <c r="J42" s="88" t="s">
        <v>459</v>
      </c>
      <c r="K42" s="84"/>
      <c r="L42" s="88">
        <v>52023</v>
      </c>
      <c r="M42" s="158"/>
      <c r="N42" s="86">
        <f>L42</f>
        <v>52023</v>
      </c>
      <c r="O42" s="139">
        <f t="shared" si="9"/>
        <v>0</v>
      </c>
      <c r="P42" s="52">
        <f t="shared" si="10"/>
        <v>52023</v>
      </c>
      <c r="R42" s="54" t="s">
        <v>901</v>
      </c>
      <c r="X42" s="58"/>
      <c r="Y42" s="58"/>
      <c r="Z42" s="58"/>
    </row>
    <row r="43" spans="1:26" s="38" customFormat="1" x14ac:dyDescent="0.25">
      <c r="A43" s="43"/>
      <c r="B43" s="43"/>
      <c r="C43" s="14" t="s">
        <v>19</v>
      </c>
      <c r="D43" s="14"/>
      <c r="E43" s="47"/>
      <c r="F43" s="30"/>
      <c r="G43" s="30">
        <v>6449279</v>
      </c>
      <c r="H43" s="30">
        <f>SUM(H33:H41)</f>
        <v>6671550</v>
      </c>
      <c r="I43" s="30">
        <f>SUM(I33:I41)</f>
        <v>7454415</v>
      </c>
      <c r="J43" s="30">
        <f>SUM(J33:J41)</f>
        <v>8711859</v>
      </c>
      <c r="K43" s="30">
        <f>SUM(K33:K41)</f>
        <v>188350</v>
      </c>
      <c r="L43" s="30">
        <f>SUM(L33:L42)</f>
        <v>9655127</v>
      </c>
      <c r="M43" s="30">
        <f>SUM(M33:M42)</f>
        <v>246095</v>
      </c>
      <c r="N43" s="30">
        <f>SUM(N33:N42)</f>
        <v>10092723</v>
      </c>
      <c r="O43" s="30">
        <f>SUM(O33:O42)</f>
        <v>255500</v>
      </c>
      <c r="P43" s="30">
        <f>SUM(P33:P42)</f>
        <v>10348223</v>
      </c>
      <c r="X43" s="87"/>
      <c r="Y43" s="87"/>
      <c r="Z43" s="87"/>
    </row>
    <row r="44" spans="1:26" s="38" customFormat="1" x14ac:dyDescent="0.25">
      <c r="A44" s="18"/>
      <c r="B44" s="18"/>
      <c r="C44" s="18"/>
      <c r="D44" s="18"/>
      <c r="E44" s="46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X44" s="87"/>
      <c r="Y44" s="87"/>
      <c r="Z44" s="87"/>
    </row>
    <row r="45" spans="1:26" s="38" customFormat="1" ht="13.8" x14ac:dyDescent="0.25">
      <c r="A45" s="10" t="s">
        <v>64</v>
      </c>
      <c r="B45" s="18"/>
      <c r="C45" s="18"/>
      <c r="D45" s="18"/>
      <c r="E45" s="46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X45" s="87"/>
      <c r="Y45" s="87"/>
      <c r="Z45" s="87"/>
    </row>
    <row r="46" spans="1:26" s="18" customFormat="1" x14ac:dyDescent="0.25">
      <c r="A46" s="18" t="s">
        <v>67</v>
      </c>
      <c r="B46" s="38" t="s">
        <v>573</v>
      </c>
      <c r="C46" s="18" t="s">
        <v>65</v>
      </c>
      <c r="D46" s="18" t="s">
        <v>66</v>
      </c>
      <c r="E46" s="18" t="s">
        <v>588</v>
      </c>
      <c r="F46" s="119" t="s">
        <v>588</v>
      </c>
      <c r="G46" s="21">
        <v>269460</v>
      </c>
      <c r="H46" s="21">
        <v>280000</v>
      </c>
      <c r="I46" s="21">
        <f>ROUND(H46/147.5*154.9,0)</f>
        <v>294047</v>
      </c>
      <c r="J46" s="112">
        <v>326700</v>
      </c>
      <c r="K46" s="114">
        <v>54450</v>
      </c>
      <c r="L46" s="82">
        <f>ROUND(J46/174*175.3,0)</f>
        <v>329141</v>
      </c>
      <c r="M46" s="158">
        <f>ROUND(K46/122.3*122.5,0)</f>
        <v>54539</v>
      </c>
      <c r="N46" s="86">
        <f>ROUND(L46/125.1*130.8,-2)</f>
        <v>344100</v>
      </c>
      <c r="O46" s="139">
        <f>ROUND(M46/122.5*127.2,-2)</f>
        <v>56600</v>
      </c>
      <c r="P46" s="52">
        <f>N46+O46</f>
        <v>400700</v>
      </c>
      <c r="R46" s="162" t="s">
        <v>919</v>
      </c>
      <c r="S46" s="93">
        <v>43839</v>
      </c>
      <c r="T46" s="18" t="s">
        <v>173</v>
      </c>
      <c r="U46" s="18" t="s">
        <v>264</v>
      </c>
      <c r="X46" s="39"/>
      <c r="Y46" s="39"/>
      <c r="Z46" s="39"/>
    </row>
    <row r="47" spans="1:26" s="38" customFormat="1" x14ac:dyDescent="0.25">
      <c r="A47" s="18" t="s">
        <v>68</v>
      </c>
      <c r="B47" s="18" t="s">
        <v>194</v>
      </c>
      <c r="C47" s="18" t="s">
        <v>69</v>
      </c>
      <c r="D47" s="18" t="s">
        <v>70</v>
      </c>
      <c r="E47" s="18" t="s">
        <v>588</v>
      </c>
      <c r="F47" s="119" t="s">
        <v>588</v>
      </c>
      <c r="G47" s="21">
        <v>15242448</v>
      </c>
      <c r="H47" s="21">
        <f>ROUND(G47/137.2*147.5,0)</f>
        <v>16386743</v>
      </c>
      <c r="I47" s="21">
        <f>ROUND(H47/147.5*154.9,0)</f>
        <v>17208858</v>
      </c>
      <c r="J47" s="112">
        <v>20098100</v>
      </c>
      <c r="K47" s="113">
        <v>2722500</v>
      </c>
      <c r="L47" s="82">
        <f>ROUND(J47/174*175.3,0)</f>
        <v>20248258</v>
      </c>
      <c r="M47" s="159">
        <f>ROUND(K47/122.3*122.5,0)</f>
        <v>2726952</v>
      </c>
      <c r="N47" s="86">
        <f>ROUND(L47/125.1*130.8,-2)</f>
        <v>21170800</v>
      </c>
      <c r="O47" s="139">
        <f>ROUND(M47/122.5*127.2,-2)</f>
        <v>2831600</v>
      </c>
      <c r="P47" s="52">
        <f>N47+O47</f>
        <v>24002400</v>
      </c>
      <c r="R47" s="38" t="s">
        <v>509</v>
      </c>
      <c r="S47" s="93">
        <v>43839</v>
      </c>
      <c r="T47" s="38" t="s">
        <v>173</v>
      </c>
      <c r="W47" s="111"/>
      <c r="X47" s="87"/>
      <c r="Y47" s="87"/>
      <c r="Z47" s="87"/>
    </row>
    <row r="48" spans="1:26" s="38" customFormat="1" x14ac:dyDescent="0.25">
      <c r="A48" s="43"/>
      <c r="B48" s="43"/>
      <c r="C48" s="14" t="s">
        <v>19</v>
      </c>
      <c r="D48" s="14"/>
      <c r="E48" s="48"/>
      <c r="F48" s="49"/>
      <c r="G48" s="30">
        <v>15519319</v>
      </c>
      <c r="H48" s="30">
        <f t="shared" ref="H48:P48" si="11">SUM(H46:H47)</f>
        <v>16666743</v>
      </c>
      <c r="I48" s="30">
        <f t="shared" si="11"/>
        <v>17502905</v>
      </c>
      <c r="J48" s="30">
        <f t="shared" si="11"/>
        <v>20424800</v>
      </c>
      <c r="K48" s="30">
        <f t="shared" si="11"/>
        <v>2776950</v>
      </c>
      <c r="L48" s="117">
        <f t="shared" si="11"/>
        <v>20577399</v>
      </c>
      <c r="M48" s="30">
        <f t="shared" si="11"/>
        <v>2781491</v>
      </c>
      <c r="N48" s="117">
        <f t="shared" si="11"/>
        <v>21514900</v>
      </c>
      <c r="O48" s="30">
        <f t="shared" si="11"/>
        <v>2888200</v>
      </c>
      <c r="P48" s="30">
        <f t="shared" si="11"/>
        <v>24403100</v>
      </c>
      <c r="X48" s="87"/>
      <c r="Y48" s="87"/>
      <c r="Z48" s="87"/>
    </row>
    <row r="49" spans="1:27" s="38" customFormat="1" x14ac:dyDescent="0.25">
      <c r="A49" s="18"/>
      <c r="B49" s="18"/>
      <c r="C49" s="18"/>
      <c r="D49" s="18"/>
      <c r="E49" s="46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X49" s="87"/>
      <c r="Y49" s="87"/>
      <c r="Z49" s="87"/>
    </row>
    <row r="50" spans="1:27" s="38" customFormat="1" ht="13.8" x14ac:dyDescent="0.25">
      <c r="A50" s="22" t="s">
        <v>71</v>
      </c>
      <c r="B50" s="44"/>
      <c r="C50" s="44"/>
      <c r="D50" s="44"/>
      <c r="E50" s="23"/>
      <c r="F50" s="24"/>
      <c r="G50" s="30"/>
      <c r="H50" s="30"/>
      <c r="I50" s="30"/>
      <c r="J50" s="30"/>
      <c r="K50" s="30"/>
      <c r="L50" s="30"/>
      <c r="M50" s="30"/>
      <c r="N50" s="30"/>
      <c r="O50" s="30"/>
      <c r="P50" s="95" t="s">
        <v>73</v>
      </c>
      <c r="X50" s="87"/>
      <c r="Y50" s="87"/>
      <c r="Z50" s="87"/>
    </row>
    <row r="51" spans="1:27" s="38" customFormat="1" x14ac:dyDescent="0.25">
      <c r="A51" s="18" t="s">
        <v>6</v>
      </c>
      <c r="B51" s="18"/>
      <c r="C51" s="18"/>
      <c r="D51" s="36"/>
      <c r="E51" s="50"/>
      <c r="F51" s="28"/>
      <c r="G51" s="28">
        <v>39900001</v>
      </c>
      <c r="H51" s="28">
        <f t="shared" ref="H51:M51" si="12">H11</f>
        <v>41919894</v>
      </c>
      <c r="I51" s="28">
        <f t="shared" si="12"/>
        <v>44691998</v>
      </c>
      <c r="J51" s="28">
        <f t="shared" si="12"/>
        <v>46973395</v>
      </c>
      <c r="K51" s="28">
        <f t="shared" si="12"/>
        <v>4110054</v>
      </c>
      <c r="L51" s="28">
        <f t="shared" si="12"/>
        <v>61293224</v>
      </c>
      <c r="M51" s="19">
        <f t="shared" si="12"/>
        <v>4961277</v>
      </c>
      <c r="N51" s="28">
        <f>N11</f>
        <v>63666400</v>
      </c>
      <c r="O51" s="19">
        <f>O11</f>
        <v>5096000</v>
      </c>
      <c r="P51" s="52">
        <f t="shared" ref="P51:P56" si="13">N51+O51</f>
        <v>68762400</v>
      </c>
      <c r="X51" s="87"/>
      <c r="Y51" s="87"/>
      <c r="Z51" s="87"/>
    </row>
    <row r="52" spans="1:27" s="38" customFormat="1" x14ac:dyDescent="0.25">
      <c r="A52" s="18" t="s">
        <v>72</v>
      </c>
      <c r="B52" s="18"/>
      <c r="C52" s="18"/>
      <c r="D52" s="36"/>
      <c r="E52" s="50"/>
      <c r="F52" s="28"/>
      <c r="G52" s="28">
        <v>244175</v>
      </c>
      <c r="H52" s="28">
        <f>H16</f>
        <v>245006</v>
      </c>
      <c r="I52" s="28">
        <f>I16</f>
        <v>326700</v>
      </c>
      <c r="J52" s="28">
        <f>J16</f>
        <v>310088</v>
      </c>
      <c r="K52" s="28"/>
      <c r="L52" s="28">
        <f>L16</f>
        <v>332671</v>
      </c>
      <c r="M52" s="19"/>
      <c r="N52" s="28">
        <f>N16</f>
        <v>347800</v>
      </c>
      <c r="O52" s="19"/>
      <c r="P52" s="52">
        <f t="shared" si="13"/>
        <v>347800</v>
      </c>
      <c r="X52" s="87"/>
      <c r="Y52" s="87"/>
      <c r="Z52" s="87"/>
    </row>
    <row r="53" spans="1:27" s="38" customFormat="1" x14ac:dyDescent="0.25">
      <c r="A53" s="36" t="s">
        <v>23</v>
      </c>
      <c r="B53" s="18"/>
      <c r="C53" s="18"/>
      <c r="D53" s="36"/>
      <c r="E53" s="50"/>
      <c r="F53" s="28"/>
      <c r="G53" s="28">
        <v>173945</v>
      </c>
      <c r="H53" s="28">
        <f>H20</f>
        <v>75956</v>
      </c>
      <c r="I53" s="28">
        <f>I20</f>
        <v>199650</v>
      </c>
      <c r="J53" s="28">
        <f>J20</f>
        <v>204148</v>
      </c>
      <c r="K53" s="28"/>
      <c r="L53" s="28">
        <f>L20</f>
        <v>219016</v>
      </c>
      <c r="M53" s="19"/>
      <c r="N53" s="28">
        <f>N20</f>
        <v>229000</v>
      </c>
      <c r="O53" s="19"/>
      <c r="P53" s="52">
        <f t="shared" si="13"/>
        <v>229000</v>
      </c>
      <c r="X53" s="87"/>
      <c r="Y53" s="87"/>
      <c r="Z53" s="87"/>
    </row>
    <row r="54" spans="1:27" s="38" customFormat="1" x14ac:dyDescent="0.25">
      <c r="A54" s="18" t="s">
        <v>29</v>
      </c>
      <c r="B54" s="18"/>
      <c r="C54" s="18"/>
      <c r="D54" s="36"/>
      <c r="E54" s="50"/>
      <c r="F54" s="28"/>
      <c r="G54" s="28">
        <v>26568908</v>
      </c>
      <c r="H54" s="28">
        <f t="shared" ref="H54:M54" si="14">H30</f>
        <v>28183444</v>
      </c>
      <c r="I54" s="28">
        <f t="shared" si="14"/>
        <v>29749778</v>
      </c>
      <c r="J54" s="28">
        <f t="shared" si="14"/>
        <v>31277084</v>
      </c>
      <c r="K54" s="28">
        <f t="shared" si="14"/>
        <v>1460850</v>
      </c>
      <c r="L54" s="28">
        <f t="shared" si="14"/>
        <v>33935707</v>
      </c>
      <c r="M54" s="19">
        <f t="shared" si="14"/>
        <v>1645960</v>
      </c>
      <c r="N54" s="28">
        <f>N30</f>
        <v>35481900</v>
      </c>
      <c r="O54" s="19">
        <f>O30</f>
        <v>1709100</v>
      </c>
      <c r="P54" s="52">
        <f t="shared" si="13"/>
        <v>37191000</v>
      </c>
      <c r="X54" s="87"/>
      <c r="Y54" s="87"/>
      <c r="Z54" s="87"/>
    </row>
    <row r="55" spans="1:27" s="38" customFormat="1" x14ac:dyDescent="0.25">
      <c r="A55" s="18" t="s">
        <v>38</v>
      </c>
      <c r="B55" s="18"/>
      <c r="C55" s="18"/>
      <c r="D55" s="36"/>
      <c r="E55" s="50"/>
      <c r="F55" s="28"/>
      <c r="G55" s="28">
        <v>6449279</v>
      </c>
      <c r="H55" s="28">
        <f t="shared" ref="H55:M55" si="15">H43</f>
        <v>6671550</v>
      </c>
      <c r="I55" s="28">
        <f t="shared" si="15"/>
        <v>7454415</v>
      </c>
      <c r="J55" s="28">
        <f t="shared" si="15"/>
        <v>8711859</v>
      </c>
      <c r="K55" s="28">
        <f t="shared" si="15"/>
        <v>188350</v>
      </c>
      <c r="L55" s="28">
        <f t="shared" si="15"/>
        <v>9655127</v>
      </c>
      <c r="M55" s="19">
        <f t="shared" si="15"/>
        <v>246095</v>
      </c>
      <c r="N55" s="28">
        <f>N43</f>
        <v>10092723</v>
      </c>
      <c r="O55" s="19">
        <f>O43</f>
        <v>255500</v>
      </c>
      <c r="P55" s="52">
        <f t="shared" si="13"/>
        <v>10348223</v>
      </c>
      <c r="X55" s="87"/>
      <c r="Y55" s="87"/>
      <c r="Z55" s="87"/>
    </row>
    <row r="56" spans="1:27" s="38" customFormat="1" x14ac:dyDescent="0.25">
      <c r="A56" s="18" t="s">
        <v>64</v>
      </c>
      <c r="B56" s="18"/>
      <c r="C56" s="18"/>
      <c r="D56" s="36"/>
      <c r="E56" s="45"/>
      <c r="F56" s="31"/>
      <c r="G56" s="28">
        <v>15519319</v>
      </c>
      <c r="H56" s="28">
        <f t="shared" ref="H56:M56" si="16">H48</f>
        <v>16666743</v>
      </c>
      <c r="I56" s="28">
        <f t="shared" si="16"/>
        <v>17502905</v>
      </c>
      <c r="J56" s="28">
        <f t="shared" si="16"/>
        <v>20424800</v>
      </c>
      <c r="K56" s="28">
        <f t="shared" si="16"/>
        <v>2776950</v>
      </c>
      <c r="L56" s="28">
        <f t="shared" si="16"/>
        <v>20577399</v>
      </c>
      <c r="M56" s="19">
        <f t="shared" si="16"/>
        <v>2781491</v>
      </c>
      <c r="N56" s="28">
        <f>N48</f>
        <v>21514900</v>
      </c>
      <c r="O56" s="19">
        <f>O48</f>
        <v>2888200</v>
      </c>
      <c r="P56" s="52">
        <f t="shared" si="13"/>
        <v>24403100</v>
      </c>
      <c r="X56" s="87"/>
      <c r="Y56" s="87"/>
      <c r="Z56" s="87"/>
    </row>
    <row r="57" spans="1:27" s="38" customFormat="1" ht="13.8" x14ac:dyDescent="0.25">
      <c r="A57" s="22" t="s">
        <v>73</v>
      </c>
      <c r="B57" s="44"/>
      <c r="C57" s="44"/>
      <c r="D57" s="44"/>
      <c r="E57" s="23"/>
      <c r="F57" s="24"/>
      <c r="G57" s="30">
        <v>90220370</v>
      </c>
      <c r="H57" s="30">
        <f t="shared" ref="H57:P57" si="17">SUM(H51:H56)</f>
        <v>93762593</v>
      </c>
      <c r="I57" s="30">
        <f t="shared" si="17"/>
        <v>99925446</v>
      </c>
      <c r="J57" s="30">
        <f t="shared" si="17"/>
        <v>107901374</v>
      </c>
      <c r="K57" s="30">
        <f t="shared" si="17"/>
        <v>8536204</v>
      </c>
      <c r="L57" s="30">
        <f t="shared" si="17"/>
        <v>126013144</v>
      </c>
      <c r="M57" s="30">
        <f t="shared" si="17"/>
        <v>9634823</v>
      </c>
      <c r="N57" s="30">
        <f>SUM(N51:N56)</f>
        <v>131332723</v>
      </c>
      <c r="O57" s="30">
        <f>SUM(O51:O56)</f>
        <v>9948800</v>
      </c>
      <c r="P57" s="30">
        <f t="shared" si="17"/>
        <v>141281523</v>
      </c>
      <c r="X57" s="87"/>
      <c r="Y57" s="87"/>
      <c r="Z57" s="87"/>
    </row>
    <row r="58" spans="1:27" s="38" customFormat="1" x14ac:dyDescent="0.25">
      <c r="A58" s="18"/>
      <c r="B58" s="18"/>
      <c r="C58" s="18"/>
      <c r="D58" s="36"/>
      <c r="E58" s="46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X58" s="87"/>
      <c r="Y58" s="87"/>
      <c r="Z58" s="87"/>
    </row>
    <row r="59" spans="1:27" s="38" customFormat="1" ht="13.8" x14ac:dyDescent="0.25">
      <c r="A59" s="10" t="s">
        <v>74</v>
      </c>
      <c r="B59" s="18"/>
      <c r="C59" s="18"/>
      <c r="D59" s="18"/>
      <c r="E59" s="20"/>
      <c r="F59" s="21"/>
      <c r="G59" s="19"/>
      <c r="H59" s="19"/>
      <c r="I59" s="19"/>
      <c r="J59" s="19"/>
      <c r="K59" s="19"/>
      <c r="L59" s="19"/>
      <c r="M59" s="19"/>
      <c r="N59" s="19"/>
      <c r="O59" s="19"/>
      <c r="P59" s="19"/>
      <c r="X59" s="87"/>
      <c r="Y59" s="87"/>
      <c r="Z59" s="87"/>
    </row>
    <row r="60" spans="1:27" s="51" customFormat="1" x14ac:dyDescent="0.25">
      <c r="A60" s="51" t="s">
        <v>75</v>
      </c>
      <c r="B60" s="51" t="s">
        <v>447</v>
      </c>
      <c r="C60" s="51" t="s">
        <v>187</v>
      </c>
      <c r="D60" s="51" t="s">
        <v>188</v>
      </c>
      <c r="E60" s="51" t="s">
        <v>426</v>
      </c>
      <c r="F60" s="51" t="s">
        <v>426</v>
      </c>
      <c r="G60" s="52">
        <v>1880233</v>
      </c>
      <c r="H60" s="52">
        <f>ROUND(G60/137.2*147.5,0)</f>
        <v>2021388</v>
      </c>
      <c r="I60" s="52">
        <v>7260000</v>
      </c>
      <c r="J60" s="86">
        <f>ROUND(I60/159.8*163.4,0)</f>
        <v>7423554</v>
      </c>
      <c r="K60" s="53">
        <v>792500</v>
      </c>
      <c r="L60" s="86">
        <f>ROUND(J60/163.4*175.3,0)</f>
        <v>7964192</v>
      </c>
      <c r="M60" s="139">
        <f t="shared" ref="M60:M87" si="18">ROUND(K60/111.7*122.5,0)</f>
        <v>869125</v>
      </c>
      <c r="N60" s="86">
        <f t="shared" ref="N60:N88" si="19">ROUND(L60/125.1*130.8,-2)</f>
        <v>8327100</v>
      </c>
      <c r="O60" s="139">
        <f t="shared" ref="O60:O88" si="20">ROUND(M60/122.5*127.2,-2)</f>
        <v>902500</v>
      </c>
      <c r="P60" s="52">
        <f t="shared" ref="P60:P88" si="21">N60+O60</f>
        <v>9229600</v>
      </c>
      <c r="R60" s="73" t="s">
        <v>510</v>
      </c>
      <c r="S60" s="73">
        <v>43839</v>
      </c>
      <c r="T60" s="51" t="s">
        <v>173</v>
      </c>
      <c r="X60" s="40"/>
      <c r="Y60" s="40"/>
      <c r="Z60" s="40" t="s">
        <v>966</v>
      </c>
      <c r="AA60" s="51" t="s">
        <v>975</v>
      </c>
    </row>
    <row r="61" spans="1:27" s="51" customFormat="1" ht="26.4" x14ac:dyDescent="0.25">
      <c r="A61" s="51" t="s">
        <v>76</v>
      </c>
      <c r="B61" s="51" t="s">
        <v>448</v>
      </c>
      <c r="C61" s="40" t="s">
        <v>449</v>
      </c>
      <c r="D61" s="123" t="s">
        <v>450</v>
      </c>
      <c r="E61" s="51" t="s">
        <v>424</v>
      </c>
      <c r="F61" s="51" t="s">
        <v>424</v>
      </c>
      <c r="G61" s="52">
        <v>2734884</v>
      </c>
      <c r="H61" s="52">
        <f>ROUND(G61/137.2*147.5,0)</f>
        <v>2940200</v>
      </c>
      <c r="I61" s="52">
        <v>6413000</v>
      </c>
      <c r="J61" s="86">
        <f>ROUND(I61/159.8*163.4,0)</f>
        <v>6557473</v>
      </c>
      <c r="K61" s="53">
        <v>1082950</v>
      </c>
      <c r="L61" s="86">
        <f>ROUND(J61/163.4*175.3,0)</f>
        <v>7035037</v>
      </c>
      <c r="M61" s="139">
        <f t="shared" si="18"/>
        <v>1187658</v>
      </c>
      <c r="N61" s="86">
        <f t="shared" si="19"/>
        <v>7355600</v>
      </c>
      <c r="O61" s="139">
        <f t="shared" si="20"/>
        <v>1233200</v>
      </c>
      <c r="P61" s="52">
        <f t="shared" si="21"/>
        <v>8588800</v>
      </c>
      <c r="R61" s="73" t="s">
        <v>511</v>
      </c>
      <c r="S61" s="73">
        <v>43839</v>
      </c>
      <c r="T61" s="51" t="s">
        <v>173</v>
      </c>
      <c r="X61" s="40"/>
      <c r="Y61" s="40"/>
      <c r="Z61" s="40" t="s">
        <v>966</v>
      </c>
      <c r="AA61" s="51" t="s">
        <v>975</v>
      </c>
    </row>
    <row r="62" spans="1:27" s="51" customFormat="1" x14ac:dyDescent="0.25">
      <c r="A62" s="51" t="s">
        <v>77</v>
      </c>
      <c r="B62" s="51" t="s">
        <v>78</v>
      </c>
      <c r="C62" s="51" t="s">
        <v>195</v>
      </c>
      <c r="D62" s="51" t="s">
        <v>79</v>
      </c>
      <c r="E62" s="51" t="s">
        <v>588</v>
      </c>
      <c r="F62" s="124" t="s">
        <v>588</v>
      </c>
      <c r="G62" s="52">
        <v>6141440</v>
      </c>
      <c r="H62" s="52">
        <f>ROUND(G62/137.2*147.5,0)</f>
        <v>6602496</v>
      </c>
      <c r="I62" s="52">
        <f>ROUND(H62/147.5*154.9,0)</f>
        <v>6933740</v>
      </c>
      <c r="J62" s="125">
        <v>7260000</v>
      </c>
      <c r="K62" s="126">
        <v>1107150</v>
      </c>
      <c r="L62" s="86">
        <f>ROUND(J62/174*175.3,0)</f>
        <v>7314241</v>
      </c>
      <c r="M62" s="139">
        <f>ROUND(K62/122.3*122.5,0)</f>
        <v>1108961</v>
      </c>
      <c r="N62" s="86">
        <f t="shared" si="19"/>
        <v>7647500</v>
      </c>
      <c r="O62" s="139">
        <f t="shared" si="20"/>
        <v>1151500</v>
      </c>
      <c r="P62" s="52">
        <f t="shared" si="21"/>
        <v>8799000</v>
      </c>
      <c r="R62" s="73" t="s">
        <v>512</v>
      </c>
      <c r="S62" s="73">
        <v>43839</v>
      </c>
      <c r="T62" s="51" t="s">
        <v>173</v>
      </c>
      <c r="U62" s="127" t="s">
        <v>191</v>
      </c>
      <c r="X62" s="40"/>
      <c r="Y62" s="40"/>
      <c r="Z62" s="40" t="s">
        <v>966</v>
      </c>
      <c r="AA62" s="51" t="s">
        <v>975</v>
      </c>
    </row>
    <row r="63" spans="1:27" s="51" customFormat="1" x14ac:dyDescent="0.25">
      <c r="A63" s="51" t="s">
        <v>80</v>
      </c>
      <c r="B63" s="51" t="s">
        <v>81</v>
      </c>
      <c r="C63" s="51" t="s">
        <v>82</v>
      </c>
      <c r="D63" s="51" t="s">
        <v>27</v>
      </c>
      <c r="E63" s="51" t="s">
        <v>248</v>
      </c>
      <c r="F63" s="124" t="s">
        <v>588</v>
      </c>
      <c r="G63" s="52">
        <v>4965605</v>
      </c>
      <c r="H63" s="52">
        <v>5450000</v>
      </c>
      <c r="I63" s="52">
        <f>ROUND(H63/147.5*154.9,0)</f>
        <v>5723424</v>
      </c>
      <c r="J63" s="86">
        <f>ROUND(I63/154.9*163.4,0)</f>
        <v>6037492</v>
      </c>
      <c r="K63" s="128">
        <v>1022450</v>
      </c>
      <c r="L63" s="86">
        <f t="shared" ref="L63:L86" si="22">ROUND(J63/163.4*175.3,0)</f>
        <v>6477187</v>
      </c>
      <c r="M63" s="139">
        <f>ROUND(K63/122.3*122.5,0)</f>
        <v>1024122</v>
      </c>
      <c r="N63" s="86">
        <f t="shared" si="19"/>
        <v>6772300</v>
      </c>
      <c r="O63" s="139">
        <f t="shared" si="20"/>
        <v>1063400</v>
      </c>
      <c r="P63" s="52">
        <f t="shared" si="21"/>
        <v>7835700</v>
      </c>
      <c r="R63" s="132" t="s">
        <v>921</v>
      </c>
      <c r="S63" s="73">
        <v>43839</v>
      </c>
      <c r="T63" s="51" t="s">
        <v>173</v>
      </c>
      <c r="U63" s="51" t="s">
        <v>240</v>
      </c>
      <c r="V63" s="51" t="s">
        <v>269</v>
      </c>
      <c r="X63" s="40"/>
      <c r="Y63" s="40"/>
      <c r="Z63" s="40" t="s">
        <v>966</v>
      </c>
      <c r="AA63" s="51" t="s">
        <v>975</v>
      </c>
    </row>
    <row r="64" spans="1:27" s="51" customFormat="1" x14ac:dyDescent="0.25">
      <c r="A64" s="73" t="s">
        <v>83</v>
      </c>
      <c r="B64" s="73" t="s">
        <v>485</v>
      </c>
      <c r="C64" s="51" t="s">
        <v>84</v>
      </c>
      <c r="D64" s="51" t="s">
        <v>85</v>
      </c>
      <c r="E64" s="51" t="s">
        <v>249</v>
      </c>
      <c r="F64" s="51" t="s">
        <v>932</v>
      </c>
      <c r="G64" s="52">
        <v>1492552</v>
      </c>
      <c r="H64" s="52">
        <v>1750000</v>
      </c>
      <c r="I64" s="52">
        <f>ROUND(H64/147.5*154.9,0)</f>
        <v>1837797</v>
      </c>
      <c r="J64" s="86">
        <f>ROUND(I64/154.9*163.4,0)</f>
        <v>1938644</v>
      </c>
      <c r="K64" s="53">
        <v>470000</v>
      </c>
      <c r="L64" s="86">
        <f>ROUND(J64/163.4*175.3,0)</f>
        <v>2079830</v>
      </c>
      <c r="M64" s="164">
        <v>514250</v>
      </c>
      <c r="N64" s="86">
        <f t="shared" si="19"/>
        <v>2174600</v>
      </c>
      <c r="O64" s="139">
        <f>M64</f>
        <v>514250</v>
      </c>
      <c r="P64" s="52">
        <f t="shared" si="21"/>
        <v>2688850</v>
      </c>
      <c r="R64" s="73" t="s">
        <v>513</v>
      </c>
      <c r="S64" s="73">
        <v>43839</v>
      </c>
      <c r="T64" s="51" t="s">
        <v>173</v>
      </c>
      <c r="U64" s="55" t="s">
        <v>933</v>
      </c>
      <c r="X64" s="40"/>
      <c r="Y64" s="40"/>
      <c r="Z64" s="40" t="s">
        <v>966</v>
      </c>
      <c r="AA64" s="51" t="s">
        <v>975</v>
      </c>
    </row>
    <row r="65" spans="1:27" s="51" customFormat="1" ht="26.4" x14ac:dyDescent="0.25">
      <c r="A65" s="73"/>
      <c r="B65" s="81" t="s">
        <v>484</v>
      </c>
      <c r="C65" s="51" t="s">
        <v>183</v>
      </c>
      <c r="D65" s="51" t="s">
        <v>63</v>
      </c>
      <c r="E65" s="85" t="s">
        <v>250</v>
      </c>
      <c r="F65" s="52" t="s">
        <v>270</v>
      </c>
      <c r="G65" s="52">
        <v>2164201</v>
      </c>
      <c r="H65" s="52">
        <v>2500000</v>
      </c>
      <c r="I65" s="52">
        <f t="shared" ref="I65:I82" si="23">ROUND(H65/147.5*154.9,0)</f>
        <v>2625424</v>
      </c>
      <c r="J65" s="86">
        <f t="shared" ref="J65:J73" si="24">ROUND(I65/154.9*163.4,0)</f>
        <v>2769492</v>
      </c>
      <c r="K65" s="53">
        <v>410000</v>
      </c>
      <c r="L65" s="86">
        <f t="shared" si="22"/>
        <v>2971187</v>
      </c>
      <c r="M65" s="139">
        <f t="shared" si="18"/>
        <v>449642</v>
      </c>
      <c r="N65" s="86">
        <f t="shared" si="19"/>
        <v>3106600</v>
      </c>
      <c r="O65" s="139">
        <f t="shared" si="20"/>
        <v>466900</v>
      </c>
      <c r="P65" s="52">
        <f t="shared" si="21"/>
        <v>3573500</v>
      </c>
      <c r="R65" s="73" t="s">
        <v>514</v>
      </c>
      <c r="S65" s="73">
        <v>43839</v>
      </c>
      <c r="T65" s="51" t="s">
        <v>173</v>
      </c>
      <c r="U65" s="51" t="s">
        <v>251</v>
      </c>
      <c r="V65" s="51" t="s">
        <v>272</v>
      </c>
      <c r="X65" s="40"/>
      <c r="Y65" s="40"/>
      <c r="Z65" s="40" t="s">
        <v>966</v>
      </c>
      <c r="AA65" s="51" t="s">
        <v>975</v>
      </c>
    </row>
    <row r="66" spans="1:27" s="51" customFormat="1" x14ac:dyDescent="0.25">
      <c r="A66" s="51" t="s">
        <v>86</v>
      </c>
      <c r="B66" s="51" t="s">
        <v>87</v>
      </c>
      <c r="C66" s="51" t="s">
        <v>88</v>
      </c>
      <c r="D66" s="51" t="s">
        <v>89</v>
      </c>
      <c r="E66" s="85" t="s">
        <v>252</v>
      </c>
      <c r="F66" s="52" t="s">
        <v>273</v>
      </c>
      <c r="G66" s="52">
        <v>1641808</v>
      </c>
      <c r="H66" s="52">
        <v>1750000</v>
      </c>
      <c r="I66" s="52">
        <f t="shared" si="23"/>
        <v>1837797</v>
      </c>
      <c r="J66" s="86">
        <f t="shared" si="24"/>
        <v>1938644</v>
      </c>
      <c r="K66" s="53">
        <v>425000</v>
      </c>
      <c r="L66" s="86">
        <f t="shared" si="22"/>
        <v>2079830</v>
      </c>
      <c r="M66" s="139">
        <f t="shared" si="18"/>
        <v>466092</v>
      </c>
      <c r="N66" s="86">
        <f t="shared" si="19"/>
        <v>2174600</v>
      </c>
      <c r="O66" s="139">
        <f t="shared" si="20"/>
        <v>484000</v>
      </c>
      <c r="P66" s="52">
        <f t="shared" si="21"/>
        <v>2658600</v>
      </c>
      <c r="R66" s="73" t="s">
        <v>515</v>
      </c>
      <c r="S66" s="73">
        <v>43839</v>
      </c>
      <c r="T66" s="51" t="s">
        <v>173</v>
      </c>
      <c r="U66" s="51" t="s">
        <v>253</v>
      </c>
      <c r="V66" s="51" t="s">
        <v>274</v>
      </c>
      <c r="X66" s="40"/>
      <c r="Y66" s="40"/>
      <c r="Z66" s="40" t="s">
        <v>966</v>
      </c>
      <c r="AA66" s="51" t="s">
        <v>975</v>
      </c>
    </row>
    <row r="67" spans="1:27" s="51" customFormat="1" x14ac:dyDescent="0.25">
      <c r="A67" s="51" t="s">
        <v>90</v>
      </c>
      <c r="B67" s="51" t="s">
        <v>91</v>
      </c>
      <c r="C67" s="51" t="s">
        <v>92</v>
      </c>
      <c r="D67" s="51" t="s">
        <v>93</v>
      </c>
      <c r="E67" s="51" t="s">
        <v>241</v>
      </c>
      <c r="F67" s="52" t="s">
        <v>275</v>
      </c>
      <c r="G67" s="52">
        <v>3874896</v>
      </c>
      <c r="H67" s="52">
        <v>4300000</v>
      </c>
      <c r="I67" s="52">
        <f t="shared" si="23"/>
        <v>4515729</v>
      </c>
      <c r="J67" s="86">
        <f t="shared" si="24"/>
        <v>4763526</v>
      </c>
      <c r="K67" s="53">
        <v>750000</v>
      </c>
      <c r="L67" s="86">
        <f t="shared" si="22"/>
        <v>5110441</v>
      </c>
      <c r="M67" s="139">
        <f t="shared" si="18"/>
        <v>822516</v>
      </c>
      <c r="N67" s="86">
        <f t="shared" si="19"/>
        <v>5343300</v>
      </c>
      <c r="O67" s="139">
        <f t="shared" si="20"/>
        <v>854100</v>
      </c>
      <c r="P67" s="52">
        <f t="shared" si="21"/>
        <v>6197400</v>
      </c>
      <c r="R67" s="73" t="s">
        <v>516</v>
      </c>
      <c r="S67" s="73">
        <v>43839</v>
      </c>
      <c r="T67" s="51" t="s">
        <v>173</v>
      </c>
      <c r="U67" s="51" t="s">
        <v>233</v>
      </c>
      <c r="V67" s="51" t="s">
        <v>276</v>
      </c>
      <c r="X67" s="40"/>
      <c r="Y67" s="40"/>
      <c r="Z67" s="40" t="s">
        <v>966</v>
      </c>
      <c r="AA67" s="51" t="s">
        <v>975</v>
      </c>
    </row>
    <row r="68" spans="1:27" s="51" customFormat="1" x14ac:dyDescent="0.25">
      <c r="A68" s="51" t="s">
        <v>94</v>
      </c>
      <c r="B68" s="51" t="s">
        <v>184</v>
      </c>
      <c r="C68" s="51" t="s">
        <v>95</v>
      </c>
      <c r="D68" s="51" t="s">
        <v>96</v>
      </c>
      <c r="E68" s="85" t="s">
        <v>265</v>
      </c>
      <c r="F68" s="52" t="s">
        <v>271</v>
      </c>
      <c r="G68" s="52">
        <v>3168616</v>
      </c>
      <c r="H68" s="52">
        <v>3275000</v>
      </c>
      <c r="I68" s="52">
        <f t="shared" si="23"/>
        <v>3439305</v>
      </c>
      <c r="J68" s="86">
        <f t="shared" si="24"/>
        <v>3628034</v>
      </c>
      <c r="K68" s="53">
        <v>450000</v>
      </c>
      <c r="L68" s="86">
        <f t="shared" si="22"/>
        <v>3892254</v>
      </c>
      <c r="M68" s="139">
        <f t="shared" si="18"/>
        <v>493509</v>
      </c>
      <c r="N68" s="86">
        <f t="shared" si="19"/>
        <v>4069600</v>
      </c>
      <c r="O68" s="139">
        <f t="shared" si="20"/>
        <v>512400</v>
      </c>
      <c r="P68" s="52">
        <f t="shared" si="21"/>
        <v>4582000</v>
      </c>
      <c r="R68" s="73" t="s">
        <v>517</v>
      </c>
      <c r="S68" s="73">
        <v>43839</v>
      </c>
      <c r="T68" s="51" t="s">
        <v>173</v>
      </c>
      <c r="U68" s="51" t="s">
        <v>266</v>
      </c>
      <c r="V68" s="51" t="s">
        <v>277</v>
      </c>
      <c r="X68" s="40"/>
      <c r="Y68" s="40"/>
      <c r="Z68" s="40" t="s">
        <v>966</v>
      </c>
      <c r="AA68" s="51" t="s">
        <v>975</v>
      </c>
    </row>
    <row r="69" spans="1:27" s="51" customFormat="1" x14ac:dyDescent="0.25">
      <c r="A69" s="51" t="s">
        <v>97</v>
      </c>
      <c r="B69" s="73" t="s">
        <v>486</v>
      </c>
      <c r="C69" s="51" t="s">
        <v>98</v>
      </c>
      <c r="D69" s="51" t="s">
        <v>99</v>
      </c>
      <c r="E69" s="85" t="s">
        <v>254</v>
      </c>
      <c r="F69" s="52"/>
      <c r="G69" s="52">
        <v>2376602</v>
      </c>
      <c r="H69" s="52">
        <v>2700000</v>
      </c>
      <c r="I69" s="52">
        <f t="shared" si="23"/>
        <v>2835458</v>
      </c>
      <c r="J69" s="86">
        <f t="shared" si="24"/>
        <v>2991051</v>
      </c>
      <c r="K69" s="53"/>
      <c r="L69" s="86">
        <f t="shared" si="22"/>
        <v>3208882</v>
      </c>
      <c r="M69" s="139">
        <f t="shared" si="18"/>
        <v>0</v>
      </c>
      <c r="N69" s="86">
        <f t="shared" si="19"/>
        <v>3355100</v>
      </c>
      <c r="O69" s="139">
        <f t="shared" si="20"/>
        <v>0</v>
      </c>
      <c r="P69" s="52">
        <f t="shared" si="21"/>
        <v>3355100</v>
      </c>
      <c r="R69" s="73" t="s">
        <v>518</v>
      </c>
      <c r="S69" s="73">
        <v>43839</v>
      </c>
      <c r="T69" s="51" t="s">
        <v>173</v>
      </c>
      <c r="U69" s="51" t="s">
        <v>255</v>
      </c>
      <c r="X69" s="40"/>
      <c r="Y69" s="40"/>
      <c r="Z69" s="40" t="s">
        <v>966</v>
      </c>
      <c r="AA69" s="51" t="s">
        <v>975</v>
      </c>
    </row>
    <row r="70" spans="1:27" s="73" customFormat="1" x14ac:dyDescent="0.25">
      <c r="B70" s="73" t="s">
        <v>431</v>
      </c>
      <c r="C70" s="51" t="s">
        <v>98</v>
      </c>
      <c r="D70" s="51" t="s">
        <v>99</v>
      </c>
      <c r="F70" s="51" t="s">
        <v>430</v>
      </c>
      <c r="G70" s="120"/>
      <c r="H70" s="120"/>
      <c r="I70" s="120"/>
      <c r="J70" s="86">
        <f t="shared" si="24"/>
        <v>0</v>
      </c>
      <c r="K70" s="120">
        <v>586850</v>
      </c>
      <c r="L70" s="86"/>
      <c r="M70" s="139">
        <f t="shared" si="18"/>
        <v>643591</v>
      </c>
      <c r="N70" s="86">
        <f t="shared" si="19"/>
        <v>0</v>
      </c>
      <c r="O70" s="139">
        <f t="shared" si="20"/>
        <v>668300</v>
      </c>
      <c r="P70" s="52">
        <f t="shared" si="21"/>
        <v>668300</v>
      </c>
      <c r="R70" s="73" t="s">
        <v>518</v>
      </c>
      <c r="S70" s="73">
        <v>43839</v>
      </c>
      <c r="X70" s="81"/>
      <c r="Y70" s="81"/>
      <c r="Z70" s="81" t="s">
        <v>966</v>
      </c>
      <c r="AA70" s="73" t="s">
        <v>975</v>
      </c>
    </row>
    <row r="71" spans="1:27" s="51" customFormat="1" x14ac:dyDescent="0.25">
      <c r="A71" s="51" t="s">
        <v>100</v>
      </c>
      <c r="B71" s="73" t="s">
        <v>574</v>
      </c>
      <c r="C71" s="51" t="s">
        <v>182</v>
      </c>
      <c r="D71" s="51" t="s">
        <v>50</v>
      </c>
      <c r="E71" s="51" t="s">
        <v>932</v>
      </c>
      <c r="F71" s="52"/>
      <c r="G71" s="52">
        <v>1771011</v>
      </c>
      <c r="H71" s="52">
        <f>ROUND(G71/137.2*147.5,0)</f>
        <v>1903966</v>
      </c>
      <c r="I71" s="52">
        <f>ROUND(H71/147.5*154.9,0)</f>
        <v>1999487</v>
      </c>
      <c r="J71" s="86">
        <f>ROUND(I71/154.9*163.4,0)</f>
        <v>2109207</v>
      </c>
      <c r="K71" s="53">
        <v>450000</v>
      </c>
      <c r="L71" s="133">
        <v>3540460</v>
      </c>
      <c r="M71" s="139">
        <f>ROUND(K71/111.7*122.5,0)</f>
        <v>493509</v>
      </c>
      <c r="N71" s="86">
        <f>L71</f>
        <v>3540460</v>
      </c>
      <c r="O71" s="139">
        <f t="shared" si="20"/>
        <v>512400</v>
      </c>
      <c r="P71" s="52">
        <f t="shared" si="21"/>
        <v>4052860</v>
      </c>
      <c r="R71" s="73" t="s">
        <v>519</v>
      </c>
      <c r="S71" s="73">
        <v>43839</v>
      </c>
      <c r="T71" s="51" t="s">
        <v>173</v>
      </c>
      <c r="U71" s="55" t="s">
        <v>933</v>
      </c>
      <c r="V71" s="51" t="s">
        <v>278</v>
      </c>
      <c r="X71" s="40"/>
      <c r="Y71" s="40"/>
      <c r="Z71" s="40" t="s">
        <v>966</v>
      </c>
      <c r="AA71" s="51" t="s">
        <v>975</v>
      </c>
    </row>
    <row r="72" spans="1:27" s="51" customFormat="1" x14ac:dyDescent="0.25">
      <c r="A72" s="51" t="s">
        <v>101</v>
      </c>
      <c r="B72" s="73" t="s">
        <v>575</v>
      </c>
      <c r="C72" s="51" t="s">
        <v>182</v>
      </c>
      <c r="D72" s="51" t="s">
        <v>50</v>
      </c>
      <c r="E72" s="51" t="s">
        <v>932</v>
      </c>
      <c r="F72" s="52"/>
      <c r="G72" s="52">
        <v>2208429</v>
      </c>
      <c r="H72" s="52">
        <f>ROUND(G72/137.2*147.5,0)</f>
        <v>2374222</v>
      </c>
      <c r="I72" s="52"/>
      <c r="J72" s="86">
        <v>1660000</v>
      </c>
      <c r="K72" s="53">
        <v>675000</v>
      </c>
      <c r="L72" s="133">
        <v>4077700</v>
      </c>
      <c r="M72" s="139">
        <f>ROUND(K72/111.7*122.5,0)</f>
        <v>740264</v>
      </c>
      <c r="N72" s="86">
        <f>L72</f>
        <v>4077700</v>
      </c>
      <c r="O72" s="139">
        <f t="shared" si="20"/>
        <v>768700</v>
      </c>
      <c r="P72" s="52">
        <f t="shared" si="21"/>
        <v>4846400</v>
      </c>
      <c r="R72" s="73" t="s">
        <v>519</v>
      </c>
      <c r="S72" s="73">
        <v>43839</v>
      </c>
      <c r="T72" s="51" t="s">
        <v>173</v>
      </c>
      <c r="U72" s="55" t="s">
        <v>933</v>
      </c>
      <c r="V72" s="51" t="s">
        <v>279</v>
      </c>
      <c r="X72" s="40"/>
      <c r="Y72" s="40"/>
      <c r="Z72" s="40" t="s">
        <v>966</v>
      </c>
      <c r="AA72" s="51" t="s">
        <v>975</v>
      </c>
    </row>
    <row r="73" spans="1:27" s="51" customFormat="1" x14ac:dyDescent="0.25">
      <c r="B73" s="73" t="s">
        <v>286</v>
      </c>
      <c r="C73" s="51" t="s">
        <v>102</v>
      </c>
      <c r="D73" s="51" t="s">
        <v>103</v>
      </c>
      <c r="E73" s="85" t="s">
        <v>256</v>
      </c>
      <c r="F73" s="52" t="s">
        <v>280</v>
      </c>
      <c r="G73" s="52">
        <v>1871430</v>
      </c>
      <c r="H73" s="52">
        <v>2000000</v>
      </c>
      <c r="I73" s="52">
        <f t="shared" si="23"/>
        <v>2100339</v>
      </c>
      <c r="J73" s="86">
        <f t="shared" si="24"/>
        <v>2215593</v>
      </c>
      <c r="K73" s="53">
        <v>425000</v>
      </c>
      <c r="L73" s="86">
        <f t="shared" si="22"/>
        <v>2376949</v>
      </c>
      <c r="M73" s="139">
        <f t="shared" si="18"/>
        <v>466092</v>
      </c>
      <c r="N73" s="86">
        <f t="shared" si="19"/>
        <v>2485300</v>
      </c>
      <c r="O73" s="139">
        <f t="shared" si="20"/>
        <v>484000</v>
      </c>
      <c r="P73" s="52">
        <f t="shared" si="21"/>
        <v>2969300</v>
      </c>
      <c r="R73" s="73" t="s">
        <v>520</v>
      </c>
      <c r="S73" s="73">
        <v>43839</v>
      </c>
      <c r="T73" s="51" t="s">
        <v>173</v>
      </c>
      <c r="U73" s="51" t="s">
        <v>257</v>
      </c>
      <c r="V73" s="51" t="s">
        <v>281</v>
      </c>
      <c r="X73" s="40"/>
      <c r="Y73" s="40"/>
      <c r="Z73" s="40" t="s">
        <v>966</v>
      </c>
      <c r="AA73" s="51" t="s">
        <v>975</v>
      </c>
    </row>
    <row r="74" spans="1:27" s="51" customFormat="1" x14ac:dyDescent="0.25">
      <c r="A74" s="51" t="s">
        <v>104</v>
      </c>
      <c r="B74" s="73" t="s">
        <v>576</v>
      </c>
      <c r="C74" s="51" t="s">
        <v>105</v>
      </c>
      <c r="D74" s="51" t="s">
        <v>106</v>
      </c>
      <c r="E74" s="51" t="s">
        <v>434</v>
      </c>
      <c r="F74" s="52"/>
      <c r="G74" s="52">
        <v>2205000</v>
      </c>
      <c r="H74" s="52">
        <f>ROUND(G74/137.2*147.5,0)</f>
        <v>2370536</v>
      </c>
      <c r="I74" s="52">
        <v>3388000</v>
      </c>
      <c r="J74" s="86">
        <f>ROUND(I74/159.8*163.4,0)</f>
        <v>3464325</v>
      </c>
      <c r="K74" s="52"/>
      <c r="L74" s="86">
        <f t="shared" si="22"/>
        <v>3716623</v>
      </c>
      <c r="M74" s="139">
        <f t="shared" si="18"/>
        <v>0</v>
      </c>
      <c r="N74" s="86">
        <f t="shared" si="19"/>
        <v>3886000</v>
      </c>
      <c r="O74" s="139">
        <f t="shared" si="20"/>
        <v>0</v>
      </c>
      <c r="P74" s="52">
        <f t="shared" si="21"/>
        <v>3886000</v>
      </c>
      <c r="R74" s="73" t="s">
        <v>521</v>
      </c>
      <c r="S74" s="73">
        <v>43839</v>
      </c>
      <c r="T74" s="51" t="s">
        <v>171</v>
      </c>
      <c r="X74" s="40"/>
      <c r="Y74" s="40"/>
      <c r="Z74" s="40" t="s">
        <v>966</v>
      </c>
      <c r="AA74" s="51" t="s">
        <v>975</v>
      </c>
    </row>
    <row r="75" spans="1:27" s="51" customFormat="1" ht="26.4" x14ac:dyDescent="0.25">
      <c r="A75" s="51" t="s">
        <v>107</v>
      </c>
      <c r="B75" s="40" t="s">
        <v>487</v>
      </c>
      <c r="C75" s="51" t="s">
        <v>108</v>
      </c>
      <c r="D75" s="51" t="s">
        <v>109</v>
      </c>
      <c r="E75" s="51" t="s">
        <v>894</v>
      </c>
      <c r="F75" s="51" t="s">
        <v>432</v>
      </c>
      <c r="G75" s="52">
        <v>1680813</v>
      </c>
      <c r="H75" s="52">
        <f>ROUND(G75/137.2*147.5,0)</f>
        <v>1806996</v>
      </c>
      <c r="I75" s="52">
        <f>ROUND(H75/147.5*154.9,0)</f>
        <v>1897652</v>
      </c>
      <c r="J75" s="86">
        <f>ROUND(I75/154.9*163.4,0)</f>
        <v>2001784</v>
      </c>
      <c r="K75" s="53">
        <v>441650</v>
      </c>
      <c r="L75" s="133">
        <v>3400100</v>
      </c>
      <c r="M75" s="86">
        <f>K75</f>
        <v>441650</v>
      </c>
      <c r="N75" s="86">
        <f t="shared" si="19"/>
        <v>3555000</v>
      </c>
      <c r="O75" s="139">
        <f t="shared" si="20"/>
        <v>458600</v>
      </c>
      <c r="P75" s="52">
        <f t="shared" si="21"/>
        <v>4013600</v>
      </c>
      <c r="R75" s="73" t="s">
        <v>522</v>
      </c>
      <c r="S75" s="73">
        <v>43839</v>
      </c>
      <c r="T75" s="51" t="s">
        <v>173</v>
      </c>
      <c r="U75" s="55" t="s">
        <v>896</v>
      </c>
      <c r="V75" s="73"/>
      <c r="X75" s="40"/>
      <c r="Y75" s="40"/>
      <c r="Z75" s="40" t="s">
        <v>966</v>
      </c>
      <c r="AA75" s="51" t="s">
        <v>975</v>
      </c>
    </row>
    <row r="76" spans="1:27" s="51" customFormat="1" x14ac:dyDescent="0.25">
      <c r="A76" s="51" t="s">
        <v>110</v>
      </c>
      <c r="B76" s="51" t="s">
        <v>889</v>
      </c>
      <c r="C76" s="51" t="s">
        <v>287</v>
      </c>
      <c r="D76" s="51" t="s">
        <v>62</v>
      </c>
      <c r="E76" s="85" t="s">
        <v>258</v>
      </c>
      <c r="F76" s="52" t="s">
        <v>282</v>
      </c>
      <c r="G76" s="52">
        <v>2267531</v>
      </c>
      <c r="H76" s="52">
        <v>2500000</v>
      </c>
      <c r="I76" s="52">
        <f>ROUND(H76/147.5*154.9,0)</f>
        <v>2625424</v>
      </c>
      <c r="J76" s="86">
        <f>ROUND(I76/154.9*163.4,0)</f>
        <v>2769492</v>
      </c>
      <c r="K76" s="53">
        <v>540000</v>
      </c>
      <c r="L76" s="86">
        <f t="shared" si="22"/>
        <v>2971187</v>
      </c>
      <c r="M76" s="139">
        <f t="shared" si="18"/>
        <v>592211</v>
      </c>
      <c r="N76" s="86">
        <f t="shared" si="19"/>
        <v>3106600</v>
      </c>
      <c r="O76" s="139">
        <f t="shared" si="20"/>
        <v>614900</v>
      </c>
      <c r="P76" s="52">
        <f t="shared" si="21"/>
        <v>3721500</v>
      </c>
      <c r="R76" s="73" t="s">
        <v>523</v>
      </c>
      <c r="S76" s="73">
        <v>43839</v>
      </c>
      <c r="T76" s="51" t="s">
        <v>173</v>
      </c>
      <c r="U76" s="51" t="s">
        <v>259</v>
      </c>
      <c r="V76" s="51" t="s">
        <v>283</v>
      </c>
      <c r="W76" s="170" t="s">
        <v>969</v>
      </c>
      <c r="X76" s="40"/>
      <c r="Y76" s="40"/>
      <c r="Z76" s="40" t="s">
        <v>966</v>
      </c>
      <c r="AA76" s="51" t="s">
        <v>975</v>
      </c>
    </row>
    <row r="77" spans="1:27" s="51" customFormat="1" ht="12.75" customHeight="1" x14ac:dyDescent="0.25">
      <c r="A77" s="51" t="s">
        <v>111</v>
      </c>
      <c r="B77" s="40" t="s">
        <v>190</v>
      </c>
      <c r="C77" s="51" t="s">
        <v>112</v>
      </c>
      <c r="D77" s="51" t="s">
        <v>59</v>
      </c>
      <c r="E77" s="85" t="s">
        <v>260</v>
      </c>
      <c r="F77" s="51" t="s">
        <v>433</v>
      </c>
      <c r="G77" s="52">
        <v>2267531</v>
      </c>
      <c r="H77" s="52">
        <v>2500000</v>
      </c>
      <c r="I77" s="52">
        <f t="shared" si="23"/>
        <v>2625424</v>
      </c>
      <c r="J77" s="86">
        <f>ROUND(I77/154.9*163.4,0)</f>
        <v>2769492</v>
      </c>
      <c r="K77" s="53">
        <v>629200</v>
      </c>
      <c r="L77" s="86">
        <f t="shared" si="22"/>
        <v>2971187</v>
      </c>
      <c r="M77" s="139">
        <f t="shared" si="18"/>
        <v>690036</v>
      </c>
      <c r="N77" s="86">
        <f t="shared" si="19"/>
        <v>3106600</v>
      </c>
      <c r="O77" s="139">
        <f t="shared" si="20"/>
        <v>716500</v>
      </c>
      <c r="P77" s="52">
        <f t="shared" si="21"/>
        <v>3823100</v>
      </c>
      <c r="R77" s="73" t="s">
        <v>524</v>
      </c>
      <c r="S77" s="73">
        <v>43839</v>
      </c>
      <c r="T77" s="51" t="s">
        <v>173</v>
      </c>
      <c r="U77" s="51" t="s">
        <v>261</v>
      </c>
      <c r="V77" s="73"/>
      <c r="X77" s="40"/>
      <c r="Y77" s="40"/>
      <c r="Z77" s="40" t="s">
        <v>966</v>
      </c>
      <c r="AA77" s="51" t="s">
        <v>975</v>
      </c>
    </row>
    <row r="78" spans="1:27" s="51" customFormat="1" ht="12.75" customHeight="1" x14ac:dyDescent="0.25">
      <c r="A78" s="51" t="s">
        <v>113</v>
      </c>
      <c r="B78" s="51" t="s">
        <v>451</v>
      </c>
      <c r="C78" s="51" t="s">
        <v>895</v>
      </c>
      <c r="D78" s="51" t="s">
        <v>175</v>
      </c>
      <c r="E78" s="85"/>
      <c r="F78" s="18" t="s">
        <v>894</v>
      </c>
      <c r="G78" s="52">
        <v>0</v>
      </c>
      <c r="H78" s="52">
        <f>ROUND(G78/137.2*147.5,0)</f>
        <v>0</v>
      </c>
      <c r="I78" s="52">
        <f>ROUND(H78/147.5*154.9,0)</f>
        <v>0</v>
      </c>
      <c r="J78" s="86"/>
      <c r="K78" s="130">
        <v>798600</v>
      </c>
      <c r="L78" s="86"/>
      <c r="M78" s="133">
        <v>532400</v>
      </c>
      <c r="N78" s="86">
        <f t="shared" si="19"/>
        <v>0</v>
      </c>
      <c r="O78" s="139">
        <f t="shared" si="20"/>
        <v>552800</v>
      </c>
      <c r="P78" s="52">
        <f t="shared" si="21"/>
        <v>552800</v>
      </c>
      <c r="R78" s="73" t="s">
        <v>525</v>
      </c>
      <c r="S78" s="73">
        <v>43839</v>
      </c>
      <c r="T78" s="40" t="s">
        <v>170</v>
      </c>
      <c r="U78" s="55" t="s">
        <v>896</v>
      </c>
      <c r="X78" s="40"/>
      <c r="Y78" s="40"/>
      <c r="Z78" s="40" t="s">
        <v>966</v>
      </c>
      <c r="AA78" s="51" t="s">
        <v>975</v>
      </c>
    </row>
    <row r="79" spans="1:27" s="51" customFormat="1" x14ac:dyDescent="0.25">
      <c r="A79" s="131" t="s">
        <v>114</v>
      </c>
      <c r="B79" s="40" t="s">
        <v>115</v>
      </c>
      <c r="C79" s="51" t="s">
        <v>116</v>
      </c>
      <c r="D79" s="51" t="s">
        <v>117</v>
      </c>
      <c r="E79" s="85"/>
      <c r="F79" s="51" t="s">
        <v>424</v>
      </c>
      <c r="G79" s="52">
        <v>0</v>
      </c>
      <c r="H79" s="52">
        <f>ROUND(G79/137.2*147.5,0)</f>
        <v>0</v>
      </c>
      <c r="I79" s="52">
        <f t="shared" si="23"/>
        <v>0</v>
      </c>
      <c r="J79" s="86"/>
      <c r="K79" s="53">
        <v>544500</v>
      </c>
      <c r="L79" s="86"/>
      <c r="M79" s="139">
        <f t="shared" si="18"/>
        <v>597146</v>
      </c>
      <c r="N79" s="86">
        <f t="shared" si="19"/>
        <v>0</v>
      </c>
      <c r="O79" s="139">
        <f t="shared" si="20"/>
        <v>620100</v>
      </c>
      <c r="P79" s="52">
        <f t="shared" si="21"/>
        <v>620100</v>
      </c>
      <c r="R79" s="73" t="s">
        <v>526</v>
      </c>
      <c r="S79" s="73">
        <v>43839</v>
      </c>
      <c r="T79" s="51" t="s">
        <v>173</v>
      </c>
      <c r="X79" s="40"/>
      <c r="Y79" s="40"/>
      <c r="Z79" s="40" t="s">
        <v>966</v>
      </c>
      <c r="AA79" s="51" t="s">
        <v>975</v>
      </c>
    </row>
    <row r="80" spans="1:27" s="51" customFormat="1" x14ac:dyDescent="0.25">
      <c r="A80" s="131" t="s">
        <v>118</v>
      </c>
      <c r="B80" s="40" t="s">
        <v>119</v>
      </c>
      <c r="C80" s="51" t="s">
        <v>120</v>
      </c>
      <c r="D80" s="51" t="s">
        <v>117</v>
      </c>
      <c r="E80" s="85"/>
      <c r="F80" s="51" t="s">
        <v>424</v>
      </c>
      <c r="G80" s="52">
        <v>0</v>
      </c>
      <c r="H80" s="52">
        <f>ROUND(G80/137.2*147.5,0)</f>
        <v>0</v>
      </c>
      <c r="I80" s="52">
        <f t="shared" si="23"/>
        <v>0</v>
      </c>
      <c r="J80" s="86"/>
      <c r="K80" s="53">
        <v>840950</v>
      </c>
      <c r="L80" s="86"/>
      <c r="M80" s="139">
        <f t="shared" si="18"/>
        <v>922259</v>
      </c>
      <c r="N80" s="86">
        <f t="shared" si="19"/>
        <v>0</v>
      </c>
      <c r="O80" s="139">
        <f t="shared" si="20"/>
        <v>957600</v>
      </c>
      <c r="P80" s="52">
        <f t="shared" si="21"/>
        <v>957600</v>
      </c>
      <c r="R80" s="73" t="s">
        <v>526</v>
      </c>
      <c r="S80" s="73">
        <v>43839</v>
      </c>
      <c r="T80" s="51" t="s">
        <v>173</v>
      </c>
      <c r="X80" s="40"/>
      <c r="Y80" s="40"/>
      <c r="Z80" s="40" t="s">
        <v>966</v>
      </c>
      <c r="AA80" s="51" t="s">
        <v>975</v>
      </c>
    </row>
    <row r="81" spans="1:27" s="51" customFormat="1" x14ac:dyDescent="0.25">
      <c r="A81" s="131" t="s">
        <v>121</v>
      </c>
      <c r="B81" s="81" t="s">
        <v>577</v>
      </c>
      <c r="C81" s="51" t="s">
        <v>122</v>
      </c>
      <c r="D81" s="51" t="s">
        <v>123</v>
      </c>
      <c r="E81" s="51" t="s">
        <v>424</v>
      </c>
      <c r="G81" s="52">
        <v>3361627</v>
      </c>
      <c r="H81" s="52">
        <f>ROUND(G81/137.2*147.5,0)</f>
        <v>3613994</v>
      </c>
      <c r="I81" s="52">
        <v>5929000</v>
      </c>
      <c r="J81" s="86">
        <f>ROUND(I81/159.8*163.4,0)</f>
        <v>6062569</v>
      </c>
      <c r="K81" s="52"/>
      <c r="L81" s="86">
        <f t="shared" si="22"/>
        <v>6504090</v>
      </c>
      <c r="M81" s="139">
        <f t="shared" si="18"/>
        <v>0</v>
      </c>
      <c r="N81" s="86">
        <f t="shared" si="19"/>
        <v>6800400</v>
      </c>
      <c r="O81" s="139">
        <f t="shared" si="20"/>
        <v>0</v>
      </c>
      <c r="P81" s="52">
        <f t="shared" si="21"/>
        <v>6800400</v>
      </c>
      <c r="R81" s="73" t="s">
        <v>527</v>
      </c>
      <c r="S81" s="73">
        <v>43839</v>
      </c>
      <c r="T81" s="51" t="s">
        <v>171</v>
      </c>
      <c r="X81" s="40"/>
      <c r="Y81" s="40"/>
      <c r="Z81" s="40" t="s">
        <v>966</v>
      </c>
      <c r="AA81" s="51" t="s">
        <v>975</v>
      </c>
    </row>
    <row r="82" spans="1:27" s="51" customFormat="1" x14ac:dyDescent="0.25">
      <c r="A82" s="131"/>
      <c r="B82" s="81" t="s">
        <v>578</v>
      </c>
      <c r="C82" s="51" t="s">
        <v>122</v>
      </c>
      <c r="D82" s="51" t="s">
        <v>123</v>
      </c>
      <c r="E82" s="85"/>
      <c r="F82" s="51" t="s">
        <v>424</v>
      </c>
      <c r="G82" s="52">
        <v>0</v>
      </c>
      <c r="H82" s="52">
        <f>ROUND(G82/137.2*147.5,0)</f>
        <v>0</v>
      </c>
      <c r="I82" s="52">
        <f t="shared" si="23"/>
        <v>0</v>
      </c>
      <c r="J82" s="86"/>
      <c r="K82" s="52">
        <v>883300</v>
      </c>
      <c r="L82" s="86"/>
      <c r="M82" s="139">
        <f t="shared" si="18"/>
        <v>968704</v>
      </c>
      <c r="N82" s="86">
        <f t="shared" si="19"/>
        <v>0</v>
      </c>
      <c r="O82" s="139">
        <f t="shared" si="20"/>
        <v>1005900</v>
      </c>
      <c r="P82" s="52">
        <f t="shared" si="21"/>
        <v>1005900</v>
      </c>
      <c r="R82" s="73" t="s">
        <v>527</v>
      </c>
      <c r="S82" s="73">
        <v>43839</v>
      </c>
      <c r="T82" s="51" t="s">
        <v>171</v>
      </c>
      <c r="X82" s="40"/>
      <c r="Y82" s="40"/>
      <c r="Z82" s="40" t="s">
        <v>966</v>
      </c>
      <c r="AA82" s="51" t="s">
        <v>975</v>
      </c>
    </row>
    <row r="83" spans="1:27" s="51" customFormat="1" x14ac:dyDescent="0.25">
      <c r="A83" s="131" t="s">
        <v>124</v>
      </c>
      <c r="B83" s="40" t="s">
        <v>488</v>
      </c>
      <c r="C83" s="51" t="s">
        <v>125</v>
      </c>
      <c r="D83" s="51" t="s">
        <v>126</v>
      </c>
      <c r="E83" s="85" t="s">
        <v>262</v>
      </c>
      <c r="F83" s="52" t="s">
        <v>198</v>
      </c>
      <c r="G83" s="52">
        <v>3386945</v>
      </c>
      <c r="H83" s="52">
        <v>3400000</v>
      </c>
      <c r="I83" s="52">
        <f>ROUND(H83/147.5*154.9,0)</f>
        <v>3570576</v>
      </c>
      <c r="J83" s="86">
        <f>ROUND(I83/154.9*163.4,0)</f>
        <v>3766508</v>
      </c>
      <c r="K83" s="128"/>
      <c r="L83" s="86">
        <f t="shared" si="22"/>
        <v>4040813</v>
      </c>
      <c r="M83" s="139"/>
      <c r="N83" s="86">
        <f t="shared" si="19"/>
        <v>4224900</v>
      </c>
      <c r="O83" s="139">
        <f t="shared" si="20"/>
        <v>0</v>
      </c>
      <c r="P83" s="52">
        <f t="shared" si="21"/>
        <v>4224900</v>
      </c>
      <c r="R83" s="73" t="s">
        <v>528</v>
      </c>
      <c r="S83" s="73">
        <v>43839</v>
      </c>
      <c r="T83" s="51" t="s">
        <v>173</v>
      </c>
      <c r="U83" s="51" t="s">
        <v>263</v>
      </c>
      <c r="W83" s="129"/>
      <c r="X83" s="40"/>
      <c r="Y83" s="40"/>
      <c r="Z83" s="40" t="s">
        <v>966</v>
      </c>
      <c r="AA83" s="51" t="s">
        <v>975</v>
      </c>
    </row>
    <row r="84" spans="1:27" s="73" customFormat="1" x14ac:dyDescent="0.25">
      <c r="A84" s="131" t="s">
        <v>127</v>
      </c>
      <c r="B84" s="40" t="s">
        <v>452</v>
      </c>
      <c r="C84" s="51" t="s">
        <v>128</v>
      </c>
      <c r="D84" s="51" t="s">
        <v>126</v>
      </c>
      <c r="E84" s="51" t="s">
        <v>424</v>
      </c>
      <c r="F84" s="51" t="s">
        <v>424</v>
      </c>
      <c r="G84" s="52">
        <v>4643605</v>
      </c>
      <c r="H84" s="52">
        <f>ROUND(G84/137.2*147.5,0)</f>
        <v>4992214</v>
      </c>
      <c r="I84" s="52">
        <v>6957500</v>
      </c>
      <c r="J84" s="86">
        <f>ROUND(I84/159.8*163.4,0)</f>
        <v>7114240</v>
      </c>
      <c r="K84" s="118">
        <v>1010350</v>
      </c>
      <c r="L84" s="86">
        <f t="shared" si="22"/>
        <v>7632352</v>
      </c>
      <c r="M84" s="139">
        <f t="shared" si="18"/>
        <v>1108038</v>
      </c>
      <c r="N84" s="86">
        <f t="shared" si="19"/>
        <v>7980100</v>
      </c>
      <c r="O84" s="139">
        <f t="shared" si="20"/>
        <v>1150600</v>
      </c>
      <c r="P84" s="52">
        <f t="shared" si="21"/>
        <v>9130700</v>
      </c>
      <c r="R84" s="73" t="s">
        <v>529</v>
      </c>
      <c r="S84" s="73">
        <v>43839</v>
      </c>
      <c r="T84" s="73" t="s">
        <v>173</v>
      </c>
      <c r="U84" s="51"/>
      <c r="X84" s="81"/>
      <c r="Y84" s="81"/>
      <c r="Z84" s="81" t="s">
        <v>966</v>
      </c>
      <c r="AA84" s="73" t="s">
        <v>975</v>
      </c>
    </row>
    <row r="85" spans="1:27" s="73" customFormat="1" x14ac:dyDescent="0.25">
      <c r="A85" s="131" t="s">
        <v>129</v>
      </c>
      <c r="B85" s="40" t="s">
        <v>453</v>
      </c>
      <c r="C85" s="51" t="s">
        <v>130</v>
      </c>
      <c r="D85" s="51" t="s">
        <v>131</v>
      </c>
      <c r="E85" s="51" t="s">
        <v>425</v>
      </c>
      <c r="F85" s="51" t="s">
        <v>425</v>
      </c>
      <c r="G85" s="52">
        <v>4421396</v>
      </c>
      <c r="H85" s="52">
        <f>ROUND(G85/137.2*147.5,0)</f>
        <v>4753323</v>
      </c>
      <c r="I85" s="52">
        <v>6715500</v>
      </c>
      <c r="J85" s="86">
        <f>ROUND(I85/159.8*163.4,0)</f>
        <v>6866788</v>
      </c>
      <c r="K85" s="118">
        <v>822800</v>
      </c>
      <c r="L85" s="86">
        <f t="shared" si="22"/>
        <v>7366878</v>
      </c>
      <c r="M85" s="139">
        <f t="shared" si="18"/>
        <v>902355</v>
      </c>
      <c r="N85" s="86">
        <f t="shared" si="19"/>
        <v>7702500</v>
      </c>
      <c r="O85" s="139">
        <f t="shared" si="20"/>
        <v>937000</v>
      </c>
      <c r="P85" s="52">
        <f t="shared" si="21"/>
        <v>8639500</v>
      </c>
      <c r="R85" s="73" t="s">
        <v>530</v>
      </c>
      <c r="S85" s="73">
        <v>43839</v>
      </c>
      <c r="T85" s="73" t="s">
        <v>173</v>
      </c>
      <c r="U85" s="51"/>
      <c r="X85" s="81"/>
      <c r="Y85" s="81"/>
      <c r="Z85" s="81" t="s">
        <v>966</v>
      </c>
      <c r="AA85" s="73" t="s">
        <v>975</v>
      </c>
    </row>
    <row r="86" spans="1:27" s="73" customFormat="1" x14ac:dyDescent="0.25">
      <c r="A86" s="131" t="s">
        <v>179</v>
      </c>
      <c r="B86" s="40" t="s">
        <v>579</v>
      </c>
      <c r="C86" s="51" t="s">
        <v>132</v>
      </c>
      <c r="D86" s="51" t="s">
        <v>133</v>
      </c>
      <c r="E86" s="51" t="s">
        <v>424</v>
      </c>
      <c r="G86" s="52">
        <v>5549535</v>
      </c>
      <c r="H86" s="52">
        <f>ROUND(G86/137.2*147.5,0)</f>
        <v>5966155</v>
      </c>
      <c r="I86" s="52">
        <v>7320500</v>
      </c>
      <c r="J86" s="86">
        <f>ROUND(I86/159.8*163.4,0)</f>
        <v>7485417</v>
      </c>
      <c r="K86" s="120"/>
      <c r="L86" s="86">
        <f t="shared" si="22"/>
        <v>8030561</v>
      </c>
      <c r="M86" s="139"/>
      <c r="N86" s="86">
        <f t="shared" si="19"/>
        <v>8396500</v>
      </c>
      <c r="O86" s="139">
        <f t="shared" si="20"/>
        <v>0</v>
      </c>
      <c r="P86" s="52">
        <f t="shared" si="21"/>
        <v>8396500</v>
      </c>
      <c r="R86" s="73" t="s">
        <v>531</v>
      </c>
      <c r="S86" s="73">
        <v>43839</v>
      </c>
      <c r="T86" s="73" t="s">
        <v>173</v>
      </c>
      <c r="U86" s="51"/>
      <c r="X86" s="81"/>
      <c r="Y86" s="81"/>
      <c r="Z86" s="81" t="s">
        <v>966</v>
      </c>
      <c r="AA86" s="73" t="s">
        <v>975</v>
      </c>
    </row>
    <row r="87" spans="1:27" s="73" customFormat="1" x14ac:dyDescent="0.25">
      <c r="A87" s="131"/>
      <c r="B87" s="40" t="s">
        <v>580</v>
      </c>
      <c r="C87" s="51" t="s">
        <v>132</v>
      </c>
      <c r="D87" s="51" t="s">
        <v>133</v>
      </c>
      <c r="E87" s="85"/>
      <c r="F87" s="51" t="s">
        <v>424</v>
      </c>
      <c r="G87" s="52">
        <v>0</v>
      </c>
      <c r="H87" s="52">
        <f>ROUND(G87/137.2*147.5,0)</f>
        <v>0</v>
      </c>
      <c r="I87" s="52">
        <f>ROUND(H87/147.5*154.9,0)</f>
        <v>0</v>
      </c>
      <c r="J87" s="86"/>
      <c r="K87" s="118">
        <v>901450</v>
      </c>
      <c r="L87" s="86"/>
      <c r="M87" s="139">
        <f t="shared" si="18"/>
        <v>988609</v>
      </c>
      <c r="N87" s="86">
        <f t="shared" si="19"/>
        <v>0</v>
      </c>
      <c r="O87" s="139">
        <f t="shared" si="20"/>
        <v>1026500</v>
      </c>
      <c r="P87" s="52">
        <f t="shared" si="21"/>
        <v>1026500</v>
      </c>
      <c r="R87" s="73" t="s">
        <v>531</v>
      </c>
      <c r="S87" s="73">
        <v>43839</v>
      </c>
      <c r="T87" s="73" t="s">
        <v>173</v>
      </c>
      <c r="U87" s="51"/>
      <c r="X87" s="81"/>
      <c r="Y87" s="81"/>
      <c r="Z87" s="81" t="s">
        <v>966</v>
      </c>
      <c r="AA87" s="73" t="s">
        <v>975</v>
      </c>
    </row>
    <row r="88" spans="1:27" s="78" customFormat="1" x14ac:dyDescent="0.25">
      <c r="B88" s="51" t="s">
        <v>882</v>
      </c>
      <c r="C88" s="51" t="s">
        <v>883</v>
      </c>
      <c r="D88" s="51" t="s">
        <v>884</v>
      </c>
      <c r="E88" s="51" t="s">
        <v>894</v>
      </c>
      <c r="F88" s="18" t="s">
        <v>894</v>
      </c>
      <c r="G88" s="120"/>
      <c r="H88" s="120"/>
      <c r="I88" s="120"/>
      <c r="J88" s="120">
        <v>3840000</v>
      </c>
      <c r="K88" s="120">
        <v>200000</v>
      </c>
      <c r="L88" s="133">
        <v>5590200</v>
      </c>
      <c r="M88" s="133">
        <v>544500</v>
      </c>
      <c r="N88" s="86">
        <f t="shared" si="19"/>
        <v>5844900</v>
      </c>
      <c r="O88" s="139">
        <f t="shared" si="20"/>
        <v>565400</v>
      </c>
      <c r="P88" s="52">
        <f t="shared" si="21"/>
        <v>6410300</v>
      </c>
      <c r="U88" s="55" t="s">
        <v>896</v>
      </c>
      <c r="X88" s="173"/>
      <c r="Y88" s="173"/>
      <c r="Z88" s="81" t="s">
        <v>966</v>
      </c>
      <c r="AA88" s="73" t="s">
        <v>975</v>
      </c>
    </row>
    <row r="89" spans="1:27" s="73" customFormat="1" x14ac:dyDescent="0.25">
      <c r="A89" s="134"/>
      <c r="B89" s="134"/>
      <c r="C89" s="135" t="s">
        <v>19</v>
      </c>
      <c r="D89" s="135"/>
      <c r="E89" s="136"/>
      <c r="F89" s="137"/>
      <c r="G89" s="137">
        <v>66075690</v>
      </c>
      <c r="H89" s="137">
        <f>SUM(H60:H87)</f>
        <v>71470490</v>
      </c>
      <c r="I89" s="137">
        <f>SUM(I60:I87)</f>
        <v>88551076</v>
      </c>
      <c r="J89" s="137">
        <f>SUM(J60:J87)</f>
        <v>93593325</v>
      </c>
      <c r="K89" s="137">
        <f t="shared" ref="K89:P89" si="25">SUM(K60:K88)</f>
        <v>16259700</v>
      </c>
      <c r="L89" s="137">
        <f t="shared" si="25"/>
        <v>110352181</v>
      </c>
      <c r="M89" s="137">
        <f t="shared" si="25"/>
        <v>17567239</v>
      </c>
      <c r="N89" s="137">
        <f t="shared" si="25"/>
        <v>115033260</v>
      </c>
      <c r="O89" s="137">
        <f t="shared" si="25"/>
        <v>18221550</v>
      </c>
      <c r="P89" s="137">
        <f t="shared" si="25"/>
        <v>133254810</v>
      </c>
      <c r="X89" s="81"/>
      <c r="Y89" s="81"/>
      <c r="Z89" s="81"/>
    </row>
    <row r="90" spans="1:27" s="38" customFormat="1" x14ac:dyDescent="0.25">
      <c r="A90" s="18"/>
      <c r="B90" s="18" t="s">
        <v>134</v>
      </c>
      <c r="C90" s="17"/>
      <c r="D90" s="17"/>
      <c r="E90" s="46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X90" s="87"/>
      <c r="Y90" s="87"/>
      <c r="Z90" s="87"/>
    </row>
    <row r="91" spans="1:27" s="38" customFormat="1" x14ac:dyDescent="0.25">
      <c r="A91" s="18"/>
      <c r="B91" s="18" t="s">
        <v>135</v>
      </c>
      <c r="C91" s="17"/>
      <c r="D91" s="17"/>
      <c r="E91" s="46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X91" s="87"/>
      <c r="Y91" s="87"/>
      <c r="Z91" s="87"/>
    </row>
    <row r="92" spans="1:27" s="38" customFormat="1" x14ac:dyDescent="0.25">
      <c r="A92" s="18"/>
      <c r="C92" s="17"/>
      <c r="D92" s="17"/>
      <c r="E92" s="46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X92" s="87"/>
      <c r="Y92" s="87"/>
      <c r="Z92" s="87"/>
    </row>
    <row r="93" spans="1:27" s="38" customFormat="1" ht="13.8" x14ac:dyDescent="0.25">
      <c r="A93" s="10" t="s">
        <v>136</v>
      </c>
      <c r="B93" s="18"/>
      <c r="C93" s="17"/>
      <c r="D93" s="17"/>
      <c r="E93" s="46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X93" s="87"/>
      <c r="Y93" s="87"/>
      <c r="Z93" s="87"/>
    </row>
    <row r="94" spans="1:27" s="38" customFormat="1" ht="26.4" x14ac:dyDescent="0.25">
      <c r="A94" s="18" t="s">
        <v>137</v>
      </c>
      <c r="B94" s="39" t="s">
        <v>138</v>
      </c>
      <c r="C94" s="39" t="s">
        <v>196</v>
      </c>
      <c r="D94" s="18" t="s">
        <v>139</v>
      </c>
      <c r="E94" s="18" t="s">
        <v>588</v>
      </c>
      <c r="F94" s="119" t="s">
        <v>588</v>
      </c>
      <c r="G94" s="21">
        <v>20355451</v>
      </c>
      <c r="H94" s="21">
        <f>ROUND(G94/137.2*147.5,0)</f>
        <v>21883593</v>
      </c>
      <c r="I94" s="21">
        <f>ROUND(H94/147.5*154.9,0)</f>
        <v>22981482</v>
      </c>
      <c r="J94" s="112">
        <v>32833350</v>
      </c>
      <c r="K94" s="114">
        <v>5814050</v>
      </c>
      <c r="L94" s="82">
        <f>ROUND(J94/174*175.3,0)</f>
        <v>33078657</v>
      </c>
      <c r="M94" s="158">
        <f>ROUND(K94/122.3*122.5,0)</f>
        <v>5823558</v>
      </c>
      <c r="N94" s="86">
        <f t="shared" ref="N94:N101" si="26">ROUND(L94/125.1*130.8,-2)</f>
        <v>34585800</v>
      </c>
      <c r="O94" s="139">
        <f t="shared" ref="O94:O101" si="27">ROUND(M94/122.5*127.2,-2)</f>
        <v>6047000</v>
      </c>
      <c r="P94" s="52">
        <f t="shared" ref="P94:P101" si="28">N94+O94</f>
        <v>40632800</v>
      </c>
      <c r="R94" s="38" t="s">
        <v>532</v>
      </c>
      <c r="S94" s="38">
        <v>43839</v>
      </c>
      <c r="T94" s="38" t="s">
        <v>173</v>
      </c>
      <c r="U94" s="37" t="s">
        <v>191</v>
      </c>
      <c r="X94" s="87"/>
      <c r="Y94" s="87"/>
      <c r="Z94" s="87" t="s">
        <v>966</v>
      </c>
      <c r="AA94" s="38" t="s">
        <v>975</v>
      </c>
    </row>
    <row r="95" spans="1:27" s="51" customFormat="1" ht="26.4" x14ac:dyDescent="0.25">
      <c r="A95" s="51" t="s">
        <v>140</v>
      </c>
      <c r="B95" s="40" t="s">
        <v>454</v>
      </c>
      <c r="C95" s="51" t="s">
        <v>141</v>
      </c>
      <c r="D95" s="51" t="s">
        <v>9</v>
      </c>
      <c r="E95" s="51" t="s">
        <v>425</v>
      </c>
      <c r="F95" s="51" t="s">
        <v>425</v>
      </c>
      <c r="G95" s="52">
        <v>18004651</v>
      </c>
      <c r="H95" s="52">
        <f>ROUND(G95/137.2*147.5,0)</f>
        <v>19356312</v>
      </c>
      <c r="I95" s="52">
        <v>23171500</v>
      </c>
      <c r="J95" s="86">
        <f>ROUND(I95/159.8*163.4,0)</f>
        <v>23693511</v>
      </c>
      <c r="K95" s="52">
        <v>5789850</v>
      </c>
      <c r="L95" s="86">
        <f>ROUND(J95/163.4*175.3,0)</f>
        <v>25419048</v>
      </c>
      <c r="M95" s="139">
        <f>ROUND(K95/111.7*122.5,0)</f>
        <v>6349656</v>
      </c>
      <c r="N95" s="86">
        <f t="shared" si="26"/>
        <v>26577200</v>
      </c>
      <c r="O95" s="139">
        <f t="shared" si="27"/>
        <v>6593300</v>
      </c>
      <c r="P95" s="52">
        <f t="shared" si="28"/>
        <v>33170500</v>
      </c>
      <c r="R95" s="73" t="s">
        <v>533</v>
      </c>
      <c r="S95" s="73">
        <v>43839</v>
      </c>
      <c r="T95" s="51" t="s">
        <v>171</v>
      </c>
      <c r="X95" s="40"/>
      <c r="Y95" s="40"/>
      <c r="Z95" s="40" t="s">
        <v>966</v>
      </c>
      <c r="AA95" s="51" t="s">
        <v>975</v>
      </c>
    </row>
    <row r="96" spans="1:27" s="78" customFormat="1" x14ac:dyDescent="0.25">
      <c r="B96" s="81" t="s">
        <v>582</v>
      </c>
      <c r="C96" s="73" t="s">
        <v>141</v>
      </c>
      <c r="D96" s="73" t="s">
        <v>9</v>
      </c>
      <c r="E96" s="73" t="s">
        <v>425</v>
      </c>
      <c r="F96" s="120"/>
      <c r="G96" s="121"/>
      <c r="H96" s="121"/>
      <c r="I96" s="121"/>
      <c r="J96" s="121">
        <v>598950</v>
      </c>
      <c r="K96" s="121"/>
      <c r="L96" s="86">
        <f>ROUND(J96/163.4*175.3,0)</f>
        <v>642570</v>
      </c>
      <c r="M96" s="139">
        <f>ROUND(K96/111.7*122.5,0)</f>
        <v>0</v>
      </c>
      <c r="N96" s="86">
        <f t="shared" si="26"/>
        <v>671800</v>
      </c>
      <c r="O96" s="139">
        <f t="shared" si="27"/>
        <v>0</v>
      </c>
      <c r="P96" s="52">
        <f t="shared" si="28"/>
        <v>671800</v>
      </c>
      <c r="U96" s="78" t="s">
        <v>583</v>
      </c>
      <c r="X96" s="173"/>
      <c r="Y96" s="173"/>
      <c r="Z96" s="87" t="s">
        <v>966</v>
      </c>
      <c r="AA96" s="51" t="s">
        <v>975</v>
      </c>
    </row>
    <row r="97" spans="1:27" s="51" customFormat="1" x14ac:dyDescent="0.25">
      <c r="B97" s="51" t="s">
        <v>221</v>
      </c>
      <c r="C97" s="61" t="s">
        <v>219</v>
      </c>
      <c r="D97" s="51" t="s">
        <v>142</v>
      </c>
      <c r="E97" s="85" t="s">
        <v>220</v>
      </c>
      <c r="F97" s="85" t="s">
        <v>220</v>
      </c>
      <c r="G97" s="52">
        <v>9000000</v>
      </c>
      <c r="H97" s="52">
        <f>ROUND(G97/140.3*147.5,0)</f>
        <v>9461867</v>
      </c>
      <c r="I97" s="52">
        <f>ROUND(H97/147.5*154.9,0)</f>
        <v>9936564</v>
      </c>
      <c r="J97" s="86">
        <f>ROUND(I97/154.9*163.4,0)</f>
        <v>10481824</v>
      </c>
      <c r="K97" s="53">
        <v>2000000</v>
      </c>
      <c r="L97" s="86">
        <f>ROUND(J97/163.4*175.3,0)</f>
        <v>11245188</v>
      </c>
      <c r="M97" s="139">
        <f>ROUND(K97/111.7*122.5,0)</f>
        <v>2193375</v>
      </c>
      <c r="N97" s="86">
        <f t="shared" si="26"/>
        <v>11757600</v>
      </c>
      <c r="O97" s="139">
        <f t="shared" si="27"/>
        <v>2277500</v>
      </c>
      <c r="P97" s="52">
        <f t="shared" si="28"/>
        <v>14035100</v>
      </c>
      <c r="R97" s="94" t="s">
        <v>534</v>
      </c>
      <c r="S97" s="73">
        <v>43839</v>
      </c>
      <c r="T97" s="73"/>
      <c r="U97" s="73" t="s">
        <v>223</v>
      </c>
      <c r="V97" s="122"/>
      <c r="X97" s="40"/>
      <c r="Y97" s="40"/>
      <c r="Z97" s="87" t="s">
        <v>966</v>
      </c>
      <c r="AA97" s="38" t="s">
        <v>975</v>
      </c>
    </row>
    <row r="98" spans="1:27" s="54" customFormat="1" x14ac:dyDescent="0.25">
      <c r="B98" s="18" t="s">
        <v>458</v>
      </c>
      <c r="C98" s="61" t="s">
        <v>219</v>
      </c>
      <c r="D98" s="18" t="s">
        <v>142</v>
      </c>
      <c r="E98" s="38"/>
      <c r="F98" s="119" t="s">
        <v>588</v>
      </c>
      <c r="G98" s="84"/>
      <c r="H98" s="84"/>
      <c r="I98" s="84"/>
      <c r="J98" s="84">
        <v>707850</v>
      </c>
      <c r="K98" s="42">
        <v>508200</v>
      </c>
      <c r="L98" s="82">
        <f>ROUND(J98/174*175.3,0)</f>
        <v>713139</v>
      </c>
      <c r="M98" s="158">
        <f>ROUND(K98/122.3*122.5,0)</f>
        <v>509031</v>
      </c>
      <c r="N98" s="86">
        <f t="shared" si="26"/>
        <v>745600</v>
      </c>
      <c r="O98" s="139">
        <f t="shared" si="27"/>
        <v>528600</v>
      </c>
      <c r="P98" s="52">
        <f t="shared" si="28"/>
        <v>1274200</v>
      </c>
      <c r="X98" s="58"/>
      <c r="Y98" s="58"/>
      <c r="Z98" s="87" t="s">
        <v>966</v>
      </c>
      <c r="AA98" s="51" t="s">
        <v>975</v>
      </c>
    </row>
    <row r="99" spans="1:27" s="18" customFormat="1" x14ac:dyDescent="0.25">
      <c r="B99" s="18" t="s">
        <v>197</v>
      </c>
      <c r="C99" s="18" t="s">
        <v>186</v>
      </c>
      <c r="D99" s="18" t="s">
        <v>176</v>
      </c>
      <c r="E99" s="18" t="s">
        <v>588</v>
      </c>
      <c r="F99" s="119" t="s">
        <v>588</v>
      </c>
      <c r="G99" s="21">
        <v>1470802</v>
      </c>
      <c r="H99" s="21">
        <f>ROUND(G99/137.2*147.5,0)</f>
        <v>1581219</v>
      </c>
      <c r="I99" s="21">
        <f>ROUND(H99/147.5*154.9,0)</f>
        <v>1660548</v>
      </c>
      <c r="J99" s="112">
        <v>1506450</v>
      </c>
      <c r="K99" s="56">
        <v>484000</v>
      </c>
      <c r="L99" s="82">
        <f>ROUND(J99/174*175.3,0)</f>
        <v>1517705</v>
      </c>
      <c r="M99" s="158">
        <f>ROUND(K99/122.3*122.5,0)</f>
        <v>484791</v>
      </c>
      <c r="N99" s="86">
        <f t="shared" si="26"/>
        <v>1586900</v>
      </c>
      <c r="O99" s="139">
        <f t="shared" si="27"/>
        <v>503400</v>
      </c>
      <c r="P99" s="52">
        <f t="shared" si="28"/>
        <v>2090300</v>
      </c>
      <c r="R99" s="38" t="s">
        <v>535</v>
      </c>
      <c r="S99" s="38">
        <v>43839</v>
      </c>
      <c r="U99" s="37" t="s">
        <v>191</v>
      </c>
      <c r="X99" s="39"/>
      <c r="Y99" s="39"/>
      <c r="Z99" s="87" t="s">
        <v>966</v>
      </c>
      <c r="AA99" s="51" t="s">
        <v>975</v>
      </c>
    </row>
    <row r="100" spans="1:27" s="18" customFormat="1" x14ac:dyDescent="0.25">
      <c r="B100" s="18" t="s">
        <v>455</v>
      </c>
      <c r="C100" s="18" t="s">
        <v>456</v>
      </c>
      <c r="D100" s="18" t="s">
        <v>176</v>
      </c>
      <c r="E100" s="18" t="s">
        <v>430</v>
      </c>
      <c r="F100" s="18" t="s">
        <v>430</v>
      </c>
      <c r="G100" s="21">
        <v>10141859</v>
      </c>
      <c r="H100" s="21">
        <f>ROUND(G100/137.2*147.5,0)</f>
        <v>10903238</v>
      </c>
      <c r="I100" s="21">
        <v>15488000</v>
      </c>
      <c r="J100" s="82">
        <f>ROUND(I100/159.8*163.4,0)</f>
        <v>15836916</v>
      </c>
      <c r="K100" s="31">
        <v>1210000</v>
      </c>
      <c r="L100" s="82">
        <f>ROUND(J100/163.4*175.3,0)</f>
        <v>16990278</v>
      </c>
      <c r="M100" s="158">
        <f>ROUND(K100/111.7*122.5,0)</f>
        <v>1326992</v>
      </c>
      <c r="N100" s="86">
        <f t="shared" si="26"/>
        <v>17764400</v>
      </c>
      <c r="O100" s="139">
        <f t="shared" si="27"/>
        <v>1377900</v>
      </c>
      <c r="P100" s="52">
        <f t="shared" si="28"/>
        <v>19142300</v>
      </c>
      <c r="R100" s="38" t="s">
        <v>535</v>
      </c>
      <c r="S100" s="38">
        <v>43839</v>
      </c>
      <c r="U100" s="38"/>
      <c r="X100" s="39"/>
      <c r="Y100" s="39"/>
      <c r="Z100" s="87" t="s">
        <v>966</v>
      </c>
      <c r="AA100" s="51" t="s">
        <v>975</v>
      </c>
    </row>
    <row r="101" spans="1:27" s="38" customFormat="1" x14ac:dyDescent="0.25">
      <c r="B101" s="18" t="s">
        <v>428</v>
      </c>
      <c r="C101" s="18" t="s">
        <v>429</v>
      </c>
      <c r="D101" s="18" t="s">
        <v>176</v>
      </c>
      <c r="F101" s="18" t="s">
        <v>430</v>
      </c>
      <c r="G101" s="19"/>
      <c r="H101" s="19"/>
      <c r="I101" s="19"/>
      <c r="J101" s="19"/>
      <c r="K101" s="19">
        <v>907500</v>
      </c>
      <c r="L101" s="82">
        <f>ROUND(J101/163.4*175.3,0)</f>
        <v>0</v>
      </c>
      <c r="M101" s="158">
        <f>ROUND(K101/111.7*122.5,0)</f>
        <v>995244</v>
      </c>
      <c r="N101" s="86">
        <f t="shared" si="26"/>
        <v>0</v>
      </c>
      <c r="O101" s="139">
        <f t="shared" si="27"/>
        <v>1033400</v>
      </c>
      <c r="P101" s="52">
        <f t="shared" si="28"/>
        <v>1033400</v>
      </c>
      <c r="R101" s="38" t="s">
        <v>535</v>
      </c>
      <c r="S101" s="38">
        <v>43839</v>
      </c>
      <c r="X101" s="87"/>
      <c r="Y101" s="87"/>
      <c r="Z101" s="87" t="s">
        <v>966</v>
      </c>
      <c r="AA101" s="51" t="s">
        <v>975</v>
      </c>
    </row>
    <row r="102" spans="1:27" s="38" customFormat="1" x14ac:dyDescent="0.25">
      <c r="A102" s="43"/>
      <c r="B102" s="43"/>
      <c r="C102" s="14" t="s">
        <v>19</v>
      </c>
      <c r="D102" s="14"/>
      <c r="E102" s="15"/>
      <c r="F102" s="16"/>
      <c r="G102" s="16">
        <v>59485555</v>
      </c>
      <c r="H102" s="16">
        <f>SUM(H94:H100)</f>
        <v>63186229</v>
      </c>
      <c r="I102" s="16">
        <f t="shared" ref="I102:P102" si="29">SUM(I94:I101)</f>
        <v>73238094</v>
      </c>
      <c r="J102" s="16">
        <f t="shared" si="29"/>
        <v>85658851</v>
      </c>
      <c r="K102" s="16">
        <f t="shared" si="29"/>
        <v>16713600</v>
      </c>
      <c r="L102" s="16">
        <f t="shared" si="29"/>
        <v>89606585</v>
      </c>
      <c r="M102" s="16">
        <f t="shared" si="29"/>
        <v>17682647</v>
      </c>
      <c r="N102" s="16">
        <f t="shared" si="29"/>
        <v>93689300</v>
      </c>
      <c r="O102" s="16">
        <f t="shared" si="29"/>
        <v>18361100</v>
      </c>
      <c r="P102" s="16">
        <f t="shared" si="29"/>
        <v>112050400</v>
      </c>
      <c r="X102" s="87"/>
      <c r="Y102" s="87"/>
      <c r="Z102" s="87"/>
    </row>
    <row r="103" spans="1:27" s="38" customFormat="1" x14ac:dyDescent="0.25">
      <c r="A103" s="18"/>
      <c r="B103" s="18"/>
      <c r="C103" s="18"/>
      <c r="D103" s="18"/>
      <c r="E103" s="46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X103" s="87"/>
      <c r="Y103" s="87"/>
      <c r="Z103" s="87"/>
    </row>
    <row r="104" spans="1:27" s="38" customFormat="1" ht="13.8" x14ac:dyDescent="0.25">
      <c r="A104" s="10" t="s">
        <v>143</v>
      </c>
      <c r="B104" s="18"/>
      <c r="C104" s="17"/>
      <c r="D104" s="17"/>
      <c r="E104" s="46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X104" s="87"/>
      <c r="Y104" s="87"/>
      <c r="Z104" s="87"/>
    </row>
    <row r="105" spans="1:27" s="11" customFormat="1" x14ac:dyDescent="0.25">
      <c r="A105" s="11" t="s">
        <v>144</v>
      </c>
      <c r="B105" s="18" t="s">
        <v>457</v>
      </c>
      <c r="C105" s="18" t="s">
        <v>146</v>
      </c>
      <c r="D105" s="18" t="s">
        <v>53</v>
      </c>
      <c r="E105" s="51" t="s">
        <v>894</v>
      </c>
      <c r="F105" s="18" t="s">
        <v>894</v>
      </c>
      <c r="G105" s="21">
        <v>626745</v>
      </c>
      <c r="H105" s="21">
        <f>ROUND(G105/137.2*147.5,0)</f>
        <v>673797</v>
      </c>
      <c r="I105" s="21">
        <f>ROUND(H105/147.5*154.9,0)</f>
        <v>707601</v>
      </c>
      <c r="J105" s="89">
        <v>1778700</v>
      </c>
      <c r="K105" s="42">
        <v>205700</v>
      </c>
      <c r="L105" s="89">
        <v>1609300</v>
      </c>
      <c r="M105" s="133">
        <v>96800</v>
      </c>
      <c r="N105" s="86">
        <f t="shared" ref="N105:N114" si="30">ROUND(L105/125.1*130.8,-2)</f>
        <v>1682600</v>
      </c>
      <c r="O105" s="139">
        <f t="shared" ref="O105:O114" si="31">ROUND(M105/122.5*127.2,-2)</f>
        <v>100500</v>
      </c>
      <c r="P105" s="52">
        <f t="shared" ref="P105:P114" si="32">N105+O105</f>
        <v>1783100</v>
      </c>
      <c r="R105" s="38" t="s">
        <v>536</v>
      </c>
      <c r="S105" s="38">
        <v>43839</v>
      </c>
      <c r="T105" s="11" t="s">
        <v>171</v>
      </c>
      <c r="U105" s="55" t="s">
        <v>896</v>
      </c>
      <c r="W105" s="55"/>
      <c r="X105" s="174" t="s">
        <v>969</v>
      </c>
      <c r="Y105" s="174"/>
      <c r="Z105" s="174"/>
    </row>
    <row r="106" spans="1:27" s="18" customFormat="1" x14ac:dyDescent="0.25">
      <c r="A106" s="18" t="s">
        <v>147</v>
      </c>
      <c r="B106" s="18" t="s">
        <v>457</v>
      </c>
      <c r="C106" s="18" t="s">
        <v>148</v>
      </c>
      <c r="D106" s="18" t="s">
        <v>43</v>
      </c>
      <c r="E106" s="18" t="s">
        <v>424</v>
      </c>
      <c r="F106" s="18" t="s">
        <v>424</v>
      </c>
      <c r="G106" s="21">
        <v>626745</v>
      </c>
      <c r="H106" s="21">
        <f t="shared" ref="H106:H113" si="33">ROUND(G106/137.2*147.5,0)</f>
        <v>673797</v>
      </c>
      <c r="I106" s="21">
        <v>1203950</v>
      </c>
      <c r="J106" s="82">
        <f t="shared" ref="J106:J113" si="34">ROUND(I106/159.8*163.4,0)</f>
        <v>1231073</v>
      </c>
      <c r="K106" s="21">
        <v>121000</v>
      </c>
      <c r="L106" s="82">
        <f t="shared" ref="L106:L114" si="35">ROUND(J106/163.4*175.3,0)</f>
        <v>1320729</v>
      </c>
      <c r="M106" s="158">
        <f t="shared" ref="M106:M114" si="36">ROUND(K106/111.7*122.5,0)</f>
        <v>132699</v>
      </c>
      <c r="N106" s="86">
        <f t="shared" si="30"/>
        <v>1380900</v>
      </c>
      <c r="O106" s="139">
        <f t="shared" si="31"/>
        <v>137800</v>
      </c>
      <c r="P106" s="52">
        <f t="shared" si="32"/>
        <v>1518700</v>
      </c>
      <c r="R106" s="38" t="s">
        <v>536</v>
      </c>
      <c r="S106" s="38">
        <v>43839</v>
      </c>
      <c r="T106" s="18" t="s">
        <v>171</v>
      </c>
      <c r="X106" s="39"/>
      <c r="Y106" s="39"/>
      <c r="Z106" s="39"/>
    </row>
    <row r="107" spans="1:27" s="18" customFormat="1" x14ac:dyDescent="0.25">
      <c r="A107" s="18" t="s">
        <v>149</v>
      </c>
      <c r="B107" s="18" t="s">
        <v>457</v>
      </c>
      <c r="C107" s="18" t="s">
        <v>150</v>
      </c>
      <c r="D107" s="18" t="s">
        <v>151</v>
      </c>
      <c r="E107" s="18" t="s">
        <v>424</v>
      </c>
      <c r="F107" s="18" t="s">
        <v>424</v>
      </c>
      <c r="G107" s="21">
        <v>626745</v>
      </c>
      <c r="H107" s="21">
        <f t="shared" si="33"/>
        <v>673797</v>
      </c>
      <c r="I107" s="21">
        <v>1010350</v>
      </c>
      <c r="J107" s="82">
        <f t="shared" si="34"/>
        <v>1033111</v>
      </c>
      <c r="K107" s="21">
        <v>121000</v>
      </c>
      <c r="L107" s="82">
        <f t="shared" si="35"/>
        <v>1108350</v>
      </c>
      <c r="M107" s="158">
        <f t="shared" si="36"/>
        <v>132699</v>
      </c>
      <c r="N107" s="86">
        <f t="shared" si="30"/>
        <v>1158900</v>
      </c>
      <c r="O107" s="139">
        <f t="shared" si="31"/>
        <v>137800</v>
      </c>
      <c r="P107" s="52">
        <f t="shared" si="32"/>
        <v>1296700</v>
      </c>
      <c r="R107" s="38" t="s">
        <v>536</v>
      </c>
      <c r="S107" s="38">
        <v>43839</v>
      </c>
      <c r="T107" s="18" t="s">
        <v>171</v>
      </c>
      <c r="X107" s="39" t="s">
        <v>966</v>
      </c>
      <c r="Y107" s="39"/>
      <c r="Z107" s="39"/>
    </row>
    <row r="108" spans="1:27" s="18" customFormat="1" x14ac:dyDescent="0.25">
      <c r="A108" s="18" t="s">
        <v>152</v>
      </c>
      <c r="B108" s="18" t="s">
        <v>457</v>
      </c>
      <c r="C108" s="18" t="s">
        <v>153</v>
      </c>
      <c r="D108" s="18" t="s">
        <v>154</v>
      </c>
      <c r="E108" s="18" t="s">
        <v>424</v>
      </c>
      <c r="F108" s="18" t="s">
        <v>424</v>
      </c>
      <c r="G108" s="21">
        <v>626745</v>
      </c>
      <c r="H108" s="21">
        <f t="shared" si="33"/>
        <v>673797</v>
      </c>
      <c r="I108" s="21">
        <v>1016400</v>
      </c>
      <c r="J108" s="82">
        <f t="shared" si="34"/>
        <v>1039298</v>
      </c>
      <c r="K108" s="21">
        <v>121000</v>
      </c>
      <c r="L108" s="82">
        <f t="shared" si="35"/>
        <v>1114987</v>
      </c>
      <c r="M108" s="158">
        <f t="shared" si="36"/>
        <v>132699</v>
      </c>
      <c r="N108" s="86">
        <f t="shared" si="30"/>
        <v>1165800</v>
      </c>
      <c r="O108" s="139">
        <f t="shared" si="31"/>
        <v>137800</v>
      </c>
      <c r="P108" s="52">
        <f t="shared" si="32"/>
        <v>1303600</v>
      </c>
      <c r="R108" s="38" t="s">
        <v>536</v>
      </c>
      <c r="S108" s="38">
        <v>43839</v>
      </c>
      <c r="T108" s="18" t="s">
        <v>171</v>
      </c>
      <c r="X108" s="39" t="s">
        <v>969</v>
      </c>
      <c r="Y108" s="39"/>
      <c r="Z108" s="39"/>
    </row>
    <row r="109" spans="1:27" s="18" customFormat="1" x14ac:dyDescent="0.25">
      <c r="A109" s="18" t="s">
        <v>155</v>
      </c>
      <c r="B109" s="18" t="s">
        <v>457</v>
      </c>
      <c r="C109" s="18" t="s">
        <v>156</v>
      </c>
      <c r="D109" s="18" t="s">
        <v>79</v>
      </c>
      <c r="E109" s="18" t="s">
        <v>424</v>
      </c>
      <c r="F109" s="18" t="s">
        <v>424</v>
      </c>
      <c r="G109" s="21">
        <v>626745</v>
      </c>
      <c r="H109" s="21">
        <f t="shared" si="33"/>
        <v>673797</v>
      </c>
      <c r="I109" s="21">
        <v>726000</v>
      </c>
      <c r="J109" s="82">
        <f t="shared" si="34"/>
        <v>742355</v>
      </c>
      <c r="K109" s="21">
        <v>121000</v>
      </c>
      <c r="L109" s="82">
        <f t="shared" si="35"/>
        <v>796419</v>
      </c>
      <c r="M109" s="158">
        <f t="shared" si="36"/>
        <v>132699</v>
      </c>
      <c r="N109" s="86">
        <f t="shared" si="30"/>
        <v>832700</v>
      </c>
      <c r="O109" s="139">
        <f t="shared" si="31"/>
        <v>137800</v>
      </c>
      <c r="P109" s="52">
        <f t="shared" si="32"/>
        <v>970500</v>
      </c>
      <c r="R109" s="38" t="s">
        <v>536</v>
      </c>
      <c r="S109" s="38">
        <v>43839</v>
      </c>
      <c r="T109" s="18" t="s">
        <v>171</v>
      </c>
      <c r="X109" s="39" t="s">
        <v>969</v>
      </c>
      <c r="Y109" s="39"/>
      <c r="Z109" s="39"/>
    </row>
    <row r="110" spans="1:27" s="18" customFormat="1" x14ac:dyDescent="0.25">
      <c r="A110" s="18" t="s">
        <v>157</v>
      </c>
      <c r="B110" s="18" t="s">
        <v>457</v>
      </c>
      <c r="C110" s="18" t="s">
        <v>158</v>
      </c>
      <c r="D110" s="18" t="s">
        <v>85</v>
      </c>
      <c r="E110" s="18" t="s">
        <v>424</v>
      </c>
      <c r="F110" s="18" t="s">
        <v>424</v>
      </c>
      <c r="G110" s="21">
        <v>626745</v>
      </c>
      <c r="H110" s="21">
        <f t="shared" si="33"/>
        <v>673797</v>
      </c>
      <c r="I110" s="21">
        <v>1022450</v>
      </c>
      <c r="J110" s="82">
        <f t="shared" si="34"/>
        <v>1045484</v>
      </c>
      <c r="K110" s="21">
        <v>121000</v>
      </c>
      <c r="L110" s="82">
        <f t="shared" si="35"/>
        <v>1121624</v>
      </c>
      <c r="M110" s="158">
        <f t="shared" si="36"/>
        <v>132699</v>
      </c>
      <c r="N110" s="86">
        <f t="shared" si="30"/>
        <v>1172700</v>
      </c>
      <c r="O110" s="139">
        <f t="shared" si="31"/>
        <v>137800</v>
      </c>
      <c r="P110" s="52">
        <f t="shared" si="32"/>
        <v>1310500</v>
      </c>
      <c r="R110" s="38" t="s">
        <v>536</v>
      </c>
      <c r="S110" s="38">
        <v>43839</v>
      </c>
      <c r="T110" s="18" t="s">
        <v>171</v>
      </c>
      <c r="X110" s="39" t="s">
        <v>969</v>
      </c>
      <c r="Y110" s="39"/>
      <c r="Z110" s="39"/>
    </row>
    <row r="111" spans="1:27" s="18" customFormat="1" x14ac:dyDescent="0.25">
      <c r="A111" s="18" t="s">
        <v>159</v>
      </c>
      <c r="B111" s="18" t="s">
        <v>457</v>
      </c>
      <c r="C111" s="18" t="s">
        <v>160</v>
      </c>
      <c r="D111" s="18" t="s">
        <v>161</v>
      </c>
      <c r="E111" s="18" t="s">
        <v>424</v>
      </c>
      <c r="F111" s="18" t="s">
        <v>424</v>
      </c>
      <c r="G111" s="21">
        <v>626745</v>
      </c>
      <c r="H111" s="21">
        <f t="shared" si="33"/>
        <v>673797</v>
      </c>
      <c r="I111" s="21">
        <v>1028500</v>
      </c>
      <c r="J111" s="82">
        <f t="shared" si="34"/>
        <v>1051670</v>
      </c>
      <c r="K111" s="21">
        <v>121000</v>
      </c>
      <c r="L111" s="82">
        <f t="shared" si="35"/>
        <v>1128260</v>
      </c>
      <c r="M111" s="158">
        <f t="shared" si="36"/>
        <v>132699</v>
      </c>
      <c r="N111" s="86">
        <f t="shared" si="30"/>
        <v>1179700</v>
      </c>
      <c r="O111" s="139">
        <f t="shared" si="31"/>
        <v>137800</v>
      </c>
      <c r="P111" s="52">
        <f t="shared" si="32"/>
        <v>1317500</v>
      </c>
      <c r="R111" s="38" t="s">
        <v>536</v>
      </c>
      <c r="S111" s="38">
        <v>43839</v>
      </c>
      <c r="T111" s="18" t="s">
        <v>171</v>
      </c>
      <c r="X111" s="39" t="s">
        <v>969</v>
      </c>
      <c r="Y111" s="39"/>
      <c r="Z111" s="39"/>
    </row>
    <row r="112" spans="1:27" s="18" customFormat="1" x14ac:dyDescent="0.25">
      <c r="A112" s="18" t="s">
        <v>162</v>
      </c>
      <c r="B112" s="18" t="s">
        <v>457</v>
      </c>
      <c r="C112" s="18" t="s">
        <v>163</v>
      </c>
      <c r="D112" s="18" t="s">
        <v>89</v>
      </c>
      <c r="E112" s="18" t="s">
        <v>424</v>
      </c>
      <c r="F112" s="18" t="s">
        <v>424</v>
      </c>
      <c r="G112" s="21">
        <v>626745</v>
      </c>
      <c r="H112" s="21">
        <f t="shared" si="33"/>
        <v>673797</v>
      </c>
      <c r="I112" s="21">
        <v>1016400</v>
      </c>
      <c r="J112" s="82">
        <f t="shared" si="34"/>
        <v>1039298</v>
      </c>
      <c r="K112" s="21">
        <v>121000</v>
      </c>
      <c r="L112" s="82">
        <f t="shared" si="35"/>
        <v>1114987</v>
      </c>
      <c r="M112" s="158">
        <f t="shared" si="36"/>
        <v>132699</v>
      </c>
      <c r="N112" s="86">
        <f t="shared" si="30"/>
        <v>1165800</v>
      </c>
      <c r="O112" s="139">
        <f t="shared" si="31"/>
        <v>137800</v>
      </c>
      <c r="P112" s="52">
        <f t="shared" si="32"/>
        <v>1303600</v>
      </c>
      <c r="R112" s="38" t="s">
        <v>536</v>
      </c>
      <c r="S112" s="38">
        <v>43839</v>
      </c>
      <c r="T112" s="18" t="s">
        <v>171</v>
      </c>
      <c r="X112" s="39" t="s">
        <v>969</v>
      </c>
      <c r="Y112" s="39"/>
      <c r="Z112" s="39"/>
    </row>
    <row r="113" spans="1:26" s="18" customFormat="1" x14ac:dyDescent="0.25">
      <c r="A113" s="18" t="s">
        <v>164</v>
      </c>
      <c r="B113" s="18" t="s">
        <v>457</v>
      </c>
      <c r="C113" s="18" t="s">
        <v>165</v>
      </c>
      <c r="D113" s="18" t="s">
        <v>99</v>
      </c>
      <c r="E113" s="18" t="s">
        <v>424</v>
      </c>
      <c r="F113" s="18" t="s">
        <v>424</v>
      </c>
      <c r="G113" s="21">
        <v>626745</v>
      </c>
      <c r="H113" s="21">
        <f t="shared" si="33"/>
        <v>673797</v>
      </c>
      <c r="I113" s="21">
        <v>1016400</v>
      </c>
      <c r="J113" s="82">
        <f t="shared" si="34"/>
        <v>1039298</v>
      </c>
      <c r="K113" s="21">
        <v>121000</v>
      </c>
      <c r="L113" s="82">
        <f t="shared" si="35"/>
        <v>1114987</v>
      </c>
      <c r="M113" s="158">
        <f t="shared" si="36"/>
        <v>132699</v>
      </c>
      <c r="N113" s="86">
        <f t="shared" si="30"/>
        <v>1165800</v>
      </c>
      <c r="O113" s="139">
        <f t="shared" si="31"/>
        <v>137800</v>
      </c>
      <c r="P113" s="52">
        <f t="shared" si="32"/>
        <v>1303600</v>
      </c>
      <c r="R113" s="38" t="s">
        <v>536</v>
      </c>
      <c r="S113" s="38">
        <v>43839</v>
      </c>
      <c r="T113" s="18" t="s">
        <v>171</v>
      </c>
      <c r="X113" s="39" t="s">
        <v>969</v>
      </c>
      <c r="Y113" s="39"/>
      <c r="Z113" s="39"/>
    </row>
    <row r="114" spans="1:26" s="18" customFormat="1" x14ac:dyDescent="0.25">
      <c r="A114" s="18" t="s">
        <v>166</v>
      </c>
      <c r="B114" s="18" t="s">
        <v>145</v>
      </c>
      <c r="C114" s="18" t="s">
        <v>132</v>
      </c>
      <c r="D114" s="18" t="s">
        <v>133</v>
      </c>
      <c r="E114" s="20"/>
      <c r="F114" s="18" t="s">
        <v>424</v>
      </c>
      <c r="G114" s="21"/>
      <c r="H114" s="21"/>
      <c r="I114" s="21">
        <f>ROUND(H114/147.5*154.9,0)</f>
        <v>0</v>
      </c>
      <c r="J114" s="21"/>
      <c r="K114" s="21">
        <v>121000</v>
      </c>
      <c r="L114" s="82">
        <f t="shared" si="35"/>
        <v>0</v>
      </c>
      <c r="M114" s="158">
        <f t="shared" si="36"/>
        <v>132699</v>
      </c>
      <c r="N114" s="86">
        <f t="shared" si="30"/>
        <v>0</v>
      </c>
      <c r="O114" s="139">
        <f t="shared" si="31"/>
        <v>137800</v>
      </c>
      <c r="P114" s="52">
        <f t="shared" si="32"/>
        <v>137800</v>
      </c>
      <c r="R114" s="38" t="s">
        <v>531</v>
      </c>
      <c r="S114" s="38">
        <v>43839</v>
      </c>
      <c r="T114" s="18" t="s">
        <v>171</v>
      </c>
      <c r="X114" s="39" t="s">
        <v>969</v>
      </c>
      <c r="Y114" s="39"/>
      <c r="Z114" s="39"/>
    </row>
    <row r="115" spans="1:26" s="38" customFormat="1" x14ac:dyDescent="0.25">
      <c r="A115" s="43"/>
      <c r="B115" s="43"/>
      <c r="C115" s="14" t="s">
        <v>19</v>
      </c>
      <c r="D115" s="14"/>
      <c r="E115" s="15"/>
      <c r="F115" s="16"/>
      <c r="G115" s="16">
        <v>5640705</v>
      </c>
      <c r="H115" s="16">
        <f t="shared" ref="H115:P115" si="37">SUM(H105:H114)</f>
        <v>6064173</v>
      </c>
      <c r="I115" s="16">
        <f t="shared" si="37"/>
        <v>8748051</v>
      </c>
      <c r="J115" s="16">
        <f t="shared" si="37"/>
        <v>10000287</v>
      </c>
      <c r="K115" s="16">
        <f t="shared" si="37"/>
        <v>1294700</v>
      </c>
      <c r="L115" s="16">
        <f t="shared" si="37"/>
        <v>10429643</v>
      </c>
      <c r="M115" s="16">
        <f t="shared" si="37"/>
        <v>1291091</v>
      </c>
      <c r="N115" s="16">
        <f>SUM(N105:N114)</f>
        <v>10904900</v>
      </c>
      <c r="O115" s="16">
        <f>SUM(O105:O114)</f>
        <v>1340700</v>
      </c>
      <c r="P115" s="16">
        <f t="shared" si="37"/>
        <v>12245600</v>
      </c>
      <c r="X115" s="87"/>
      <c r="Y115" s="87"/>
      <c r="Z115" s="87"/>
    </row>
    <row r="116" spans="1:26" s="38" customFormat="1" x14ac:dyDescent="0.25">
      <c r="D116" s="36"/>
      <c r="E116" s="46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X116" s="87"/>
      <c r="Y116" s="87"/>
      <c r="Z116" s="87"/>
    </row>
    <row r="117" spans="1:26" s="38" customFormat="1" ht="13.8" x14ac:dyDescent="0.25">
      <c r="A117" s="25"/>
      <c r="B117" s="43"/>
      <c r="C117" s="43"/>
      <c r="D117" s="43"/>
      <c r="E117" s="15"/>
      <c r="F117" s="16"/>
      <c r="G117" s="16">
        <v>221422320</v>
      </c>
      <c r="H117" s="16">
        <f t="shared" ref="H117:P117" si="38">H57+H89+H102+H115</f>
        <v>234483485</v>
      </c>
      <c r="I117" s="16">
        <f t="shared" si="38"/>
        <v>270462667</v>
      </c>
      <c r="J117" s="16">
        <f t="shared" si="38"/>
        <v>297153837</v>
      </c>
      <c r="K117" s="16">
        <f t="shared" si="38"/>
        <v>42804204</v>
      </c>
      <c r="L117" s="16">
        <f t="shared" si="38"/>
        <v>336401553</v>
      </c>
      <c r="M117" s="16">
        <f t="shared" si="38"/>
        <v>46175800</v>
      </c>
      <c r="N117" s="16">
        <f t="shared" si="38"/>
        <v>350960183</v>
      </c>
      <c r="O117" s="16">
        <f t="shared" si="38"/>
        <v>47872150</v>
      </c>
      <c r="P117" s="16">
        <f t="shared" si="38"/>
        <v>398832333</v>
      </c>
      <c r="X117" s="87"/>
      <c r="Y117" s="87"/>
      <c r="Z117" s="87"/>
    </row>
    <row r="118" spans="1:26" s="38" customFormat="1" ht="13.8" x14ac:dyDescent="0.25">
      <c r="A118" s="26"/>
      <c r="D118" s="36"/>
      <c r="E118" s="46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X118" s="87"/>
      <c r="Y118" s="87"/>
      <c r="Z118" s="87"/>
    </row>
    <row r="119" spans="1:26" s="38" customFormat="1" x14ac:dyDescent="0.25">
      <c r="A119" s="27" t="s">
        <v>214</v>
      </c>
      <c r="B119" s="38" t="s">
        <v>215</v>
      </c>
      <c r="D119" s="36"/>
      <c r="E119" s="46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>
        <v>1500000</v>
      </c>
      <c r="R119" s="38" t="s">
        <v>492</v>
      </c>
      <c r="S119" s="38">
        <v>43839</v>
      </c>
      <c r="X119" s="87"/>
      <c r="Y119" s="87"/>
      <c r="Z119" s="87"/>
    </row>
    <row r="120" spans="1:26" s="38" customFormat="1" x14ac:dyDescent="0.25">
      <c r="A120" s="27" t="s">
        <v>167</v>
      </c>
      <c r="B120" s="38" t="s">
        <v>216</v>
      </c>
      <c r="D120" s="36"/>
      <c r="E120" s="46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>
        <v>2500000</v>
      </c>
      <c r="R120" s="38" t="s">
        <v>492</v>
      </c>
      <c r="S120" s="38">
        <v>43839</v>
      </c>
      <c r="X120" s="87"/>
      <c r="Y120" s="87"/>
      <c r="Z120" s="87"/>
    </row>
    <row r="121" spans="1:26" s="38" customFormat="1" x14ac:dyDescent="0.25">
      <c r="A121" s="27"/>
      <c r="B121" s="38" t="s">
        <v>218</v>
      </c>
      <c r="D121" s="36"/>
      <c r="E121" s="46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R121" s="38" t="s">
        <v>492</v>
      </c>
      <c r="S121" s="38">
        <v>43839</v>
      </c>
      <c r="X121" s="87"/>
      <c r="Y121" s="87"/>
      <c r="Z121" s="87"/>
    </row>
    <row r="122" spans="1:26" ht="13.8" x14ac:dyDescent="0.25">
      <c r="A122" s="25"/>
      <c r="B122" s="43"/>
      <c r="C122" s="13"/>
      <c r="D122" s="13"/>
      <c r="E122" s="15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29">
        <f>P117+P119+P120</f>
        <v>402832333</v>
      </c>
    </row>
    <row r="123" spans="1:26" x14ac:dyDescent="0.25">
      <c r="A123" s="27"/>
      <c r="D123" s="12"/>
      <c r="E123" s="20"/>
      <c r="F123" s="21"/>
      <c r="T123" s="34" t="s">
        <v>174</v>
      </c>
    </row>
    <row r="124" spans="1:26" x14ac:dyDescent="0.25">
      <c r="B124" s="18" t="s">
        <v>199</v>
      </c>
      <c r="C124" s="38" t="s">
        <v>181</v>
      </c>
    </row>
    <row r="125" spans="1:26" x14ac:dyDescent="0.25">
      <c r="B125" s="18" t="s">
        <v>209</v>
      </c>
      <c r="C125" s="38" t="s">
        <v>181</v>
      </c>
    </row>
    <row r="126" spans="1:26" s="38" customFormat="1" x14ac:dyDescent="0.25">
      <c r="B126" s="38" t="s">
        <v>205</v>
      </c>
      <c r="C126" s="38" t="s">
        <v>204</v>
      </c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X126" s="87"/>
      <c r="Y126" s="87"/>
      <c r="Z126" s="87"/>
    </row>
    <row r="127" spans="1:26" s="38" customFormat="1" x14ac:dyDescent="0.25">
      <c r="B127" s="38" t="s">
        <v>206</v>
      </c>
      <c r="C127" s="38" t="s">
        <v>204</v>
      </c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X127" s="87"/>
      <c r="Y127" s="87"/>
      <c r="Z127" s="87"/>
    </row>
    <row r="128" spans="1:26" s="38" customFormat="1" x14ac:dyDescent="0.25">
      <c r="B128" s="20" t="s">
        <v>208</v>
      </c>
      <c r="C128" s="38" t="s">
        <v>168</v>
      </c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X128" s="87"/>
      <c r="Y128" s="87"/>
      <c r="Z128" s="87"/>
    </row>
    <row r="129" spans="1:26" s="38" customFormat="1" x14ac:dyDescent="0.25">
      <c r="B129" s="20" t="s">
        <v>212</v>
      </c>
      <c r="C129" s="38" t="s">
        <v>168</v>
      </c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X129" s="87"/>
      <c r="Y129" s="87"/>
      <c r="Z129" s="87"/>
    </row>
    <row r="130" spans="1:26" x14ac:dyDescent="0.25">
      <c r="B130" s="20" t="s">
        <v>232</v>
      </c>
      <c r="C130" s="38" t="s">
        <v>168</v>
      </c>
    </row>
    <row r="131" spans="1:26" s="38" customFormat="1" x14ac:dyDescent="0.25">
      <c r="B131" s="20" t="s">
        <v>225</v>
      </c>
      <c r="C131" s="38" t="s">
        <v>168</v>
      </c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X131" s="87"/>
      <c r="Y131" s="87"/>
      <c r="Z131" s="87"/>
    </row>
    <row r="132" spans="1:26" s="38" customFormat="1" x14ac:dyDescent="0.25">
      <c r="B132" s="20" t="s">
        <v>231</v>
      </c>
      <c r="C132" s="38" t="s">
        <v>168</v>
      </c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X132" s="87"/>
      <c r="Y132" s="87"/>
      <c r="Z132" s="87"/>
    </row>
    <row r="133" spans="1:26" s="38" customFormat="1" x14ac:dyDescent="0.25">
      <c r="B133" s="20" t="s">
        <v>224</v>
      </c>
      <c r="C133" s="38" t="s">
        <v>168</v>
      </c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X133" s="87"/>
      <c r="Y133" s="87"/>
      <c r="Z133" s="87"/>
    </row>
    <row r="134" spans="1:26" s="11" customFormat="1" x14ac:dyDescent="0.25">
      <c r="B134" s="18"/>
      <c r="C134" s="59"/>
      <c r="E134" s="57"/>
      <c r="F134" s="57"/>
      <c r="G134" s="42"/>
      <c r="H134" s="42"/>
      <c r="I134" s="42"/>
      <c r="J134" s="42"/>
      <c r="K134" s="56"/>
      <c r="L134" s="56"/>
      <c r="M134" s="56"/>
      <c r="N134" s="56"/>
      <c r="O134" s="56"/>
      <c r="P134" s="42"/>
      <c r="R134" s="58"/>
      <c r="S134" s="60"/>
      <c r="T134" s="38"/>
      <c r="U134" s="54"/>
      <c r="V134" s="12"/>
      <c r="X134" s="174"/>
      <c r="Y134" s="174"/>
      <c r="Z134" s="174"/>
    </row>
    <row r="139" spans="1:26" s="18" customFormat="1" ht="12.75" customHeight="1" x14ac:dyDescent="0.25">
      <c r="A139" s="18" t="s">
        <v>21</v>
      </c>
      <c r="B139" s="18" t="s">
        <v>443</v>
      </c>
      <c r="C139" s="59" t="s">
        <v>950</v>
      </c>
      <c r="D139" s="18" t="s">
        <v>227</v>
      </c>
      <c r="E139" s="18" t="s">
        <v>424</v>
      </c>
      <c r="F139" s="21"/>
      <c r="G139" s="21">
        <v>97670</v>
      </c>
      <c r="H139" s="21">
        <f>ROUND(G139/137.2*147.5,0)</f>
        <v>105002</v>
      </c>
      <c r="I139" s="21">
        <v>139150</v>
      </c>
      <c r="J139" s="82">
        <f>ROUND(I139/159.8*163.4,0)</f>
        <v>142285</v>
      </c>
      <c r="K139" s="31"/>
      <c r="L139" s="82">
        <f>ROUND(J139/163.4*175.3,0)</f>
        <v>152647</v>
      </c>
      <c r="M139" s="158"/>
      <c r="N139" s="133">
        <f>ROUND(L139/125.1*130.8,-2)/6*5</f>
        <v>133000</v>
      </c>
      <c r="O139" s="139">
        <f>ROUND(M139/122.5*127.2,-2)</f>
        <v>0</v>
      </c>
      <c r="P139" s="52">
        <f>N139+O139</f>
        <v>133000</v>
      </c>
      <c r="R139" s="94" t="s">
        <v>495</v>
      </c>
      <c r="S139" s="93">
        <v>43839</v>
      </c>
      <c r="T139" s="18" t="s">
        <v>173</v>
      </c>
      <c r="U139" s="55" t="s">
        <v>951</v>
      </c>
      <c r="X139" s="39"/>
      <c r="Y139" s="39"/>
      <c r="Z139" s="39"/>
    </row>
    <row r="140" spans="1:26" s="78" customFormat="1" x14ac:dyDescent="0.25">
      <c r="B140" s="51" t="s">
        <v>882</v>
      </c>
      <c r="C140" s="51" t="s">
        <v>883</v>
      </c>
      <c r="D140" s="51" t="s">
        <v>884</v>
      </c>
      <c r="E140" s="51" t="s">
        <v>894</v>
      </c>
      <c r="F140" s="18" t="s">
        <v>894</v>
      </c>
      <c r="G140" s="120"/>
      <c r="H140" s="120"/>
      <c r="I140" s="120"/>
      <c r="J140" s="120">
        <v>3840000</v>
      </c>
      <c r="K140" s="120">
        <v>200000</v>
      </c>
      <c r="L140" s="133">
        <v>5590200</v>
      </c>
      <c r="M140" s="133">
        <v>544500</v>
      </c>
      <c r="N140" s="133">
        <f>ROUND(L140/125.1*130.8,-2)+2200000</f>
        <v>8044900</v>
      </c>
      <c r="O140" s="164">
        <f>ROUND(M140/122.5*127.2,-2)+400000</f>
        <v>965400</v>
      </c>
      <c r="P140" s="52">
        <f>N140+O140</f>
        <v>9010300</v>
      </c>
      <c r="U140" s="55" t="s">
        <v>963</v>
      </c>
      <c r="X140" s="173"/>
      <c r="Y140" s="173"/>
      <c r="Z140" s="173"/>
    </row>
  </sheetData>
  <autoFilter ref="C1:C140" xr:uid="{5EE26BE7-0BB4-4615-96A4-2E7FEB30F57B}"/>
  <pageMargins left="0.55118110236220474" right="0.55118110236220474" top="1.5748031496062993" bottom="0.98425196850393704" header="0.31496062992125984" footer="0.70866141732283472"/>
  <pageSetup paperSize="9" scale="64" orientation="landscape" r:id="rId1"/>
  <headerFooter>
    <oddFooter>&amp;L&amp;F &amp;A&amp;C&amp;P&amp;R&amp;D</oddFooter>
  </headerFooter>
  <rowBreaks count="3" manualBreakCount="3">
    <brk id="20" max="12" man="1"/>
    <brk id="58" max="13" man="1"/>
    <brk id="92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BE412-7A82-4886-833B-8AF689FD1279}">
  <dimension ref="A1:AF68"/>
  <sheetViews>
    <sheetView zoomScaleNormal="100" workbookViewId="0">
      <selection activeCell="AD55" sqref="AD55"/>
    </sheetView>
  </sheetViews>
  <sheetFormatPr defaultColWidth="9.109375" defaultRowHeight="13.2" x14ac:dyDescent="0.25"/>
  <cols>
    <col min="1" max="1" width="12.44140625" style="152" customWidth="1"/>
    <col min="2" max="2" width="36.88671875" style="80" bestFit="1" customWidth="1"/>
    <col min="3" max="3" width="46.6640625" style="80" customWidth="1"/>
    <col min="4" max="4" width="11.5546875" style="80" bestFit="1" customWidth="1"/>
    <col min="5" max="5" width="30.6640625" style="80" customWidth="1"/>
    <col min="6" max="6" width="3.6640625" style="143" hidden="1" customWidth="1"/>
    <col min="7" max="7" width="3.88671875" style="143" hidden="1" customWidth="1"/>
    <col min="8" max="8" width="3.33203125" style="143" hidden="1" customWidth="1"/>
    <col min="9" max="9" width="2.109375" style="143" hidden="1" customWidth="1"/>
    <col min="10" max="10" width="3.33203125" style="143" hidden="1" customWidth="1"/>
    <col min="11" max="11" width="2.6640625" style="143" hidden="1" customWidth="1"/>
    <col min="12" max="12" width="2.5546875" style="143" hidden="1" customWidth="1"/>
    <col min="13" max="13" width="2.6640625" style="143" hidden="1" customWidth="1"/>
    <col min="14" max="14" width="4.33203125" style="143" hidden="1" customWidth="1"/>
    <col min="15" max="15" width="4.5546875" style="143" hidden="1" customWidth="1"/>
    <col min="16" max="16" width="4.6640625" style="143" hidden="1" customWidth="1"/>
    <col min="17" max="17" width="3.6640625" style="143" hidden="1" customWidth="1"/>
    <col min="18" max="18" width="4.33203125" style="80" hidden="1" customWidth="1"/>
    <col min="19" max="19" width="3.6640625" style="80" hidden="1" customWidth="1"/>
    <col min="20" max="20" width="3.44140625" style="80" hidden="1" customWidth="1"/>
    <col min="21" max="21" width="5.44140625" style="143" hidden="1" customWidth="1"/>
    <col min="22" max="22" width="3.6640625" style="143" hidden="1" customWidth="1"/>
    <col min="23" max="23" width="3.109375" style="143" hidden="1" customWidth="1"/>
    <col min="24" max="24" width="2.33203125" style="80" hidden="1" customWidth="1"/>
    <col min="25" max="16384" width="9.109375" style="80"/>
  </cols>
  <sheetData>
    <row r="1" spans="1:30" ht="66.75" customHeight="1" x14ac:dyDescent="0.25">
      <c r="A1" s="68" t="s">
        <v>489</v>
      </c>
      <c r="B1" s="69" t="s">
        <v>288</v>
      </c>
      <c r="C1" s="69" t="s">
        <v>289</v>
      </c>
      <c r="D1" s="69" t="s">
        <v>290</v>
      </c>
      <c r="E1" s="69" t="s">
        <v>291</v>
      </c>
      <c r="F1" s="70" t="s">
        <v>292</v>
      </c>
      <c r="G1" s="70" t="s">
        <v>292</v>
      </c>
      <c r="H1" s="70" t="s">
        <v>292</v>
      </c>
      <c r="I1" s="70" t="s">
        <v>292</v>
      </c>
      <c r="J1" s="70" t="s">
        <v>292</v>
      </c>
      <c r="K1" s="70" t="s">
        <v>470</v>
      </c>
      <c r="L1" s="70" t="s">
        <v>293</v>
      </c>
      <c r="M1" s="70" t="s">
        <v>470</v>
      </c>
      <c r="N1" s="70" t="s">
        <v>293</v>
      </c>
      <c r="O1" s="70" t="s">
        <v>470</v>
      </c>
      <c r="P1" s="70" t="s">
        <v>293</v>
      </c>
      <c r="Q1" s="71" t="s">
        <v>294</v>
      </c>
      <c r="R1" s="96" t="s">
        <v>581</v>
      </c>
      <c r="S1" s="70" t="s">
        <v>295</v>
      </c>
      <c r="T1" s="70"/>
      <c r="U1" s="71" t="s">
        <v>537</v>
      </c>
      <c r="V1" s="71" t="s">
        <v>570</v>
      </c>
      <c r="W1" s="71" t="s">
        <v>538</v>
      </c>
      <c r="Y1" s="73" t="s">
        <v>964</v>
      </c>
      <c r="Z1" s="81" t="s">
        <v>965</v>
      </c>
      <c r="AA1" s="87" t="s">
        <v>971</v>
      </c>
      <c r="AB1" s="87" t="s">
        <v>972</v>
      </c>
      <c r="AC1" s="87" t="s">
        <v>973</v>
      </c>
      <c r="AD1" s="87" t="s">
        <v>974</v>
      </c>
    </row>
    <row r="2" spans="1:30" x14ac:dyDescent="0.25">
      <c r="A2" s="138"/>
      <c r="B2" s="99"/>
      <c r="C2" s="99"/>
      <c r="D2" s="99"/>
      <c r="E2" s="99"/>
      <c r="F2" s="96" t="s">
        <v>296</v>
      </c>
      <c r="G2" s="96" t="s">
        <v>297</v>
      </c>
      <c r="H2" s="96" t="s">
        <v>298</v>
      </c>
      <c r="I2" s="96" t="s">
        <v>299</v>
      </c>
      <c r="J2" s="96" t="s">
        <v>300</v>
      </c>
      <c r="K2" s="96" t="s">
        <v>436</v>
      </c>
      <c r="L2" s="96"/>
      <c r="M2" s="96" t="s">
        <v>885</v>
      </c>
      <c r="N2" s="96" t="s">
        <v>885</v>
      </c>
      <c r="O2" s="96" t="s">
        <v>938</v>
      </c>
      <c r="P2" s="96" t="s">
        <v>938</v>
      </c>
      <c r="Q2" s="96"/>
      <c r="R2" s="96"/>
      <c r="S2" s="96"/>
      <c r="T2" s="96"/>
      <c r="U2" s="96">
        <f>[1]premieberekening!$G$11</f>
        <v>0.63167501677002036</v>
      </c>
      <c r="V2" s="96"/>
      <c r="W2" s="96"/>
    </row>
    <row r="3" spans="1:30" x14ac:dyDescent="0.25">
      <c r="A3" s="138"/>
      <c r="B3" s="99"/>
      <c r="C3" s="99"/>
      <c r="D3" s="99"/>
      <c r="E3" s="99"/>
      <c r="F3" s="96" t="s">
        <v>301</v>
      </c>
      <c r="G3" s="96" t="s">
        <v>302</v>
      </c>
      <c r="H3" s="96" t="s">
        <v>303</v>
      </c>
      <c r="I3" s="96" t="s">
        <v>304</v>
      </c>
      <c r="J3" s="96" t="s">
        <v>305</v>
      </c>
      <c r="K3" s="96" t="s">
        <v>437</v>
      </c>
      <c r="L3" s="96"/>
      <c r="M3" s="96" t="s">
        <v>937</v>
      </c>
      <c r="N3" s="96" t="s">
        <v>936</v>
      </c>
      <c r="O3" s="96" t="s">
        <v>944</v>
      </c>
      <c r="P3" s="96" t="s">
        <v>945</v>
      </c>
      <c r="Q3" s="96"/>
      <c r="R3" s="96"/>
      <c r="S3" s="96"/>
      <c r="T3" s="96"/>
      <c r="U3" s="96"/>
      <c r="V3" s="96"/>
      <c r="W3" s="96"/>
    </row>
    <row r="4" spans="1:30" s="78" customFormat="1" x14ac:dyDescent="0.25">
      <c r="A4" s="75" t="s">
        <v>539</v>
      </c>
      <c r="B4" s="76" t="s">
        <v>306</v>
      </c>
      <c r="C4" s="76" t="s">
        <v>307</v>
      </c>
      <c r="D4" s="76" t="s">
        <v>308</v>
      </c>
      <c r="E4" s="76" t="s">
        <v>309</v>
      </c>
      <c r="F4" s="74">
        <v>358939</v>
      </c>
      <c r="G4" s="139">
        <f>ROUND(F4/123.6*128.6,0)</f>
        <v>373459</v>
      </c>
      <c r="H4" s="74">
        <f>ROUND(G4/128.6*137.2,0)</f>
        <v>398434</v>
      </c>
      <c r="I4" s="74">
        <f>375000*1.21</f>
        <v>453750</v>
      </c>
      <c r="J4" s="74">
        <f>ROUND(I4/147.5*154.9,0)</f>
        <v>476514</v>
      </c>
      <c r="K4" s="74">
        <f>ROUND(J4/154.9*163.4,0)</f>
        <v>502662</v>
      </c>
      <c r="L4" s="74">
        <v>55000</v>
      </c>
      <c r="M4" s="74">
        <f>ROUND(K4/163.4*175.3,0)</f>
        <v>539270</v>
      </c>
      <c r="N4" s="74">
        <f>ROUND(L4/111.7*122.5,0)</f>
        <v>60318</v>
      </c>
      <c r="O4" s="74">
        <f>ROUND(M4/125.1*130.8,-2)</f>
        <v>563800</v>
      </c>
      <c r="P4" s="74">
        <f>ROUND(N4/122.5*127.2,-2)</f>
        <v>62600</v>
      </c>
      <c r="Q4" s="74">
        <f>O4+P4</f>
        <v>626400</v>
      </c>
      <c r="R4" s="76" t="s">
        <v>310</v>
      </c>
      <c r="S4" s="76" t="s">
        <v>311</v>
      </c>
      <c r="T4" s="76"/>
      <c r="U4" s="74">
        <f t="shared" ref="U4:U58" si="0">+Q4/1000*U$2*1.21</f>
        <v>478.77428891073623</v>
      </c>
      <c r="V4" s="74">
        <f>U4/12*4</f>
        <v>159.59142963691207</v>
      </c>
      <c r="W4" s="74">
        <f>U4/12*8</f>
        <v>319.18285927382414</v>
      </c>
      <c r="X4" s="73"/>
      <c r="AD4" s="78" t="s">
        <v>969</v>
      </c>
    </row>
    <row r="5" spans="1:30" s="73" customFormat="1" x14ac:dyDescent="0.25">
      <c r="A5" s="161" t="s">
        <v>919</v>
      </c>
      <c r="B5" s="76" t="s">
        <v>585</v>
      </c>
      <c r="C5" s="76" t="s">
        <v>307</v>
      </c>
      <c r="D5" s="76" t="s">
        <v>308</v>
      </c>
      <c r="E5" s="76" t="s">
        <v>309</v>
      </c>
      <c r="F5" s="74">
        <v>25432</v>
      </c>
      <c r="G5" s="74">
        <f>ROUND(F5/123.6*128.6,0)</f>
        <v>26461</v>
      </c>
      <c r="H5" s="74">
        <f>ROUND(G5/128.6*137.2,0)</f>
        <v>28231</v>
      </c>
      <c r="I5" s="74">
        <v>25000</v>
      </c>
      <c r="J5" s="74">
        <f>ROUND(I5/153.1*154.9,0)</f>
        <v>25294</v>
      </c>
      <c r="K5" s="74">
        <f t="shared" ref="K5:K58" si="1">ROUND(J5/154.9*163.4,0)</f>
        <v>26682</v>
      </c>
      <c r="L5" s="74"/>
      <c r="M5" s="74">
        <f t="shared" ref="M5:M58" si="2">ROUND(K5/163.4*175.3,0)</f>
        <v>28625</v>
      </c>
      <c r="N5" s="74">
        <f t="shared" ref="N5:N58" si="3">ROUND(L5/111.7*122.5,0)</f>
        <v>0</v>
      </c>
      <c r="O5" s="74">
        <f t="shared" ref="O5:O58" si="4">ROUND(M5/125.1*130.8,-2)</f>
        <v>29900</v>
      </c>
      <c r="P5" s="74">
        <f t="shared" ref="P5:P58" si="5">ROUND(N5/122.5*127.2,-2)</f>
        <v>0</v>
      </c>
      <c r="Q5" s="74">
        <f t="shared" ref="Q5:Q58" si="6">O5+P5</f>
        <v>29900</v>
      </c>
      <c r="R5" s="76" t="s">
        <v>312</v>
      </c>
      <c r="S5" s="76"/>
      <c r="T5" s="76"/>
      <c r="U5" s="74">
        <f t="shared" si="0"/>
        <v>22.853370431722567</v>
      </c>
      <c r="V5" s="74">
        <f t="shared" ref="V5:V60" si="7">U5/12*4</f>
        <v>7.6177901439075226</v>
      </c>
      <c r="W5" s="74">
        <f t="shared" ref="W5:W60" si="8">U5/12*8</f>
        <v>15.235580287815045</v>
      </c>
    </row>
    <row r="6" spans="1:30" s="73" customFormat="1" x14ac:dyDescent="0.25">
      <c r="A6" s="75" t="s">
        <v>540</v>
      </c>
      <c r="B6" s="76" t="s">
        <v>313</v>
      </c>
      <c r="C6" s="76" t="s">
        <v>314</v>
      </c>
      <c r="D6" s="76" t="s">
        <v>315</v>
      </c>
      <c r="E6" s="76" t="s">
        <v>309</v>
      </c>
      <c r="F6" s="74">
        <v>103258</v>
      </c>
      <c r="G6" s="74">
        <f>ROUND(F6/123.6*128.6,0)</f>
        <v>107435</v>
      </c>
      <c r="H6" s="74">
        <f>ROUND(G6/128.6*137.2,0)</f>
        <v>114620</v>
      </c>
      <c r="I6" s="74">
        <f>65000*1.21</f>
        <v>78650</v>
      </c>
      <c r="J6" s="74">
        <f t="shared" ref="J6:J58" si="9">ROUND(I6/147.5*154.9,0)</f>
        <v>82596</v>
      </c>
      <c r="K6" s="74">
        <f t="shared" si="1"/>
        <v>87128</v>
      </c>
      <c r="L6" s="74"/>
      <c r="M6" s="74">
        <f t="shared" si="2"/>
        <v>93473</v>
      </c>
      <c r="N6" s="74">
        <f t="shared" si="3"/>
        <v>0</v>
      </c>
      <c r="O6" s="74">
        <f t="shared" si="4"/>
        <v>97700</v>
      </c>
      <c r="P6" s="74">
        <f t="shared" si="5"/>
        <v>0</v>
      </c>
      <c r="Q6" s="74">
        <f t="shared" si="6"/>
        <v>97700</v>
      </c>
      <c r="R6" s="76" t="s">
        <v>310</v>
      </c>
      <c r="S6" s="76"/>
      <c r="T6" s="76"/>
      <c r="U6" s="74">
        <f t="shared" si="0"/>
        <v>74.674725457501495</v>
      </c>
      <c r="V6" s="74">
        <f t="shared" si="7"/>
        <v>24.891575152500497</v>
      </c>
      <c r="W6" s="74">
        <f t="shared" si="8"/>
        <v>49.783150305000994</v>
      </c>
    </row>
    <row r="7" spans="1:30" s="73" customFormat="1" x14ac:dyDescent="0.25">
      <c r="A7" s="75" t="s">
        <v>541</v>
      </c>
      <c r="B7" s="76" t="s">
        <v>471</v>
      </c>
      <c r="C7" s="76" t="s">
        <v>316</v>
      </c>
      <c r="D7" s="76" t="s">
        <v>317</v>
      </c>
      <c r="E7" s="76" t="s">
        <v>309</v>
      </c>
      <c r="F7" s="74">
        <v>0</v>
      </c>
      <c r="G7" s="74"/>
      <c r="H7" s="74">
        <v>0</v>
      </c>
      <c r="I7" s="74">
        <f>ROUND(H7/137.2*147.5,0)</f>
        <v>0</v>
      </c>
      <c r="J7" s="74">
        <f t="shared" si="9"/>
        <v>0</v>
      </c>
      <c r="K7" s="74">
        <f t="shared" si="1"/>
        <v>0</v>
      </c>
      <c r="L7" s="74">
        <v>810000</v>
      </c>
      <c r="M7" s="74">
        <f t="shared" si="2"/>
        <v>0</v>
      </c>
      <c r="N7" s="74">
        <f t="shared" si="3"/>
        <v>888317</v>
      </c>
      <c r="O7" s="74">
        <f t="shared" si="4"/>
        <v>0</v>
      </c>
      <c r="P7" s="74">
        <f t="shared" si="5"/>
        <v>922400</v>
      </c>
      <c r="Q7" s="74">
        <f t="shared" si="6"/>
        <v>922400</v>
      </c>
      <c r="R7" s="76"/>
      <c r="S7" s="76" t="s">
        <v>318</v>
      </c>
      <c r="T7" s="76"/>
      <c r="U7" s="74">
        <f t="shared" si="0"/>
        <v>705.01501291708678</v>
      </c>
      <c r="V7" s="74">
        <f t="shared" si="7"/>
        <v>235.00500430569559</v>
      </c>
      <c r="W7" s="74">
        <f t="shared" si="8"/>
        <v>470.01000861139119</v>
      </c>
      <c r="AB7" s="73" t="s">
        <v>966</v>
      </c>
      <c r="AC7" s="73" t="s">
        <v>975</v>
      </c>
    </row>
    <row r="8" spans="1:30" s="73" customFormat="1" x14ac:dyDescent="0.25">
      <c r="A8" s="75" t="s">
        <v>541</v>
      </c>
      <c r="B8" s="76" t="s">
        <v>472</v>
      </c>
      <c r="C8" s="76" t="s">
        <v>319</v>
      </c>
      <c r="D8" s="76" t="s">
        <v>317</v>
      </c>
      <c r="E8" s="76" t="s">
        <v>309</v>
      </c>
      <c r="F8" s="74">
        <v>0</v>
      </c>
      <c r="G8" s="74"/>
      <c r="H8" s="74">
        <v>0</v>
      </c>
      <c r="I8" s="74">
        <f>ROUND(H8/137.2*147.5,0)</f>
        <v>0</v>
      </c>
      <c r="J8" s="74">
        <f t="shared" si="9"/>
        <v>0</v>
      </c>
      <c r="K8" s="74">
        <f t="shared" si="1"/>
        <v>0</v>
      </c>
      <c r="L8" s="74">
        <v>500000</v>
      </c>
      <c r="M8" s="74">
        <f t="shared" si="2"/>
        <v>0</v>
      </c>
      <c r="N8" s="74">
        <f t="shared" si="3"/>
        <v>548344</v>
      </c>
      <c r="O8" s="74">
        <f t="shared" si="4"/>
        <v>0</v>
      </c>
      <c r="P8" s="74">
        <f t="shared" si="5"/>
        <v>569400</v>
      </c>
      <c r="Q8" s="74">
        <f t="shared" si="6"/>
        <v>569400</v>
      </c>
      <c r="R8" s="76"/>
      <c r="S8" s="76" t="s">
        <v>320</v>
      </c>
      <c r="T8" s="76"/>
      <c r="U8" s="74">
        <f t="shared" si="0"/>
        <v>435.20766300410799</v>
      </c>
      <c r="V8" s="74">
        <f t="shared" si="7"/>
        <v>145.06922100136933</v>
      </c>
      <c r="W8" s="74">
        <f t="shared" si="8"/>
        <v>290.13844200273866</v>
      </c>
      <c r="AB8" s="73" t="s">
        <v>966</v>
      </c>
      <c r="AC8" s="171" t="s">
        <v>975</v>
      </c>
    </row>
    <row r="9" spans="1:30" s="78" customFormat="1" x14ac:dyDescent="0.25">
      <c r="A9" s="75" t="s">
        <v>546</v>
      </c>
      <c r="B9" s="76" t="s">
        <v>474</v>
      </c>
      <c r="C9" s="76" t="s">
        <v>339</v>
      </c>
      <c r="D9" s="76" t="s">
        <v>340</v>
      </c>
      <c r="E9" s="76" t="s">
        <v>309</v>
      </c>
      <c r="F9" s="74">
        <v>3355890</v>
      </c>
      <c r="G9" s="74">
        <f>ROUND(F9/123.6*128.6,0)</f>
        <v>3491646</v>
      </c>
      <c r="H9" s="74">
        <f>ROUND(G9/128.6*137.2,0)</f>
        <v>3725146</v>
      </c>
      <c r="I9" s="74">
        <f>3225000*1.21</f>
        <v>3902250</v>
      </c>
      <c r="J9" s="74">
        <f>ROUND(I9/147.5*154.9,0)</f>
        <v>4098024</v>
      </c>
      <c r="K9" s="74">
        <f>ROUND(J9/154.9*163.4,0)</f>
        <v>4322899</v>
      </c>
      <c r="L9" s="74">
        <v>740000</v>
      </c>
      <c r="M9" s="74">
        <f t="shared" si="2"/>
        <v>4637725</v>
      </c>
      <c r="N9" s="74">
        <f t="shared" si="3"/>
        <v>811549</v>
      </c>
      <c r="O9" s="74">
        <f t="shared" si="4"/>
        <v>4849000</v>
      </c>
      <c r="P9" s="74">
        <f t="shared" si="5"/>
        <v>842700</v>
      </c>
      <c r="Q9" s="74">
        <f t="shared" si="6"/>
        <v>5691700</v>
      </c>
      <c r="R9" s="76" t="s">
        <v>310</v>
      </c>
      <c r="S9" s="76" t="s">
        <v>341</v>
      </c>
      <c r="T9" s="76"/>
      <c r="U9" s="74">
        <f t="shared" si="0"/>
        <v>4350.318678469409</v>
      </c>
      <c r="V9" s="74">
        <f>U9/12*4</f>
        <v>1450.1062261564696</v>
      </c>
      <c r="W9" s="74">
        <f>U9/12*8</f>
        <v>2900.2124523129391</v>
      </c>
      <c r="AB9" s="78" t="s">
        <v>966</v>
      </c>
      <c r="AC9" s="171" t="s">
        <v>975</v>
      </c>
    </row>
    <row r="10" spans="1:30" s="73" customFormat="1" x14ac:dyDescent="0.25">
      <c r="A10" s="75" t="s">
        <v>540</v>
      </c>
      <c r="B10" s="76" t="s">
        <v>321</v>
      </c>
      <c r="C10" s="76" t="s">
        <v>322</v>
      </c>
      <c r="D10" s="76" t="s">
        <v>323</v>
      </c>
      <c r="E10" s="76" t="s">
        <v>309</v>
      </c>
      <c r="F10" s="74">
        <v>424812</v>
      </c>
      <c r="G10" s="74">
        <f>ROUND(F10/123.6*128.6,0)</f>
        <v>441997</v>
      </c>
      <c r="H10" s="74">
        <f>ROUND(G10/128.6*137.2,0)</f>
        <v>471555</v>
      </c>
      <c r="I10" s="74">
        <f>ROUND(H10/137.2*147.5,0)</f>
        <v>506956</v>
      </c>
      <c r="J10" s="74">
        <f>ROUND(I10/147.5*154.9,0)</f>
        <v>532390</v>
      </c>
      <c r="K10" s="115">
        <v>399300</v>
      </c>
      <c r="L10" s="74"/>
      <c r="M10" s="74">
        <f>ROUND(K10/174*175.3,0)</f>
        <v>402283</v>
      </c>
      <c r="N10" s="74">
        <f t="shared" si="3"/>
        <v>0</v>
      </c>
      <c r="O10" s="74">
        <f t="shared" si="4"/>
        <v>420600</v>
      </c>
      <c r="P10" s="74">
        <f t="shared" si="5"/>
        <v>0</v>
      </c>
      <c r="Q10" s="74">
        <f t="shared" si="6"/>
        <v>420600</v>
      </c>
      <c r="R10" s="76" t="s">
        <v>592</v>
      </c>
      <c r="S10" s="76"/>
      <c r="T10" s="76"/>
      <c r="U10" s="74">
        <f t="shared" si="0"/>
        <v>321.47583958469943</v>
      </c>
      <c r="V10" s="74">
        <f>U10/12*4</f>
        <v>107.15861319489981</v>
      </c>
      <c r="W10" s="74">
        <f>U10/12*8</f>
        <v>214.31722638979963</v>
      </c>
    </row>
    <row r="11" spans="1:30" s="73" customFormat="1" x14ac:dyDescent="0.25">
      <c r="A11" s="75" t="s">
        <v>542</v>
      </c>
      <c r="B11" s="76" t="s">
        <v>324</v>
      </c>
      <c r="C11" s="76" t="s">
        <v>325</v>
      </c>
      <c r="D11" s="76" t="s">
        <v>326</v>
      </c>
      <c r="E11" s="76" t="s">
        <v>309</v>
      </c>
      <c r="F11" s="74"/>
      <c r="G11" s="74"/>
      <c r="H11" s="74">
        <v>0</v>
      </c>
      <c r="I11" s="74">
        <f>ROUND(H11/137.2*147.5,0)</f>
        <v>0</v>
      </c>
      <c r="J11" s="74">
        <f t="shared" si="9"/>
        <v>0</v>
      </c>
      <c r="K11" s="74">
        <f t="shared" si="1"/>
        <v>0</v>
      </c>
      <c r="L11" s="74">
        <v>115000</v>
      </c>
      <c r="M11" s="74">
        <f t="shared" si="2"/>
        <v>0</v>
      </c>
      <c r="N11" s="74">
        <f t="shared" si="3"/>
        <v>126119</v>
      </c>
      <c r="O11" s="74">
        <f t="shared" si="4"/>
        <v>0</v>
      </c>
      <c r="P11" s="74">
        <f t="shared" si="5"/>
        <v>131000</v>
      </c>
      <c r="Q11" s="74">
        <f t="shared" si="6"/>
        <v>131000</v>
      </c>
      <c r="R11" s="76"/>
      <c r="S11" s="76" t="s">
        <v>327</v>
      </c>
      <c r="T11" s="76"/>
      <c r="U11" s="74">
        <f t="shared" si="0"/>
        <v>100.12680690821593</v>
      </c>
      <c r="V11" s="74">
        <f t="shared" si="7"/>
        <v>33.375602302738642</v>
      </c>
      <c r="W11" s="74">
        <f t="shared" si="8"/>
        <v>66.751204605477284</v>
      </c>
    </row>
    <row r="12" spans="1:30" s="73" customFormat="1" x14ac:dyDescent="0.25">
      <c r="A12" s="75" t="s">
        <v>543</v>
      </c>
      <c r="B12" s="76" t="s">
        <v>460</v>
      </c>
      <c r="C12" s="76" t="s">
        <v>330</v>
      </c>
      <c r="D12" s="76" t="s">
        <v>328</v>
      </c>
      <c r="E12" s="76" t="s">
        <v>329</v>
      </c>
      <c r="F12" s="74">
        <v>5059650</v>
      </c>
      <c r="G12" s="74">
        <f>ROUND(F12/123.6*128.6,0)</f>
        <v>5264328</v>
      </c>
      <c r="H12" s="74">
        <f t="shared" ref="H12:H17" si="10">ROUND(G12/128.6*137.2,0)</f>
        <v>5616375</v>
      </c>
      <c r="I12" s="74"/>
      <c r="J12" s="74">
        <f>ROUND(I12/147.5*154.9,0)</f>
        <v>0</v>
      </c>
      <c r="K12" s="74">
        <f>ROUND(J12/154.9*163.4,0)</f>
        <v>0</v>
      </c>
      <c r="L12" s="74">
        <v>375000</v>
      </c>
      <c r="M12" s="74">
        <f>ROUND(K12/163.4*175.3,0)</f>
        <v>0</v>
      </c>
      <c r="N12" s="140">
        <v>562650</v>
      </c>
      <c r="O12" s="74">
        <f t="shared" si="4"/>
        <v>0</v>
      </c>
      <c r="P12" s="74">
        <f>ROUND(N12/124.4*127.2,-2)</f>
        <v>575300</v>
      </c>
      <c r="Q12" s="74">
        <f t="shared" si="6"/>
        <v>575300</v>
      </c>
      <c r="R12" s="76"/>
      <c r="S12" s="76" t="s">
        <v>908</v>
      </c>
      <c r="T12" s="76"/>
      <c r="U12" s="74">
        <f t="shared" si="0"/>
        <v>439.71719094882911</v>
      </c>
      <c r="V12" s="74">
        <f t="shared" si="7"/>
        <v>146.57239698294305</v>
      </c>
      <c r="W12" s="74">
        <f t="shared" si="8"/>
        <v>293.14479396588609</v>
      </c>
      <c r="X12" s="78" t="s">
        <v>909</v>
      </c>
    </row>
    <row r="13" spans="1:30" s="73" customFormat="1" x14ac:dyDescent="0.25">
      <c r="A13" s="75" t="s">
        <v>543</v>
      </c>
      <c r="B13" s="76" t="s">
        <v>331</v>
      </c>
      <c r="C13" s="76" t="s">
        <v>330</v>
      </c>
      <c r="D13" s="76" t="s">
        <v>328</v>
      </c>
      <c r="E13" s="76" t="s">
        <v>329</v>
      </c>
      <c r="F13" s="139"/>
      <c r="G13" s="139"/>
      <c r="H13" s="74">
        <f t="shared" si="10"/>
        <v>0</v>
      </c>
      <c r="I13" s="74">
        <f>175000*1.21</f>
        <v>211750</v>
      </c>
      <c r="J13" s="74">
        <f t="shared" si="9"/>
        <v>222373</v>
      </c>
      <c r="K13" s="74">
        <f t="shared" si="1"/>
        <v>234576</v>
      </c>
      <c r="L13" s="74"/>
      <c r="M13" s="74">
        <f t="shared" si="2"/>
        <v>251660</v>
      </c>
      <c r="N13" s="74">
        <f t="shared" si="3"/>
        <v>0</v>
      </c>
      <c r="O13" s="74">
        <f t="shared" si="4"/>
        <v>263100</v>
      </c>
      <c r="P13" s="74">
        <f t="shared" si="5"/>
        <v>0</v>
      </c>
      <c r="Q13" s="74">
        <f t="shared" si="6"/>
        <v>263100</v>
      </c>
      <c r="R13" s="76" t="s">
        <v>310</v>
      </c>
      <c r="S13" s="76"/>
      <c r="T13" s="76"/>
      <c r="U13" s="74">
        <f t="shared" si="0"/>
        <v>201.09437326375274</v>
      </c>
      <c r="V13" s="74">
        <f t="shared" si="7"/>
        <v>67.031457754584252</v>
      </c>
      <c r="W13" s="74">
        <f t="shared" si="8"/>
        <v>134.0629155091685</v>
      </c>
    </row>
    <row r="14" spans="1:30" s="73" customFormat="1" ht="26.4" x14ac:dyDescent="0.25">
      <c r="A14" s="75" t="s">
        <v>543</v>
      </c>
      <c r="B14" s="77" t="s">
        <v>461</v>
      </c>
      <c r="C14" s="76" t="s">
        <v>330</v>
      </c>
      <c r="D14" s="76" t="s">
        <v>328</v>
      </c>
      <c r="E14" s="76" t="s">
        <v>329</v>
      </c>
      <c r="F14" s="139"/>
      <c r="G14" s="139"/>
      <c r="H14" s="74">
        <f t="shared" si="10"/>
        <v>0</v>
      </c>
      <c r="I14" s="74">
        <f>3865000*1.21</f>
        <v>4676650</v>
      </c>
      <c r="J14" s="74">
        <f t="shared" si="9"/>
        <v>4911275</v>
      </c>
      <c r="K14" s="74">
        <f t="shared" si="1"/>
        <v>5180777</v>
      </c>
      <c r="L14" s="74"/>
      <c r="M14" s="74">
        <f t="shared" si="2"/>
        <v>5558080</v>
      </c>
      <c r="N14" s="74">
        <f t="shared" si="3"/>
        <v>0</v>
      </c>
      <c r="O14" s="74">
        <f t="shared" si="4"/>
        <v>5811300</v>
      </c>
      <c r="P14" s="74">
        <f t="shared" si="5"/>
        <v>0</v>
      </c>
      <c r="Q14" s="74">
        <f t="shared" si="6"/>
        <v>5811300</v>
      </c>
      <c r="R14" s="76" t="s">
        <v>310</v>
      </c>
      <c r="S14" s="76"/>
      <c r="T14" s="76"/>
      <c r="U14" s="74">
        <f t="shared" si="0"/>
        <v>4441.7321601962994</v>
      </c>
      <c r="V14" s="74">
        <f t="shared" si="7"/>
        <v>1480.5773867320997</v>
      </c>
      <c r="W14" s="74">
        <f t="shared" si="8"/>
        <v>2961.1547734641995</v>
      </c>
    </row>
    <row r="15" spans="1:30" s="73" customFormat="1" x14ac:dyDescent="0.25">
      <c r="A15" s="75" t="s">
        <v>543</v>
      </c>
      <c r="B15" s="76" t="s">
        <v>332</v>
      </c>
      <c r="C15" s="76" t="s">
        <v>330</v>
      </c>
      <c r="D15" s="76" t="s">
        <v>328</v>
      </c>
      <c r="E15" s="76" t="s">
        <v>329</v>
      </c>
      <c r="F15" s="139"/>
      <c r="G15" s="139"/>
      <c r="H15" s="74">
        <f t="shared" si="10"/>
        <v>0</v>
      </c>
      <c r="I15" s="74">
        <f>1425000*1.21</f>
        <v>1724250</v>
      </c>
      <c r="J15" s="74">
        <f t="shared" si="9"/>
        <v>1810755</v>
      </c>
      <c r="K15" s="74">
        <f t="shared" si="1"/>
        <v>1910119</v>
      </c>
      <c r="L15" s="74"/>
      <c r="M15" s="74">
        <f t="shared" si="2"/>
        <v>2049228</v>
      </c>
      <c r="N15" s="74">
        <f t="shared" si="3"/>
        <v>0</v>
      </c>
      <c r="O15" s="74">
        <f t="shared" si="4"/>
        <v>2142600</v>
      </c>
      <c r="P15" s="74">
        <f t="shared" si="5"/>
        <v>0</v>
      </c>
      <c r="Q15" s="74">
        <f t="shared" si="6"/>
        <v>2142600</v>
      </c>
      <c r="R15" s="76" t="s">
        <v>310</v>
      </c>
      <c r="S15" s="76"/>
      <c r="T15" s="76"/>
      <c r="U15" s="74">
        <f t="shared" si="0"/>
        <v>1637.646538027049</v>
      </c>
      <c r="V15" s="74">
        <f t="shared" si="7"/>
        <v>545.88217934234967</v>
      </c>
      <c r="W15" s="74">
        <f t="shared" si="8"/>
        <v>1091.7643586846993</v>
      </c>
      <c r="Z15" s="73" t="s">
        <v>969</v>
      </c>
    </row>
    <row r="16" spans="1:30" s="73" customFormat="1" x14ac:dyDescent="0.25">
      <c r="A16" s="161" t="s">
        <v>919</v>
      </c>
      <c r="B16" s="76" t="s">
        <v>585</v>
      </c>
      <c r="C16" s="76" t="s">
        <v>462</v>
      </c>
      <c r="D16" s="76" t="s">
        <v>333</v>
      </c>
      <c r="E16" s="76" t="s">
        <v>329</v>
      </c>
      <c r="F16" s="74">
        <v>20345</v>
      </c>
      <c r="G16" s="74">
        <f t="shared" ref="G16:G25" si="11">ROUND(F16/123.6*128.6,0)</f>
        <v>21168</v>
      </c>
      <c r="H16" s="74">
        <f t="shared" si="10"/>
        <v>22584</v>
      </c>
      <c r="I16" s="74">
        <v>15000</v>
      </c>
      <c r="J16" s="74">
        <f>ROUND(I16/153.1*154.9,0)</f>
        <v>15176</v>
      </c>
      <c r="K16" s="74">
        <f t="shared" si="1"/>
        <v>16009</v>
      </c>
      <c r="L16" s="74"/>
      <c r="M16" s="74">
        <f t="shared" si="2"/>
        <v>17175</v>
      </c>
      <c r="N16" s="74">
        <f t="shared" si="3"/>
        <v>0</v>
      </c>
      <c r="O16" s="74">
        <f t="shared" si="4"/>
        <v>18000</v>
      </c>
      <c r="P16" s="74">
        <f t="shared" si="5"/>
        <v>0</v>
      </c>
      <c r="Q16" s="74">
        <f t="shared" si="6"/>
        <v>18000</v>
      </c>
      <c r="R16" s="76" t="s">
        <v>312</v>
      </c>
      <c r="S16" s="76"/>
      <c r="T16" s="76"/>
      <c r="U16" s="74">
        <f t="shared" si="0"/>
        <v>13.757881865251044</v>
      </c>
      <c r="V16" s="74">
        <f t="shared" si="7"/>
        <v>4.5859606217503481</v>
      </c>
      <c r="W16" s="74">
        <f t="shared" si="8"/>
        <v>9.1719212435006963</v>
      </c>
    </row>
    <row r="17" spans="1:29" s="73" customFormat="1" x14ac:dyDescent="0.25">
      <c r="A17" s="75" t="s">
        <v>547</v>
      </c>
      <c r="B17" s="76" t="s">
        <v>475</v>
      </c>
      <c r="C17" s="76" t="s">
        <v>342</v>
      </c>
      <c r="D17" s="76" t="s">
        <v>343</v>
      </c>
      <c r="E17" s="76" t="s">
        <v>329</v>
      </c>
      <c r="F17" s="74">
        <v>3717293</v>
      </c>
      <c r="G17" s="74">
        <f>ROUND(F17/123.6*128.6,0)</f>
        <v>3867669</v>
      </c>
      <c r="H17" s="74">
        <f t="shared" si="10"/>
        <v>4126316</v>
      </c>
      <c r="I17" s="74">
        <f>3740000*1.21</f>
        <v>4525400</v>
      </c>
      <c r="J17" s="74">
        <f>ROUND(I17/147.5*154.9,0)</f>
        <v>4752437</v>
      </c>
      <c r="K17" s="115">
        <v>7574600</v>
      </c>
      <c r="L17" s="74"/>
      <c r="M17" s="74">
        <f>ROUND(K17/174*175.3,0)</f>
        <v>7631192</v>
      </c>
      <c r="N17" s="140">
        <v>344850</v>
      </c>
      <c r="O17" s="74">
        <f t="shared" si="4"/>
        <v>7978900</v>
      </c>
      <c r="P17" s="74">
        <f>ROUND(N17/124.4*127.2,-2)</f>
        <v>352600</v>
      </c>
      <c r="Q17" s="74">
        <f t="shared" si="6"/>
        <v>8331500</v>
      </c>
      <c r="R17" s="76" t="s">
        <v>592</v>
      </c>
      <c r="S17" s="76" t="s">
        <v>908</v>
      </c>
      <c r="T17" s="76"/>
      <c r="U17" s="74">
        <f t="shared" si="0"/>
        <v>6367.9884866855036</v>
      </c>
      <c r="V17" s="74">
        <f t="shared" si="7"/>
        <v>2122.6628288951679</v>
      </c>
      <c r="W17" s="74">
        <f t="shared" si="8"/>
        <v>4245.3256577903358</v>
      </c>
      <c r="Z17" s="73" t="s">
        <v>966</v>
      </c>
    </row>
    <row r="18" spans="1:29" s="78" customFormat="1" x14ac:dyDescent="0.25">
      <c r="A18" s="75" t="s">
        <v>548</v>
      </c>
      <c r="B18" s="76" t="s">
        <v>145</v>
      </c>
      <c r="C18" s="76" t="s">
        <v>344</v>
      </c>
      <c r="D18" s="76" t="s">
        <v>345</v>
      </c>
      <c r="E18" s="76" t="s">
        <v>329</v>
      </c>
      <c r="F18" s="74">
        <v>743459</v>
      </c>
      <c r="G18" s="74">
        <f t="shared" si="11"/>
        <v>773534</v>
      </c>
      <c r="H18" s="74">
        <f t="shared" ref="H18:H24" si="12">ROUND(G18/128.6*137.2,0)</f>
        <v>825263</v>
      </c>
      <c r="I18" s="74">
        <f>705000*1.21</f>
        <v>853050</v>
      </c>
      <c r="J18" s="74">
        <f t="shared" si="9"/>
        <v>895847</v>
      </c>
      <c r="K18" s="74">
        <f t="shared" si="1"/>
        <v>945006</v>
      </c>
      <c r="L18" s="74">
        <v>75000</v>
      </c>
      <c r="M18" s="74">
        <f t="shared" si="2"/>
        <v>1013828</v>
      </c>
      <c r="N18" s="74">
        <f t="shared" si="3"/>
        <v>82252</v>
      </c>
      <c r="O18" s="74">
        <f t="shared" si="4"/>
        <v>1060000</v>
      </c>
      <c r="P18" s="74">
        <f t="shared" si="5"/>
        <v>85400</v>
      </c>
      <c r="Q18" s="74">
        <f t="shared" si="6"/>
        <v>1145400</v>
      </c>
      <c r="R18" s="76" t="s">
        <v>310</v>
      </c>
      <c r="S18" s="76" t="s">
        <v>346</v>
      </c>
      <c r="T18" s="76"/>
      <c r="U18" s="74">
        <f t="shared" si="0"/>
        <v>875.45988269214149</v>
      </c>
      <c r="V18" s="74">
        <f t="shared" si="7"/>
        <v>291.8199608973805</v>
      </c>
      <c r="W18" s="74">
        <f t="shared" si="8"/>
        <v>583.63992179476099</v>
      </c>
      <c r="X18" s="73"/>
    </row>
    <row r="19" spans="1:29" s="73" customFormat="1" x14ac:dyDescent="0.25">
      <c r="A19" s="75" t="s">
        <v>549</v>
      </c>
      <c r="B19" s="76" t="s">
        <v>476</v>
      </c>
      <c r="C19" s="76" t="s">
        <v>347</v>
      </c>
      <c r="D19" s="76" t="s">
        <v>345</v>
      </c>
      <c r="E19" s="76" t="s">
        <v>329</v>
      </c>
      <c r="F19" s="74">
        <v>803654</v>
      </c>
      <c r="G19" s="74">
        <f t="shared" si="11"/>
        <v>836164</v>
      </c>
      <c r="H19" s="74">
        <f t="shared" si="12"/>
        <v>892082</v>
      </c>
      <c r="I19" s="74">
        <v>1140000</v>
      </c>
      <c r="J19" s="74">
        <f>ROUND(I19/153.1*154.9,0)</f>
        <v>1153403</v>
      </c>
      <c r="K19" s="74">
        <f t="shared" si="1"/>
        <v>1216695</v>
      </c>
      <c r="L19" s="74"/>
      <c r="M19" s="74">
        <f t="shared" si="2"/>
        <v>1305304</v>
      </c>
      <c r="N19" s="74">
        <f t="shared" si="3"/>
        <v>0</v>
      </c>
      <c r="O19" s="74">
        <f t="shared" si="4"/>
        <v>1364800</v>
      </c>
      <c r="P19" s="74">
        <f t="shared" si="5"/>
        <v>0</v>
      </c>
      <c r="Q19" s="74">
        <f t="shared" si="6"/>
        <v>1364800</v>
      </c>
      <c r="R19" s="76" t="s">
        <v>312</v>
      </c>
      <c r="S19" s="76"/>
      <c r="T19" s="76"/>
      <c r="U19" s="74">
        <f t="shared" si="0"/>
        <v>1043.1531760941457</v>
      </c>
      <c r="V19" s="74">
        <f t="shared" si="7"/>
        <v>347.71772536471525</v>
      </c>
      <c r="W19" s="74">
        <f t="shared" si="8"/>
        <v>695.4354507294305</v>
      </c>
      <c r="AB19" s="73" t="s">
        <v>966</v>
      </c>
      <c r="AC19" s="73" t="s">
        <v>975</v>
      </c>
    </row>
    <row r="20" spans="1:29" s="73" customFormat="1" x14ac:dyDescent="0.25">
      <c r="A20" s="75" t="s">
        <v>550</v>
      </c>
      <c r="B20" s="76" t="s">
        <v>477</v>
      </c>
      <c r="C20" s="76" t="s">
        <v>348</v>
      </c>
      <c r="D20" s="76" t="s">
        <v>345</v>
      </c>
      <c r="E20" s="76" t="s">
        <v>329</v>
      </c>
      <c r="F20" s="74">
        <v>6246123</v>
      </c>
      <c r="G20" s="74">
        <f t="shared" si="11"/>
        <v>6498798</v>
      </c>
      <c r="H20" s="74">
        <f t="shared" si="12"/>
        <v>6933399</v>
      </c>
      <c r="I20" s="74">
        <v>10800000</v>
      </c>
      <c r="J20" s="74">
        <f>ROUND(I20/153.1*154.9,0)</f>
        <v>10926976</v>
      </c>
      <c r="K20" s="74">
        <f t="shared" si="1"/>
        <v>11526584</v>
      </c>
      <c r="L20" s="74">
        <v>990000</v>
      </c>
      <c r="M20" s="74">
        <f t="shared" si="2"/>
        <v>12366035</v>
      </c>
      <c r="N20" s="74">
        <f t="shared" si="3"/>
        <v>1085721</v>
      </c>
      <c r="O20" s="74">
        <f t="shared" si="4"/>
        <v>12929500</v>
      </c>
      <c r="P20" s="74">
        <f t="shared" si="5"/>
        <v>1127400</v>
      </c>
      <c r="Q20" s="74">
        <f t="shared" si="6"/>
        <v>14056900</v>
      </c>
      <c r="R20" s="76" t="s">
        <v>312</v>
      </c>
      <c r="S20" s="76" t="s">
        <v>349</v>
      </c>
      <c r="T20" s="76"/>
      <c r="U20" s="74">
        <f t="shared" si="0"/>
        <v>10744.064977313743</v>
      </c>
      <c r="V20" s="74">
        <f t="shared" si="7"/>
        <v>3581.3549924379145</v>
      </c>
      <c r="W20" s="74">
        <f t="shared" si="8"/>
        <v>7162.7099848758289</v>
      </c>
      <c r="AB20" s="73" t="s">
        <v>966</v>
      </c>
      <c r="AC20" s="73" t="s">
        <v>975</v>
      </c>
    </row>
    <row r="21" spans="1:29" s="73" customFormat="1" x14ac:dyDescent="0.25">
      <c r="A21" s="75" t="s">
        <v>551</v>
      </c>
      <c r="B21" s="76" t="s">
        <v>463</v>
      </c>
      <c r="C21" s="76" t="s">
        <v>350</v>
      </c>
      <c r="D21" s="76" t="s">
        <v>351</v>
      </c>
      <c r="E21" s="76" t="s">
        <v>329</v>
      </c>
      <c r="F21" s="74">
        <v>2136297</v>
      </c>
      <c r="G21" s="74">
        <f t="shared" si="11"/>
        <v>2222717</v>
      </c>
      <c r="H21" s="74">
        <f t="shared" si="12"/>
        <v>2371359</v>
      </c>
      <c r="I21" s="74">
        <v>3850000</v>
      </c>
      <c r="J21" s="74">
        <f>ROUND(I21/153.1*154.9,0)</f>
        <v>3895265</v>
      </c>
      <c r="K21" s="74">
        <f t="shared" si="1"/>
        <v>4109014</v>
      </c>
      <c r="L21" s="74">
        <v>730000</v>
      </c>
      <c r="M21" s="74">
        <f t="shared" si="2"/>
        <v>4408263</v>
      </c>
      <c r="N21" s="74">
        <f t="shared" si="3"/>
        <v>800582</v>
      </c>
      <c r="O21" s="74">
        <f t="shared" si="4"/>
        <v>4609100</v>
      </c>
      <c r="P21" s="74">
        <f t="shared" si="5"/>
        <v>831300</v>
      </c>
      <c r="Q21" s="74">
        <f t="shared" si="6"/>
        <v>5440400</v>
      </c>
      <c r="R21" s="76" t="s">
        <v>312</v>
      </c>
      <c r="S21" s="76" t="s">
        <v>352</v>
      </c>
      <c r="T21" s="76"/>
      <c r="U21" s="74">
        <f t="shared" si="0"/>
        <v>4158.2433610950984</v>
      </c>
      <c r="V21" s="74">
        <f t="shared" si="7"/>
        <v>1386.0811203650328</v>
      </c>
      <c r="W21" s="74">
        <f t="shared" si="8"/>
        <v>2772.1622407300656</v>
      </c>
      <c r="AB21" s="73" t="s">
        <v>966</v>
      </c>
      <c r="AC21" s="73" t="s">
        <v>975</v>
      </c>
    </row>
    <row r="22" spans="1:29" x14ac:dyDescent="0.25">
      <c r="A22" s="75" t="s">
        <v>552</v>
      </c>
      <c r="B22" s="76" t="s">
        <v>145</v>
      </c>
      <c r="C22" s="76" t="s">
        <v>353</v>
      </c>
      <c r="D22" s="76" t="s">
        <v>351</v>
      </c>
      <c r="E22" s="76" t="s">
        <v>329</v>
      </c>
      <c r="F22" s="74">
        <v>805413</v>
      </c>
      <c r="G22" s="74">
        <f t="shared" si="11"/>
        <v>837994</v>
      </c>
      <c r="H22" s="74">
        <f t="shared" si="12"/>
        <v>894034</v>
      </c>
      <c r="I22" s="74">
        <f>725000*1.21</f>
        <v>877250</v>
      </c>
      <c r="J22" s="74">
        <f t="shared" si="9"/>
        <v>921261</v>
      </c>
      <c r="K22" s="74">
        <f t="shared" si="1"/>
        <v>971814</v>
      </c>
      <c r="L22" s="74">
        <v>75000</v>
      </c>
      <c r="M22" s="74">
        <f t="shared" si="2"/>
        <v>1042589</v>
      </c>
      <c r="N22" s="74">
        <f t="shared" si="3"/>
        <v>82252</v>
      </c>
      <c r="O22" s="74">
        <f t="shared" si="4"/>
        <v>1090100</v>
      </c>
      <c r="P22" s="74">
        <f t="shared" si="5"/>
        <v>85400</v>
      </c>
      <c r="Q22" s="74">
        <f t="shared" si="6"/>
        <v>1175500</v>
      </c>
      <c r="R22" s="76" t="s">
        <v>310</v>
      </c>
      <c r="S22" s="76" t="s">
        <v>354</v>
      </c>
      <c r="T22" s="76"/>
      <c r="U22" s="74">
        <f t="shared" si="0"/>
        <v>898.46611847792224</v>
      </c>
      <c r="V22" s="74">
        <f t="shared" si="7"/>
        <v>299.48870615930741</v>
      </c>
      <c r="W22" s="74">
        <f t="shared" si="8"/>
        <v>598.97741231861482</v>
      </c>
      <c r="X22" s="78"/>
      <c r="AB22" s="73"/>
      <c r="AC22" s="73"/>
    </row>
    <row r="23" spans="1:29" x14ac:dyDescent="0.25">
      <c r="A23" s="75" t="s">
        <v>553</v>
      </c>
      <c r="B23" s="76" t="s">
        <v>469</v>
      </c>
      <c r="C23" s="76" t="s">
        <v>355</v>
      </c>
      <c r="D23" s="76" t="s">
        <v>351</v>
      </c>
      <c r="E23" s="76" t="s">
        <v>329</v>
      </c>
      <c r="F23" s="74">
        <v>2034568</v>
      </c>
      <c r="G23" s="74">
        <f t="shared" si="11"/>
        <v>2116873</v>
      </c>
      <c r="H23" s="74">
        <f t="shared" si="12"/>
        <v>2258437</v>
      </c>
      <c r="I23" s="74">
        <v>2650000</v>
      </c>
      <c r="J23" s="74">
        <f>ROUND(I23/153.1*154.9,0)</f>
        <v>2681156</v>
      </c>
      <c r="K23" s="74">
        <f t="shared" si="1"/>
        <v>2828282</v>
      </c>
      <c r="L23" s="74">
        <v>0</v>
      </c>
      <c r="M23" s="74">
        <f t="shared" si="2"/>
        <v>3034258</v>
      </c>
      <c r="N23" s="74">
        <f t="shared" si="3"/>
        <v>0</v>
      </c>
      <c r="O23" s="74">
        <f t="shared" si="4"/>
        <v>3172500</v>
      </c>
      <c r="P23" s="74">
        <f t="shared" si="5"/>
        <v>0</v>
      </c>
      <c r="Q23" s="74">
        <f t="shared" si="6"/>
        <v>3172500</v>
      </c>
      <c r="R23" s="76" t="s">
        <v>312</v>
      </c>
      <c r="S23" s="76"/>
      <c r="T23" s="76"/>
      <c r="U23" s="74">
        <f t="shared" si="0"/>
        <v>2424.8266787504963</v>
      </c>
      <c r="V23" s="74">
        <f t="shared" si="7"/>
        <v>808.27555958349876</v>
      </c>
      <c r="W23" s="74">
        <f t="shared" si="8"/>
        <v>1616.5511191669975</v>
      </c>
      <c r="X23" s="78"/>
      <c r="AB23" s="73" t="s">
        <v>966</v>
      </c>
      <c r="AC23" s="73" t="s">
        <v>975</v>
      </c>
    </row>
    <row r="24" spans="1:29" s="73" customFormat="1" ht="26.4" x14ac:dyDescent="0.25">
      <c r="A24" s="75" t="s">
        <v>554</v>
      </c>
      <c r="B24" s="76" t="s">
        <v>356</v>
      </c>
      <c r="C24" s="77" t="s">
        <v>593</v>
      </c>
      <c r="D24" s="76" t="s">
        <v>357</v>
      </c>
      <c r="E24" s="76" t="s">
        <v>329</v>
      </c>
      <c r="F24" s="74">
        <v>141604</v>
      </c>
      <c r="G24" s="74">
        <f t="shared" si="11"/>
        <v>147332</v>
      </c>
      <c r="H24" s="74">
        <f t="shared" si="12"/>
        <v>157185</v>
      </c>
      <c r="I24" s="74">
        <f>ROUND(H24/137.2*147.5,0)</f>
        <v>168985</v>
      </c>
      <c r="J24" s="74">
        <f>ROUND(I24/147.5*154.9,0)</f>
        <v>177463</v>
      </c>
      <c r="K24" s="115">
        <v>108900</v>
      </c>
      <c r="L24" s="115">
        <v>36300</v>
      </c>
      <c r="M24" s="74">
        <f>ROUND(K24/174*175.3,0)</f>
        <v>109714</v>
      </c>
      <c r="N24" s="74">
        <f>ROUND(L24/122.3*122.5,0)</f>
        <v>36359</v>
      </c>
      <c r="O24" s="74">
        <f t="shared" si="4"/>
        <v>114700</v>
      </c>
      <c r="P24" s="74">
        <f t="shared" si="5"/>
        <v>37800</v>
      </c>
      <c r="Q24" s="74">
        <f t="shared" si="6"/>
        <v>152500</v>
      </c>
      <c r="R24" s="76" t="s">
        <v>592</v>
      </c>
      <c r="S24" s="76" t="s">
        <v>592</v>
      </c>
      <c r="T24" s="76"/>
      <c r="U24" s="74">
        <f t="shared" si="0"/>
        <v>116.559832469488</v>
      </c>
      <c r="V24" s="74">
        <f t="shared" si="7"/>
        <v>38.853277489829331</v>
      </c>
      <c r="W24" s="74">
        <f t="shared" si="8"/>
        <v>77.706554979658662</v>
      </c>
      <c r="X24" s="78"/>
    </row>
    <row r="25" spans="1:29" x14ac:dyDescent="0.25">
      <c r="A25" s="75" t="s">
        <v>555</v>
      </c>
      <c r="B25" s="76" t="s">
        <v>464</v>
      </c>
      <c r="C25" s="76" t="s">
        <v>361</v>
      </c>
      <c r="D25" s="76" t="s">
        <v>358</v>
      </c>
      <c r="E25" s="76" t="s">
        <v>335</v>
      </c>
      <c r="F25" s="74">
        <v>75000</v>
      </c>
      <c r="G25" s="74">
        <f t="shared" si="11"/>
        <v>78034</v>
      </c>
      <c r="H25" s="74">
        <v>2360000</v>
      </c>
      <c r="I25" s="74">
        <f>ROUND(H25/140.3*147.5,0)</f>
        <v>2481112</v>
      </c>
      <c r="J25" s="74">
        <f t="shared" si="9"/>
        <v>2605588</v>
      </c>
      <c r="K25" s="74">
        <f t="shared" si="1"/>
        <v>2748567</v>
      </c>
      <c r="L25" s="74"/>
      <c r="M25" s="74">
        <f t="shared" si="2"/>
        <v>2948738</v>
      </c>
      <c r="N25" s="74">
        <f t="shared" si="3"/>
        <v>0</v>
      </c>
      <c r="O25" s="74">
        <f t="shared" si="4"/>
        <v>3083100</v>
      </c>
      <c r="P25" s="74">
        <f t="shared" si="5"/>
        <v>0</v>
      </c>
      <c r="Q25" s="74">
        <f t="shared" si="6"/>
        <v>3083100</v>
      </c>
      <c r="R25" s="76" t="s">
        <v>359</v>
      </c>
      <c r="S25" s="76"/>
      <c r="T25" s="76"/>
      <c r="U25" s="74">
        <f t="shared" si="0"/>
        <v>2356.4958654864158</v>
      </c>
      <c r="V25" s="74">
        <f t="shared" si="7"/>
        <v>785.49862182880531</v>
      </c>
      <c r="W25" s="74">
        <f t="shared" si="8"/>
        <v>1570.9972436576106</v>
      </c>
      <c r="X25" s="78"/>
      <c r="Z25" s="73" t="s">
        <v>969</v>
      </c>
    </row>
    <row r="26" spans="1:29" x14ac:dyDescent="0.25">
      <c r="A26" s="75" t="s">
        <v>555</v>
      </c>
      <c r="B26" s="76" t="s">
        <v>360</v>
      </c>
      <c r="C26" s="76" t="s">
        <v>361</v>
      </c>
      <c r="D26" s="76" t="s">
        <v>358</v>
      </c>
      <c r="E26" s="76" t="s">
        <v>335</v>
      </c>
      <c r="F26" s="74"/>
      <c r="G26" s="74"/>
      <c r="H26" s="74"/>
      <c r="I26" s="74">
        <f>ROUND(H26/137.2*147.5,0)</f>
        <v>0</v>
      </c>
      <c r="J26" s="74">
        <f t="shared" si="9"/>
        <v>0</v>
      </c>
      <c r="K26" s="74">
        <f t="shared" si="1"/>
        <v>0</v>
      </c>
      <c r="L26" s="74">
        <v>500000</v>
      </c>
      <c r="M26" s="74">
        <f t="shared" si="2"/>
        <v>0</v>
      </c>
      <c r="N26" s="74">
        <f t="shared" si="3"/>
        <v>548344</v>
      </c>
      <c r="O26" s="74">
        <f t="shared" si="4"/>
        <v>0</v>
      </c>
      <c r="P26" s="74">
        <f t="shared" si="5"/>
        <v>569400</v>
      </c>
      <c r="Q26" s="74">
        <f t="shared" si="6"/>
        <v>569400</v>
      </c>
      <c r="R26" s="76"/>
      <c r="S26" s="76" t="s">
        <v>362</v>
      </c>
      <c r="T26" s="76"/>
      <c r="U26" s="74">
        <f t="shared" si="0"/>
        <v>435.20766300410799</v>
      </c>
      <c r="V26" s="74">
        <f t="shared" si="7"/>
        <v>145.06922100136933</v>
      </c>
      <c r="W26" s="74">
        <f t="shared" si="8"/>
        <v>290.13844200273866</v>
      </c>
      <c r="X26" s="78"/>
    </row>
    <row r="27" spans="1:29" s="73" customFormat="1" x14ac:dyDescent="0.25">
      <c r="A27" s="75" t="s">
        <v>556</v>
      </c>
      <c r="B27" s="76" t="s">
        <v>478</v>
      </c>
      <c r="C27" s="76" t="s">
        <v>363</v>
      </c>
      <c r="D27" s="76" t="s">
        <v>364</v>
      </c>
      <c r="E27" s="76" t="s">
        <v>335</v>
      </c>
      <c r="F27" s="74">
        <v>455155</v>
      </c>
      <c r="G27" s="74">
        <f>ROUND(F27/123.6*128.6,0)</f>
        <v>473567</v>
      </c>
      <c r="H27" s="74">
        <f>ROUND(G27/128.6*137.2,0)</f>
        <v>505236</v>
      </c>
      <c r="I27" s="74">
        <f>ROUND(H27/137.2*147.5,0)</f>
        <v>543166</v>
      </c>
      <c r="J27" s="74">
        <f t="shared" si="9"/>
        <v>570416</v>
      </c>
      <c r="K27" s="115">
        <v>659450</v>
      </c>
      <c r="L27" s="74"/>
      <c r="M27" s="74">
        <f>ROUND(K27/174*175.3,0)</f>
        <v>664377</v>
      </c>
      <c r="N27" s="74">
        <f t="shared" si="3"/>
        <v>0</v>
      </c>
      <c r="O27" s="74">
        <f t="shared" si="4"/>
        <v>694600</v>
      </c>
      <c r="P27" s="74">
        <f t="shared" si="5"/>
        <v>0</v>
      </c>
      <c r="Q27" s="74">
        <f t="shared" si="6"/>
        <v>694600</v>
      </c>
      <c r="R27" s="76" t="s">
        <v>592</v>
      </c>
      <c r="S27" s="76"/>
      <c r="T27" s="76"/>
      <c r="U27" s="74">
        <f t="shared" si="0"/>
        <v>530.90137464463191</v>
      </c>
      <c r="V27" s="74">
        <f t="shared" si="7"/>
        <v>176.96712488154398</v>
      </c>
      <c r="W27" s="74">
        <f t="shared" si="8"/>
        <v>353.93424976308796</v>
      </c>
    </row>
    <row r="28" spans="1:29" s="73" customFormat="1" x14ac:dyDescent="0.25">
      <c r="A28" s="75" t="s">
        <v>545</v>
      </c>
      <c r="B28" s="76" t="s">
        <v>338</v>
      </c>
      <c r="C28" s="76" t="s">
        <v>336</v>
      </c>
      <c r="D28" s="76" t="s">
        <v>337</v>
      </c>
      <c r="E28" s="76" t="s">
        <v>335</v>
      </c>
      <c r="F28" s="74">
        <v>671060</v>
      </c>
      <c r="G28" s="74">
        <f>ROUND(F28/123.6*128.6,0)</f>
        <v>698206</v>
      </c>
      <c r="H28" s="74">
        <f>ROUND(G28/128.6*137.2,0)</f>
        <v>744898</v>
      </c>
      <c r="I28" s="74">
        <f>ROUND(H28/137.2*147.5,0)</f>
        <v>800820</v>
      </c>
      <c r="J28" s="74">
        <f>ROUND(I28/147.5*154.9,0)</f>
        <v>840997</v>
      </c>
      <c r="K28" s="115">
        <v>1016400</v>
      </c>
      <c r="L28" s="115">
        <v>102850</v>
      </c>
      <c r="M28" s="74">
        <f>ROUND(K28/174*175.3,0)</f>
        <v>1023994</v>
      </c>
      <c r="N28" s="74">
        <f>ROUND(L28/122.3*122.5,0)</f>
        <v>103018</v>
      </c>
      <c r="O28" s="74">
        <f t="shared" si="4"/>
        <v>1070700</v>
      </c>
      <c r="P28" s="74">
        <f t="shared" si="5"/>
        <v>107000</v>
      </c>
      <c r="Q28" s="74">
        <f t="shared" si="6"/>
        <v>1177700</v>
      </c>
      <c r="R28" s="76" t="s">
        <v>592</v>
      </c>
      <c r="S28" s="76" t="s">
        <v>592</v>
      </c>
      <c r="T28" s="76"/>
      <c r="U28" s="74">
        <f t="shared" si="0"/>
        <v>900.14763737256408</v>
      </c>
      <c r="V28" s="74">
        <f>U28/12*4</f>
        <v>300.04921245752138</v>
      </c>
      <c r="W28" s="74">
        <f>U28/12*8</f>
        <v>600.09842491504276</v>
      </c>
      <c r="Z28" s="73" t="s">
        <v>969</v>
      </c>
    </row>
    <row r="29" spans="1:29" x14ac:dyDescent="0.25">
      <c r="A29" s="75" t="s">
        <v>544</v>
      </c>
      <c r="B29" s="76" t="s">
        <v>473</v>
      </c>
      <c r="C29" s="76" t="s">
        <v>947</v>
      </c>
      <c r="D29" s="76" t="s">
        <v>334</v>
      </c>
      <c r="E29" s="76" t="s">
        <v>335</v>
      </c>
      <c r="F29" s="74">
        <v>2085432</v>
      </c>
      <c r="G29" s="74">
        <f>ROUND(F29/123.6*128.6,0)</f>
        <v>2169794</v>
      </c>
      <c r="H29" s="140">
        <v>5930000</v>
      </c>
      <c r="I29" s="74">
        <f>ROUND(H29/144.3*147.5,0)</f>
        <v>6061504</v>
      </c>
      <c r="J29" s="74">
        <f>ROUND(I29/153.1*154.9,0)</f>
        <v>6132769</v>
      </c>
      <c r="K29" s="74">
        <f>ROUND(J29/154.9*163.4,0)</f>
        <v>6469299</v>
      </c>
      <c r="L29" s="74">
        <v>250000</v>
      </c>
      <c r="M29" s="74">
        <f>ROUND(K29/163.4*175.3,0)</f>
        <v>6940441</v>
      </c>
      <c r="N29" s="140">
        <f>493509</f>
        <v>493509</v>
      </c>
      <c r="O29" s="74">
        <f t="shared" si="4"/>
        <v>7256700</v>
      </c>
      <c r="P29" s="74">
        <f t="shared" si="5"/>
        <v>512400</v>
      </c>
      <c r="Q29" s="74">
        <f t="shared" si="6"/>
        <v>7769100</v>
      </c>
      <c r="R29" s="76" t="s">
        <v>435</v>
      </c>
      <c r="S29" s="76" t="s">
        <v>899</v>
      </c>
      <c r="T29" s="76"/>
      <c r="U29" s="74">
        <f t="shared" si="0"/>
        <v>5938.1311110734378</v>
      </c>
      <c r="V29" s="74">
        <f>U29/12*4</f>
        <v>1979.3770370244793</v>
      </c>
      <c r="W29" s="74">
        <f>U29/12*8</f>
        <v>3958.7540740489585</v>
      </c>
      <c r="X29" s="78" t="s">
        <v>906</v>
      </c>
      <c r="AB29" s="73" t="s">
        <v>966</v>
      </c>
      <c r="AC29" s="73" t="s">
        <v>975</v>
      </c>
    </row>
    <row r="30" spans="1:29" x14ac:dyDescent="0.25">
      <c r="A30" s="75" t="s">
        <v>556</v>
      </c>
      <c r="B30" s="76" t="s">
        <v>28</v>
      </c>
      <c r="C30" s="76" t="s">
        <v>365</v>
      </c>
      <c r="D30" s="76" t="s">
        <v>334</v>
      </c>
      <c r="E30" s="76" t="s">
        <v>335</v>
      </c>
      <c r="F30" s="74">
        <v>350000</v>
      </c>
      <c r="G30" s="74">
        <f>ROUND(F30/123.6*128.6,0)</f>
        <v>364159</v>
      </c>
      <c r="H30" s="74">
        <f>ROUND(G30/128.6*137.2,0)</f>
        <v>388512</v>
      </c>
      <c r="I30" s="74">
        <f>270000*1.21</f>
        <v>326700</v>
      </c>
      <c r="J30" s="74">
        <f t="shared" si="9"/>
        <v>343090</v>
      </c>
      <c r="K30" s="74">
        <f t="shared" si="1"/>
        <v>361917</v>
      </c>
      <c r="L30" s="139">
        <v>10000</v>
      </c>
      <c r="M30" s="74">
        <f t="shared" si="2"/>
        <v>388274</v>
      </c>
      <c r="N30" s="74">
        <f t="shared" si="3"/>
        <v>10967</v>
      </c>
      <c r="O30" s="74">
        <f t="shared" si="4"/>
        <v>406000</v>
      </c>
      <c r="P30" s="74">
        <f t="shared" si="5"/>
        <v>11400</v>
      </c>
      <c r="Q30" s="74">
        <f t="shared" si="6"/>
        <v>417400</v>
      </c>
      <c r="R30" s="76" t="s">
        <v>310</v>
      </c>
      <c r="S30" s="76" t="s">
        <v>366</v>
      </c>
      <c r="T30" s="76"/>
      <c r="U30" s="74">
        <f t="shared" si="0"/>
        <v>319.02999391976579</v>
      </c>
      <c r="V30" s="74">
        <f t="shared" si="7"/>
        <v>106.3433313065886</v>
      </c>
      <c r="W30" s="74">
        <f t="shared" si="8"/>
        <v>212.68666261317719</v>
      </c>
      <c r="X30" s="78"/>
    </row>
    <row r="31" spans="1:29" x14ac:dyDescent="0.25">
      <c r="A31" s="75" t="s">
        <v>556</v>
      </c>
      <c r="B31" s="76" t="s">
        <v>28</v>
      </c>
      <c r="C31" s="76" t="s">
        <v>367</v>
      </c>
      <c r="D31" s="76" t="s">
        <v>334</v>
      </c>
      <c r="E31" s="76" t="s">
        <v>335</v>
      </c>
      <c r="F31" s="74"/>
      <c r="G31" s="74"/>
      <c r="H31" s="74">
        <v>141386</v>
      </c>
      <c r="I31" s="74">
        <v>255000</v>
      </c>
      <c r="J31" s="74">
        <f>ROUND(I31/153.1*154.9,0)</f>
        <v>257998</v>
      </c>
      <c r="K31" s="74">
        <f t="shared" si="1"/>
        <v>272155</v>
      </c>
      <c r="L31" s="74"/>
      <c r="M31" s="74">
        <f t="shared" si="2"/>
        <v>291975</v>
      </c>
      <c r="N31" s="74">
        <f t="shared" si="3"/>
        <v>0</v>
      </c>
      <c r="O31" s="74">
        <f t="shared" si="4"/>
        <v>305300</v>
      </c>
      <c r="P31" s="74">
        <f t="shared" si="5"/>
        <v>0</v>
      </c>
      <c r="Q31" s="74">
        <f t="shared" si="6"/>
        <v>305300</v>
      </c>
      <c r="R31" s="76" t="s">
        <v>312</v>
      </c>
      <c r="S31" s="76"/>
      <c r="T31" s="76"/>
      <c r="U31" s="74">
        <f t="shared" si="0"/>
        <v>233.34896297006352</v>
      </c>
      <c r="V31" s="74">
        <f t="shared" si="7"/>
        <v>77.782987656687837</v>
      </c>
      <c r="W31" s="74">
        <f t="shared" si="8"/>
        <v>155.56597531337567</v>
      </c>
      <c r="X31" s="78"/>
    </row>
    <row r="32" spans="1:29" x14ac:dyDescent="0.25">
      <c r="A32" s="75" t="s">
        <v>556</v>
      </c>
      <c r="B32" s="76" t="s">
        <v>28</v>
      </c>
      <c r="C32" s="76" t="s">
        <v>368</v>
      </c>
      <c r="D32" s="76" t="s">
        <v>334</v>
      </c>
      <c r="E32" s="76" t="s">
        <v>335</v>
      </c>
      <c r="F32" s="74"/>
      <c r="G32" s="74"/>
      <c r="H32" s="74">
        <v>202309</v>
      </c>
      <c r="I32" s="74">
        <v>365000</v>
      </c>
      <c r="J32" s="74">
        <f>ROUND(I32/153.1*154.9,0)</f>
        <v>369291</v>
      </c>
      <c r="K32" s="74">
        <f t="shared" si="1"/>
        <v>389556</v>
      </c>
      <c r="L32" s="74"/>
      <c r="M32" s="74">
        <f t="shared" si="2"/>
        <v>417926</v>
      </c>
      <c r="N32" s="74">
        <f t="shared" si="3"/>
        <v>0</v>
      </c>
      <c r="O32" s="74">
        <f t="shared" si="4"/>
        <v>437000</v>
      </c>
      <c r="P32" s="74">
        <f t="shared" si="5"/>
        <v>0</v>
      </c>
      <c r="Q32" s="74">
        <f t="shared" si="6"/>
        <v>437000</v>
      </c>
      <c r="R32" s="76" t="s">
        <v>312</v>
      </c>
      <c r="S32" s="76"/>
      <c r="T32" s="76"/>
      <c r="U32" s="74">
        <f t="shared" si="0"/>
        <v>334.0107986174836</v>
      </c>
      <c r="V32" s="74">
        <f t="shared" si="7"/>
        <v>111.33693287249453</v>
      </c>
      <c r="W32" s="74">
        <f t="shared" si="8"/>
        <v>222.67386574498906</v>
      </c>
      <c r="X32" s="78"/>
    </row>
    <row r="33" spans="1:32" x14ac:dyDescent="0.25">
      <c r="A33" s="75" t="s">
        <v>556</v>
      </c>
      <c r="B33" s="76" t="s">
        <v>28</v>
      </c>
      <c r="C33" s="76" t="s">
        <v>369</v>
      </c>
      <c r="D33" s="76" t="s">
        <v>370</v>
      </c>
      <c r="E33" s="76" t="s">
        <v>371</v>
      </c>
      <c r="F33" s="74"/>
      <c r="G33" s="76"/>
      <c r="H33" s="74">
        <v>465000</v>
      </c>
      <c r="I33" s="74">
        <f>ROUND(H33/140.3*147.5,0)</f>
        <v>488863</v>
      </c>
      <c r="J33" s="74">
        <f t="shared" si="9"/>
        <v>513389</v>
      </c>
      <c r="K33" s="74">
        <f t="shared" si="1"/>
        <v>541561</v>
      </c>
      <c r="L33" s="74"/>
      <c r="M33" s="74">
        <f t="shared" si="2"/>
        <v>581001</v>
      </c>
      <c r="N33" s="74">
        <f t="shared" si="3"/>
        <v>0</v>
      </c>
      <c r="O33" s="74">
        <f t="shared" si="4"/>
        <v>607500</v>
      </c>
      <c r="P33" s="74">
        <f t="shared" si="5"/>
        <v>0</v>
      </c>
      <c r="Q33" s="74">
        <f t="shared" si="6"/>
        <v>607500</v>
      </c>
      <c r="R33" s="76" t="s">
        <v>359</v>
      </c>
      <c r="S33" s="76"/>
      <c r="T33" s="76"/>
      <c r="U33" s="74">
        <f t="shared" si="0"/>
        <v>464.3285129522227</v>
      </c>
      <c r="V33" s="74">
        <f t="shared" si="7"/>
        <v>154.77617098407424</v>
      </c>
      <c r="W33" s="74">
        <f t="shared" si="8"/>
        <v>309.55234196814848</v>
      </c>
      <c r="X33" s="78"/>
    </row>
    <row r="34" spans="1:32" s="73" customFormat="1" x14ac:dyDescent="0.25">
      <c r="A34" s="75" t="s">
        <v>557</v>
      </c>
      <c r="B34" s="76" t="s">
        <v>372</v>
      </c>
      <c r="C34" s="76" t="s">
        <v>373</v>
      </c>
      <c r="D34" s="76" t="s">
        <v>374</v>
      </c>
      <c r="E34" s="76" t="s">
        <v>371</v>
      </c>
      <c r="F34" s="74">
        <v>5111278</v>
      </c>
      <c r="G34" s="74">
        <f t="shared" ref="G34:G44" si="13">ROUND(F34/123.6*128.6,0)</f>
        <v>5318045</v>
      </c>
      <c r="H34" s="74">
        <f t="shared" ref="H34:H44" si="14">ROUND(G34/128.6*137.2,0)</f>
        <v>5673684</v>
      </c>
      <c r="I34" s="74">
        <f>2680000*1.21</f>
        <v>3242800</v>
      </c>
      <c r="J34" s="74">
        <f t="shared" si="9"/>
        <v>3405490</v>
      </c>
      <c r="K34" s="74">
        <f t="shared" si="1"/>
        <v>3592363</v>
      </c>
      <c r="L34" s="74">
        <v>120000</v>
      </c>
      <c r="M34" s="74">
        <f t="shared" si="2"/>
        <v>3853986</v>
      </c>
      <c r="N34" s="74">
        <f t="shared" si="3"/>
        <v>131603</v>
      </c>
      <c r="O34" s="74">
        <f t="shared" si="4"/>
        <v>4029600</v>
      </c>
      <c r="P34" s="74">
        <f t="shared" si="5"/>
        <v>136700</v>
      </c>
      <c r="Q34" s="74">
        <f t="shared" si="6"/>
        <v>4166300</v>
      </c>
      <c r="R34" s="76" t="s">
        <v>310</v>
      </c>
      <c r="S34" s="76" t="s">
        <v>375</v>
      </c>
      <c r="T34" s="76"/>
      <c r="U34" s="74">
        <f t="shared" si="0"/>
        <v>3184.4146230664123</v>
      </c>
      <c r="V34" s="74">
        <f t="shared" si="7"/>
        <v>1061.4715410221374</v>
      </c>
      <c r="W34" s="74">
        <f t="shared" si="8"/>
        <v>2122.9430820442749</v>
      </c>
      <c r="Z34" s="73" t="s">
        <v>969</v>
      </c>
    </row>
    <row r="35" spans="1:32" s="73" customFormat="1" x14ac:dyDescent="0.25">
      <c r="A35" s="75" t="s">
        <v>558</v>
      </c>
      <c r="B35" s="76" t="s">
        <v>479</v>
      </c>
      <c r="C35" s="76" t="s">
        <v>438</v>
      </c>
      <c r="D35" s="76" t="s">
        <v>377</v>
      </c>
      <c r="E35" s="76" t="s">
        <v>371</v>
      </c>
      <c r="F35" s="74">
        <v>657447</v>
      </c>
      <c r="G35" s="74">
        <f t="shared" si="13"/>
        <v>684043</v>
      </c>
      <c r="H35" s="74">
        <f t="shared" si="14"/>
        <v>729788</v>
      </c>
      <c r="I35" s="74">
        <f>840000*1.21</f>
        <v>1016400</v>
      </c>
      <c r="J35" s="74">
        <f>1460000*1.21</f>
        <v>1766600</v>
      </c>
      <c r="K35" s="74">
        <f t="shared" si="1"/>
        <v>1863541</v>
      </c>
      <c r="L35" s="74">
        <f>120000*1.21</f>
        <v>145200</v>
      </c>
      <c r="M35" s="74">
        <f t="shared" si="2"/>
        <v>1999258</v>
      </c>
      <c r="N35" s="74">
        <f t="shared" si="3"/>
        <v>159239</v>
      </c>
      <c r="O35" s="74">
        <f t="shared" si="4"/>
        <v>2090400</v>
      </c>
      <c r="P35" s="74">
        <f t="shared" si="5"/>
        <v>165300</v>
      </c>
      <c r="Q35" s="74">
        <f t="shared" si="6"/>
        <v>2255700</v>
      </c>
      <c r="R35" s="76" t="s">
        <v>423</v>
      </c>
      <c r="S35" s="76"/>
      <c r="T35" s="76"/>
      <c r="U35" s="74">
        <f t="shared" si="0"/>
        <v>1724.0918957470431</v>
      </c>
      <c r="V35" s="74">
        <f t="shared" si="7"/>
        <v>574.69729858234768</v>
      </c>
      <c r="W35" s="74">
        <f t="shared" si="8"/>
        <v>1149.3945971646954</v>
      </c>
      <c r="AB35" s="73" t="s">
        <v>966</v>
      </c>
      <c r="AC35" s="73" t="s">
        <v>975</v>
      </c>
    </row>
    <row r="36" spans="1:32" s="73" customFormat="1" x14ac:dyDescent="0.25">
      <c r="A36" s="75" t="s">
        <v>559</v>
      </c>
      <c r="B36" s="76" t="s">
        <v>28</v>
      </c>
      <c r="C36" s="76" t="s">
        <v>378</v>
      </c>
      <c r="D36" s="76" t="s">
        <v>377</v>
      </c>
      <c r="E36" s="76" t="s">
        <v>371</v>
      </c>
      <c r="F36" s="74">
        <v>273093</v>
      </c>
      <c r="G36" s="74">
        <f t="shared" si="13"/>
        <v>284140</v>
      </c>
      <c r="H36" s="74">
        <f t="shared" si="14"/>
        <v>303142</v>
      </c>
      <c r="I36" s="74">
        <f>310000*1.21</f>
        <v>375100</v>
      </c>
      <c r="J36" s="74">
        <f>ROUND(I36/147.5*154.9,0)</f>
        <v>393919</v>
      </c>
      <c r="K36" s="74">
        <f t="shared" si="1"/>
        <v>415535</v>
      </c>
      <c r="L36" s="74"/>
      <c r="M36" s="74">
        <f t="shared" si="2"/>
        <v>445797</v>
      </c>
      <c r="N36" s="74">
        <f t="shared" si="3"/>
        <v>0</v>
      </c>
      <c r="O36" s="74">
        <f t="shared" si="4"/>
        <v>466100</v>
      </c>
      <c r="P36" s="74">
        <f t="shared" si="5"/>
        <v>0</v>
      </c>
      <c r="Q36" s="74">
        <f t="shared" si="6"/>
        <v>466100</v>
      </c>
      <c r="R36" s="76" t="s">
        <v>310</v>
      </c>
      <c r="S36" s="76"/>
      <c r="T36" s="76"/>
      <c r="U36" s="74">
        <f t="shared" si="0"/>
        <v>356.25270763297283</v>
      </c>
      <c r="V36" s="74">
        <f t="shared" si="7"/>
        <v>118.75090254432428</v>
      </c>
      <c r="W36" s="74">
        <f t="shared" si="8"/>
        <v>237.50180508864855</v>
      </c>
    </row>
    <row r="37" spans="1:32" s="73" customFormat="1" x14ac:dyDescent="0.25">
      <c r="A37" s="75" t="s">
        <v>560</v>
      </c>
      <c r="B37" s="76" t="s">
        <v>480</v>
      </c>
      <c r="C37" s="76" t="s">
        <v>379</v>
      </c>
      <c r="D37" s="76" t="s">
        <v>377</v>
      </c>
      <c r="E37" s="76" t="s">
        <v>371</v>
      </c>
      <c r="F37" s="74">
        <v>2197333</v>
      </c>
      <c r="G37" s="74">
        <f t="shared" si="13"/>
        <v>2286222</v>
      </c>
      <c r="H37" s="74">
        <f t="shared" si="14"/>
        <v>2439111</v>
      </c>
      <c r="I37" s="74">
        <v>3550000</v>
      </c>
      <c r="J37" s="74">
        <f>ROUND(I37/153.1*154.9,0)</f>
        <v>3591737</v>
      </c>
      <c r="K37" s="74">
        <f t="shared" si="1"/>
        <v>3788830</v>
      </c>
      <c r="L37" s="139">
        <v>550000</v>
      </c>
      <c r="M37" s="74">
        <f t="shared" si="2"/>
        <v>4064761</v>
      </c>
      <c r="N37" s="74">
        <f t="shared" si="3"/>
        <v>603178</v>
      </c>
      <c r="O37" s="74">
        <f t="shared" si="4"/>
        <v>4250000</v>
      </c>
      <c r="P37" s="74">
        <f t="shared" si="5"/>
        <v>626300</v>
      </c>
      <c r="Q37" s="74">
        <f t="shared" si="6"/>
        <v>4876300</v>
      </c>
      <c r="R37" s="76" t="s">
        <v>312</v>
      </c>
      <c r="S37" s="76" t="s">
        <v>380</v>
      </c>
      <c r="T37" s="76"/>
      <c r="U37" s="74">
        <f t="shared" si="0"/>
        <v>3727.0866299735371</v>
      </c>
      <c r="V37" s="74">
        <f t="shared" si="7"/>
        <v>1242.362209991179</v>
      </c>
      <c r="W37" s="74">
        <f t="shared" si="8"/>
        <v>2484.7244199823581</v>
      </c>
      <c r="AB37" s="73" t="s">
        <v>966</v>
      </c>
      <c r="AC37" s="73" t="s">
        <v>975</v>
      </c>
    </row>
    <row r="38" spans="1:32" s="78" customFormat="1" x14ac:dyDescent="0.25">
      <c r="A38" s="160"/>
      <c r="B38" s="76" t="s">
        <v>923</v>
      </c>
      <c r="C38" s="76" t="s">
        <v>922</v>
      </c>
      <c r="D38" s="76" t="s">
        <v>377</v>
      </c>
      <c r="E38" s="76" t="s">
        <v>371</v>
      </c>
      <c r="F38" s="140"/>
      <c r="G38" s="140"/>
      <c r="H38" s="140"/>
      <c r="I38" s="140"/>
      <c r="J38" s="140"/>
      <c r="K38" s="140"/>
      <c r="L38" s="140"/>
      <c r="M38" s="140">
        <v>477950</v>
      </c>
      <c r="N38" s="140"/>
      <c r="O38" s="74">
        <f>M38</f>
        <v>477950</v>
      </c>
      <c r="P38" s="74">
        <f t="shared" si="5"/>
        <v>0</v>
      </c>
      <c r="Q38" s="74">
        <f t="shared" si="6"/>
        <v>477950</v>
      </c>
      <c r="R38" s="51" t="s">
        <v>932</v>
      </c>
      <c r="S38" s="76"/>
      <c r="T38" s="97"/>
      <c r="U38" s="74">
        <f t="shared" si="0"/>
        <v>365.30997986092973</v>
      </c>
      <c r="V38" s="140">
        <f>U38/12*4</f>
        <v>121.76999328697657</v>
      </c>
      <c r="W38" s="140">
        <f>U38/12*8</f>
        <v>243.53998657395314</v>
      </c>
      <c r="X38" s="78" t="s">
        <v>935</v>
      </c>
    </row>
    <row r="39" spans="1:32" s="73" customFormat="1" x14ac:dyDescent="0.25">
      <c r="A39" s="75" t="s">
        <v>508</v>
      </c>
      <c r="B39" s="76" t="s">
        <v>381</v>
      </c>
      <c r="C39" s="76" t="s">
        <v>481</v>
      </c>
      <c r="D39" s="76" t="s">
        <v>376</v>
      </c>
      <c r="E39" s="76" t="s">
        <v>371</v>
      </c>
      <c r="F39" s="74">
        <v>86469</v>
      </c>
      <c r="G39" s="74">
        <f t="shared" si="13"/>
        <v>89967</v>
      </c>
      <c r="H39" s="74">
        <f t="shared" si="14"/>
        <v>95983</v>
      </c>
      <c r="I39" s="74">
        <v>100000</v>
      </c>
      <c r="J39" s="74">
        <f>ROUND(I39/153.1*154.9,0)</f>
        <v>101176</v>
      </c>
      <c r="K39" s="74">
        <f t="shared" si="1"/>
        <v>106728</v>
      </c>
      <c r="L39" s="74"/>
      <c r="M39" s="74">
        <f t="shared" si="2"/>
        <v>114501</v>
      </c>
      <c r="N39" s="74">
        <f t="shared" si="3"/>
        <v>0</v>
      </c>
      <c r="O39" s="74">
        <f t="shared" si="4"/>
        <v>119700</v>
      </c>
      <c r="P39" s="74">
        <f t="shared" si="5"/>
        <v>0</v>
      </c>
      <c r="Q39" s="74">
        <f t="shared" si="6"/>
        <v>119700</v>
      </c>
      <c r="R39" s="76" t="s">
        <v>312</v>
      </c>
      <c r="S39" s="76"/>
      <c r="T39" s="76"/>
      <c r="U39" s="74">
        <f t="shared" si="0"/>
        <v>91.489914403919428</v>
      </c>
      <c r="V39" s="74">
        <f t="shared" si="7"/>
        <v>30.496638134639809</v>
      </c>
      <c r="W39" s="74">
        <f t="shared" si="8"/>
        <v>60.993276269279619</v>
      </c>
    </row>
    <row r="40" spans="1:32" s="78" customFormat="1" x14ac:dyDescent="0.25">
      <c r="A40" s="160"/>
      <c r="B40" s="76" t="s">
        <v>897</v>
      </c>
      <c r="C40" s="76" t="s">
        <v>898</v>
      </c>
      <c r="D40" s="76" t="s">
        <v>384</v>
      </c>
      <c r="E40" s="76" t="s">
        <v>371</v>
      </c>
      <c r="F40" s="140"/>
      <c r="G40" s="140"/>
      <c r="H40" s="140"/>
      <c r="I40" s="140"/>
      <c r="J40" s="140"/>
      <c r="K40" s="140"/>
      <c r="L40" s="140"/>
      <c r="M40" s="140">
        <v>1349150</v>
      </c>
      <c r="N40" s="140">
        <v>260250</v>
      </c>
      <c r="O40" s="74">
        <f>ROUND(M40/128.4*130.8,-2)</f>
        <v>1374400</v>
      </c>
      <c r="P40" s="74">
        <f>ROUND(N40/124.4*127.2,-2)</f>
        <v>266100</v>
      </c>
      <c r="Q40" s="74">
        <f t="shared" si="6"/>
        <v>1640500</v>
      </c>
      <c r="R40" s="76" t="s">
        <v>904</v>
      </c>
      <c r="S40" s="76" t="s">
        <v>902</v>
      </c>
      <c r="T40" s="97"/>
      <c r="U40" s="74">
        <f t="shared" si="0"/>
        <v>1253.8780666635741</v>
      </c>
      <c r="V40" s="140">
        <f t="shared" si="7"/>
        <v>417.95935555452473</v>
      </c>
      <c r="W40" s="140">
        <f t="shared" si="8"/>
        <v>835.91871110904947</v>
      </c>
      <c r="X40" s="97" t="s">
        <v>903</v>
      </c>
      <c r="Z40" s="171" t="s">
        <v>969</v>
      </c>
      <c r="AF40" s="78" t="s">
        <v>970</v>
      </c>
    </row>
    <row r="41" spans="1:32" s="73" customFormat="1" x14ac:dyDescent="0.25">
      <c r="A41" s="75" t="s">
        <v>561</v>
      </c>
      <c r="B41" s="76" t="s">
        <v>382</v>
      </c>
      <c r="C41" s="76" t="s">
        <v>383</v>
      </c>
      <c r="D41" s="76" t="s">
        <v>384</v>
      </c>
      <c r="E41" s="76" t="s">
        <v>371</v>
      </c>
      <c r="F41" s="74">
        <v>671177</v>
      </c>
      <c r="G41" s="74">
        <f t="shared" si="13"/>
        <v>698328</v>
      </c>
      <c r="H41" s="74">
        <f t="shared" si="14"/>
        <v>745028</v>
      </c>
      <c r="I41" s="74">
        <f>645000*1.21</f>
        <v>780450</v>
      </c>
      <c r="J41" s="74">
        <f t="shared" si="9"/>
        <v>819605</v>
      </c>
      <c r="K41" s="74">
        <f t="shared" si="1"/>
        <v>864580</v>
      </c>
      <c r="L41" s="74"/>
      <c r="M41" s="74">
        <f t="shared" si="2"/>
        <v>927545</v>
      </c>
      <c r="N41" s="74">
        <f t="shared" si="3"/>
        <v>0</v>
      </c>
      <c r="O41" s="74">
        <f t="shared" si="4"/>
        <v>969800</v>
      </c>
      <c r="P41" s="74">
        <f t="shared" si="5"/>
        <v>0</v>
      </c>
      <c r="Q41" s="74">
        <f t="shared" si="6"/>
        <v>969800</v>
      </c>
      <c r="R41" s="76" t="s">
        <v>310</v>
      </c>
      <c r="S41" s="76"/>
      <c r="T41" s="76"/>
      <c r="U41" s="74">
        <f t="shared" si="0"/>
        <v>741.24410182891461</v>
      </c>
      <c r="V41" s="74">
        <f t="shared" si="7"/>
        <v>247.08136727630486</v>
      </c>
      <c r="W41" s="74">
        <f t="shared" si="8"/>
        <v>494.16273455260972</v>
      </c>
      <c r="AB41" s="73" t="s">
        <v>966</v>
      </c>
      <c r="AC41" s="73" t="s">
        <v>975</v>
      </c>
    </row>
    <row r="42" spans="1:32" s="73" customFormat="1" x14ac:dyDescent="0.25">
      <c r="A42" s="75" t="s">
        <v>562</v>
      </c>
      <c r="B42" s="76" t="s">
        <v>385</v>
      </c>
      <c r="C42" s="76" t="s">
        <v>386</v>
      </c>
      <c r="D42" s="76" t="s">
        <v>384</v>
      </c>
      <c r="E42" s="76" t="s">
        <v>371</v>
      </c>
      <c r="F42" s="74">
        <v>438848</v>
      </c>
      <c r="G42" s="74">
        <f t="shared" si="13"/>
        <v>456601</v>
      </c>
      <c r="H42" s="74">
        <f t="shared" si="14"/>
        <v>487136</v>
      </c>
      <c r="I42" s="74">
        <f>380000*1.21</f>
        <v>459800</v>
      </c>
      <c r="J42" s="74">
        <f t="shared" si="9"/>
        <v>482868</v>
      </c>
      <c r="K42" s="74">
        <f t="shared" si="1"/>
        <v>509365</v>
      </c>
      <c r="L42" s="74"/>
      <c r="M42" s="74">
        <f t="shared" si="2"/>
        <v>546461</v>
      </c>
      <c r="N42" s="74">
        <f t="shared" si="3"/>
        <v>0</v>
      </c>
      <c r="O42" s="74">
        <f t="shared" si="4"/>
        <v>571400</v>
      </c>
      <c r="P42" s="74">
        <f t="shared" si="5"/>
        <v>0</v>
      </c>
      <c r="Q42" s="74">
        <f t="shared" si="6"/>
        <v>571400</v>
      </c>
      <c r="R42" s="76" t="s">
        <v>310</v>
      </c>
      <c r="S42" s="76"/>
      <c r="T42" s="76"/>
      <c r="U42" s="74">
        <f t="shared" si="0"/>
        <v>436.73631654469142</v>
      </c>
      <c r="V42" s="74">
        <f t="shared" si="7"/>
        <v>145.57877218156381</v>
      </c>
      <c r="W42" s="74">
        <f t="shared" si="8"/>
        <v>291.15754436312761</v>
      </c>
      <c r="AB42" s="73" t="s">
        <v>966</v>
      </c>
      <c r="AC42" s="73" t="s">
        <v>975</v>
      </c>
    </row>
    <row r="43" spans="1:32" s="73" customFormat="1" x14ac:dyDescent="0.25">
      <c r="A43" s="75" t="s">
        <v>563</v>
      </c>
      <c r="B43" s="76" t="s">
        <v>468</v>
      </c>
      <c r="C43" s="76" t="s">
        <v>387</v>
      </c>
      <c r="D43" s="76" t="s">
        <v>384</v>
      </c>
      <c r="E43" s="76" t="s">
        <v>371</v>
      </c>
      <c r="F43" s="74">
        <v>784762</v>
      </c>
      <c r="G43" s="74">
        <f t="shared" si="13"/>
        <v>816508</v>
      </c>
      <c r="H43" s="74">
        <f t="shared" si="14"/>
        <v>871111</v>
      </c>
      <c r="I43" s="74">
        <f>775000*1.21</f>
        <v>937750</v>
      </c>
      <c r="J43" s="74">
        <f t="shared" si="9"/>
        <v>984796</v>
      </c>
      <c r="K43" s="74">
        <f t="shared" si="1"/>
        <v>1038836</v>
      </c>
      <c r="L43" s="74"/>
      <c r="M43" s="74">
        <f t="shared" si="2"/>
        <v>1114492</v>
      </c>
      <c r="N43" s="74">
        <f t="shared" si="3"/>
        <v>0</v>
      </c>
      <c r="O43" s="74">
        <f t="shared" si="4"/>
        <v>1165300</v>
      </c>
      <c r="P43" s="74">
        <f t="shared" si="5"/>
        <v>0</v>
      </c>
      <c r="Q43" s="74">
        <f t="shared" si="6"/>
        <v>1165300</v>
      </c>
      <c r="R43" s="76" t="s">
        <v>310</v>
      </c>
      <c r="S43" s="76"/>
      <c r="T43" s="76"/>
      <c r="U43" s="74">
        <f t="shared" si="0"/>
        <v>890.66998542094655</v>
      </c>
      <c r="V43" s="74">
        <f t="shared" si="7"/>
        <v>296.88999514031553</v>
      </c>
      <c r="W43" s="74">
        <f t="shared" si="8"/>
        <v>593.77999028063107</v>
      </c>
      <c r="Y43" s="73" t="s">
        <v>969</v>
      </c>
      <c r="AB43" s="73" t="s">
        <v>966</v>
      </c>
      <c r="AC43" s="73" t="s">
        <v>975</v>
      </c>
    </row>
    <row r="44" spans="1:32" x14ac:dyDescent="0.25">
      <c r="A44" s="75" t="s">
        <v>539</v>
      </c>
      <c r="B44" s="76" t="s">
        <v>388</v>
      </c>
      <c r="C44" s="76" t="s">
        <v>389</v>
      </c>
      <c r="D44" s="76" t="s">
        <v>390</v>
      </c>
      <c r="E44" s="76" t="s">
        <v>371</v>
      </c>
      <c r="F44" s="74">
        <v>464661</v>
      </c>
      <c r="G44" s="74">
        <f t="shared" si="13"/>
        <v>483458</v>
      </c>
      <c r="H44" s="74">
        <f t="shared" si="14"/>
        <v>515789</v>
      </c>
      <c r="I44" s="74">
        <f>435000*1.21</f>
        <v>526350</v>
      </c>
      <c r="J44" s="74">
        <f t="shared" si="9"/>
        <v>552757</v>
      </c>
      <c r="K44" s="74">
        <f t="shared" si="1"/>
        <v>583089</v>
      </c>
      <c r="L44" s="74">
        <v>50000</v>
      </c>
      <c r="M44" s="74">
        <f t="shared" si="2"/>
        <v>625554</v>
      </c>
      <c r="N44" s="74">
        <f t="shared" si="3"/>
        <v>54834</v>
      </c>
      <c r="O44" s="74">
        <f t="shared" si="4"/>
        <v>654100</v>
      </c>
      <c r="P44" s="74">
        <f t="shared" si="5"/>
        <v>56900</v>
      </c>
      <c r="Q44" s="74">
        <f t="shared" si="6"/>
        <v>711000</v>
      </c>
      <c r="R44" s="76" t="s">
        <v>310</v>
      </c>
      <c r="S44" s="76" t="s">
        <v>391</v>
      </c>
      <c r="T44" s="76"/>
      <c r="U44" s="74">
        <f t="shared" si="0"/>
        <v>543.4363336774162</v>
      </c>
      <c r="V44" s="74">
        <f t="shared" si="7"/>
        <v>181.14544455913872</v>
      </c>
      <c r="W44" s="74">
        <f t="shared" si="8"/>
        <v>362.29088911827745</v>
      </c>
      <c r="X44" s="73"/>
      <c r="AD44" s="80" t="s">
        <v>969</v>
      </c>
    </row>
    <row r="45" spans="1:32" x14ac:dyDescent="0.25">
      <c r="A45" s="75" t="s">
        <v>564</v>
      </c>
      <c r="B45" s="76" t="s">
        <v>471</v>
      </c>
      <c r="C45" s="76" t="s">
        <v>392</v>
      </c>
      <c r="D45" s="76" t="s">
        <v>393</v>
      </c>
      <c r="E45" s="76" t="s">
        <v>371</v>
      </c>
      <c r="F45" s="74">
        <v>1678518</v>
      </c>
      <c r="G45" s="74">
        <f>ROUND(F45/123.6*128.6,0)</f>
        <v>1746419</v>
      </c>
      <c r="H45" s="74">
        <f>ROUND(G45/128.6*137.2,0)</f>
        <v>1863209</v>
      </c>
      <c r="I45" s="74">
        <v>1800000</v>
      </c>
      <c r="J45" s="74">
        <f>ROUND(I45/153.1*154.9,0)</f>
        <v>1821163</v>
      </c>
      <c r="K45" s="74">
        <f>ROUND(J45/154.9*163.4,0)</f>
        <v>1921098</v>
      </c>
      <c r="L45" s="74">
        <v>450000</v>
      </c>
      <c r="M45" s="74">
        <f>ROUND(K45/163.4*175.3,0)</f>
        <v>2061007</v>
      </c>
      <c r="N45" s="140">
        <v>0</v>
      </c>
      <c r="O45" s="74">
        <f t="shared" si="4"/>
        <v>2154900</v>
      </c>
      <c r="P45" s="74">
        <f t="shared" si="5"/>
        <v>0</v>
      </c>
      <c r="Q45" s="74">
        <f t="shared" si="6"/>
        <v>2154900</v>
      </c>
      <c r="R45" s="76" t="s">
        <v>312</v>
      </c>
      <c r="S45" s="76" t="s">
        <v>394</v>
      </c>
      <c r="T45" s="76"/>
      <c r="U45" s="74">
        <f t="shared" si="0"/>
        <v>1647.0477573016374</v>
      </c>
      <c r="V45" s="74">
        <f t="shared" si="7"/>
        <v>549.01591910054583</v>
      </c>
      <c r="W45" s="74">
        <f t="shared" si="8"/>
        <v>1098.0318382010917</v>
      </c>
      <c r="X45" s="78" t="s">
        <v>925</v>
      </c>
      <c r="Y45" s="73" t="s">
        <v>966</v>
      </c>
      <c r="AC45" s="78" t="s">
        <v>976</v>
      </c>
    </row>
    <row r="46" spans="1:32" s="78" customFormat="1" x14ac:dyDescent="0.25">
      <c r="A46" s="160"/>
      <c r="B46" s="76" t="s">
        <v>907</v>
      </c>
      <c r="C46" s="76" t="s">
        <v>905</v>
      </c>
      <c r="D46" s="76" t="s">
        <v>395</v>
      </c>
      <c r="E46" s="76" t="s">
        <v>371</v>
      </c>
      <c r="F46" s="140"/>
      <c r="G46" s="140"/>
      <c r="H46" s="140"/>
      <c r="I46" s="140"/>
      <c r="J46" s="140"/>
      <c r="K46" s="140"/>
      <c r="L46" s="140"/>
      <c r="M46" s="140">
        <v>10266850</v>
      </c>
      <c r="N46" s="140">
        <v>980100</v>
      </c>
      <c r="O46" s="74">
        <f>M46</f>
        <v>10266850</v>
      </c>
      <c r="P46" s="74">
        <f>ROUND(N46/124.4*127.2,-2)</f>
        <v>1002200</v>
      </c>
      <c r="Q46" s="74">
        <f t="shared" si="6"/>
        <v>11269050</v>
      </c>
      <c r="R46" s="51" t="s">
        <v>932</v>
      </c>
      <c r="S46" s="76"/>
      <c r="T46" s="97"/>
      <c r="U46" s="74">
        <f t="shared" si="0"/>
        <v>8613.2365907559579</v>
      </c>
      <c r="V46" s="74">
        <f>U46/12*4</f>
        <v>2871.0788635853191</v>
      </c>
      <c r="W46" s="74">
        <f>U46/12*8</f>
        <v>5742.1577271706383</v>
      </c>
      <c r="X46" s="97" t="s">
        <v>934</v>
      </c>
      <c r="AB46" s="171" t="s">
        <v>966</v>
      </c>
      <c r="AC46" s="171" t="s">
        <v>975</v>
      </c>
    </row>
    <row r="47" spans="1:32" x14ac:dyDescent="0.25">
      <c r="A47" s="75" t="s">
        <v>566</v>
      </c>
      <c r="B47" s="76" t="s">
        <v>145</v>
      </c>
      <c r="C47" s="76" t="s">
        <v>396</v>
      </c>
      <c r="D47" s="76" t="s">
        <v>395</v>
      </c>
      <c r="E47" s="76" t="s">
        <v>371</v>
      </c>
      <c r="F47" s="74">
        <v>809165</v>
      </c>
      <c r="G47" s="74">
        <f>ROUND(F47/123.6*128.6,0)</f>
        <v>841898</v>
      </c>
      <c r="H47" s="74">
        <f>ROUND(G47/128.6*137.2,0)</f>
        <v>898199</v>
      </c>
      <c r="I47" s="74">
        <f>ROUND(H47/137.2*147.5,0)</f>
        <v>965629</v>
      </c>
      <c r="J47" s="74">
        <f>ROUND(I47/147.5*154.9,0)</f>
        <v>1014074</v>
      </c>
      <c r="K47" s="115">
        <v>1161600</v>
      </c>
      <c r="L47" s="115">
        <v>90750</v>
      </c>
      <c r="M47" s="74">
        <f>ROUND(K47/174*175.3,0)</f>
        <v>1170279</v>
      </c>
      <c r="N47" s="74">
        <f>ROUND(L47/122.3*122.5,0)</f>
        <v>90898</v>
      </c>
      <c r="O47" s="74">
        <f t="shared" si="4"/>
        <v>1223600</v>
      </c>
      <c r="P47" s="74">
        <f t="shared" si="5"/>
        <v>94400</v>
      </c>
      <c r="Q47" s="74">
        <f t="shared" si="6"/>
        <v>1318000</v>
      </c>
      <c r="R47" s="76" t="s">
        <v>592</v>
      </c>
      <c r="S47" s="76" t="s">
        <v>592</v>
      </c>
      <c r="T47" s="76"/>
      <c r="U47" s="74">
        <f t="shared" si="0"/>
        <v>1007.382683244493</v>
      </c>
      <c r="V47" s="74">
        <f>U47/12*4</f>
        <v>335.79422774816436</v>
      </c>
      <c r="W47" s="74">
        <f>U47/12*8</f>
        <v>671.58845549632872</v>
      </c>
      <c r="X47" s="78"/>
    </row>
    <row r="48" spans="1:32" x14ac:dyDescent="0.25">
      <c r="A48" s="75" t="s">
        <v>565</v>
      </c>
      <c r="B48" s="76" t="s">
        <v>948</v>
      </c>
      <c r="C48" s="76" t="s">
        <v>397</v>
      </c>
      <c r="D48" s="76" t="s">
        <v>395</v>
      </c>
      <c r="E48" s="76" t="s">
        <v>371</v>
      </c>
      <c r="F48" s="74">
        <v>895210</v>
      </c>
      <c r="G48" s="74">
        <f>ROUND(F48/123.6*128.6,0)</f>
        <v>931424</v>
      </c>
      <c r="H48" s="74">
        <f>ROUND(G48/128.6*137.2,0)</f>
        <v>993712</v>
      </c>
      <c r="I48" s="74">
        <v>945000</v>
      </c>
      <c r="J48" s="74">
        <f>ROUND(I48/153.1*154.9,0)</f>
        <v>956110</v>
      </c>
      <c r="K48" s="74">
        <f>ROUND(J48/154.9*163.4,0)</f>
        <v>1008576</v>
      </c>
      <c r="L48" s="74"/>
      <c r="M48" s="74">
        <f>ROUND(K48/163.4*175.3,0)</f>
        <v>1082028</v>
      </c>
      <c r="N48" s="74">
        <f>ROUND(L48/111.7*122.5,0)</f>
        <v>0</v>
      </c>
      <c r="O48" s="74">
        <f t="shared" si="4"/>
        <v>1131300</v>
      </c>
      <c r="P48" s="74">
        <f t="shared" si="5"/>
        <v>0</v>
      </c>
      <c r="Q48" s="74">
        <f t="shared" si="6"/>
        <v>1131300</v>
      </c>
      <c r="R48" s="76" t="s">
        <v>312</v>
      </c>
      <c r="S48" s="76"/>
      <c r="T48" s="76"/>
      <c r="U48" s="74">
        <f t="shared" si="0"/>
        <v>864.68287523102799</v>
      </c>
      <c r="V48" s="74">
        <f t="shared" si="7"/>
        <v>288.22762507700935</v>
      </c>
      <c r="W48" s="74">
        <f t="shared" si="8"/>
        <v>576.4552501540187</v>
      </c>
      <c r="X48" s="78" t="s">
        <v>924</v>
      </c>
      <c r="Y48" s="73" t="s">
        <v>969</v>
      </c>
    </row>
    <row r="49" spans="1:30" x14ac:dyDescent="0.25">
      <c r="A49" s="75" t="s">
        <v>567</v>
      </c>
      <c r="B49" s="76" t="s">
        <v>465</v>
      </c>
      <c r="C49" s="76" t="s">
        <v>398</v>
      </c>
      <c r="D49" s="76" t="s">
        <v>399</v>
      </c>
      <c r="E49" s="76" t="s">
        <v>400</v>
      </c>
      <c r="F49" s="74"/>
      <c r="G49" s="74"/>
      <c r="H49" s="74"/>
      <c r="I49" s="74">
        <f>ROUND(H49/137.2*147.5,0)</f>
        <v>0</v>
      </c>
      <c r="J49" s="74">
        <f t="shared" si="9"/>
        <v>0</v>
      </c>
      <c r="K49" s="74">
        <f t="shared" si="1"/>
        <v>0</v>
      </c>
      <c r="L49" s="74">
        <v>1200000</v>
      </c>
      <c r="M49" s="74">
        <f t="shared" si="2"/>
        <v>0</v>
      </c>
      <c r="N49" s="74">
        <f t="shared" si="3"/>
        <v>1316025</v>
      </c>
      <c r="O49" s="74">
        <f t="shared" si="4"/>
        <v>0</v>
      </c>
      <c r="P49" s="74">
        <f t="shared" si="5"/>
        <v>1366500</v>
      </c>
      <c r="Q49" s="74">
        <f t="shared" si="6"/>
        <v>1366500</v>
      </c>
      <c r="R49" s="76"/>
      <c r="S49" s="76" t="s">
        <v>401</v>
      </c>
      <c r="T49" s="76"/>
      <c r="U49" s="74">
        <f t="shared" si="0"/>
        <v>1044.4525316036418</v>
      </c>
      <c r="V49" s="74">
        <f t="shared" si="7"/>
        <v>348.15084386788061</v>
      </c>
      <c r="W49" s="74">
        <f t="shared" si="8"/>
        <v>696.30168773576122</v>
      </c>
      <c r="X49" s="78"/>
    </row>
    <row r="50" spans="1:30" x14ac:dyDescent="0.25">
      <c r="A50" s="75" t="s">
        <v>568</v>
      </c>
      <c r="B50" s="76" t="s">
        <v>467</v>
      </c>
      <c r="C50" s="76" t="s">
        <v>402</v>
      </c>
      <c r="D50" s="76" t="s">
        <v>399</v>
      </c>
      <c r="E50" s="76" t="s">
        <v>400</v>
      </c>
      <c r="F50" s="74">
        <v>15901754</v>
      </c>
      <c r="G50" s="74">
        <f>ROUND(F50/123.6*128.6,0)</f>
        <v>16545029</v>
      </c>
      <c r="H50" s="74">
        <v>19800000</v>
      </c>
      <c r="I50" s="74">
        <f>ROUND(H50/140.3*147.5,0)</f>
        <v>20816108</v>
      </c>
      <c r="J50" s="74">
        <f t="shared" si="9"/>
        <v>21860442</v>
      </c>
      <c r="K50" s="74">
        <f t="shared" si="1"/>
        <v>23060014</v>
      </c>
      <c r="L50" s="74"/>
      <c r="M50" s="74">
        <f t="shared" si="2"/>
        <v>24739415</v>
      </c>
      <c r="N50" s="74">
        <f t="shared" si="3"/>
        <v>0</v>
      </c>
      <c r="O50" s="74">
        <f t="shared" si="4"/>
        <v>25866600</v>
      </c>
      <c r="P50" s="74">
        <f t="shared" si="5"/>
        <v>0</v>
      </c>
      <c r="Q50" s="74">
        <f t="shared" si="6"/>
        <v>25866600</v>
      </c>
      <c r="R50" s="76" t="s">
        <v>359</v>
      </c>
      <c r="S50" s="76"/>
      <c r="T50" s="76"/>
      <c r="U50" s="74">
        <f t="shared" si="0"/>
        <v>19770.534836427923</v>
      </c>
      <c r="V50" s="74">
        <f t="shared" si="7"/>
        <v>6590.1782788093078</v>
      </c>
      <c r="W50" s="74">
        <f t="shared" si="8"/>
        <v>13180.356557618616</v>
      </c>
      <c r="X50" s="73"/>
    </row>
    <row r="51" spans="1:30" x14ac:dyDescent="0.25">
      <c r="A51" s="75" t="s">
        <v>567</v>
      </c>
      <c r="B51" s="76" t="s">
        <v>403</v>
      </c>
      <c r="C51" s="76" t="s">
        <v>404</v>
      </c>
      <c r="D51" s="76" t="s">
        <v>399</v>
      </c>
      <c r="E51" s="76" t="s">
        <v>400</v>
      </c>
      <c r="F51" s="74"/>
      <c r="G51" s="74"/>
      <c r="H51" s="74"/>
      <c r="I51" s="74">
        <f>ROUND(H51/137.2*147.5,0)</f>
        <v>0</v>
      </c>
      <c r="J51" s="74">
        <f t="shared" si="9"/>
        <v>0</v>
      </c>
      <c r="K51" s="74">
        <f t="shared" si="1"/>
        <v>0</v>
      </c>
      <c r="L51" s="74">
        <v>675000</v>
      </c>
      <c r="M51" s="74">
        <f t="shared" si="2"/>
        <v>0</v>
      </c>
      <c r="N51" s="74">
        <f t="shared" si="3"/>
        <v>740264</v>
      </c>
      <c r="O51" s="74">
        <f t="shared" si="4"/>
        <v>0</v>
      </c>
      <c r="P51" s="74">
        <f t="shared" si="5"/>
        <v>768700</v>
      </c>
      <c r="Q51" s="74">
        <f t="shared" si="6"/>
        <v>768700</v>
      </c>
      <c r="R51" s="76"/>
      <c r="S51" s="76" t="s">
        <v>405</v>
      </c>
      <c r="T51" s="76"/>
      <c r="U51" s="74">
        <f t="shared" si="0"/>
        <v>587.53798832324867</v>
      </c>
      <c r="V51" s="74">
        <f t="shared" si="7"/>
        <v>195.84599610774956</v>
      </c>
      <c r="W51" s="74">
        <f t="shared" si="8"/>
        <v>391.69199221549911</v>
      </c>
      <c r="X51" s="129"/>
    </row>
    <row r="52" spans="1:30" s="78" customFormat="1" x14ac:dyDescent="0.25">
      <c r="A52" s="75" t="s">
        <v>568</v>
      </c>
      <c r="B52" s="76" t="s">
        <v>467</v>
      </c>
      <c r="C52" s="76" t="s">
        <v>406</v>
      </c>
      <c r="D52" s="76" t="s">
        <v>399</v>
      </c>
      <c r="E52" s="76" t="s">
        <v>400</v>
      </c>
      <c r="F52" s="74"/>
      <c r="G52" s="74"/>
      <c r="H52" s="74"/>
      <c r="I52" s="74">
        <f>ROUND(H52/137.2*147.5,0)</f>
        <v>0</v>
      </c>
      <c r="J52" s="74">
        <f t="shared" si="9"/>
        <v>0</v>
      </c>
      <c r="K52" s="74">
        <f t="shared" si="1"/>
        <v>0</v>
      </c>
      <c r="L52" s="74">
        <v>1365000</v>
      </c>
      <c r="M52" s="74">
        <f t="shared" si="2"/>
        <v>0</v>
      </c>
      <c r="N52" s="74">
        <f t="shared" si="3"/>
        <v>1496979</v>
      </c>
      <c r="O52" s="74">
        <f t="shared" si="4"/>
        <v>0</v>
      </c>
      <c r="P52" s="74">
        <f t="shared" si="5"/>
        <v>1554400</v>
      </c>
      <c r="Q52" s="74">
        <f t="shared" si="6"/>
        <v>1554400</v>
      </c>
      <c r="R52" s="76"/>
      <c r="S52" s="76" t="s">
        <v>407</v>
      </c>
      <c r="T52" s="76"/>
      <c r="U52" s="74">
        <f t="shared" si="0"/>
        <v>1188.0695317414568</v>
      </c>
      <c r="V52" s="74">
        <f t="shared" si="7"/>
        <v>396.02317724715226</v>
      </c>
      <c r="W52" s="74">
        <f t="shared" si="8"/>
        <v>792.04635449430452</v>
      </c>
      <c r="X52" s="129"/>
      <c r="AB52" s="78" t="s">
        <v>966</v>
      </c>
      <c r="AC52" s="171" t="s">
        <v>975</v>
      </c>
    </row>
    <row r="53" spans="1:30" x14ac:dyDescent="0.25">
      <c r="A53" s="75" t="s">
        <v>567</v>
      </c>
      <c r="B53" s="76" t="s">
        <v>403</v>
      </c>
      <c r="C53" s="76" t="s">
        <v>408</v>
      </c>
      <c r="D53" s="76" t="s">
        <v>399</v>
      </c>
      <c r="E53" s="76" t="s">
        <v>400</v>
      </c>
      <c r="F53" s="74">
        <v>2994486</v>
      </c>
      <c r="G53" s="74">
        <f>ROUND(F53/123.6*128.6,0)</f>
        <v>3115622</v>
      </c>
      <c r="H53" s="74">
        <v>4200000</v>
      </c>
      <c r="I53" s="74">
        <f>ROUND(H53/140.3*147.5,0)</f>
        <v>4415538</v>
      </c>
      <c r="J53" s="74">
        <f t="shared" si="9"/>
        <v>4637063</v>
      </c>
      <c r="K53" s="74">
        <f t="shared" si="1"/>
        <v>4891518</v>
      </c>
      <c r="L53" s="74"/>
      <c r="M53" s="74">
        <f t="shared" si="2"/>
        <v>5247755</v>
      </c>
      <c r="N53" s="74">
        <f t="shared" si="3"/>
        <v>0</v>
      </c>
      <c r="O53" s="74">
        <f t="shared" si="4"/>
        <v>5486900</v>
      </c>
      <c r="P53" s="74">
        <f t="shared" si="5"/>
        <v>0</v>
      </c>
      <c r="Q53" s="74">
        <f t="shared" si="6"/>
        <v>5486900</v>
      </c>
      <c r="R53" s="76" t="s">
        <v>359</v>
      </c>
      <c r="S53" s="76"/>
      <c r="T53" s="76"/>
      <c r="U53" s="74">
        <f t="shared" si="0"/>
        <v>4193.7845559136631</v>
      </c>
      <c r="V53" s="74">
        <f t="shared" si="7"/>
        <v>1397.9281853045543</v>
      </c>
      <c r="W53" s="74">
        <f t="shared" si="8"/>
        <v>2795.8563706091086</v>
      </c>
      <c r="X53" s="73"/>
    </row>
    <row r="54" spans="1:30" s="73" customFormat="1" x14ac:dyDescent="0.25">
      <c r="A54" s="75" t="s">
        <v>539</v>
      </c>
      <c r="B54" s="76" t="s">
        <v>878</v>
      </c>
      <c r="C54" s="76" t="s">
        <v>879</v>
      </c>
      <c r="D54" s="76" t="s">
        <v>880</v>
      </c>
      <c r="E54" s="76" t="s">
        <v>400</v>
      </c>
      <c r="F54" s="74">
        <v>1466612</v>
      </c>
      <c r="G54" s="74">
        <f>ROUND(F54/123.6*128.6,0)</f>
        <v>1525941</v>
      </c>
      <c r="H54" s="74">
        <f>ROUND(G54/128.6*137.2,0)</f>
        <v>1627987</v>
      </c>
      <c r="I54" s="74">
        <f>ROUND(H54/137.2*147.5,0)</f>
        <v>1750205</v>
      </c>
      <c r="J54" s="74">
        <f t="shared" si="9"/>
        <v>1838012</v>
      </c>
      <c r="K54" s="115">
        <v>1899700</v>
      </c>
      <c r="L54" s="115">
        <v>78650</v>
      </c>
      <c r="M54" s="74">
        <f>ROUND(K54/174*175.3,0)</f>
        <v>1913893</v>
      </c>
      <c r="N54" s="74">
        <f>ROUND(L54/122.3*122.5,0)</f>
        <v>78779</v>
      </c>
      <c r="O54" s="74">
        <f t="shared" si="4"/>
        <v>2001100</v>
      </c>
      <c r="P54" s="74">
        <f t="shared" si="5"/>
        <v>81800</v>
      </c>
      <c r="Q54" s="74">
        <f t="shared" si="6"/>
        <v>2082900</v>
      </c>
      <c r="R54" s="76" t="s">
        <v>592</v>
      </c>
      <c r="S54" s="76" t="s">
        <v>592</v>
      </c>
      <c r="T54" s="76"/>
      <c r="U54" s="74">
        <f t="shared" si="0"/>
        <v>1592.0162298406333</v>
      </c>
      <c r="V54" s="74">
        <f t="shared" si="7"/>
        <v>530.67207661354439</v>
      </c>
      <c r="W54" s="74">
        <f t="shared" si="8"/>
        <v>1061.3441532270888</v>
      </c>
      <c r="X54" s="78" t="s">
        <v>881</v>
      </c>
      <c r="AD54" s="73" t="s">
        <v>969</v>
      </c>
    </row>
    <row r="55" spans="1:30" s="73" customFormat="1" x14ac:dyDescent="0.25">
      <c r="A55" s="161" t="s">
        <v>919</v>
      </c>
      <c r="B55" s="76" t="s">
        <v>409</v>
      </c>
      <c r="C55" s="76" t="s">
        <v>410</v>
      </c>
      <c r="D55" s="76" t="s">
        <v>411</v>
      </c>
      <c r="E55" s="76" t="s">
        <v>400</v>
      </c>
      <c r="F55" s="74">
        <v>335703</v>
      </c>
      <c r="G55" s="74">
        <f>ROUND(F55/123.6*128.6,0)</f>
        <v>349283</v>
      </c>
      <c r="H55" s="74">
        <f>ROUND(G55/128.6*137.2,0)</f>
        <v>372641</v>
      </c>
      <c r="I55" s="74">
        <v>325000</v>
      </c>
      <c r="J55" s="74">
        <f>ROUND(I55/153.1*154.9,0)</f>
        <v>328821</v>
      </c>
      <c r="K55" s="74">
        <f t="shared" si="1"/>
        <v>346865</v>
      </c>
      <c r="L55" s="74">
        <v>60000</v>
      </c>
      <c r="M55" s="74">
        <f t="shared" si="2"/>
        <v>372126</v>
      </c>
      <c r="N55" s="74">
        <f t="shared" si="3"/>
        <v>65801</v>
      </c>
      <c r="O55" s="74">
        <f t="shared" si="4"/>
        <v>389100</v>
      </c>
      <c r="P55" s="74">
        <f t="shared" si="5"/>
        <v>68300</v>
      </c>
      <c r="Q55" s="74">
        <f t="shared" si="6"/>
        <v>457400</v>
      </c>
      <c r="R55" s="76" t="s">
        <v>312</v>
      </c>
      <c r="S55" s="76" t="s">
        <v>412</v>
      </c>
      <c r="T55" s="76"/>
      <c r="U55" s="74">
        <f t="shared" si="0"/>
        <v>349.60306473143481</v>
      </c>
      <c r="V55" s="74">
        <f t="shared" si="7"/>
        <v>116.53435491047827</v>
      </c>
      <c r="W55" s="74">
        <f t="shared" si="8"/>
        <v>233.06870982095654</v>
      </c>
    </row>
    <row r="56" spans="1:30" s="73" customFormat="1" x14ac:dyDescent="0.25">
      <c r="A56" s="75" t="s">
        <v>569</v>
      </c>
      <c r="B56" s="77" t="s">
        <v>413</v>
      </c>
      <c r="C56" s="76" t="s">
        <v>414</v>
      </c>
      <c r="D56" s="76" t="s">
        <v>415</v>
      </c>
      <c r="E56" s="76" t="s">
        <v>400</v>
      </c>
      <c r="F56" s="74">
        <v>9603007</v>
      </c>
      <c r="G56" s="74">
        <f>ROUND(F56/123.6*128.6,0)</f>
        <v>9991478</v>
      </c>
      <c r="H56" s="74">
        <f>ROUND(G56/128.6*137.2,0)</f>
        <v>10659648</v>
      </c>
      <c r="I56" s="74">
        <f>9390000*1.21</f>
        <v>11361900</v>
      </c>
      <c r="J56" s="74">
        <f t="shared" si="9"/>
        <v>11931921</v>
      </c>
      <c r="K56" s="74">
        <f t="shared" si="1"/>
        <v>12586675</v>
      </c>
      <c r="L56" s="74">
        <v>200000</v>
      </c>
      <c r="M56" s="74">
        <f t="shared" si="2"/>
        <v>13503330</v>
      </c>
      <c r="N56" s="74">
        <f t="shared" si="3"/>
        <v>219338</v>
      </c>
      <c r="O56" s="74">
        <f t="shared" si="4"/>
        <v>14118600</v>
      </c>
      <c r="P56" s="74">
        <f t="shared" si="5"/>
        <v>227800</v>
      </c>
      <c r="Q56" s="74">
        <f t="shared" si="6"/>
        <v>14346400</v>
      </c>
      <c r="R56" s="76" t="s">
        <v>310</v>
      </c>
      <c r="S56" s="76"/>
      <c r="T56" s="76"/>
      <c r="U56" s="74">
        <f t="shared" si="0"/>
        <v>10965.337577313197</v>
      </c>
      <c r="V56" s="74">
        <f t="shared" si="7"/>
        <v>3655.112525771066</v>
      </c>
      <c r="W56" s="74">
        <f t="shared" si="8"/>
        <v>7310.225051542132</v>
      </c>
    </row>
    <row r="57" spans="1:30" s="73" customFormat="1" x14ac:dyDescent="0.25">
      <c r="A57" s="75" t="s">
        <v>569</v>
      </c>
      <c r="B57" s="76" t="s">
        <v>416</v>
      </c>
      <c r="C57" s="76" t="s">
        <v>417</v>
      </c>
      <c r="D57" s="76" t="s">
        <v>415</v>
      </c>
      <c r="E57" s="76" t="s">
        <v>400</v>
      </c>
      <c r="F57" s="74"/>
      <c r="G57" s="74"/>
      <c r="H57" s="74">
        <f>ROUND(G57/128.6*137.2,0)</f>
        <v>0</v>
      </c>
      <c r="I57" s="139">
        <f>880000*1.21</f>
        <v>1064800</v>
      </c>
      <c r="J57" s="74">
        <f t="shared" si="9"/>
        <v>1118220</v>
      </c>
      <c r="K57" s="74">
        <f t="shared" si="1"/>
        <v>1179581</v>
      </c>
      <c r="L57" s="74">
        <v>300000</v>
      </c>
      <c r="M57" s="74">
        <f t="shared" si="2"/>
        <v>1265487</v>
      </c>
      <c r="N57" s="74">
        <f t="shared" si="3"/>
        <v>329006</v>
      </c>
      <c r="O57" s="74">
        <f t="shared" si="4"/>
        <v>1323100</v>
      </c>
      <c r="P57" s="74">
        <f t="shared" si="5"/>
        <v>341600</v>
      </c>
      <c r="Q57" s="74">
        <f t="shared" si="6"/>
        <v>1664700</v>
      </c>
      <c r="R57" s="76" t="s">
        <v>310</v>
      </c>
      <c r="S57" s="76" t="s">
        <v>418</v>
      </c>
      <c r="T57" s="76"/>
      <c r="U57" s="74">
        <f t="shared" si="0"/>
        <v>1272.3747745046342</v>
      </c>
      <c r="V57" s="74">
        <f t="shared" si="7"/>
        <v>424.12492483487807</v>
      </c>
      <c r="W57" s="74">
        <f t="shared" si="8"/>
        <v>848.24984966975614</v>
      </c>
      <c r="X57" s="78"/>
    </row>
    <row r="58" spans="1:30" s="73" customFormat="1" x14ac:dyDescent="0.25">
      <c r="A58" s="75" t="s">
        <v>569</v>
      </c>
      <c r="B58" s="76" t="s">
        <v>466</v>
      </c>
      <c r="C58" s="76" t="s">
        <v>419</v>
      </c>
      <c r="D58" s="76" t="s">
        <v>415</v>
      </c>
      <c r="E58" s="76" t="s">
        <v>400</v>
      </c>
      <c r="F58" s="74">
        <v>2168421</v>
      </c>
      <c r="G58" s="74">
        <f>ROUND(F58/123.6*128.6,0)</f>
        <v>2256140</v>
      </c>
      <c r="H58" s="74">
        <f>ROUND(G58/128.6*137.2,0)</f>
        <v>2407017</v>
      </c>
      <c r="I58" s="74">
        <f>1410000*1.21</f>
        <v>1706100</v>
      </c>
      <c r="J58" s="74">
        <f t="shared" si="9"/>
        <v>1791694</v>
      </c>
      <c r="K58" s="74">
        <f t="shared" si="1"/>
        <v>1890012</v>
      </c>
      <c r="L58" s="74">
        <v>820000</v>
      </c>
      <c r="M58" s="74">
        <f t="shared" si="2"/>
        <v>2027657</v>
      </c>
      <c r="N58" s="74">
        <f t="shared" si="3"/>
        <v>899284</v>
      </c>
      <c r="O58" s="74">
        <f t="shared" si="4"/>
        <v>2120000</v>
      </c>
      <c r="P58" s="74">
        <f t="shared" si="5"/>
        <v>933800</v>
      </c>
      <c r="Q58" s="74">
        <f t="shared" si="6"/>
        <v>3053800</v>
      </c>
      <c r="R58" s="76" t="s">
        <v>420</v>
      </c>
      <c r="S58" s="76" t="s">
        <v>421</v>
      </c>
      <c r="T58" s="76"/>
      <c r="U58" s="74">
        <f t="shared" si="0"/>
        <v>2334.1010911168687</v>
      </c>
      <c r="V58" s="74">
        <f t="shared" si="7"/>
        <v>778.03369703895623</v>
      </c>
      <c r="W58" s="74">
        <f t="shared" si="8"/>
        <v>1556.0673940779125</v>
      </c>
      <c r="X58" s="78"/>
    </row>
    <row r="59" spans="1:30" x14ac:dyDescent="0.25">
      <c r="A59" s="141"/>
      <c r="B59" s="142"/>
      <c r="C59" s="142"/>
      <c r="D59" s="142"/>
      <c r="E59" s="142"/>
      <c r="Q59" s="144"/>
      <c r="R59" s="145"/>
      <c r="U59" s="146"/>
      <c r="V59" s="146"/>
      <c r="W59" s="146"/>
    </row>
    <row r="60" spans="1:30" s="151" customFormat="1" ht="13.8" thickBot="1" x14ac:dyDescent="0.3">
      <c r="A60" s="147"/>
      <c r="B60" s="148"/>
      <c r="C60" s="148" t="s">
        <v>422</v>
      </c>
      <c r="D60" s="148"/>
      <c r="E60" s="148"/>
      <c r="F60" s="149">
        <f t="shared" ref="F60:N60" si="15">SUM(F4:F59)</f>
        <v>76151328</v>
      </c>
      <c r="G60" s="149">
        <f t="shared" si="15"/>
        <v>79231881</v>
      </c>
      <c r="H60" s="149">
        <f t="shared" si="15"/>
        <v>94255546</v>
      </c>
      <c r="I60" s="149">
        <f t="shared" si="15"/>
        <v>103920036</v>
      </c>
      <c r="J60" s="149">
        <f t="shared" si="15"/>
        <v>108608211</v>
      </c>
      <c r="K60" s="150">
        <f t="shared" si="15"/>
        <v>117128458</v>
      </c>
      <c r="L60" s="150">
        <f t="shared" si="15"/>
        <v>11468750</v>
      </c>
      <c r="M60" s="150">
        <f t="shared" si="15"/>
        <v>136914710</v>
      </c>
      <c r="N60" s="150">
        <f t="shared" si="15"/>
        <v>14010729</v>
      </c>
      <c r="O60" s="150">
        <f>SUM(O4:O59)</f>
        <v>142627300</v>
      </c>
      <c r="P60" s="150">
        <f>SUM(P4:P59)</f>
        <v>14514300</v>
      </c>
      <c r="Q60" s="150">
        <f>SUM(Q4:Q59)</f>
        <v>157141600</v>
      </c>
      <c r="R60" s="148"/>
      <c r="S60" s="148"/>
      <c r="T60" s="148"/>
      <c r="U60" s="74">
        <f>+Q60/1000*U$2*1.21</f>
        <v>120107.53160647408</v>
      </c>
      <c r="V60" s="74">
        <f t="shared" si="7"/>
        <v>40035.84386882469</v>
      </c>
      <c r="W60" s="74">
        <f t="shared" si="8"/>
        <v>80071.687737649379</v>
      </c>
    </row>
    <row r="61" spans="1:30" ht="13.8" thickTop="1" x14ac:dyDescent="0.25">
      <c r="E61" s="143"/>
      <c r="Q61" s="153"/>
      <c r="U61" s="153"/>
      <c r="V61" s="153"/>
      <c r="W61" s="153"/>
    </row>
    <row r="62" spans="1:30" x14ac:dyDescent="0.25">
      <c r="A62" s="154"/>
      <c r="C62" s="79"/>
      <c r="D62" s="79"/>
      <c r="E62" s="155"/>
      <c r="L62" s="155"/>
      <c r="M62" s="155"/>
      <c r="N62" s="155"/>
      <c r="O62" s="155"/>
      <c r="P62" s="155"/>
      <c r="Q62" s="153"/>
      <c r="U62" s="153"/>
      <c r="V62" s="153"/>
      <c r="W62" s="153"/>
    </row>
    <row r="64" spans="1:30" x14ac:dyDescent="0.25">
      <c r="A64" s="167" t="s">
        <v>952</v>
      </c>
    </row>
    <row r="65" spans="1:24" s="78" customFormat="1" x14ac:dyDescent="0.25">
      <c r="A65" s="160"/>
      <c r="B65" s="97" t="s">
        <v>955</v>
      </c>
      <c r="C65" s="97" t="s">
        <v>953</v>
      </c>
      <c r="D65" s="97" t="s">
        <v>956</v>
      </c>
      <c r="E65" s="97" t="s">
        <v>309</v>
      </c>
      <c r="F65" s="140"/>
      <c r="G65" s="140"/>
      <c r="H65" s="140"/>
      <c r="I65" s="140"/>
      <c r="J65" s="140"/>
      <c r="K65" s="140"/>
      <c r="L65" s="140"/>
      <c r="M65" s="140"/>
      <c r="N65" s="140"/>
      <c r="O65" s="140">
        <v>361000</v>
      </c>
      <c r="P65" s="140"/>
      <c r="Q65" s="140"/>
      <c r="R65" s="97" t="s">
        <v>954</v>
      </c>
      <c r="S65" s="97"/>
      <c r="T65" s="97"/>
      <c r="U65" s="164"/>
      <c r="V65" s="164"/>
      <c r="W65" s="164"/>
      <c r="X65" s="78" t="s">
        <v>957</v>
      </c>
    </row>
    <row r="66" spans="1:24" x14ac:dyDescent="0.25">
      <c r="A66" s="75" t="s">
        <v>556</v>
      </c>
      <c r="B66" s="76" t="s">
        <v>28</v>
      </c>
      <c r="C66" s="76" t="s">
        <v>365</v>
      </c>
      <c r="D66" s="76" t="s">
        <v>334</v>
      </c>
      <c r="E66" s="76" t="s">
        <v>335</v>
      </c>
      <c r="F66" s="74">
        <v>350000</v>
      </c>
      <c r="G66" s="74">
        <f>ROUND(F66/123.6*128.6,0)</f>
        <v>364159</v>
      </c>
      <c r="H66" s="74">
        <f>ROUND(G66/128.6*137.2,0)</f>
        <v>388512</v>
      </c>
      <c r="I66" s="74">
        <f>270000*1.21</f>
        <v>326700</v>
      </c>
      <c r="J66" s="74">
        <f>ROUND(I66/147.5*154.9,0)</f>
        <v>343090</v>
      </c>
      <c r="K66" s="74">
        <f>ROUND(J66/154.9*163.4,0)</f>
        <v>361917</v>
      </c>
      <c r="L66" s="139">
        <v>10000</v>
      </c>
      <c r="M66" s="74">
        <f>ROUND(K66/163.4*175.3,0)</f>
        <v>388274</v>
      </c>
      <c r="N66" s="74">
        <f>ROUND(L66/111.7*122.5,0)</f>
        <v>10967</v>
      </c>
      <c r="O66" s="140">
        <v>0</v>
      </c>
      <c r="P66" s="140">
        <v>0</v>
      </c>
      <c r="Q66" s="74">
        <f>O66+P66</f>
        <v>0</v>
      </c>
      <c r="R66" s="76" t="s">
        <v>310</v>
      </c>
      <c r="S66" s="76" t="s">
        <v>366</v>
      </c>
      <c r="T66" s="76"/>
      <c r="U66" s="74">
        <f>+Q66/1000*U$2*1.21</f>
        <v>0</v>
      </c>
      <c r="V66" s="74">
        <f>U66/12*4</f>
        <v>0</v>
      </c>
      <c r="W66" s="74">
        <f>U66/12*8</f>
        <v>0</v>
      </c>
      <c r="X66" s="78" t="s">
        <v>962</v>
      </c>
    </row>
    <row r="67" spans="1:24" x14ac:dyDescent="0.25">
      <c r="A67" s="75" t="s">
        <v>556</v>
      </c>
      <c r="B67" s="76" t="s">
        <v>28</v>
      </c>
      <c r="C67" s="76" t="s">
        <v>367</v>
      </c>
      <c r="D67" s="76" t="s">
        <v>334</v>
      </c>
      <c r="E67" s="76" t="s">
        <v>335</v>
      </c>
      <c r="F67" s="74"/>
      <c r="G67" s="74"/>
      <c r="H67" s="74">
        <v>141386</v>
      </c>
      <c r="I67" s="74">
        <v>255000</v>
      </c>
      <c r="J67" s="74">
        <f>ROUND(I67/153.1*154.9,0)</f>
        <v>257998</v>
      </c>
      <c r="K67" s="74">
        <f>ROUND(J67/154.9*163.4,0)</f>
        <v>272155</v>
      </c>
      <c r="L67" s="74"/>
      <c r="M67" s="74">
        <f>ROUND(K67/163.4*175.3,0)</f>
        <v>291975</v>
      </c>
      <c r="N67" s="74">
        <f>ROUND(L67/111.7*122.5,0)</f>
        <v>0</v>
      </c>
      <c r="O67" s="140">
        <v>0</v>
      </c>
      <c r="P67" s="74">
        <f>ROUND(N67/122.5*127.2,-2)</f>
        <v>0</v>
      </c>
      <c r="Q67" s="74">
        <f>O67+P67</f>
        <v>0</v>
      </c>
      <c r="R67" s="76" t="s">
        <v>312</v>
      </c>
      <c r="S67" s="76"/>
      <c r="T67" s="76"/>
      <c r="U67" s="74">
        <f>+Q67/1000*U$2*1.21</f>
        <v>0</v>
      </c>
      <c r="V67" s="74">
        <f>U67/12*4</f>
        <v>0</v>
      </c>
      <c r="W67" s="74">
        <f>U67/12*8</f>
        <v>0</v>
      </c>
      <c r="X67" s="78" t="s">
        <v>962</v>
      </c>
    </row>
    <row r="68" spans="1:24" x14ac:dyDescent="0.25">
      <c r="A68" s="75" t="s">
        <v>556</v>
      </c>
      <c r="B68" s="76" t="s">
        <v>28</v>
      </c>
      <c r="C68" s="76" t="s">
        <v>368</v>
      </c>
      <c r="D68" s="76" t="s">
        <v>334</v>
      </c>
      <c r="E68" s="76" t="s">
        <v>335</v>
      </c>
      <c r="F68" s="74"/>
      <c r="G68" s="74"/>
      <c r="H68" s="74">
        <v>202309</v>
      </c>
      <c r="I68" s="74">
        <v>365000</v>
      </c>
      <c r="J68" s="74">
        <f>ROUND(I68/153.1*154.9,0)</f>
        <v>369291</v>
      </c>
      <c r="K68" s="74">
        <f>ROUND(J68/154.9*163.4,0)</f>
        <v>389556</v>
      </c>
      <c r="L68" s="74"/>
      <c r="M68" s="74">
        <f>ROUND(K68/163.4*175.3,0)</f>
        <v>417926</v>
      </c>
      <c r="N68" s="74">
        <f>ROUND(L68/111.7*122.5,0)</f>
        <v>0</v>
      </c>
      <c r="O68" s="140">
        <v>0</v>
      </c>
      <c r="P68" s="74">
        <f>ROUND(N68/122.5*127.2,-2)</f>
        <v>0</v>
      </c>
      <c r="Q68" s="74">
        <f>O68+P68</f>
        <v>0</v>
      </c>
      <c r="R68" s="76" t="s">
        <v>312</v>
      </c>
      <c r="S68" s="76"/>
      <c r="T68" s="76"/>
      <c r="U68" s="74">
        <f>+Q68/1000*U$2*1.21</f>
        <v>0</v>
      </c>
      <c r="V68" s="74">
        <f>U68/12*4</f>
        <v>0</v>
      </c>
      <c r="W68" s="74">
        <f>U68/12*8</f>
        <v>0</v>
      </c>
      <c r="X68" s="78" t="s">
        <v>962</v>
      </c>
    </row>
  </sheetData>
  <autoFilter ref="A1:S58" xr:uid="{4CE9E4B6-B7BE-44B2-A679-D0A2E829C6B9}"/>
  <pageMargins left="0.70866141732283472" right="0.70866141732283472" top="1.5354330708661419" bottom="0.94488188976377963" header="0.31496062992125984" footer="0.70866141732283472"/>
  <pageSetup paperSize="9" scale="83" orientation="landscape" r:id="rId1"/>
  <headerFooter>
    <oddFooter>&amp;L&amp;F &amp;A&amp;C&amp;P&amp;R&amp;D</oddFooter>
  </headerFooter>
  <ignoredErrors>
    <ignoredError sqref="M47 M10:M11 M39 M18:M28 M41:M44 M13:M16 M49:M54 M30:M37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A3338-09EC-4F56-840C-A235613EAE20}">
  <dimension ref="A1:G4"/>
  <sheetViews>
    <sheetView workbookViewId="0">
      <selection activeCell="A2" sqref="A2"/>
    </sheetView>
  </sheetViews>
  <sheetFormatPr defaultRowHeight="13.2" x14ac:dyDescent="0.25"/>
  <cols>
    <col min="1" max="1" width="25.88671875" bestFit="1" customWidth="1"/>
    <col min="2" max="2" width="17.33203125" bestFit="1" customWidth="1"/>
    <col min="3" max="3" width="9.33203125" bestFit="1" customWidth="1"/>
    <col min="4" max="4" width="13.88671875" bestFit="1" customWidth="1"/>
    <col min="5" max="5" width="15.88671875" bestFit="1" customWidth="1"/>
    <col min="6" max="6" width="9.33203125" bestFit="1" customWidth="1"/>
    <col min="7" max="7" width="11.88671875" bestFit="1" customWidth="1"/>
  </cols>
  <sheetData>
    <row r="1" spans="1:7" x14ac:dyDescent="0.25">
      <c r="A1" s="27" t="s">
        <v>877</v>
      </c>
    </row>
    <row r="2" spans="1:7" s="101" customFormat="1" x14ac:dyDescent="0.25">
      <c r="A2" s="69" t="s">
        <v>288</v>
      </c>
      <c r="B2" s="99" t="s">
        <v>289</v>
      </c>
      <c r="C2" s="99" t="s">
        <v>290</v>
      </c>
      <c r="D2" s="99" t="s">
        <v>291</v>
      </c>
      <c r="E2" s="100" t="s">
        <v>596</v>
      </c>
      <c r="F2" s="99" t="s">
        <v>217</v>
      </c>
      <c r="G2" s="99" t="s">
        <v>597</v>
      </c>
    </row>
    <row r="3" spans="1:7" x14ac:dyDescent="0.25">
      <c r="A3" s="72" t="s">
        <v>360</v>
      </c>
      <c r="B3" s="98" t="s">
        <v>8</v>
      </c>
      <c r="C3" s="98" t="s">
        <v>9</v>
      </c>
      <c r="D3" s="72" t="s">
        <v>594</v>
      </c>
      <c r="E3" s="103">
        <f>materieel!H77</f>
        <v>5696480</v>
      </c>
      <c r="F3" s="175">
        <v>2.5</v>
      </c>
      <c r="G3" s="176">
        <f>E3*F3/1000</f>
        <v>14241.2</v>
      </c>
    </row>
    <row r="4" spans="1:7" x14ac:dyDescent="0.25">
      <c r="A4" s="72" t="s">
        <v>360</v>
      </c>
      <c r="B4" s="72" t="s">
        <v>595</v>
      </c>
      <c r="C4" s="72" t="s">
        <v>358</v>
      </c>
      <c r="D4" s="72" t="s">
        <v>335</v>
      </c>
      <c r="E4" s="102"/>
      <c r="F4" s="175"/>
      <c r="G4" s="176"/>
    </row>
  </sheetData>
  <mergeCells count="2">
    <mergeCell ref="F3:F4"/>
    <mergeCell ref="G3:G4"/>
  </mergeCells>
  <pageMargins left="0.70866141732283472" right="0.70866141732283472" top="1.5354330708661419" bottom="0.94488188976377963" header="0.31496062992125984" footer="0.70866141732283472"/>
  <pageSetup paperSize="9" orientation="landscape" r:id="rId1"/>
  <headerFooter>
    <oddFooter>&amp;L&amp;F &amp;A&amp;C&amp;P&amp;R&amp;D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5291-1373-4173-B5AA-DB6FF7B27200}">
  <dimension ref="A1:O83"/>
  <sheetViews>
    <sheetView tabSelected="1" topLeftCell="F1" zoomScaleNormal="100" workbookViewId="0">
      <pane ySplit="1" topLeftCell="A2" activePane="bottomLeft" state="frozen"/>
      <selection activeCell="F1" sqref="F1"/>
      <selection pane="bottomLeft" activeCell="N73" sqref="N73:N75"/>
    </sheetView>
  </sheetViews>
  <sheetFormatPr defaultRowHeight="13.2" x14ac:dyDescent="0.25"/>
  <cols>
    <col min="1" max="1" width="8.33203125" hidden="1" customWidth="1"/>
    <col min="2" max="2" width="16" hidden="1" customWidth="1"/>
    <col min="3" max="3" width="0" hidden="1" customWidth="1"/>
    <col min="4" max="4" width="27.6640625" hidden="1" customWidth="1"/>
    <col min="5" max="5" width="7.6640625" hidden="1" customWidth="1"/>
    <col min="6" max="6" width="23.88671875" bestFit="1" customWidth="1"/>
    <col min="7" max="7" width="24" bestFit="1" customWidth="1"/>
    <col min="8" max="8" width="19.44140625" style="107" bestFit="1" customWidth="1"/>
    <col min="9" max="9" width="40.5546875" bestFit="1" customWidth="1"/>
    <col min="10" max="10" width="27.6640625" bestFit="1" customWidth="1"/>
    <col min="11" max="11" width="13.33203125" bestFit="1" customWidth="1"/>
    <col min="12" max="12" width="14.6640625" bestFit="1" customWidth="1"/>
    <col min="13" max="13" width="45.5546875" hidden="1" customWidth="1"/>
  </cols>
  <sheetData>
    <row r="1" spans="1:14" s="27" customFormat="1" x14ac:dyDescent="0.25">
      <c r="A1" s="27" t="s">
        <v>598</v>
      </c>
      <c r="B1" s="27" t="s">
        <v>599</v>
      </c>
      <c r="C1" s="27" t="s">
        <v>601</v>
      </c>
      <c r="D1" s="27" t="s">
        <v>661</v>
      </c>
      <c r="E1" s="27" t="s">
        <v>665</v>
      </c>
      <c r="F1" s="27" t="s">
        <v>666</v>
      </c>
      <c r="G1" s="27" t="s">
        <v>667</v>
      </c>
      <c r="H1" s="110" t="s">
        <v>753</v>
      </c>
      <c r="I1" s="27" t="s">
        <v>754</v>
      </c>
      <c r="J1" s="27" t="s">
        <v>755</v>
      </c>
      <c r="K1" s="27" t="s">
        <v>871</v>
      </c>
      <c r="L1" s="27" t="s">
        <v>872</v>
      </c>
      <c r="M1" s="27" t="s">
        <v>873</v>
      </c>
      <c r="N1" s="27" t="s">
        <v>601</v>
      </c>
    </row>
    <row r="2" spans="1:14" ht="14.4" x14ac:dyDescent="0.3">
      <c r="A2" s="104">
        <v>4700</v>
      </c>
      <c r="B2" t="s">
        <v>600</v>
      </c>
      <c r="C2" t="s">
        <v>602</v>
      </c>
      <c r="D2" t="s">
        <v>662</v>
      </c>
      <c r="E2" t="s">
        <v>668</v>
      </c>
      <c r="F2" t="s">
        <v>669</v>
      </c>
      <c r="G2" t="s">
        <v>670</v>
      </c>
      <c r="H2" s="107">
        <v>46222</v>
      </c>
      <c r="I2" s="105" t="s">
        <v>756</v>
      </c>
      <c r="J2" s="105" t="s">
        <v>757</v>
      </c>
      <c r="K2" s="105">
        <v>607</v>
      </c>
      <c r="L2" s="105">
        <v>2013</v>
      </c>
      <c r="M2" t="s">
        <v>874</v>
      </c>
    </row>
    <row r="3" spans="1:14" ht="14.4" x14ac:dyDescent="0.3">
      <c r="A3" s="104">
        <v>4700</v>
      </c>
      <c r="B3" t="s">
        <v>600</v>
      </c>
      <c r="C3" t="s">
        <v>602</v>
      </c>
      <c r="D3" t="s">
        <v>662</v>
      </c>
      <c r="E3" t="s">
        <v>668</v>
      </c>
      <c r="F3" t="s">
        <v>671</v>
      </c>
      <c r="G3" t="s">
        <v>672</v>
      </c>
      <c r="H3" s="107">
        <v>45000</v>
      </c>
      <c r="I3" s="105" t="s">
        <v>758</v>
      </c>
      <c r="J3" s="105" t="s">
        <v>759</v>
      </c>
      <c r="K3" s="105">
        <v>677</v>
      </c>
      <c r="L3" s="105">
        <v>2014</v>
      </c>
      <c r="M3" t="s">
        <v>874</v>
      </c>
    </row>
    <row r="4" spans="1:14" ht="14.4" x14ac:dyDescent="0.3">
      <c r="A4" s="104">
        <v>4700</v>
      </c>
      <c r="B4" t="s">
        <v>600</v>
      </c>
      <c r="C4" t="s">
        <v>602</v>
      </c>
      <c r="D4" t="s">
        <v>662</v>
      </c>
      <c r="E4" t="s">
        <v>668</v>
      </c>
      <c r="F4" t="s">
        <v>671</v>
      </c>
      <c r="G4" t="s">
        <v>673</v>
      </c>
      <c r="H4" s="107">
        <v>44000</v>
      </c>
      <c r="I4" s="105" t="s">
        <v>760</v>
      </c>
      <c r="J4" s="105" t="s">
        <v>761</v>
      </c>
      <c r="K4" s="105">
        <v>670</v>
      </c>
      <c r="L4" s="105">
        <v>2011</v>
      </c>
      <c r="M4" t="s">
        <v>874</v>
      </c>
    </row>
    <row r="5" spans="1:14" ht="14.4" x14ac:dyDescent="0.3">
      <c r="A5" s="104">
        <v>4700</v>
      </c>
      <c r="B5" t="s">
        <v>600</v>
      </c>
      <c r="C5" t="s">
        <v>602</v>
      </c>
      <c r="D5" t="s">
        <v>662</v>
      </c>
      <c r="E5" t="s">
        <v>668</v>
      </c>
      <c r="F5" t="s">
        <v>671</v>
      </c>
      <c r="G5" t="s">
        <v>674</v>
      </c>
      <c r="H5" s="107">
        <v>44000</v>
      </c>
      <c r="I5" s="105" t="s">
        <v>762</v>
      </c>
      <c r="J5" s="105" t="s">
        <v>763</v>
      </c>
      <c r="K5" s="105">
        <v>672</v>
      </c>
      <c r="L5" s="105">
        <v>2011</v>
      </c>
      <c r="M5" t="s">
        <v>874</v>
      </c>
    </row>
    <row r="6" spans="1:14" ht="14.4" x14ac:dyDescent="0.3">
      <c r="A6" s="104">
        <v>4700</v>
      </c>
      <c r="B6" t="s">
        <v>600</v>
      </c>
      <c r="C6" t="s">
        <v>602</v>
      </c>
      <c r="D6" t="s">
        <v>662</v>
      </c>
      <c r="E6" t="s">
        <v>668</v>
      </c>
      <c r="F6" t="s">
        <v>675</v>
      </c>
      <c r="G6" t="s">
        <v>676</v>
      </c>
      <c r="H6" s="107">
        <v>30000</v>
      </c>
      <c r="I6" s="105" t="s">
        <v>764</v>
      </c>
      <c r="J6" s="105" t="s">
        <v>765</v>
      </c>
      <c r="K6" s="105">
        <v>610</v>
      </c>
      <c r="L6" s="105">
        <v>2011</v>
      </c>
      <c r="M6" t="s">
        <v>874</v>
      </c>
    </row>
    <row r="7" spans="1:14" ht="14.4" x14ac:dyDescent="0.3">
      <c r="A7" s="104">
        <v>4700</v>
      </c>
      <c r="B7" t="s">
        <v>600</v>
      </c>
      <c r="C7" t="s">
        <v>602</v>
      </c>
      <c r="D7" t="s">
        <v>662</v>
      </c>
      <c r="E7" t="s">
        <v>668</v>
      </c>
      <c r="F7" t="s">
        <v>677</v>
      </c>
      <c r="G7" t="s">
        <v>678</v>
      </c>
      <c r="H7" s="107">
        <v>10000</v>
      </c>
      <c r="I7" s="105" t="s">
        <v>766</v>
      </c>
      <c r="J7" s="105" t="s">
        <v>602</v>
      </c>
      <c r="K7" s="105">
        <v>620</v>
      </c>
      <c r="L7" s="105">
        <v>2002</v>
      </c>
      <c r="M7" t="s">
        <v>874</v>
      </c>
    </row>
    <row r="8" spans="1:14" ht="14.4" x14ac:dyDescent="0.3">
      <c r="A8" s="104">
        <v>4700</v>
      </c>
      <c r="B8" t="s">
        <v>600</v>
      </c>
      <c r="C8" t="s">
        <v>602</v>
      </c>
      <c r="D8" t="s">
        <v>662</v>
      </c>
      <c r="E8" t="s">
        <v>668</v>
      </c>
      <c r="F8" t="s">
        <v>679</v>
      </c>
      <c r="G8" t="s">
        <v>680</v>
      </c>
      <c r="H8" s="107">
        <v>42000</v>
      </c>
      <c r="I8" s="105" t="s">
        <v>767</v>
      </c>
      <c r="J8" s="105" t="s">
        <v>602</v>
      </c>
      <c r="K8" s="105">
        <v>653</v>
      </c>
      <c r="L8" s="105">
        <v>2007</v>
      </c>
      <c r="M8" t="s">
        <v>874</v>
      </c>
    </row>
    <row r="9" spans="1:14" ht="14.4" x14ac:dyDescent="0.3">
      <c r="A9" s="104">
        <v>4700</v>
      </c>
      <c r="B9" t="s">
        <v>600</v>
      </c>
      <c r="C9" t="s">
        <v>603</v>
      </c>
      <c r="D9" t="s">
        <v>662</v>
      </c>
      <c r="E9" t="s">
        <v>668</v>
      </c>
      <c r="F9" t="s">
        <v>681</v>
      </c>
      <c r="G9" t="s">
        <v>682</v>
      </c>
      <c r="H9" s="107">
        <v>40000</v>
      </c>
      <c r="I9" s="105" t="s">
        <v>768</v>
      </c>
      <c r="J9" s="105" t="s">
        <v>769</v>
      </c>
      <c r="K9" s="105">
        <v>901</v>
      </c>
      <c r="L9" s="105">
        <v>2021</v>
      </c>
      <c r="M9" t="s">
        <v>874</v>
      </c>
    </row>
    <row r="10" spans="1:14" ht="14.4" x14ac:dyDescent="0.3">
      <c r="A10" s="104">
        <v>4700</v>
      </c>
      <c r="B10" t="s">
        <v>600</v>
      </c>
      <c r="C10" t="s">
        <v>604</v>
      </c>
      <c r="D10" t="s">
        <v>662</v>
      </c>
      <c r="E10" t="s">
        <v>668</v>
      </c>
      <c r="F10" t="s">
        <v>681</v>
      </c>
      <c r="G10" t="s">
        <v>683</v>
      </c>
      <c r="H10" s="107">
        <v>40000</v>
      </c>
      <c r="I10" s="105" t="s">
        <v>770</v>
      </c>
      <c r="J10" s="105" t="s">
        <v>771</v>
      </c>
      <c r="K10" s="105">
        <v>902</v>
      </c>
      <c r="L10" s="105">
        <v>2021</v>
      </c>
      <c r="M10" t="s">
        <v>874</v>
      </c>
    </row>
    <row r="11" spans="1:14" ht="14.4" x14ac:dyDescent="0.3">
      <c r="A11" s="104">
        <v>4700</v>
      </c>
      <c r="B11" t="s">
        <v>600</v>
      </c>
      <c r="C11" t="s">
        <v>605</v>
      </c>
      <c r="D11" t="s">
        <v>662</v>
      </c>
      <c r="E11" t="s">
        <v>668</v>
      </c>
      <c r="F11" t="s">
        <v>684</v>
      </c>
      <c r="G11" t="s">
        <v>685</v>
      </c>
      <c r="H11" s="107">
        <v>15000</v>
      </c>
      <c r="I11" s="105" t="s">
        <v>772</v>
      </c>
      <c r="J11" s="105" t="s">
        <v>773</v>
      </c>
      <c r="K11" s="105">
        <v>626</v>
      </c>
      <c r="L11" s="105">
        <v>1992</v>
      </c>
      <c r="M11" t="s">
        <v>874</v>
      </c>
    </row>
    <row r="12" spans="1:14" ht="14.4" x14ac:dyDescent="0.3">
      <c r="A12" s="104">
        <v>4700</v>
      </c>
      <c r="B12" t="s">
        <v>600</v>
      </c>
      <c r="C12" t="s">
        <v>606</v>
      </c>
      <c r="D12" t="s">
        <v>663</v>
      </c>
      <c r="E12" t="s">
        <v>668</v>
      </c>
      <c r="F12" t="s">
        <v>686</v>
      </c>
      <c r="G12" t="s">
        <v>687</v>
      </c>
      <c r="H12" s="107">
        <v>15000</v>
      </c>
      <c r="I12" s="105" t="s">
        <v>774</v>
      </c>
      <c r="J12" s="105" t="s">
        <v>775</v>
      </c>
      <c r="K12" s="105">
        <v>631</v>
      </c>
      <c r="L12" s="105">
        <v>2005</v>
      </c>
      <c r="M12" t="s">
        <v>874</v>
      </c>
    </row>
    <row r="13" spans="1:14" ht="14.4" x14ac:dyDescent="0.3">
      <c r="A13" s="104">
        <v>4700</v>
      </c>
      <c r="B13" t="s">
        <v>600</v>
      </c>
      <c r="C13" t="s">
        <v>607</v>
      </c>
      <c r="D13" t="s">
        <v>662</v>
      </c>
      <c r="E13" t="s">
        <v>668</v>
      </c>
      <c r="F13" t="s">
        <v>688</v>
      </c>
      <c r="G13" t="s">
        <v>689</v>
      </c>
      <c r="H13" s="107">
        <v>30000</v>
      </c>
      <c r="I13" s="105" t="s">
        <v>776</v>
      </c>
      <c r="J13" s="105" t="s">
        <v>777</v>
      </c>
      <c r="K13" s="105">
        <v>659</v>
      </c>
      <c r="L13" s="105">
        <v>2016</v>
      </c>
      <c r="M13" t="s">
        <v>874</v>
      </c>
    </row>
    <row r="14" spans="1:14" ht="14.4" x14ac:dyDescent="0.3">
      <c r="A14" s="104">
        <v>4700</v>
      </c>
      <c r="B14" t="s">
        <v>600</v>
      </c>
      <c r="C14" t="s">
        <v>608</v>
      </c>
      <c r="D14" t="s">
        <v>663</v>
      </c>
      <c r="E14" t="s">
        <v>668</v>
      </c>
      <c r="F14" t="s">
        <v>688</v>
      </c>
      <c r="G14" t="s">
        <v>689</v>
      </c>
      <c r="H14" s="107">
        <v>30000</v>
      </c>
      <c r="I14" s="105" t="s">
        <v>776</v>
      </c>
      <c r="J14" s="105" t="s">
        <v>778</v>
      </c>
      <c r="K14" s="105">
        <v>660</v>
      </c>
      <c r="L14" s="105">
        <v>2017</v>
      </c>
      <c r="M14" t="s">
        <v>874</v>
      </c>
    </row>
    <row r="15" spans="1:14" ht="14.4" x14ac:dyDescent="0.3">
      <c r="A15" s="104">
        <v>4700</v>
      </c>
      <c r="B15" t="s">
        <v>600</v>
      </c>
      <c r="C15" t="s">
        <v>609</v>
      </c>
      <c r="D15" t="s">
        <v>663</v>
      </c>
      <c r="E15" t="s">
        <v>668</v>
      </c>
      <c r="F15" t="s">
        <v>690</v>
      </c>
      <c r="G15" t="s">
        <v>691</v>
      </c>
      <c r="H15" s="107">
        <v>45000</v>
      </c>
      <c r="I15" s="105" t="s">
        <v>779</v>
      </c>
      <c r="J15" s="105" t="s">
        <v>780</v>
      </c>
      <c r="K15" s="105">
        <v>657</v>
      </c>
      <c r="L15" s="105">
        <v>2016</v>
      </c>
      <c r="M15" t="s">
        <v>874</v>
      </c>
    </row>
    <row r="16" spans="1:14" ht="14.4" x14ac:dyDescent="0.3">
      <c r="A16" s="104">
        <v>4700</v>
      </c>
      <c r="B16" t="s">
        <v>600</v>
      </c>
      <c r="C16" t="s">
        <v>610</v>
      </c>
      <c r="D16" t="s">
        <v>663</v>
      </c>
      <c r="E16" t="s">
        <v>668</v>
      </c>
      <c r="F16" t="s">
        <v>686</v>
      </c>
      <c r="G16" t="s">
        <v>692</v>
      </c>
      <c r="H16" s="107">
        <v>7500</v>
      </c>
      <c r="I16" s="105" t="s">
        <v>781</v>
      </c>
      <c r="J16" s="105" t="s">
        <v>782</v>
      </c>
      <c r="K16" s="105">
        <v>729</v>
      </c>
      <c r="L16" s="105">
        <v>2010</v>
      </c>
      <c r="M16" t="s">
        <v>874</v>
      </c>
    </row>
    <row r="17" spans="1:13" ht="14.4" x14ac:dyDescent="0.3">
      <c r="A17" s="104">
        <v>4700</v>
      </c>
      <c r="B17" t="s">
        <v>600</v>
      </c>
      <c r="C17" t="s">
        <v>611</v>
      </c>
      <c r="D17" t="s">
        <v>662</v>
      </c>
      <c r="E17" t="s">
        <v>668</v>
      </c>
      <c r="F17" t="s">
        <v>675</v>
      </c>
      <c r="G17" t="s">
        <v>693</v>
      </c>
      <c r="H17" s="107">
        <v>90000</v>
      </c>
      <c r="I17" s="105" t="s">
        <v>783</v>
      </c>
      <c r="J17" s="105" t="s">
        <v>784</v>
      </c>
      <c r="K17" s="105">
        <v>610</v>
      </c>
      <c r="L17" s="105">
        <v>2011</v>
      </c>
      <c r="M17" t="s">
        <v>874</v>
      </c>
    </row>
    <row r="18" spans="1:13" ht="14.4" x14ac:dyDescent="0.3">
      <c r="A18" s="104">
        <v>4700</v>
      </c>
      <c r="B18" t="s">
        <v>600</v>
      </c>
      <c r="C18" t="s">
        <v>612</v>
      </c>
      <c r="D18" t="s">
        <v>662</v>
      </c>
      <c r="E18" t="s">
        <v>668</v>
      </c>
      <c r="F18" t="s">
        <v>686</v>
      </c>
      <c r="G18" t="s">
        <v>694</v>
      </c>
      <c r="H18" s="107">
        <v>20000</v>
      </c>
      <c r="I18" s="105" t="s">
        <v>785</v>
      </c>
      <c r="J18" s="105" t="s">
        <v>786</v>
      </c>
      <c r="K18" s="105">
        <v>669</v>
      </c>
      <c r="L18" s="105">
        <v>2019</v>
      </c>
      <c r="M18" t="s">
        <v>874</v>
      </c>
    </row>
    <row r="19" spans="1:13" ht="14.4" x14ac:dyDescent="0.3">
      <c r="A19" s="104">
        <v>4700</v>
      </c>
      <c r="B19" t="s">
        <v>600</v>
      </c>
      <c r="C19" t="s">
        <v>613</v>
      </c>
      <c r="D19" t="s">
        <v>662</v>
      </c>
      <c r="E19" t="s">
        <v>668</v>
      </c>
      <c r="F19" t="s">
        <v>695</v>
      </c>
      <c r="G19" t="s">
        <v>696</v>
      </c>
      <c r="H19" s="107">
        <v>125000</v>
      </c>
      <c r="I19" s="105" t="s">
        <v>787</v>
      </c>
      <c r="J19" s="105" t="s">
        <v>788</v>
      </c>
      <c r="K19" s="105">
        <v>722</v>
      </c>
      <c r="L19" s="105">
        <v>2020</v>
      </c>
      <c r="M19" t="s">
        <v>874</v>
      </c>
    </row>
    <row r="20" spans="1:13" ht="14.4" x14ac:dyDescent="0.3">
      <c r="A20" s="104">
        <v>4700</v>
      </c>
      <c r="B20" t="s">
        <v>600</v>
      </c>
      <c r="C20" t="s">
        <v>614</v>
      </c>
      <c r="D20" t="s">
        <v>663</v>
      </c>
      <c r="E20" t="s">
        <v>668</v>
      </c>
      <c r="F20" t="s">
        <v>697</v>
      </c>
      <c r="G20" t="s">
        <v>698</v>
      </c>
      <c r="H20" s="107">
        <v>15000</v>
      </c>
      <c r="I20" s="105" t="s">
        <v>789</v>
      </c>
      <c r="J20" s="105" t="s">
        <v>790</v>
      </c>
      <c r="K20" s="105">
        <v>628</v>
      </c>
      <c r="L20" s="105">
        <v>2005</v>
      </c>
      <c r="M20" t="s">
        <v>874</v>
      </c>
    </row>
    <row r="21" spans="1:13" ht="14.4" x14ac:dyDescent="0.3">
      <c r="A21" s="104">
        <v>4700</v>
      </c>
      <c r="B21" t="s">
        <v>600</v>
      </c>
      <c r="C21" t="s">
        <v>615</v>
      </c>
      <c r="D21" t="s">
        <v>662</v>
      </c>
      <c r="E21" t="s">
        <v>668</v>
      </c>
      <c r="F21" t="s">
        <v>699</v>
      </c>
      <c r="G21" t="s">
        <v>700</v>
      </c>
      <c r="H21" s="107">
        <v>40000</v>
      </c>
      <c r="I21" s="105" t="s">
        <v>791</v>
      </c>
      <c r="J21" s="105" t="s">
        <v>792</v>
      </c>
      <c r="K21" s="105">
        <v>664</v>
      </c>
      <c r="L21" s="105">
        <v>2011</v>
      </c>
      <c r="M21" t="s">
        <v>874</v>
      </c>
    </row>
    <row r="22" spans="1:13" ht="14.4" x14ac:dyDescent="0.3">
      <c r="A22" s="104">
        <v>4700</v>
      </c>
      <c r="B22" t="s">
        <v>600</v>
      </c>
      <c r="C22" t="s">
        <v>616</v>
      </c>
      <c r="D22" t="s">
        <v>662</v>
      </c>
      <c r="E22" t="s">
        <v>668</v>
      </c>
      <c r="F22" t="s">
        <v>681</v>
      </c>
      <c r="G22" t="s">
        <v>701</v>
      </c>
      <c r="H22" s="107">
        <v>40000</v>
      </c>
      <c r="I22" s="105" t="s">
        <v>793</v>
      </c>
      <c r="J22" s="105" t="s">
        <v>794</v>
      </c>
      <c r="K22" s="105">
        <v>668</v>
      </c>
      <c r="L22" s="105">
        <v>2011</v>
      </c>
      <c r="M22" t="s">
        <v>874</v>
      </c>
    </row>
    <row r="23" spans="1:13" ht="14.4" x14ac:dyDescent="0.3">
      <c r="A23" s="104">
        <v>4700</v>
      </c>
      <c r="B23" t="s">
        <v>600</v>
      </c>
      <c r="C23" t="s">
        <v>617</v>
      </c>
      <c r="D23" t="s">
        <v>662</v>
      </c>
      <c r="E23" t="s">
        <v>668</v>
      </c>
      <c r="F23" t="s">
        <v>681</v>
      </c>
      <c r="G23" t="s">
        <v>701</v>
      </c>
      <c r="H23" s="107">
        <v>40000</v>
      </c>
      <c r="I23" s="105" t="s">
        <v>793</v>
      </c>
      <c r="J23" s="105" t="s">
        <v>795</v>
      </c>
      <c r="K23" s="105">
        <v>674</v>
      </c>
      <c r="L23" s="105">
        <v>2011</v>
      </c>
      <c r="M23" t="s">
        <v>874</v>
      </c>
    </row>
    <row r="24" spans="1:13" ht="14.4" x14ac:dyDescent="0.3">
      <c r="A24" s="104">
        <v>4700</v>
      </c>
      <c r="B24" t="s">
        <v>600</v>
      </c>
      <c r="C24" t="s">
        <v>618</v>
      </c>
      <c r="D24" t="s">
        <v>662</v>
      </c>
      <c r="E24" t="s">
        <v>668</v>
      </c>
      <c r="F24" t="s">
        <v>702</v>
      </c>
      <c r="G24" t="s">
        <v>703</v>
      </c>
      <c r="H24" s="107">
        <v>10000</v>
      </c>
      <c r="I24" s="105" t="s">
        <v>796</v>
      </c>
      <c r="J24" s="105" t="s">
        <v>797</v>
      </c>
      <c r="K24" s="105">
        <v>962</v>
      </c>
      <c r="L24" s="105">
        <v>1998</v>
      </c>
      <c r="M24" t="s">
        <v>874</v>
      </c>
    </row>
    <row r="25" spans="1:13" ht="14.4" x14ac:dyDescent="0.3">
      <c r="A25" s="104">
        <v>4700</v>
      </c>
      <c r="B25" t="s">
        <v>600</v>
      </c>
      <c r="C25" t="s">
        <v>619</v>
      </c>
      <c r="D25" t="s">
        <v>662</v>
      </c>
      <c r="E25" t="s">
        <v>668</v>
      </c>
      <c r="F25" t="s">
        <v>704</v>
      </c>
      <c r="G25" t="s">
        <v>705</v>
      </c>
      <c r="H25" s="107">
        <v>20000</v>
      </c>
      <c r="I25" s="105" t="s">
        <v>798</v>
      </c>
      <c r="J25" s="105" t="s">
        <v>799</v>
      </c>
      <c r="K25" s="105">
        <v>961</v>
      </c>
      <c r="L25" s="105">
        <v>2000</v>
      </c>
      <c r="M25" t="s">
        <v>874</v>
      </c>
    </row>
    <row r="26" spans="1:13" ht="14.4" x14ac:dyDescent="0.3">
      <c r="A26" s="104">
        <v>4700</v>
      </c>
      <c r="B26" t="s">
        <v>600</v>
      </c>
      <c r="C26" t="s">
        <v>620</v>
      </c>
      <c r="D26" t="s">
        <v>662</v>
      </c>
      <c r="E26" t="s">
        <v>668</v>
      </c>
      <c r="F26" t="s">
        <v>704</v>
      </c>
      <c r="G26" t="s">
        <v>706</v>
      </c>
      <c r="H26" s="107">
        <v>20000</v>
      </c>
      <c r="I26" s="105" t="s">
        <v>800</v>
      </c>
      <c r="J26" s="105" t="s">
        <v>801</v>
      </c>
      <c r="K26" s="105">
        <v>691</v>
      </c>
      <c r="L26" s="105">
        <v>2005</v>
      </c>
      <c r="M26" t="s">
        <v>874</v>
      </c>
    </row>
    <row r="27" spans="1:13" ht="14.4" x14ac:dyDescent="0.3">
      <c r="A27" s="104">
        <v>4700</v>
      </c>
      <c r="B27" t="s">
        <v>600</v>
      </c>
      <c r="C27" t="s">
        <v>621</v>
      </c>
      <c r="D27" t="s">
        <v>662</v>
      </c>
      <c r="E27" t="s">
        <v>668</v>
      </c>
      <c r="F27" t="s">
        <v>671</v>
      </c>
      <c r="G27" t="s">
        <v>707</v>
      </c>
      <c r="H27" s="107">
        <v>40000</v>
      </c>
      <c r="I27" s="105" t="s">
        <v>802</v>
      </c>
      <c r="J27" s="105" t="s">
        <v>803</v>
      </c>
      <c r="K27" s="105">
        <v>675</v>
      </c>
      <c r="L27" s="105">
        <v>2012</v>
      </c>
      <c r="M27" t="s">
        <v>874</v>
      </c>
    </row>
    <row r="28" spans="1:13" ht="14.4" x14ac:dyDescent="0.3">
      <c r="A28" s="104">
        <v>4700</v>
      </c>
      <c r="B28" t="s">
        <v>600</v>
      </c>
      <c r="C28" t="s">
        <v>622</v>
      </c>
      <c r="D28" t="s">
        <v>662</v>
      </c>
      <c r="E28" t="s">
        <v>668</v>
      </c>
      <c r="F28" t="s">
        <v>671</v>
      </c>
      <c r="G28" t="s">
        <v>708</v>
      </c>
      <c r="H28" s="107">
        <v>40000</v>
      </c>
      <c r="I28" s="105" t="s">
        <v>804</v>
      </c>
      <c r="J28" s="105" t="s">
        <v>805</v>
      </c>
      <c r="K28" s="105">
        <v>661</v>
      </c>
      <c r="L28" s="105">
        <v>2019</v>
      </c>
      <c r="M28" t="s">
        <v>874</v>
      </c>
    </row>
    <row r="29" spans="1:13" ht="14.4" x14ac:dyDescent="0.3">
      <c r="A29" s="104">
        <v>4700</v>
      </c>
      <c r="B29" t="s">
        <v>600</v>
      </c>
      <c r="C29" t="s">
        <v>623</v>
      </c>
      <c r="D29" t="s">
        <v>662</v>
      </c>
      <c r="E29" t="s">
        <v>668</v>
      </c>
      <c r="F29" t="s">
        <v>695</v>
      </c>
      <c r="G29" t="s">
        <v>709</v>
      </c>
      <c r="H29" s="107">
        <v>125000</v>
      </c>
      <c r="I29" s="105" t="s">
        <v>806</v>
      </c>
      <c r="J29" s="105" t="s">
        <v>807</v>
      </c>
      <c r="K29" s="105">
        <v>622</v>
      </c>
      <c r="L29" s="105">
        <v>2013</v>
      </c>
      <c r="M29" t="s">
        <v>874</v>
      </c>
    </row>
    <row r="30" spans="1:13" ht="14.4" x14ac:dyDescent="0.3">
      <c r="A30" s="104">
        <v>4700</v>
      </c>
      <c r="B30" t="s">
        <v>600</v>
      </c>
      <c r="D30" t="s">
        <v>664</v>
      </c>
      <c r="E30" t="s">
        <v>668</v>
      </c>
      <c r="F30" t="s">
        <v>710</v>
      </c>
      <c r="G30" t="s">
        <v>711</v>
      </c>
      <c r="H30" s="107">
        <v>55000</v>
      </c>
      <c r="I30" t="s">
        <v>808</v>
      </c>
      <c r="K30">
        <v>904</v>
      </c>
      <c r="L30">
        <v>2022</v>
      </c>
      <c r="M30" t="s">
        <v>874</v>
      </c>
    </row>
    <row r="31" spans="1:13" ht="14.4" x14ac:dyDescent="0.3">
      <c r="A31" s="104">
        <v>4700</v>
      </c>
      <c r="B31" t="s">
        <v>600</v>
      </c>
      <c r="D31" t="s">
        <v>664</v>
      </c>
      <c r="E31" t="s">
        <v>668</v>
      </c>
      <c r="F31" t="s">
        <v>710</v>
      </c>
      <c r="G31" t="s">
        <v>712</v>
      </c>
      <c r="H31" s="107">
        <v>40000</v>
      </c>
      <c r="I31" t="s">
        <v>809</v>
      </c>
      <c r="K31">
        <v>900</v>
      </c>
      <c r="L31">
        <v>2021</v>
      </c>
      <c r="M31" t="s">
        <v>874</v>
      </c>
    </row>
    <row r="32" spans="1:13" ht="14.4" x14ac:dyDescent="0.3">
      <c r="A32" s="104">
        <v>4700</v>
      </c>
      <c r="B32" t="s">
        <v>600</v>
      </c>
      <c r="D32" t="s">
        <v>664</v>
      </c>
      <c r="E32" t="s">
        <v>668</v>
      </c>
      <c r="F32" t="s">
        <v>710</v>
      </c>
      <c r="G32" t="s">
        <v>712</v>
      </c>
      <c r="H32" s="107">
        <v>40000</v>
      </c>
      <c r="I32" t="s">
        <v>809</v>
      </c>
      <c r="K32">
        <v>903</v>
      </c>
      <c r="L32">
        <v>2021</v>
      </c>
      <c r="M32" t="s">
        <v>874</v>
      </c>
    </row>
    <row r="33" spans="1:13" ht="14.4" x14ac:dyDescent="0.3">
      <c r="A33" s="104">
        <v>4700</v>
      </c>
      <c r="B33" t="s">
        <v>600</v>
      </c>
      <c r="D33" t="s">
        <v>664</v>
      </c>
      <c r="E33" t="s">
        <v>668</v>
      </c>
      <c r="F33" t="s">
        <v>710</v>
      </c>
      <c r="G33" t="s">
        <v>712</v>
      </c>
      <c r="H33" s="107">
        <v>40000</v>
      </c>
      <c r="I33" t="s">
        <v>809</v>
      </c>
      <c r="K33">
        <v>694</v>
      </c>
      <c r="L33">
        <v>2022</v>
      </c>
      <c r="M33" t="s">
        <v>874</v>
      </c>
    </row>
    <row r="34" spans="1:13" ht="14.4" x14ac:dyDescent="0.3">
      <c r="A34" s="104">
        <v>4700</v>
      </c>
      <c r="B34" t="s">
        <v>600</v>
      </c>
      <c r="D34" t="s">
        <v>664</v>
      </c>
      <c r="E34" t="s">
        <v>668</v>
      </c>
      <c r="F34" t="s">
        <v>710</v>
      </c>
      <c r="G34" t="s">
        <v>712</v>
      </c>
      <c r="H34" s="107">
        <v>40000</v>
      </c>
      <c r="I34" t="s">
        <v>809</v>
      </c>
      <c r="K34">
        <v>673</v>
      </c>
      <c r="L34">
        <v>2022</v>
      </c>
      <c r="M34" t="s">
        <v>874</v>
      </c>
    </row>
    <row r="35" spans="1:13" ht="14.4" x14ac:dyDescent="0.3">
      <c r="A35" s="104">
        <v>4700</v>
      </c>
      <c r="B35" t="s">
        <v>600</v>
      </c>
      <c r="C35" t="s">
        <v>624</v>
      </c>
      <c r="D35" t="s">
        <v>663</v>
      </c>
      <c r="E35" t="s">
        <v>668</v>
      </c>
      <c r="F35" t="s">
        <v>713</v>
      </c>
      <c r="G35" t="s">
        <v>714</v>
      </c>
      <c r="H35" s="107">
        <v>225000</v>
      </c>
      <c r="I35" t="s">
        <v>810</v>
      </c>
      <c r="J35" t="s">
        <v>811</v>
      </c>
      <c r="K35" s="109" t="s">
        <v>875</v>
      </c>
      <c r="L35">
        <v>2010</v>
      </c>
      <c r="M35" t="s">
        <v>874</v>
      </c>
    </row>
    <row r="36" spans="1:13" ht="14.4" x14ac:dyDescent="0.3">
      <c r="A36" s="104">
        <v>4700</v>
      </c>
      <c r="B36" t="s">
        <v>600</v>
      </c>
      <c r="C36" t="s">
        <v>625</v>
      </c>
      <c r="D36" t="s">
        <v>663</v>
      </c>
      <c r="E36" t="s">
        <v>668</v>
      </c>
      <c r="F36" t="s">
        <v>713</v>
      </c>
      <c r="G36" t="s">
        <v>714</v>
      </c>
      <c r="H36" s="107">
        <v>225000</v>
      </c>
      <c r="I36" t="s">
        <v>810</v>
      </c>
      <c r="J36" t="s">
        <v>812</v>
      </c>
      <c r="K36" s="109" t="s">
        <v>876</v>
      </c>
      <c r="L36">
        <v>2010</v>
      </c>
      <c r="M36" t="s">
        <v>874</v>
      </c>
    </row>
    <row r="37" spans="1:13" ht="14.4" x14ac:dyDescent="0.3">
      <c r="A37" s="104">
        <v>4700</v>
      </c>
      <c r="B37" t="s">
        <v>600</v>
      </c>
      <c r="C37" t="s">
        <v>626</v>
      </c>
      <c r="D37" t="s">
        <v>663</v>
      </c>
      <c r="E37" t="s">
        <v>668</v>
      </c>
      <c r="F37" t="s">
        <v>715</v>
      </c>
      <c r="G37" t="s">
        <v>716</v>
      </c>
      <c r="H37" s="107">
        <v>225000</v>
      </c>
      <c r="I37" t="s">
        <v>813</v>
      </c>
      <c r="J37" t="s">
        <v>814</v>
      </c>
      <c r="K37">
        <v>468</v>
      </c>
      <c r="L37">
        <v>2010</v>
      </c>
      <c r="M37" t="s">
        <v>874</v>
      </c>
    </row>
    <row r="38" spans="1:13" ht="14.4" x14ac:dyDescent="0.3">
      <c r="A38" s="104">
        <v>4700</v>
      </c>
      <c r="B38" t="s">
        <v>600</v>
      </c>
      <c r="C38" t="s">
        <v>627</v>
      </c>
      <c r="D38" t="s">
        <v>663</v>
      </c>
      <c r="E38" t="s">
        <v>668</v>
      </c>
      <c r="F38" t="s">
        <v>717</v>
      </c>
      <c r="G38" t="s">
        <v>718</v>
      </c>
      <c r="H38" s="107">
        <v>28342</v>
      </c>
      <c r="I38" s="106" t="s">
        <v>815</v>
      </c>
      <c r="J38" t="s">
        <v>816</v>
      </c>
      <c r="K38">
        <v>555</v>
      </c>
      <c r="L38">
        <v>2011</v>
      </c>
      <c r="M38" t="s">
        <v>874</v>
      </c>
    </row>
    <row r="39" spans="1:13" ht="14.4" x14ac:dyDescent="0.3">
      <c r="A39" s="104">
        <v>4700</v>
      </c>
      <c r="B39" t="s">
        <v>600</v>
      </c>
      <c r="C39" t="s">
        <v>628</v>
      </c>
      <c r="D39" t="s">
        <v>663</v>
      </c>
      <c r="E39" t="s">
        <v>668</v>
      </c>
      <c r="F39" t="s">
        <v>719</v>
      </c>
      <c r="G39" t="s">
        <v>720</v>
      </c>
      <c r="H39" s="107">
        <v>90000</v>
      </c>
      <c r="I39" t="s">
        <v>817</v>
      </c>
      <c r="J39" t="s">
        <v>818</v>
      </c>
      <c r="K39">
        <v>609</v>
      </c>
      <c r="L39">
        <v>2020</v>
      </c>
      <c r="M39" t="s">
        <v>874</v>
      </c>
    </row>
    <row r="40" spans="1:13" ht="14.4" x14ac:dyDescent="0.3">
      <c r="A40" s="104">
        <v>4700</v>
      </c>
      <c r="B40" t="s">
        <v>600</v>
      </c>
      <c r="C40" t="s">
        <v>629</v>
      </c>
      <c r="D40" t="s">
        <v>663</v>
      </c>
      <c r="E40" t="s">
        <v>668</v>
      </c>
      <c r="F40" t="s">
        <v>719</v>
      </c>
      <c r="G40" t="s">
        <v>721</v>
      </c>
      <c r="H40" s="107">
        <v>120000</v>
      </c>
      <c r="I40" t="s">
        <v>819</v>
      </c>
      <c r="J40" t="s">
        <v>820</v>
      </c>
      <c r="K40">
        <v>605</v>
      </c>
      <c r="L40">
        <v>2021</v>
      </c>
      <c r="M40" t="s">
        <v>874</v>
      </c>
    </row>
    <row r="41" spans="1:13" ht="14.4" x14ac:dyDescent="0.3">
      <c r="A41" s="104">
        <v>4700</v>
      </c>
      <c r="B41" t="s">
        <v>600</v>
      </c>
      <c r="C41" t="s">
        <v>630</v>
      </c>
      <c r="D41" t="s">
        <v>663</v>
      </c>
      <c r="E41" t="s">
        <v>668</v>
      </c>
      <c r="F41" t="s">
        <v>719</v>
      </c>
      <c r="G41" t="s">
        <v>722</v>
      </c>
      <c r="H41" s="107">
        <v>120000</v>
      </c>
      <c r="I41" t="s">
        <v>821</v>
      </c>
      <c r="J41" t="s">
        <v>822</v>
      </c>
      <c r="K41">
        <v>651</v>
      </c>
      <c r="L41">
        <v>2019</v>
      </c>
      <c r="M41" t="s">
        <v>874</v>
      </c>
    </row>
    <row r="42" spans="1:13" ht="14.4" x14ac:dyDescent="0.3">
      <c r="A42" s="104">
        <v>4700</v>
      </c>
      <c r="B42" t="s">
        <v>600</v>
      </c>
      <c r="C42" t="s">
        <v>631</v>
      </c>
      <c r="D42" t="s">
        <v>663</v>
      </c>
      <c r="E42" t="s">
        <v>668</v>
      </c>
      <c r="F42" t="s">
        <v>719</v>
      </c>
      <c r="G42" t="s">
        <v>723</v>
      </c>
      <c r="H42" s="107">
        <v>100000</v>
      </c>
      <c r="I42" t="s">
        <v>823</v>
      </c>
      <c r="J42">
        <v>350213070</v>
      </c>
      <c r="K42">
        <v>642</v>
      </c>
      <c r="L42">
        <v>2018</v>
      </c>
      <c r="M42" t="s">
        <v>874</v>
      </c>
    </row>
    <row r="43" spans="1:13" ht="14.4" x14ac:dyDescent="0.3">
      <c r="A43" s="104">
        <v>4700</v>
      </c>
      <c r="B43" t="s">
        <v>600</v>
      </c>
      <c r="C43" t="s">
        <v>632</v>
      </c>
      <c r="D43" t="s">
        <v>663</v>
      </c>
      <c r="E43" t="s">
        <v>668</v>
      </c>
      <c r="F43" t="s">
        <v>719</v>
      </c>
      <c r="G43" t="s">
        <v>723</v>
      </c>
      <c r="H43" s="107">
        <v>160000</v>
      </c>
      <c r="I43" t="s">
        <v>823</v>
      </c>
      <c r="J43" t="s">
        <v>824</v>
      </c>
      <c r="K43">
        <v>649</v>
      </c>
      <c r="L43">
        <v>2018</v>
      </c>
      <c r="M43" t="s">
        <v>874</v>
      </c>
    </row>
    <row r="44" spans="1:13" ht="14.4" x14ac:dyDescent="0.3">
      <c r="A44" s="104">
        <v>4700</v>
      </c>
      <c r="B44" t="s">
        <v>600</v>
      </c>
      <c r="C44" t="s">
        <v>633</v>
      </c>
      <c r="D44" t="s">
        <v>663</v>
      </c>
      <c r="E44" t="s">
        <v>668</v>
      </c>
      <c r="F44" t="s">
        <v>719</v>
      </c>
      <c r="G44" t="s">
        <v>724</v>
      </c>
      <c r="H44" s="107">
        <v>250000</v>
      </c>
      <c r="I44" t="s">
        <v>825</v>
      </c>
      <c r="J44">
        <v>737214995</v>
      </c>
      <c r="K44">
        <v>603</v>
      </c>
      <c r="L44">
        <v>2014</v>
      </c>
      <c r="M44" t="s">
        <v>874</v>
      </c>
    </row>
    <row r="45" spans="1:13" ht="14.4" x14ac:dyDescent="0.3">
      <c r="A45" s="104">
        <v>4700</v>
      </c>
      <c r="B45" t="s">
        <v>600</v>
      </c>
      <c r="C45" t="s">
        <v>634</v>
      </c>
      <c r="D45" t="s">
        <v>663</v>
      </c>
      <c r="E45" t="s">
        <v>668</v>
      </c>
      <c r="F45" t="s">
        <v>725</v>
      </c>
      <c r="G45" t="s">
        <v>726</v>
      </c>
      <c r="H45" s="107">
        <v>120000</v>
      </c>
      <c r="I45" t="s">
        <v>826</v>
      </c>
      <c r="J45">
        <v>320101755</v>
      </c>
      <c r="K45">
        <v>667</v>
      </c>
      <c r="L45">
        <v>2016</v>
      </c>
      <c r="M45" t="s">
        <v>874</v>
      </c>
    </row>
    <row r="46" spans="1:13" ht="14.4" x14ac:dyDescent="0.3">
      <c r="A46" s="104">
        <v>4700</v>
      </c>
      <c r="B46" t="s">
        <v>600</v>
      </c>
      <c r="C46" t="s">
        <v>635</v>
      </c>
      <c r="D46" t="s">
        <v>663</v>
      </c>
      <c r="E46" t="s">
        <v>668</v>
      </c>
      <c r="F46" t="s">
        <v>727</v>
      </c>
      <c r="H46" s="107">
        <v>95000</v>
      </c>
      <c r="I46" t="s">
        <v>727</v>
      </c>
      <c r="J46" t="s">
        <v>827</v>
      </c>
      <c r="K46">
        <v>601</v>
      </c>
      <c r="L46">
        <v>2022</v>
      </c>
      <c r="M46" t="s">
        <v>874</v>
      </c>
    </row>
    <row r="47" spans="1:13" ht="14.4" x14ac:dyDescent="0.3">
      <c r="A47" s="104">
        <v>4700</v>
      </c>
      <c r="B47" t="s">
        <v>600</v>
      </c>
      <c r="C47" t="s">
        <v>636</v>
      </c>
      <c r="D47" t="s">
        <v>663</v>
      </c>
      <c r="E47" t="s">
        <v>668</v>
      </c>
      <c r="F47" t="s">
        <v>728</v>
      </c>
      <c r="G47">
        <v>3720</v>
      </c>
      <c r="H47" s="107">
        <v>33000</v>
      </c>
      <c r="I47" t="s">
        <v>828</v>
      </c>
      <c r="J47" t="s">
        <v>829</v>
      </c>
      <c r="K47">
        <v>641</v>
      </c>
      <c r="L47">
        <v>2007</v>
      </c>
      <c r="M47" t="s">
        <v>874</v>
      </c>
    </row>
    <row r="48" spans="1:13" ht="14.4" x14ac:dyDescent="0.3">
      <c r="A48" s="104">
        <v>4700</v>
      </c>
      <c r="B48" t="s">
        <v>600</v>
      </c>
      <c r="C48" t="s">
        <v>637</v>
      </c>
      <c r="D48" t="s">
        <v>663</v>
      </c>
      <c r="E48" t="s">
        <v>668</v>
      </c>
      <c r="F48" t="s">
        <v>719</v>
      </c>
      <c r="G48" t="s">
        <v>729</v>
      </c>
      <c r="H48" s="107">
        <v>130000</v>
      </c>
      <c r="I48" t="s">
        <v>830</v>
      </c>
      <c r="J48">
        <v>1169</v>
      </c>
      <c r="K48">
        <v>606</v>
      </c>
      <c r="L48">
        <v>2018</v>
      </c>
      <c r="M48" t="s">
        <v>874</v>
      </c>
    </row>
    <row r="49" spans="1:13" ht="14.4" x14ac:dyDescent="0.3">
      <c r="A49" s="104">
        <v>4700</v>
      </c>
      <c r="B49" t="s">
        <v>600</v>
      </c>
      <c r="C49" t="s">
        <v>638</v>
      </c>
      <c r="D49" t="s">
        <v>663</v>
      </c>
      <c r="E49" t="s">
        <v>668</v>
      </c>
      <c r="F49" t="s">
        <v>728</v>
      </c>
      <c r="G49">
        <v>6320</v>
      </c>
      <c r="H49" s="107">
        <v>55000</v>
      </c>
      <c r="I49" t="s">
        <v>831</v>
      </c>
      <c r="J49" t="s">
        <v>832</v>
      </c>
      <c r="K49">
        <v>640</v>
      </c>
      <c r="L49">
        <v>2006</v>
      </c>
      <c r="M49" t="s">
        <v>874</v>
      </c>
    </row>
    <row r="50" spans="1:13" ht="14.4" x14ac:dyDescent="0.3">
      <c r="A50" s="104">
        <v>4700</v>
      </c>
      <c r="B50" t="s">
        <v>600</v>
      </c>
      <c r="C50" t="s">
        <v>639</v>
      </c>
      <c r="D50" t="s">
        <v>663</v>
      </c>
      <c r="E50" t="s">
        <v>668</v>
      </c>
      <c r="F50" t="s">
        <v>728</v>
      </c>
      <c r="G50" t="s">
        <v>730</v>
      </c>
      <c r="H50" s="107">
        <v>115000</v>
      </c>
      <c r="I50" t="s">
        <v>833</v>
      </c>
      <c r="J50" t="s">
        <v>834</v>
      </c>
      <c r="K50">
        <v>648</v>
      </c>
      <c r="L50">
        <v>2008</v>
      </c>
      <c r="M50" t="s">
        <v>874</v>
      </c>
    </row>
    <row r="51" spans="1:13" ht="14.4" x14ac:dyDescent="0.3">
      <c r="A51" s="104">
        <v>4700</v>
      </c>
      <c r="B51" t="s">
        <v>600</v>
      </c>
      <c r="C51" t="s">
        <v>640</v>
      </c>
      <c r="D51" t="s">
        <v>663</v>
      </c>
      <c r="E51" t="s">
        <v>668</v>
      </c>
      <c r="F51" t="s">
        <v>728</v>
      </c>
      <c r="G51" t="s">
        <v>731</v>
      </c>
      <c r="H51" s="107">
        <v>16000</v>
      </c>
      <c r="I51" t="s">
        <v>835</v>
      </c>
      <c r="J51" t="s">
        <v>836</v>
      </c>
      <c r="K51">
        <v>430</v>
      </c>
      <c r="L51">
        <v>2009</v>
      </c>
      <c r="M51" t="s">
        <v>874</v>
      </c>
    </row>
    <row r="52" spans="1:13" ht="14.4" x14ac:dyDescent="0.3">
      <c r="A52" s="104">
        <v>4700</v>
      </c>
      <c r="B52" t="s">
        <v>600</v>
      </c>
      <c r="C52" t="s">
        <v>641</v>
      </c>
      <c r="D52" t="s">
        <v>663</v>
      </c>
      <c r="E52" t="s">
        <v>668</v>
      </c>
      <c r="F52" t="s">
        <v>728</v>
      </c>
      <c r="G52" t="s">
        <v>732</v>
      </c>
      <c r="H52" s="107">
        <v>20000</v>
      </c>
      <c r="I52" t="s">
        <v>837</v>
      </c>
      <c r="J52" t="s">
        <v>838</v>
      </c>
      <c r="K52">
        <v>431</v>
      </c>
      <c r="L52">
        <v>2014</v>
      </c>
      <c r="M52" t="s">
        <v>874</v>
      </c>
    </row>
    <row r="53" spans="1:13" ht="14.4" x14ac:dyDescent="0.3">
      <c r="A53" s="104">
        <v>4700</v>
      </c>
      <c r="B53" t="s">
        <v>600</v>
      </c>
      <c r="C53" t="s">
        <v>642</v>
      </c>
      <c r="D53" t="s">
        <v>663</v>
      </c>
      <c r="E53" t="s">
        <v>668</v>
      </c>
      <c r="F53" t="s">
        <v>728</v>
      </c>
      <c r="G53" t="s">
        <v>733</v>
      </c>
      <c r="H53" s="107">
        <v>55000</v>
      </c>
      <c r="I53" t="s">
        <v>839</v>
      </c>
      <c r="J53" t="s">
        <v>840</v>
      </c>
      <c r="K53">
        <v>644</v>
      </c>
      <c r="L53">
        <v>2009</v>
      </c>
      <c r="M53" t="s">
        <v>874</v>
      </c>
    </row>
    <row r="54" spans="1:13" ht="14.4" x14ac:dyDescent="0.3">
      <c r="A54" s="104">
        <v>4700</v>
      </c>
      <c r="B54" t="s">
        <v>600</v>
      </c>
      <c r="C54" t="s">
        <v>643</v>
      </c>
      <c r="D54" t="s">
        <v>663</v>
      </c>
      <c r="E54" t="s">
        <v>668</v>
      </c>
      <c r="F54" t="s">
        <v>734</v>
      </c>
      <c r="G54" t="s">
        <v>735</v>
      </c>
      <c r="H54" s="107">
        <v>30000</v>
      </c>
      <c r="I54" t="s">
        <v>841</v>
      </c>
      <c r="J54" t="s">
        <v>842</v>
      </c>
      <c r="K54">
        <v>556</v>
      </c>
      <c r="L54">
        <v>2013</v>
      </c>
      <c r="M54" t="s">
        <v>874</v>
      </c>
    </row>
    <row r="55" spans="1:13" ht="14.4" x14ac:dyDescent="0.3">
      <c r="A55" s="104">
        <v>4700</v>
      </c>
      <c r="B55" t="s">
        <v>600</v>
      </c>
      <c r="C55" t="s">
        <v>644</v>
      </c>
      <c r="D55" t="s">
        <v>663</v>
      </c>
      <c r="E55" t="s">
        <v>668</v>
      </c>
      <c r="F55" t="s">
        <v>736</v>
      </c>
      <c r="G55" t="s">
        <v>737</v>
      </c>
      <c r="H55" s="107">
        <v>71000</v>
      </c>
      <c r="I55" t="s">
        <v>843</v>
      </c>
      <c r="J55" t="s">
        <v>844</v>
      </c>
      <c r="K55">
        <v>444</v>
      </c>
      <c r="L55">
        <v>2012</v>
      </c>
      <c r="M55" t="s">
        <v>874</v>
      </c>
    </row>
    <row r="56" spans="1:13" ht="14.4" x14ac:dyDescent="0.3">
      <c r="A56" s="104">
        <v>4700</v>
      </c>
      <c r="B56" t="s">
        <v>600</v>
      </c>
      <c r="C56" t="s">
        <v>645</v>
      </c>
      <c r="D56" t="s">
        <v>663</v>
      </c>
      <c r="E56" t="s">
        <v>668</v>
      </c>
      <c r="F56" t="s">
        <v>738</v>
      </c>
      <c r="G56" t="s">
        <v>739</v>
      </c>
      <c r="H56" s="107">
        <v>55000</v>
      </c>
      <c r="I56" t="s">
        <v>845</v>
      </c>
      <c r="J56" t="s">
        <v>846</v>
      </c>
      <c r="K56">
        <v>435</v>
      </c>
      <c r="L56">
        <v>2020</v>
      </c>
      <c r="M56" t="s">
        <v>874</v>
      </c>
    </row>
    <row r="57" spans="1:13" ht="14.4" x14ac:dyDescent="0.3">
      <c r="A57" s="104">
        <v>4700</v>
      </c>
      <c r="B57" t="s">
        <v>600</v>
      </c>
      <c r="C57" t="s">
        <v>646</v>
      </c>
      <c r="D57" t="s">
        <v>663</v>
      </c>
      <c r="E57" t="s">
        <v>668</v>
      </c>
      <c r="F57" t="s">
        <v>740</v>
      </c>
      <c r="G57" t="s">
        <v>741</v>
      </c>
      <c r="H57" s="107">
        <v>80000</v>
      </c>
      <c r="I57" t="s">
        <v>847</v>
      </c>
      <c r="J57" t="s">
        <v>848</v>
      </c>
      <c r="K57">
        <v>650</v>
      </c>
      <c r="L57">
        <v>2008</v>
      </c>
      <c r="M57" t="s">
        <v>874</v>
      </c>
    </row>
    <row r="58" spans="1:13" ht="14.4" x14ac:dyDescent="0.3">
      <c r="A58" s="104">
        <v>4700</v>
      </c>
      <c r="B58" t="s">
        <v>600</v>
      </c>
      <c r="C58" t="s">
        <v>647</v>
      </c>
      <c r="D58" t="s">
        <v>663</v>
      </c>
      <c r="E58" t="s">
        <v>668</v>
      </c>
      <c r="F58" t="s">
        <v>740</v>
      </c>
      <c r="G58" t="s">
        <v>742</v>
      </c>
      <c r="H58" s="107">
        <v>85000</v>
      </c>
      <c r="I58" t="s">
        <v>849</v>
      </c>
      <c r="J58" t="s">
        <v>850</v>
      </c>
      <c r="K58">
        <v>618</v>
      </c>
      <c r="L58">
        <v>2012</v>
      </c>
      <c r="M58" t="s">
        <v>874</v>
      </c>
    </row>
    <row r="59" spans="1:13" ht="14.4" x14ac:dyDescent="0.3">
      <c r="A59" s="104">
        <v>4700</v>
      </c>
      <c r="B59" t="s">
        <v>600</v>
      </c>
      <c r="C59" t="s">
        <v>648</v>
      </c>
      <c r="D59" t="s">
        <v>663</v>
      </c>
      <c r="E59" t="s">
        <v>668</v>
      </c>
      <c r="F59" t="s">
        <v>740</v>
      </c>
      <c r="G59" t="s">
        <v>743</v>
      </c>
      <c r="H59" s="107">
        <v>85000</v>
      </c>
      <c r="I59" t="s">
        <v>851</v>
      </c>
      <c r="J59" t="s">
        <v>852</v>
      </c>
      <c r="K59">
        <v>646</v>
      </c>
      <c r="L59">
        <v>2017</v>
      </c>
      <c r="M59" t="s">
        <v>874</v>
      </c>
    </row>
    <row r="60" spans="1:13" ht="14.4" x14ac:dyDescent="0.3">
      <c r="A60" s="104">
        <v>4700</v>
      </c>
      <c r="B60" t="s">
        <v>600</v>
      </c>
      <c r="C60" t="s">
        <v>649</v>
      </c>
      <c r="D60" t="s">
        <v>663</v>
      </c>
      <c r="E60" t="s">
        <v>668</v>
      </c>
      <c r="F60" t="s">
        <v>740</v>
      </c>
      <c r="G60" t="s">
        <v>743</v>
      </c>
      <c r="H60" s="107">
        <v>85000</v>
      </c>
      <c r="I60" t="s">
        <v>851</v>
      </c>
      <c r="J60" t="s">
        <v>853</v>
      </c>
      <c r="K60">
        <v>643</v>
      </c>
      <c r="L60">
        <v>2017</v>
      </c>
      <c r="M60" t="s">
        <v>874</v>
      </c>
    </row>
    <row r="61" spans="1:13" ht="14.4" x14ac:dyDescent="0.3">
      <c r="A61" s="104">
        <v>4700</v>
      </c>
      <c r="B61" t="s">
        <v>600</v>
      </c>
      <c r="C61" t="s">
        <v>650</v>
      </c>
      <c r="D61" t="s">
        <v>663</v>
      </c>
      <c r="E61" t="s">
        <v>668</v>
      </c>
      <c r="F61" t="s">
        <v>740</v>
      </c>
      <c r="G61" t="s">
        <v>743</v>
      </c>
      <c r="H61" s="107">
        <v>75000</v>
      </c>
      <c r="I61" t="s">
        <v>851</v>
      </c>
      <c r="J61" t="s">
        <v>854</v>
      </c>
      <c r="K61">
        <v>612</v>
      </c>
      <c r="L61">
        <v>2016</v>
      </c>
      <c r="M61" t="s">
        <v>874</v>
      </c>
    </row>
    <row r="62" spans="1:13" ht="14.4" x14ac:dyDescent="0.3">
      <c r="A62" s="104">
        <v>4700</v>
      </c>
      <c r="B62" t="s">
        <v>600</v>
      </c>
      <c r="C62" t="s">
        <v>651</v>
      </c>
      <c r="D62" t="s">
        <v>663</v>
      </c>
      <c r="E62" t="s">
        <v>668</v>
      </c>
      <c r="F62" t="s">
        <v>740</v>
      </c>
      <c r="G62" t="s">
        <v>743</v>
      </c>
      <c r="H62" s="107">
        <v>75000</v>
      </c>
      <c r="I62" t="s">
        <v>851</v>
      </c>
      <c r="J62" t="s">
        <v>855</v>
      </c>
      <c r="K62">
        <v>645</v>
      </c>
      <c r="L62">
        <v>2016</v>
      </c>
      <c r="M62" t="s">
        <v>874</v>
      </c>
    </row>
    <row r="63" spans="1:13" ht="14.4" x14ac:dyDescent="0.3">
      <c r="A63" s="104">
        <v>4700</v>
      </c>
      <c r="B63" t="s">
        <v>600</v>
      </c>
      <c r="C63" t="s">
        <v>652</v>
      </c>
      <c r="D63" t="s">
        <v>663</v>
      </c>
      <c r="E63" t="s">
        <v>668</v>
      </c>
      <c r="F63" t="s">
        <v>740</v>
      </c>
      <c r="G63" t="s">
        <v>743</v>
      </c>
      <c r="H63" s="107">
        <v>85000</v>
      </c>
      <c r="I63" t="s">
        <v>851</v>
      </c>
      <c r="J63" t="s">
        <v>856</v>
      </c>
      <c r="K63">
        <v>615</v>
      </c>
      <c r="L63">
        <v>2016</v>
      </c>
      <c r="M63" t="s">
        <v>874</v>
      </c>
    </row>
    <row r="64" spans="1:13" ht="14.4" x14ac:dyDescent="0.3">
      <c r="A64" s="104">
        <v>4700</v>
      </c>
      <c r="B64" t="s">
        <v>600</v>
      </c>
      <c r="C64" t="s">
        <v>653</v>
      </c>
      <c r="D64" t="s">
        <v>663</v>
      </c>
      <c r="E64" t="s">
        <v>668</v>
      </c>
      <c r="F64" t="s">
        <v>740</v>
      </c>
      <c r="G64" t="s">
        <v>743</v>
      </c>
      <c r="H64" s="107">
        <v>91000</v>
      </c>
      <c r="I64" t="s">
        <v>851</v>
      </c>
      <c r="J64" t="s">
        <v>857</v>
      </c>
      <c r="K64">
        <v>614</v>
      </c>
      <c r="L64">
        <v>2015</v>
      </c>
      <c r="M64" t="s">
        <v>874</v>
      </c>
    </row>
    <row r="65" spans="1:15" ht="14.4" x14ac:dyDescent="0.3">
      <c r="A65" s="104">
        <v>4700</v>
      </c>
      <c r="B65" t="s">
        <v>600</v>
      </c>
      <c r="C65" t="s">
        <v>654</v>
      </c>
      <c r="D65" t="s">
        <v>663</v>
      </c>
      <c r="E65" t="s">
        <v>668</v>
      </c>
      <c r="F65" t="s">
        <v>740</v>
      </c>
      <c r="G65" t="s">
        <v>744</v>
      </c>
      <c r="H65" s="107">
        <v>90000</v>
      </c>
      <c r="I65" t="s">
        <v>858</v>
      </c>
      <c r="J65" t="s">
        <v>859</v>
      </c>
      <c r="K65">
        <v>652</v>
      </c>
      <c r="L65">
        <v>2019</v>
      </c>
      <c r="M65" t="s">
        <v>874</v>
      </c>
    </row>
    <row r="66" spans="1:15" ht="14.4" x14ac:dyDescent="0.3">
      <c r="A66" s="104">
        <v>4700</v>
      </c>
      <c r="B66" t="s">
        <v>600</v>
      </c>
      <c r="C66" t="s">
        <v>655</v>
      </c>
      <c r="D66" t="s">
        <v>663</v>
      </c>
      <c r="E66" t="s">
        <v>668</v>
      </c>
      <c r="F66" t="s">
        <v>745</v>
      </c>
      <c r="G66" t="s">
        <v>746</v>
      </c>
      <c r="H66" s="107">
        <v>100466</v>
      </c>
      <c r="I66" t="s">
        <v>860</v>
      </c>
      <c r="J66" t="s">
        <v>861</v>
      </c>
      <c r="K66">
        <v>616</v>
      </c>
      <c r="L66">
        <v>2018</v>
      </c>
      <c r="M66" t="s">
        <v>874</v>
      </c>
    </row>
    <row r="67" spans="1:15" ht="14.4" x14ac:dyDescent="0.3">
      <c r="A67" s="104">
        <v>4700</v>
      </c>
      <c r="B67" t="s">
        <v>600</v>
      </c>
      <c r="C67" t="s">
        <v>656</v>
      </c>
      <c r="D67" t="s">
        <v>663</v>
      </c>
      <c r="E67" t="s">
        <v>668</v>
      </c>
      <c r="F67" t="s">
        <v>747</v>
      </c>
      <c r="G67">
        <v>540</v>
      </c>
      <c r="H67" s="107">
        <v>150000</v>
      </c>
      <c r="I67" t="s">
        <v>862</v>
      </c>
      <c r="J67" t="s">
        <v>863</v>
      </c>
      <c r="K67">
        <v>473</v>
      </c>
      <c r="L67">
        <v>2008</v>
      </c>
      <c r="M67" t="s">
        <v>874</v>
      </c>
    </row>
    <row r="68" spans="1:15" ht="14.4" x14ac:dyDescent="0.3">
      <c r="A68" s="104">
        <v>4700</v>
      </c>
      <c r="B68" t="s">
        <v>600</v>
      </c>
      <c r="C68" t="s">
        <v>657</v>
      </c>
      <c r="D68" t="s">
        <v>663</v>
      </c>
      <c r="E68" t="s">
        <v>668</v>
      </c>
      <c r="F68" t="s">
        <v>747</v>
      </c>
      <c r="G68" t="s">
        <v>748</v>
      </c>
      <c r="H68" s="107">
        <v>145000</v>
      </c>
      <c r="I68" t="s">
        <v>864</v>
      </c>
      <c r="J68" t="s">
        <v>865</v>
      </c>
      <c r="K68">
        <v>472</v>
      </c>
      <c r="L68">
        <v>2011</v>
      </c>
      <c r="M68" t="s">
        <v>874</v>
      </c>
    </row>
    <row r="69" spans="1:15" ht="14.4" x14ac:dyDescent="0.3">
      <c r="A69" s="104">
        <v>4700</v>
      </c>
      <c r="B69" t="s">
        <v>600</v>
      </c>
      <c r="C69" t="s">
        <v>658</v>
      </c>
      <c r="D69" t="s">
        <v>663</v>
      </c>
      <c r="E69" t="s">
        <v>668</v>
      </c>
      <c r="F69" t="s">
        <v>747</v>
      </c>
      <c r="G69" t="s">
        <v>748</v>
      </c>
      <c r="H69" s="107">
        <v>170000</v>
      </c>
      <c r="I69" t="s">
        <v>864</v>
      </c>
      <c r="J69" t="s">
        <v>866</v>
      </c>
      <c r="K69">
        <v>475</v>
      </c>
      <c r="L69">
        <v>2021</v>
      </c>
      <c r="M69" t="s">
        <v>874</v>
      </c>
    </row>
    <row r="70" spans="1:15" ht="14.4" x14ac:dyDescent="0.3">
      <c r="A70" s="104">
        <v>4700</v>
      </c>
      <c r="B70" t="s">
        <v>600</v>
      </c>
      <c r="C70" t="s">
        <v>659</v>
      </c>
      <c r="D70" t="s">
        <v>663</v>
      </c>
      <c r="E70" t="s">
        <v>668</v>
      </c>
      <c r="F70" t="s">
        <v>747</v>
      </c>
      <c r="G70" t="s">
        <v>749</v>
      </c>
      <c r="H70" s="107">
        <v>150000</v>
      </c>
      <c r="I70" t="s">
        <v>867</v>
      </c>
      <c r="J70" t="s">
        <v>868</v>
      </c>
      <c r="K70">
        <v>476</v>
      </c>
      <c r="L70">
        <v>2016</v>
      </c>
      <c r="M70" t="s">
        <v>874</v>
      </c>
    </row>
    <row r="71" spans="1:15" ht="14.4" x14ac:dyDescent="0.3">
      <c r="A71" s="104">
        <v>4700</v>
      </c>
      <c r="B71" t="s">
        <v>600</v>
      </c>
      <c r="C71" t="s">
        <v>660</v>
      </c>
      <c r="D71" t="s">
        <v>663</v>
      </c>
      <c r="E71" t="s">
        <v>668</v>
      </c>
      <c r="F71" t="s">
        <v>750</v>
      </c>
      <c r="G71" t="s">
        <v>751</v>
      </c>
      <c r="H71" s="107">
        <v>37950</v>
      </c>
      <c r="I71" t="s">
        <v>869</v>
      </c>
      <c r="J71" t="s">
        <v>870</v>
      </c>
      <c r="K71">
        <v>760</v>
      </c>
      <c r="L71">
        <v>2017</v>
      </c>
      <c r="M71" t="s">
        <v>874</v>
      </c>
    </row>
    <row r="72" spans="1:15" s="54" customFormat="1" x14ac:dyDescent="0.25">
      <c r="F72" s="38" t="s">
        <v>747</v>
      </c>
      <c r="G72" s="38" t="s">
        <v>748</v>
      </c>
      <c r="H72" s="168">
        <v>230000</v>
      </c>
      <c r="I72" s="38" t="s">
        <v>892</v>
      </c>
      <c r="J72" s="38"/>
      <c r="K72" s="38">
        <v>473</v>
      </c>
      <c r="L72" s="38">
        <v>2021</v>
      </c>
      <c r="O72" s="54" t="s">
        <v>893</v>
      </c>
    </row>
    <row r="73" spans="1:15" s="54" customFormat="1" ht="13.8" x14ac:dyDescent="0.25">
      <c r="F73" s="38" t="s">
        <v>745</v>
      </c>
      <c r="G73" s="38" t="s">
        <v>911</v>
      </c>
      <c r="H73" s="168">
        <v>100000</v>
      </c>
      <c r="I73" s="169" t="s">
        <v>910</v>
      </c>
      <c r="J73" s="38"/>
      <c r="K73" s="38"/>
      <c r="L73" s="38"/>
      <c r="N73" s="38" t="s">
        <v>913</v>
      </c>
      <c r="O73" s="54" t="s">
        <v>917</v>
      </c>
    </row>
    <row r="74" spans="1:15" s="54" customFormat="1" ht="13.8" x14ac:dyDescent="0.25">
      <c r="F74" s="38" t="s">
        <v>745</v>
      </c>
      <c r="G74" s="38" t="s">
        <v>911</v>
      </c>
      <c r="H74" s="168">
        <v>100000</v>
      </c>
      <c r="I74" s="169" t="s">
        <v>910</v>
      </c>
      <c r="J74" s="38"/>
      <c r="K74" s="38"/>
      <c r="L74" s="38"/>
      <c r="N74" s="38" t="s">
        <v>912</v>
      </c>
      <c r="O74" s="54" t="s">
        <v>917</v>
      </c>
    </row>
    <row r="75" spans="1:15" s="54" customFormat="1" ht="13.8" x14ac:dyDescent="0.25">
      <c r="F75" s="38" t="s">
        <v>916</v>
      </c>
      <c r="G75" s="38"/>
      <c r="H75" s="168">
        <v>100000</v>
      </c>
      <c r="I75" s="169" t="s">
        <v>915</v>
      </c>
      <c r="J75" s="38"/>
      <c r="K75" s="38"/>
      <c r="L75" s="38"/>
      <c r="N75" s="38" t="s">
        <v>914</v>
      </c>
      <c r="O75" s="54" t="s">
        <v>918</v>
      </c>
    </row>
    <row r="77" spans="1:15" ht="14.4" x14ac:dyDescent="0.3">
      <c r="G77" t="s">
        <v>752</v>
      </c>
      <c r="H77" s="108">
        <f>SUM(H2:H76)</f>
        <v>5696480</v>
      </c>
    </row>
    <row r="80" spans="1:15" x14ac:dyDescent="0.25">
      <c r="F80" s="157" t="s">
        <v>958</v>
      </c>
    </row>
    <row r="81" spans="1:15" s="38" customFormat="1" ht="13.8" x14ac:dyDescent="0.25">
      <c r="F81" s="38" t="s">
        <v>916</v>
      </c>
      <c r="H81" s="156">
        <v>0</v>
      </c>
      <c r="I81" s="169" t="s">
        <v>915</v>
      </c>
      <c r="N81" s="38" t="s">
        <v>914</v>
      </c>
      <c r="O81" s="54" t="s">
        <v>961</v>
      </c>
    </row>
    <row r="82" spans="1:15" s="38" customFormat="1" ht="13.8" x14ac:dyDescent="0.25">
      <c r="F82" s="157" t="s">
        <v>959</v>
      </c>
      <c r="H82" s="156"/>
      <c r="I82" s="169"/>
      <c r="O82" s="54"/>
    </row>
    <row r="83" spans="1:15" ht="14.4" x14ac:dyDescent="0.3">
      <c r="A83" s="104">
        <v>4700</v>
      </c>
      <c r="B83" t="s">
        <v>600</v>
      </c>
      <c r="C83" t="s">
        <v>602</v>
      </c>
      <c r="D83" t="s">
        <v>662</v>
      </c>
      <c r="E83" t="s">
        <v>668</v>
      </c>
      <c r="F83" t="s">
        <v>675</v>
      </c>
      <c r="G83" t="s">
        <v>676</v>
      </c>
      <c r="H83" s="156">
        <v>0</v>
      </c>
      <c r="I83" s="105" t="s">
        <v>764</v>
      </c>
      <c r="J83" s="105" t="s">
        <v>765</v>
      </c>
      <c r="K83" s="105">
        <v>610</v>
      </c>
      <c r="L83" s="105">
        <v>2011</v>
      </c>
      <c r="M83" t="s">
        <v>874</v>
      </c>
      <c r="O83" s="54" t="s">
        <v>960</v>
      </c>
    </row>
  </sheetData>
  <pageMargins left="0.7" right="0.7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3E4BE8A7A12449652A7D1BB9BC46B" ma:contentTypeVersion="14" ma:contentTypeDescription="Create a new document." ma:contentTypeScope="" ma:versionID="fdb3477d55f9e652919fef73349a0652">
  <xsd:schema xmlns:xsd="http://www.w3.org/2001/XMLSchema" xmlns:xs="http://www.w3.org/2001/XMLSchema" xmlns:p="http://schemas.microsoft.com/office/2006/metadata/properties" xmlns:ns2="12fb95e0-638b-43bf-8545-f419bc311c9c" xmlns:ns3="998c6d2c-38bf-417e-be8a-94c261a31774" targetNamespace="http://schemas.microsoft.com/office/2006/metadata/properties" ma:root="true" ma:fieldsID="cae81525cbe78dd3c6523af2c7bea5d2" ns2:_="" ns3:_="">
    <xsd:import namespace="12fb95e0-638b-43bf-8545-f419bc311c9c"/>
    <xsd:import namespace="998c6d2c-38bf-417e-be8a-94c261a31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b95e0-638b-43bf-8545-f419bc311c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c6d2c-38bf-417e-be8a-94c261a317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9d2b93-5376-40e7-bb33-5c30072f20f3}" ma:internalName="TaxCatchAll" ma:showField="CatchAllData" ma:web="998c6d2c-38bf-417e-be8a-94c261a317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fb95e0-638b-43bf-8545-f419bc311c9c">
      <Terms xmlns="http://schemas.microsoft.com/office/infopath/2007/PartnerControls"/>
    </lcf76f155ced4ddcb4097134ff3c332f>
    <TaxCatchAll xmlns="998c6d2c-38bf-417e-be8a-94c261a31774" xsi:nil="true"/>
  </documentManagement>
</p:properties>
</file>

<file path=customXml/itemProps1.xml><?xml version="1.0" encoding="utf-8"?>
<ds:datastoreItem xmlns:ds="http://schemas.openxmlformats.org/officeDocument/2006/customXml" ds:itemID="{1E1539B2-F8F1-4444-B5C2-44C9A045D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b95e0-638b-43bf-8545-f419bc311c9c"/>
    <ds:schemaRef ds:uri="998c6d2c-38bf-417e-be8a-94c261a31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415914-D433-4C3F-A3E6-71523BAC69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1562A7-0C4C-4771-9E04-B937DDD5D669}">
  <ds:schemaRefs>
    <ds:schemaRef ds:uri="http://schemas.microsoft.com/office/2006/metadata/properties"/>
    <ds:schemaRef ds:uri="http://schemas.microsoft.com/office/infopath/2007/PartnerControls"/>
    <ds:schemaRef ds:uri="12fb95e0-638b-43bf-8545-f419bc311c9c"/>
    <ds:schemaRef ds:uri="998c6d2c-38bf-417e-be8a-94c261a317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Heerhugowaard per 010924</vt:lpstr>
      <vt:lpstr>Langedijk per 010924</vt:lpstr>
      <vt:lpstr>Sub D</vt:lpstr>
      <vt:lpstr>materieel</vt:lpstr>
      <vt:lpstr>'Heerhugowaard per 010924'!Afdrukbereik</vt:lpstr>
      <vt:lpstr>'Langedijk per 010924'!Afdrukbereik</vt:lpstr>
      <vt:lpstr>materieel!Afdrukbereik</vt:lpstr>
      <vt:lpstr>'Heerhugowaard per 010924'!Afdruktitels</vt:lpstr>
    </vt:vector>
  </TitlesOfParts>
  <Company>Gemeente Heerhugowaard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Petra Cornelisse</dc:creator>
  <cp:lastModifiedBy>Monique van Bekkum - Mul</cp:lastModifiedBy>
  <cp:lastPrinted>2023-04-19T12:42:04Z</cp:lastPrinted>
  <dcterms:created xsi:type="dcterms:W3CDTF">2011-01-06T13:41:11Z</dcterms:created>
  <dcterms:modified xsi:type="dcterms:W3CDTF">2025-06-05T08:11:11Z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0x0101007CD3E4BE8A7A12449652A7D1BB9BC46B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