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mc:AlternateContent xmlns:mc="http://schemas.openxmlformats.org/markup-compatibility/2006">
    <mc:Choice Requires="x15">
      <x15ac:absPath xmlns:x15ac="http://schemas.microsoft.com/office/spreadsheetml/2010/11/ac" url="https://regiowf2.sharepoint.com/sites/TeamLopendeinkopen-Bedrijfsvoeringengebouwbeheer/Gedeelde documenten/Bedrijfsvoering/Schoonmaak/1 - Aanbestedingsdocumenten/Perceel 1/"/>
    </mc:Choice>
  </mc:AlternateContent>
  <xr:revisionPtr revIDLastSave="119" documentId="8_{FEC6CB74-313B-45E8-9F2B-4FCBA4FEF42D}" xr6:coauthVersionLast="47" xr6:coauthVersionMax="47" xr10:uidLastSave="{7E518BD6-CC67-4824-A1B9-5C5C5E1A82F9}"/>
  <bookViews>
    <workbookView xWindow="-120" yWindow="-120" windowWidth="29040" windowHeight="17640" tabRatio="946" activeTab="2"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Vloeronderhoud" sheetId="39" r:id="rId10"/>
    <sheet name="11-Machinekosten" sheetId="40" r:id="rId11"/>
  </sheets>
  <externalReferences>
    <externalReference r:id="rId12"/>
    <externalReference r:id="rId13"/>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'10-Vloeronderhoud'!$A$10:$X$26</definedName>
    <definedName name="_xlnm._FilterDatabase" localSheetId="1" hidden="1">'2-Kosten per locatie'!$A$14:$K$24</definedName>
    <definedName name="_xlnm._FilterDatabase" localSheetId="3" hidden="1">'4-Basis ruimtestaat'!$B$9:$U$160</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locatie'!$A$3:$AC$23</definedName>
    <definedName name="_xlnm.Print_Area" localSheetId="3">'4-Basis ruimtestaat'!$B$3:$U$160</definedName>
    <definedName name="_xlnm.Print_Area" localSheetId="4">'5-Premies en opslagen'!$A$3:$E$55</definedName>
    <definedName name="_xlnm.Print_Area" localSheetId="5">'6-Opbouw uurtarief productie'!$A$1:$Q$63</definedName>
    <definedName name="_xlnm.Print_Area" localSheetId="8">'9-Afroepprijs'!$A$3:$F$32</definedName>
    <definedName name="_xlnm.Print_Titles" localSheetId="9">'10-Vloeronderhoud'!$10:$10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9" l="1"/>
  <c r="E13" i="39"/>
  <c r="E14" i="39"/>
  <c r="E15" i="39"/>
  <c r="E16" i="39"/>
  <c r="E17" i="39"/>
  <c r="E18" i="39"/>
  <c r="E19" i="39"/>
  <c r="E20" i="39"/>
  <c r="E21" i="39"/>
  <c r="E22" i="39"/>
  <c r="E23" i="39"/>
  <c r="E24" i="39"/>
  <c r="E11" i="39"/>
  <c r="K11" i="2" l="1"/>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18"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0" i="2"/>
  <c r="Q8" i="2"/>
  <c r="A8" i="40" l="1"/>
  <c r="A7" i="40"/>
  <c r="A6" i="40"/>
  <c r="A5" i="40"/>
  <c r="A4" i="40"/>
  <c r="A3" i="40"/>
  <c r="N39" i="18"/>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U27" i="2" l="1"/>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2" i="2"/>
  <c r="U63" i="2"/>
  <c r="U64" i="2"/>
  <c r="U65" i="2"/>
  <c r="U66" i="2"/>
  <c r="U67" i="2"/>
  <c r="U68" i="2"/>
  <c r="U69" i="2"/>
  <c r="U70" i="2"/>
  <c r="U71" i="2"/>
  <c r="U72" i="2"/>
  <c r="U74" i="2"/>
  <c r="U75" i="2"/>
  <c r="U76" i="2"/>
  <c r="U77" i="2"/>
  <c r="U78" i="2"/>
  <c r="U79" i="2"/>
  <c r="U80" i="2"/>
  <c r="U81" i="2"/>
  <c r="U82" i="2"/>
  <c r="U83" i="2"/>
  <c r="U84" i="2"/>
  <c r="U85" i="2"/>
  <c r="U87" i="2"/>
  <c r="U88" i="2"/>
  <c r="U89" i="2"/>
  <c r="U90" i="2"/>
  <c r="U91" i="2"/>
  <c r="U92" i="2"/>
  <c r="U93" i="2"/>
  <c r="U94" i="2"/>
  <c r="U95" i="2"/>
  <c r="U96" i="2"/>
  <c r="U97" i="2"/>
  <c r="U98" i="2"/>
  <c r="U99" i="2"/>
  <c r="U100" i="2"/>
  <c r="U101" i="2"/>
  <c r="U104" i="2"/>
  <c r="U105" i="2"/>
  <c r="U106" i="2"/>
  <c r="U107" i="2"/>
  <c r="U108" i="2"/>
  <c r="U109" i="2"/>
  <c r="U110" i="2"/>
  <c r="U111" i="2"/>
  <c r="U112" i="2"/>
  <c r="U113" i="2"/>
  <c r="U114" i="2"/>
  <c r="U115" i="2"/>
  <c r="U116" i="2"/>
  <c r="U117" i="2"/>
  <c r="U118" i="2"/>
  <c r="U119" i="2"/>
  <c r="U120" i="2"/>
  <c r="U121" i="2"/>
  <c r="U122" i="2"/>
  <c r="U123" i="2"/>
  <c r="U125" i="2"/>
  <c r="U126" i="2"/>
  <c r="U127" i="2"/>
  <c r="U128" i="2"/>
  <c r="U129" i="2"/>
  <c r="U130" i="2"/>
  <c r="U131" i="2"/>
  <c r="U132" i="2"/>
  <c r="U133" i="2"/>
  <c r="U134" i="2"/>
  <c r="U135" i="2"/>
  <c r="U136" i="2"/>
  <c r="U137" i="2"/>
  <c r="U139" i="2"/>
  <c r="U141" i="2"/>
  <c r="U142" i="2"/>
  <c r="U143" i="2"/>
  <c r="U144" i="2"/>
  <c r="U145" i="2"/>
  <c r="U146" i="2"/>
  <c r="U147" i="2"/>
  <c r="U148" i="2"/>
  <c r="U149" i="2"/>
  <c r="U151" i="2"/>
  <c r="U152" i="2"/>
  <c r="U153" i="2"/>
  <c r="U154" i="2"/>
  <c r="U155" i="2"/>
  <c r="U156" i="2"/>
  <c r="U157" i="2"/>
  <c r="U158" i="2"/>
  <c r="U159" i="2"/>
  <c r="U160" i="2"/>
  <c r="U61" i="2"/>
  <c r="P129" i="2"/>
  <c r="U140" i="2"/>
  <c r="U73" i="2" l="1"/>
  <c r="U103" i="2"/>
  <c r="U102" i="2"/>
  <c r="U86" i="2"/>
  <c r="U124" i="2"/>
  <c r="N129" i="2"/>
  <c r="Q129" i="2"/>
  <c r="U138" i="2"/>
  <c r="U150" i="2"/>
  <c r="B4" i="41"/>
  <c r="B3" i="41"/>
  <c r="B1" i="41" l="1"/>
  <c r="B2" i="41"/>
  <c r="K52" i="38" l="1"/>
  <c r="K60" i="38" l="1"/>
  <c r="K59" i="38"/>
  <c r="K58" i="38"/>
  <c r="K57" i="38"/>
  <c r="K56" i="38"/>
  <c r="K55" i="38"/>
  <c r="K54" i="38"/>
  <c r="K53" i="38"/>
  <c r="K51" i="38"/>
  <c r="K50" i="38"/>
  <c r="E13" i="40"/>
  <c r="E14" i="40"/>
  <c r="E15" i="40"/>
  <c r="E16" i="40"/>
  <c r="E17" i="40"/>
  <c r="E18" i="40"/>
  <c r="E19" i="40"/>
  <c r="E20" i="40"/>
  <c r="E21" i="40"/>
  <c r="E22" i="40"/>
  <c r="E23" i="40"/>
  <c r="E24" i="40"/>
  <c r="E25" i="40"/>
  <c r="E26" i="40"/>
  <c r="E27" i="40"/>
  <c r="E12" i="40"/>
  <c r="B5" i="40"/>
  <c r="B6" i="40"/>
  <c r="B7" i="40"/>
  <c r="B8" i="40"/>
  <c r="B3" i="40"/>
  <c r="P29" i="40" l="1"/>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I16" i="40"/>
  <c r="F16" i="40"/>
  <c r="L15" i="40"/>
  <c r="K15" i="40"/>
  <c r="J15" i="40"/>
  <c r="F15" i="40"/>
  <c r="I15" i="40" s="1"/>
  <c r="L14" i="40"/>
  <c r="K14" i="40"/>
  <c r="J14" i="40"/>
  <c r="F14" i="40"/>
  <c r="I14" i="40" s="1"/>
  <c r="L13" i="40"/>
  <c r="K13" i="40"/>
  <c r="J13" i="40"/>
  <c r="F13" i="40"/>
  <c r="I13" i="40" s="1"/>
  <c r="L12" i="40"/>
  <c r="K12" i="40"/>
  <c r="J12" i="40"/>
  <c r="F12" i="40"/>
  <c r="I12" i="40" s="1"/>
  <c r="B4" i="40"/>
  <c r="N26" i="40" l="1"/>
  <c r="Q26" i="40" s="1"/>
  <c r="N13" i="40"/>
  <c r="Q13" i="40" s="1"/>
  <c r="N18" i="40"/>
  <c r="Q18" i="40" s="1"/>
  <c r="N27" i="40"/>
  <c r="Q27" i="40" s="1"/>
  <c r="N16" i="40"/>
  <c r="Q16" i="40" s="1"/>
  <c r="N24" i="40"/>
  <c r="Q24" i="40" s="1"/>
  <c r="N14" i="40"/>
  <c r="Q14" i="40" s="1"/>
  <c r="N15" i="40"/>
  <c r="Q15" i="40" s="1"/>
  <c r="N21" i="40"/>
  <c r="Q21" i="40" s="1"/>
  <c r="N17" i="40"/>
  <c r="Q17" i="40" s="1"/>
  <c r="N19" i="40"/>
  <c r="Q19" i="40" s="1"/>
  <c r="N25" i="40"/>
  <c r="Q25" i="40" s="1"/>
  <c r="N23" i="40"/>
  <c r="Q23" i="40" s="1"/>
  <c r="N22" i="40"/>
  <c r="Q22" i="40" s="1"/>
  <c r="N20" i="40"/>
  <c r="Q20" i="40" s="1"/>
  <c r="N12" i="40"/>
  <c r="Q12" i="40" s="1"/>
  <c r="Q29" i="40" l="1"/>
  <c r="H14" i="31" s="1"/>
  <c r="B5" i="39"/>
  <c r="B6" i="39"/>
  <c r="B7" i="39"/>
  <c r="B8" i="39"/>
  <c r="B4" i="39"/>
  <c r="B3" i="39"/>
  <c r="A4" i="39"/>
  <c r="A5" i="39"/>
  <c r="A6" i="39"/>
  <c r="A7" i="39"/>
  <c r="A8" i="39"/>
  <c r="A3"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U11" i="2"/>
  <c r="U12" i="2"/>
  <c r="U13" i="2"/>
  <c r="U14" i="2"/>
  <c r="U15" i="2"/>
  <c r="U16" i="2"/>
  <c r="U17" i="2"/>
  <c r="U18" i="2"/>
  <c r="U19" i="2"/>
  <c r="U20" i="2"/>
  <c r="U21" i="2"/>
  <c r="U22" i="2"/>
  <c r="U23" i="2"/>
  <c r="U24" i="2"/>
  <c r="U25" i="2"/>
  <c r="U26" i="2"/>
  <c r="B6" i="28"/>
  <c r="B5" i="28"/>
  <c r="B3" i="28"/>
  <c r="A4" i="28"/>
  <c r="A5" i="28"/>
  <c r="A6" i="28"/>
  <c r="A3" i="28"/>
  <c r="B7" i="2"/>
  <c r="B6" i="2"/>
  <c r="B5" i="2"/>
  <c r="B4" i="2"/>
  <c r="B3" i="2"/>
  <c r="C7" i="2"/>
  <c r="C6" i="2"/>
  <c r="C5" i="2"/>
  <c r="C3" i="2"/>
  <c r="K54" i="18"/>
  <c r="K55" i="18"/>
  <c r="K56" i="18"/>
  <c r="K57" i="18"/>
  <c r="K58" i="18"/>
  <c r="K59" i="18"/>
  <c r="K60" i="18"/>
  <c r="K53" i="18"/>
  <c r="K51" i="18"/>
  <c r="K50" i="18"/>
  <c r="R11" i="2" l="1"/>
  <c r="R19" i="2"/>
  <c r="R27" i="2"/>
  <c r="R35" i="2"/>
  <c r="R43" i="2"/>
  <c r="R51" i="2"/>
  <c r="R59" i="2"/>
  <c r="R67" i="2"/>
  <c r="R75" i="2"/>
  <c r="R83" i="2"/>
  <c r="R91" i="2"/>
  <c r="R99" i="2"/>
  <c r="R107" i="2"/>
  <c r="R115" i="2"/>
  <c r="R123" i="2"/>
  <c r="R131" i="2"/>
  <c r="R139" i="2"/>
  <c r="R147" i="2"/>
  <c r="R155" i="2"/>
  <c r="R20" i="2"/>
  <c r="R28" i="2"/>
  <c r="R36" i="2"/>
  <c r="R44" i="2"/>
  <c r="R60" i="2"/>
  <c r="R68" i="2"/>
  <c r="R76" i="2"/>
  <c r="R92" i="2"/>
  <c r="R108" i="2"/>
  <c r="R124" i="2"/>
  <c r="R140" i="2"/>
  <c r="R156" i="2"/>
  <c r="R78" i="2"/>
  <c r="R102" i="2"/>
  <c r="R110" i="2"/>
  <c r="R134" i="2"/>
  <c r="R150" i="2"/>
  <c r="R23" i="2"/>
  <c r="R39" i="2"/>
  <c r="R63" i="2"/>
  <c r="R79" i="2"/>
  <c r="R103" i="2"/>
  <c r="R127" i="2"/>
  <c r="R151" i="2"/>
  <c r="R24" i="2"/>
  <c r="R40" i="2"/>
  <c r="R56" i="2"/>
  <c r="R72" i="2"/>
  <c r="R88" i="2"/>
  <c r="R104" i="2"/>
  <c r="R120" i="2"/>
  <c r="R12" i="2"/>
  <c r="R13" i="2"/>
  <c r="R21" i="2"/>
  <c r="R29" i="2"/>
  <c r="R37" i="2"/>
  <c r="R45" i="2"/>
  <c r="R53" i="2"/>
  <c r="R61" i="2"/>
  <c r="R69" i="2"/>
  <c r="R77" i="2"/>
  <c r="R85" i="2"/>
  <c r="R93" i="2"/>
  <c r="R101" i="2"/>
  <c r="R109" i="2"/>
  <c r="R117" i="2"/>
  <c r="R125" i="2"/>
  <c r="R133" i="2"/>
  <c r="R141" i="2"/>
  <c r="R149" i="2"/>
  <c r="R157" i="2"/>
  <c r="R22" i="2"/>
  <c r="R30" i="2"/>
  <c r="R38" i="2"/>
  <c r="R46" i="2"/>
  <c r="R54" i="2"/>
  <c r="R62" i="2"/>
  <c r="R70" i="2"/>
  <c r="R86" i="2"/>
  <c r="R94" i="2"/>
  <c r="R118" i="2"/>
  <c r="R142" i="2"/>
  <c r="R158" i="2"/>
  <c r="R31" i="2"/>
  <c r="R47" i="2"/>
  <c r="R71" i="2"/>
  <c r="R95" i="2"/>
  <c r="R119" i="2"/>
  <c r="R143" i="2"/>
  <c r="R14" i="2"/>
  <c r="R15" i="2"/>
  <c r="R16" i="2"/>
  <c r="R17" i="2"/>
  <c r="R25" i="2"/>
  <c r="R33" i="2"/>
  <c r="R41" i="2"/>
  <c r="R49" i="2"/>
  <c r="R57" i="2"/>
  <c r="R65" i="2"/>
  <c r="R73" i="2"/>
  <c r="R81" i="2"/>
  <c r="R97" i="2"/>
  <c r="R105" i="2"/>
  <c r="R121" i="2"/>
  <c r="R137" i="2"/>
  <c r="R153" i="2"/>
  <c r="R18" i="2"/>
  <c r="R26" i="2"/>
  <c r="R34" i="2"/>
  <c r="R42" i="2"/>
  <c r="R50" i="2"/>
  <c r="R58" i="2"/>
  <c r="R66" i="2"/>
  <c r="R74" i="2"/>
  <c r="R82" i="2"/>
  <c r="R90" i="2"/>
  <c r="R98" i="2"/>
  <c r="R106" i="2"/>
  <c r="R114" i="2"/>
  <c r="R122" i="2"/>
  <c r="R130" i="2"/>
  <c r="R138" i="2"/>
  <c r="R146" i="2"/>
  <c r="R154" i="2"/>
  <c r="R52" i="2"/>
  <c r="R84" i="2"/>
  <c r="R100" i="2"/>
  <c r="R116" i="2"/>
  <c r="R132" i="2"/>
  <c r="R148" i="2"/>
  <c r="R126" i="2"/>
  <c r="R55" i="2"/>
  <c r="R87" i="2"/>
  <c r="R111" i="2"/>
  <c r="R135" i="2"/>
  <c r="R159" i="2"/>
  <c r="R32" i="2"/>
  <c r="R48" i="2"/>
  <c r="R64" i="2"/>
  <c r="R80" i="2"/>
  <c r="R96" i="2"/>
  <c r="R112" i="2"/>
  <c r="R128" i="2"/>
  <c r="R136" i="2"/>
  <c r="R144" i="2"/>
  <c r="R152" i="2"/>
  <c r="R160" i="2"/>
  <c r="R89" i="2"/>
  <c r="R113" i="2"/>
  <c r="R129" i="2"/>
  <c r="R145" i="2"/>
  <c r="R10" i="2"/>
  <c r="K17" i="37"/>
  <c r="K21" i="37"/>
  <c r="K16" i="37"/>
  <c r="K18" i="37"/>
  <c r="K20" i="37"/>
  <c r="K15" i="37"/>
  <c r="K22" i="37"/>
  <c r="D21" i="39"/>
  <c r="F21" i="39" s="1"/>
  <c r="H21" i="39" s="1"/>
  <c r="D13" i="39"/>
  <c r="F13" i="39" s="1"/>
  <c r="H13" i="39" s="1"/>
  <c r="D20" i="39"/>
  <c r="F20" i="39" s="1"/>
  <c r="H20" i="39" s="1"/>
  <c r="D12" i="39"/>
  <c r="F12" i="39" s="1"/>
  <c r="H12" i="39" s="1"/>
  <c r="D19" i="39"/>
  <c r="F19" i="39" s="1"/>
  <c r="H19" i="39" s="1"/>
  <c r="J19" i="37" s="1"/>
  <c r="D11" i="39"/>
  <c r="D14" i="39"/>
  <c r="F14" i="39" s="1"/>
  <c r="H14" i="39" s="1"/>
  <c r="D18" i="39"/>
  <c r="F18" i="39" s="1"/>
  <c r="H18" i="39" s="1"/>
  <c r="D24" i="39"/>
  <c r="F24" i="39" s="1"/>
  <c r="H24" i="39" s="1"/>
  <c r="D17" i="39"/>
  <c r="F17" i="39" s="1"/>
  <c r="H17" i="39" s="1"/>
  <c r="D16" i="39"/>
  <c r="F16" i="39" s="1"/>
  <c r="H16" i="39" s="1"/>
  <c r="D23" i="39"/>
  <c r="F23" i="39" s="1"/>
  <c r="H23" i="39" s="1"/>
  <c r="D15" i="39"/>
  <c r="F15" i="39" s="1"/>
  <c r="H15" i="39" s="1"/>
  <c r="D22" i="39"/>
  <c r="F22" i="39" s="1"/>
  <c r="H22" i="39" s="1"/>
  <c r="F16" i="37"/>
  <c r="F18" i="37"/>
  <c r="F19" i="37"/>
  <c r="F20" i="37"/>
  <c r="F21" i="37"/>
  <c r="F15" i="37"/>
  <c r="D18" i="37"/>
  <c r="D15" i="37"/>
  <c r="D17" i="37"/>
  <c r="D20" i="37"/>
  <c r="D16" i="37"/>
  <c r="D21" i="37"/>
  <c r="U10" i="2"/>
  <c r="D19" i="37"/>
  <c r="P123" i="2"/>
  <c r="P102" i="2"/>
  <c r="P85" i="2"/>
  <c r="P149" i="2"/>
  <c r="P94" i="2"/>
  <c r="P136" i="2"/>
  <c r="P100" i="2"/>
  <c r="P99" i="2"/>
  <c r="P121" i="2"/>
  <c r="P93" i="2"/>
  <c r="P126" i="2"/>
  <c r="P155" i="2"/>
  <c r="P122" i="2"/>
  <c r="E22" i="37"/>
  <c r="B17" i="37"/>
  <c r="B18" i="37"/>
  <c r="B19" i="37"/>
  <c r="B20" i="37"/>
  <c r="B21" i="37"/>
  <c r="D22" i="37"/>
  <c r="B22" i="37"/>
  <c r="J18" i="37" l="1"/>
  <c r="J16" i="37"/>
  <c r="J17" i="37"/>
  <c r="J21" i="37"/>
  <c r="J20" i="37"/>
  <c r="F11" i="39"/>
  <c r="H11" i="39" s="1"/>
  <c r="D26" i="39"/>
  <c r="N155" i="2"/>
  <c r="Q155" i="2"/>
  <c r="N149" i="2"/>
  <c r="Q149" i="2"/>
  <c r="N136" i="2"/>
  <c r="Q136" i="2"/>
  <c r="N94" i="2"/>
  <c r="Q94" i="2"/>
  <c r="N126" i="2"/>
  <c r="Q126" i="2"/>
  <c r="N93" i="2"/>
  <c r="Q93" i="2"/>
  <c r="N102" i="2"/>
  <c r="Q102" i="2"/>
  <c r="N100" i="2"/>
  <c r="Q100" i="2"/>
  <c r="N122" i="2"/>
  <c r="Q122" i="2"/>
  <c r="N85" i="2"/>
  <c r="Q85" i="2"/>
  <c r="N121" i="2"/>
  <c r="Q121" i="2"/>
  <c r="N123" i="2"/>
  <c r="Q123" i="2"/>
  <c r="N99" i="2"/>
  <c r="Q99" i="2"/>
  <c r="G22" i="37"/>
  <c r="I30" i="38"/>
  <c r="I27" i="38"/>
  <c r="J27" i="38"/>
  <c r="K27" i="38"/>
  <c r="L27" i="38"/>
  <c r="M27" i="38"/>
  <c r="N27" i="38"/>
  <c r="I28" i="38"/>
  <c r="J28" i="38"/>
  <c r="K28" i="38"/>
  <c r="L28" i="38"/>
  <c r="M28" i="38"/>
  <c r="N28" i="38"/>
  <c r="I29" i="38"/>
  <c r="J29" i="38"/>
  <c r="K29" i="38"/>
  <c r="L29" i="38"/>
  <c r="M29" i="38"/>
  <c r="N29" i="38"/>
  <c r="H26" i="39" l="1"/>
  <c r="J15" i="37"/>
  <c r="J22" i="37"/>
  <c r="L22" i="37" s="1"/>
  <c r="C16" i="17"/>
  <c r="J23" i="37" l="1"/>
  <c r="N30" i="38"/>
  <c r="M30" i="38"/>
  <c r="L30" i="38"/>
  <c r="K30" i="38"/>
  <c r="J30" i="38"/>
  <c r="J31" i="38" l="1"/>
  <c r="I31" i="38"/>
  <c r="M31" i="38"/>
  <c r="L31" i="38"/>
  <c r="I40" i="18"/>
  <c r="N40" i="18"/>
  <c r="M40" i="18"/>
  <c r="F25" i="28"/>
  <c r="F11" i="28"/>
  <c r="F12" i="28"/>
  <c r="F13" i="28"/>
  <c r="P49" i="2" s="1"/>
  <c r="F14" i="28"/>
  <c r="F15" i="28"/>
  <c r="F16" i="28"/>
  <c r="F17" i="28"/>
  <c r="F18" i="28"/>
  <c r="F19" i="28"/>
  <c r="F20" i="28"/>
  <c r="F21" i="28"/>
  <c r="F22" i="28"/>
  <c r="F23" i="28"/>
  <c r="F24" i="28"/>
  <c r="F10" i="28"/>
  <c r="N23" i="38"/>
  <c r="M23" i="38"/>
  <c r="L23" i="38"/>
  <c r="K23" i="38"/>
  <c r="J23" i="38"/>
  <c r="I23" i="38"/>
  <c r="B4" i="38"/>
  <c r="B4" i="37"/>
  <c r="B4" i="5"/>
  <c r="B4" i="31"/>
  <c r="N29" i="18"/>
  <c r="M29" i="18"/>
  <c r="L29" i="18"/>
  <c r="K29" i="18"/>
  <c r="J29" i="18"/>
  <c r="I29" i="18"/>
  <c r="F11" i="31"/>
  <c r="B4" i="28"/>
  <c r="C4" i="2"/>
  <c r="B4" i="18"/>
  <c r="B4" i="17"/>
  <c r="B41" i="17"/>
  <c r="B47" i="17" s="1"/>
  <c r="B51" i="17" s="1"/>
  <c r="B52" i="17"/>
  <c r="N49" i="2" l="1"/>
  <c r="Q49" i="2"/>
  <c r="P34" i="2"/>
  <c r="P11" i="2"/>
  <c r="P23" i="2"/>
  <c r="P33" i="2"/>
  <c r="P30" i="2"/>
  <c r="P20" i="2"/>
  <c r="P24" i="2"/>
  <c r="P17" i="2"/>
  <c r="P47" i="2"/>
  <c r="P41" i="2"/>
  <c r="P68" i="2"/>
  <c r="P52" i="2"/>
  <c r="P64" i="2"/>
  <c r="P46" i="2"/>
  <c r="P19" i="2"/>
  <c r="P18" i="2"/>
  <c r="P71" i="2"/>
  <c r="P62" i="2"/>
  <c r="P57" i="2"/>
  <c r="P27" i="2"/>
  <c r="P72" i="2"/>
  <c r="P53" i="2"/>
  <c r="P61" i="2"/>
  <c r="P63" i="2"/>
  <c r="P21" i="2"/>
  <c r="P104" i="2"/>
  <c r="P43" i="2"/>
  <c r="P58" i="2"/>
  <c r="P69" i="2"/>
  <c r="P153" i="2"/>
  <c r="P90" i="2"/>
  <c r="P89" i="2"/>
  <c r="P91" i="2"/>
  <c r="P22" i="2"/>
  <c r="P45" i="2"/>
  <c r="P105" i="2"/>
  <c r="P114" i="2"/>
  <c r="P142" i="2"/>
  <c r="P160" i="2"/>
  <c r="P132" i="2"/>
  <c r="P145" i="2"/>
  <c r="P111" i="2"/>
  <c r="P108" i="2"/>
  <c r="P139" i="2"/>
  <c r="P133" i="2"/>
  <c r="P117" i="2"/>
  <c r="P95" i="2"/>
  <c r="P77" i="2"/>
  <c r="P82" i="2"/>
  <c r="P98" i="2"/>
  <c r="P125" i="2"/>
  <c r="P87" i="2"/>
  <c r="P74" i="2"/>
  <c r="P137" i="2"/>
  <c r="P81" i="2"/>
  <c r="P148" i="2"/>
  <c r="P154" i="2"/>
  <c r="P120" i="2"/>
  <c r="P101" i="2"/>
  <c r="P40" i="2"/>
  <c r="P39" i="2"/>
  <c r="P28" i="2"/>
  <c r="P29" i="2"/>
  <c r="P31" i="2"/>
  <c r="P67" i="2"/>
  <c r="P84" i="2"/>
  <c r="P103" i="2"/>
  <c r="P86" i="2"/>
  <c r="P88" i="2"/>
  <c r="P14" i="2"/>
  <c r="P92" i="2"/>
  <c r="P37" i="2"/>
  <c r="P124" i="2"/>
  <c r="P56" i="2"/>
  <c r="P15" i="2"/>
  <c r="P35" i="2"/>
  <c r="P59" i="2"/>
  <c r="P42" i="2"/>
  <c r="P12" i="2"/>
  <c r="P44" i="2"/>
  <c r="P13" i="2"/>
  <c r="P83" i="2"/>
  <c r="P147" i="2"/>
  <c r="P151" i="2"/>
  <c r="P135" i="2"/>
  <c r="P119" i="2"/>
  <c r="P80" i="2"/>
  <c r="P128" i="2"/>
  <c r="P110" i="2"/>
  <c r="P152" i="2"/>
  <c r="P157" i="2"/>
  <c r="P140" i="2"/>
  <c r="P36" i="2"/>
  <c r="P107" i="2"/>
  <c r="P158" i="2"/>
  <c r="P78" i="2"/>
  <c r="P116" i="2"/>
  <c r="P96" i="2"/>
  <c r="P159" i="2"/>
  <c r="P115" i="2"/>
  <c r="P127" i="2"/>
  <c r="P16" i="2"/>
  <c r="P60" i="2"/>
  <c r="P144" i="2"/>
  <c r="P51" i="2"/>
  <c r="P65" i="2"/>
  <c r="P113" i="2"/>
  <c r="P143" i="2"/>
  <c r="P66" i="2"/>
  <c r="P130" i="2"/>
  <c r="P55" i="2"/>
  <c r="P112" i="2"/>
  <c r="P79" i="2"/>
  <c r="P134" i="2"/>
  <c r="P75" i="2"/>
  <c r="P54" i="2"/>
  <c r="P38" i="2"/>
  <c r="P156" i="2"/>
  <c r="P146" i="2"/>
  <c r="P141" i="2"/>
  <c r="P106" i="2"/>
  <c r="P131" i="2"/>
  <c r="P97" i="2"/>
  <c r="P109" i="2"/>
  <c r="P76" i="2"/>
  <c r="P70" i="2"/>
  <c r="P26" i="2"/>
  <c r="P73" i="2"/>
  <c r="P25" i="2"/>
  <c r="P138" i="2"/>
  <c r="P48" i="2"/>
  <c r="P50" i="2"/>
  <c r="P32" i="2"/>
  <c r="P150" i="2"/>
  <c r="P118" i="2"/>
  <c r="P10" i="2"/>
  <c r="B16" i="37"/>
  <c r="B15" i="37"/>
  <c r="O29" i="18"/>
  <c r="F16" i="31"/>
  <c r="B49" i="17"/>
  <c r="B50" i="17"/>
  <c r="F27" i="28"/>
  <c r="O23" i="38"/>
  <c r="K31" i="38"/>
  <c r="J40" i="18"/>
  <c r="N31" i="38"/>
  <c r="L40" i="18"/>
  <c r="K40" i="18"/>
  <c r="N150" i="2" l="1"/>
  <c r="Q150" i="2"/>
  <c r="N107" i="2"/>
  <c r="Q107" i="2"/>
  <c r="O107" i="2" s="1"/>
  <c r="N117" i="2"/>
  <c r="Q117" i="2"/>
  <c r="O117" i="2" s="1"/>
  <c r="N20" i="2"/>
  <c r="Q20" i="2"/>
  <c r="N66" i="2"/>
  <c r="Q66" i="2"/>
  <c r="N88" i="2"/>
  <c r="Q88" i="2"/>
  <c r="N72" i="2"/>
  <c r="Q72" i="2"/>
  <c r="N109" i="2"/>
  <c r="Q109" i="2"/>
  <c r="O109" i="2" s="1"/>
  <c r="N48" i="2"/>
  <c r="Q48" i="2"/>
  <c r="N97" i="2"/>
  <c r="Q97" i="2"/>
  <c r="N75" i="2"/>
  <c r="Q75" i="2"/>
  <c r="N113" i="2"/>
  <c r="Q113" i="2"/>
  <c r="O113" i="2" s="1"/>
  <c r="N159" i="2"/>
  <c r="Q159" i="2"/>
  <c r="N157" i="2"/>
  <c r="Q157" i="2"/>
  <c r="N147" i="2"/>
  <c r="Q147" i="2"/>
  <c r="N15" i="2"/>
  <c r="Q15" i="2"/>
  <c r="N103" i="2"/>
  <c r="Q103" i="2"/>
  <c r="N101" i="2"/>
  <c r="Q101" i="2"/>
  <c r="N125" i="2"/>
  <c r="Q125" i="2"/>
  <c r="N108" i="2"/>
  <c r="Q108" i="2"/>
  <c r="O108" i="2" s="1"/>
  <c r="N45" i="2"/>
  <c r="Q45" i="2"/>
  <c r="N43" i="2"/>
  <c r="Q43" i="2"/>
  <c r="N57" i="2"/>
  <c r="Q57" i="2"/>
  <c r="N68" i="2"/>
  <c r="Q68" i="2"/>
  <c r="N23" i="2"/>
  <c r="Q23" i="2"/>
  <c r="N156" i="2"/>
  <c r="Q156" i="2"/>
  <c r="N42" i="2"/>
  <c r="Q42" i="2"/>
  <c r="N46" i="2"/>
  <c r="Q46" i="2"/>
  <c r="N127" i="2"/>
  <c r="Q127" i="2"/>
  <c r="N59" i="2"/>
  <c r="Q59" i="2"/>
  <c r="N69" i="2"/>
  <c r="Q69" i="2"/>
  <c r="N50" i="2"/>
  <c r="Q50" i="2"/>
  <c r="N140" i="2"/>
  <c r="Q140" i="2"/>
  <c r="N40" i="2"/>
  <c r="Q40" i="2"/>
  <c r="N139" i="2"/>
  <c r="Q139" i="2"/>
  <c r="N58" i="2"/>
  <c r="Q58" i="2"/>
  <c r="N52" i="2"/>
  <c r="Q52" i="2"/>
  <c r="N134" i="2"/>
  <c r="Q134" i="2"/>
  <c r="N56" i="2"/>
  <c r="Q56" i="2"/>
  <c r="N84" i="2"/>
  <c r="Q84" i="2"/>
  <c r="N120" i="2"/>
  <c r="Q120" i="2"/>
  <c r="N98" i="2"/>
  <c r="Q98" i="2"/>
  <c r="N111" i="2"/>
  <c r="Q111" i="2"/>
  <c r="O111" i="2" s="1"/>
  <c r="N22" i="2"/>
  <c r="Q22" i="2"/>
  <c r="N104" i="2"/>
  <c r="Q104" i="2"/>
  <c r="N62" i="2"/>
  <c r="Q62" i="2"/>
  <c r="N41" i="2"/>
  <c r="Q41" i="2"/>
  <c r="N11" i="2"/>
  <c r="Q11" i="2"/>
  <c r="N16" i="2"/>
  <c r="Q16" i="2"/>
  <c r="N14" i="2"/>
  <c r="Q14" i="2"/>
  <c r="N142" i="2"/>
  <c r="Q142" i="2"/>
  <c r="N32" i="2"/>
  <c r="Q32" i="2"/>
  <c r="N133" i="2"/>
  <c r="Q133" i="2"/>
  <c r="N30" i="2"/>
  <c r="Q30" i="2"/>
  <c r="N143" i="2"/>
  <c r="Q143" i="2"/>
  <c r="N35" i="2"/>
  <c r="Q35" i="2"/>
  <c r="N25" i="2"/>
  <c r="Q25" i="2"/>
  <c r="N106" i="2"/>
  <c r="Q106" i="2"/>
  <c r="O106" i="2" s="1"/>
  <c r="N79" i="2"/>
  <c r="Q79" i="2"/>
  <c r="N51" i="2"/>
  <c r="Q51" i="2"/>
  <c r="N116" i="2"/>
  <c r="Q116" i="2"/>
  <c r="O116" i="2" s="1"/>
  <c r="N110" i="2"/>
  <c r="Q110" i="2"/>
  <c r="O110" i="2" s="1"/>
  <c r="N13" i="2"/>
  <c r="Q13" i="2"/>
  <c r="N124" i="2"/>
  <c r="Q124" i="2"/>
  <c r="N67" i="2"/>
  <c r="Q67" i="2"/>
  <c r="N154" i="2"/>
  <c r="Q154" i="2"/>
  <c r="N82" i="2"/>
  <c r="Q82" i="2"/>
  <c r="N145" i="2"/>
  <c r="Q145" i="2"/>
  <c r="N91" i="2"/>
  <c r="Q91" i="2"/>
  <c r="N21" i="2"/>
  <c r="Q21" i="2"/>
  <c r="N71" i="2"/>
  <c r="Q71" i="2"/>
  <c r="N47" i="2"/>
  <c r="Q47" i="2"/>
  <c r="N34" i="2"/>
  <c r="Q34" i="2"/>
  <c r="N70" i="2"/>
  <c r="Q70" i="2"/>
  <c r="N119" i="2"/>
  <c r="Q119" i="2"/>
  <c r="O119" i="2" s="1"/>
  <c r="N137" i="2"/>
  <c r="Q137" i="2"/>
  <c r="N153" i="2"/>
  <c r="Q153" i="2"/>
  <c r="N76" i="2"/>
  <c r="Q76" i="2"/>
  <c r="N36" i="2"/>
  <c r="Q36" i="2"/>
  <c r="N39" i="2"/>
  <c r="Q39" i="2"/>
  <c r="N114" i="2"/>
  <c r="Q114" i="2"/>
  <c r="O114" i="2" s="1"/>
  <c r="N64" i="2"/>
  <c r="Q64" i="2"/>
  <c r="N54" i="2"/>
  <c r="Q54" i="2"/>
  <c r="N115" i="2"/>
  <c r="Q115" i="2"/>
  <c r="O115" i="2" s="1"/>
  <c r="N151" i="2"/>
  <c r="Q151" i="2"/>
  <c r="N86" i="2"/>
  <c r="Q86" i="2"/>
  <c r="N87" i="2"/>
  <c r="Q87" i="2"/>
  <c r="N105" i="2"/>
  <c r="Q105" i="2"/>
  <c r="O105" i="2" s="1"/>
  <c r="N27" i="2"/>
  <c r="Q27" i="2"/>
  <c r="N33" i="2"/>
  <c r="Q33" i="2"/>
  <c r="N131" i="2"/>
  <c r="Q131" i="2"/>
  <c r="N96" i="2"/>
  <c r="Q96" i="2"/>
  <c r="N152" i="2"/>
  <c r="Q152" i="2"/>
  <c r="N10" i="2"/>
  <c r="Q10" i="2"/>
  <c r="N73" i="2"/>
  <c r="Q73" i="2"/>
  <c r="N141" i="2"/>
  <c r="Q141" i="2"/>
  <c r="N112" i="2"/>
  <c r="Q112" i="2"/>
  <c r="O112" i="2" s="1"/>
  <c r="N144" i="2"/>
  <c r="Q144" i="2"/>
  <c r="N78" i="2"/>
  <c r="Q78" i="2"/>
  <c r="N128" i="2"/>
  <c r="Q128" i="2"/>
  <c r="N44" i="2"/>
  <c r="Q44" i="2"/>
  <c r="N37" i="2"/>
  <c r="Q37" i="2"/>
  <c r="N31" i="2"/>
  <c r="Q31" i="2"/>
  <c r="N148" i="2"/>
  <c r="Q148" i="2"/>
  <c r="N77" i="2"/>
  <c r="Q77" i="2"/>
  <c r="N132" i="2"/>
  <c r="Q132" i="2"/>
  <c r="N89" i="2"/>
  <c r="Q89" i="2"/>
  <c r="N63" i="2"/>
  <c r="Q63" i="2"/>
  <c r="N18" i="2"/>
  <c r="Q18" i="2"/>
  <c r="N17" i="2"/>
  <c r="Q17" i="2"/>
  <c r="N130" i="2"/>
  <c r="Q130" i="2"/>
  <c r="N28" i="2"/>
  <c r="Q28" i="2"/>
  <c r="N53" i="2"/>
  <c r="Q53" i="2"/>
  <c r="N38" i="2"/>
  <c r="Q38" i="2"/>
  <c r="N135" i="2"/>
  <c r="Q135" i="2"/>
  <c r="N74" i="2"/>
  <c r="Q74" i="2"/>
  <c r="N138" i="2"/>
  <c r="Q138" i="2"/>
  <c r="N65" i="2"/>
  <c r="Q65" i="2"/>
  <c r="N83" i="2"/>
  <c r="Q83" i="2"/>
  <c r="N118" i="2"/>
  <c r="Q118" i="2"/>
  <c r="N26" i="2"/>
  <c r="Q26" i="2"/>
  <c r="N146" i="2"/>
  <c r="Q146" i="2"/>
  <c r="N55" i="2"/>
  <c r="Q55" i="2"/>
  <c r="N60" i="2"/>
  <c r="Q60" i="2"/>
  <c r="N158" i="2"/>
  <c r="Q158" i="2"/>
  <c r="N80" i="2"/>
  <c r="Q80" i="2"/>
  <c r="N12" i="2"/>
  <c r="Q12" i="2"/>
  <c r="N92" i="2"/>
  <c r="Q92" i="2"/>
  <c r="N29" i="2"/>
  <c r="Q29" i="2"/>
  <c r="N81" i="2"/>
  <c r="Q81" i="2"/>
  <c r="N95" i="2"/>
  <c r="Q95" i="2"/>
  <c r="N160" i="2"/>
  <c r="Q160" i="2"/>
  <c r="N90" i="2"/>
  <c r="Q90" i="2"/>
  <c r="N61" i="2"/>
  <c r="Q61" i="2"/>
  <c r="N19" i="2"/>
  <c r="Q19" i="2"/>
  <c r="N24" i="2"/>
  <c r="Q24" i="2"/>
  <c r="B23" i="37"/>
  <c r="E12" i="18"/>
  <c r="E14" i="18" s="1"/>
  <c r="B53" i="17"/>
  <c r="E12" i="38"/>
  <c r="E14" i="38" s="1"/>
  <c r="E17" i="37" l="1"/>
  <c r="E20" i="37"/>
  <c r="G20" i="37" s="1"/>
  <c r="F17" i="37"/>
  <c r="E21" i="37"/>
  <c r="G21" i="37" s="1"/>
  <c r="E15" i="37"/>
  <c r="E16" i="37"/>
  <c r="E18" i="37"/>
  <c r="E19" i="37"/>
  <c r="E16" i="38"/>
  <c r="K46" i="38" s="1"/>
  <c r="K45" i="38"/>
  <c r="E17" i="18"/>
  <c r="K47" i="18" s="1"/>
  <c r="K45" i="18"/>
  <c r="E17" i="38"/>
  <c r="E16" i="18"/>
  <c r="G17" i="37" l="1"/>
  <c r="G18" i="37"/>
  <c r="G16" i="37"/>
  <c r="G15" i="37"/>
  <c r="G19" i="37"/>
  <c r="E23" i="37"/>
  <c r="H6" i="28"/>
  <c r="K52" i="18"/>
  <c r="E18" i="38"/>
  <c r="E20" i="38" s="1"/>
  <c r="K47" i="38"/>
  <c r="E18" i="18"/>
  <c r="E20" i="18" s="1"/>
  <c r="C29" i="17" s="1"/>
  <c r="C31" i="17" s="1"/>
  <c r="C34" i="17" s="1"/>
  <c r="C21" i="17" s="1"/>
  <c r="C24" i="17" s="1"/>
  <c r="K46" i="18"/>
  <c r="G23" i="37" l="1"/>
  <c r="E21" i="38"/>
  <c r="E22" i="38" s="1"/>
  <c r="E24" i="38" s="1"/>
  <c r="E21" i="18"/>
  <c r="K48" i="38" l="1"/>
  <c r="E25" i="38"/>
  <c r="E31" i="38" s="1"/>
  <c r="E42" i="38" s="1"/>
  <c r="K61" i="38" s="1"/>
  <c r="K49" i="38"/>
  <c r="E22" i="18"/>
  <c r="E24" i="18" s="1"/>
  <c r="K48" i="18"/>
  <c r="K63" i="38" l="1"/>
  <c r="E25" i="18"/>
  <c r="E31" i="18" s="1"/>
  <c r="K49" i="18"/>
  <c r="E46" i="38"/>
  <c r="I20" i="37" l="1"/>
  <c r="I17" i="37"/>
  <c r="I18" i="37"/>
  <c r="I21" i="37"/>
  <c r="I19" i="37"/>
  <c r="I16" i="37"/>
  <c r="I15" i="37"/>
  <c r="F34" i="38"/>
  <c r="F35" i="38"/>
  <c r="F36" i="38"/>
  <c r="F37" i="38"/>
  <c r="F38" i="38"/>
  <c r="F39" i="38"/>
  <c r="F40" i="38"/>
  <c r="E48" i="38"/>
  <c r="K65" i="38" s="1"/>
  <c r="F33" i="38"/>
  <c r="E52" i="38"/>
  <c r="F18" i="38"/>
  <c r="F44" i="38"/>
  <c r="F25" i="38"/>
  <c r="E50" i="38"/>
  <c r="F22" i="38"/>
  <c r="F31" i="38"/>
  <c r="F42" i="38"/>
  <c r="E42" i="18"/>
  <c r="K61" i="18" s="1"/>
  <c r="K63" i="18" s="1"/>
  <c r="K69" i="38" l="1"/>
  <c r="K67" i="38"/>
  <c r="I23" i="37"/>
  <c r="F46" i="38"/>
  <c r="E46" i="18"/>
  <c r="H21" i="37" l="1"/>
  <c r="L21" i="37" s="1"/>
  <c r="H20" i="37"/>
  <c r="L20" i="37" s="1"/>
  <c r="H17" i="37"/>
  <c r="L17" i="37" s="1"/>
  <c r="H16" i="37"/>
  <c r="L16" i="37" s="1"/>
  <c r="H19" i="37"/>
  <c r="H18" i="37"/>
  <c r="L18" i="37" s="1"/>
  <c r="H15" i="37"/>
  <c r="L15" i="37" s="1"/>
  <c r="E48" i="18"/>
  <c r="F34" i="18"/>
  <c r="F35" i="18"/>
  <c r="F36" i="18"/>
  <c r="F37" i="18"/>
  <c r="F38" i="18"/>
  <c r="F39" i="18"/>
  <c r="F40" i="18"/>
  <c r="F33" i="18"/>
  <c r="F41" i="18"/>
  <c r="E50" i="18"/>
  <c r="F44" i="18"/>
  <c r="F18" i="18"/>
  <c r="F22" i="18"/>
  <c r="F25" i="18"/>
  <c r="E52" i="18"/>
  <c r="F31" i="18"/>
  <c r="F42" i="18"/>
  <c r="H11" i="31" l="1"/>
  <c r="K19" i="37" s="1"/>
  <c r="L19" i="37" s="1"/>
  <c r="K69" i="18"/>
  <c r="K67" i="18"/>
  <c r="K65" i="18"/>
  <c r="H23" i="37"/>
  <c r="F46" i="18"/>
  <c r="K23" i="37" l="1"/>
  <c r="H16" i="31"/>
  <c r="M22" i="37" l="1"/>
  <c r="M17" i="37"/>
  <c r="M19" i="37"/>
  <c r="M21" i="37"/>
  <c r="M18" i="37"/>
  <c r="M20" i="37"/>
  <c r="M16" i="37"/>
  <c r="M15" i="37" l="1"/>
  <c r="M23" i="37" s="1"/>
  <c r="L23" i="37"/>
  <c r="M1" i="37" s="1"/>
  <c r="M2" i="37" s="1"/>
  <c r="M3" i="37" s="1"/>
</calcChain>
</file>

<file path=xl/sharedStrings.xml><?xml version="1.0" encoding="utf-8"?>
<sst xmlns="http://schemas.openxmlformats.org/spreadsheetml/2006/main" count="1684" uniqueCount="427">
  <si>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</si>
  <si>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</si>
  <si>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</si>
  <si>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</si>
  <si>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</si>
  <si>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</si>
  <si>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</si>
  <si>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</si>
  <si>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</si>
  <si>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</si>
  <si>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</si>
  <si>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</si>
  <si>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</si>
  <si>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</si>
  <si>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</si>
  <si>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Aanbesteding</t>
  </si>
  <si>
    <t>Locatie</t>
  </si>
  <si>
    <t>Totaal m2</t>
  </si>
  <si>
    <t>Locatie factor</t>
  </si>
  <si>
    <t>Hoogste frequentie ma t/m vr</t>
  </si>
  <si>
    <t>Productie uren ma t/m vr</t>
  </si>
  <si>
    <t>Toezicht uren per jaar ma t/m vr</t>
  </si>
  <si>
    <t>Algemeen</t>
  </si>
  <si>
    <t>Totaal</t>
  </si>
  <si>
    <t xml:space="preserve">Kosten toezicht per jaar ma t/m vr </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</si>
  <si>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</si>
  <si>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</si>
  <si>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</si>
  <si>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</si>
  <si>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</si>
  <si>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</si>
  <si>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</si>
  <si>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</si>
  <si>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</si>
  <si>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</si>
  <si>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B</t>
  </si>
  <si>
    <t>S</t>
  </si>
  <si>
    <t>V</t>
  </si>
  <si>
    <t>Sportzaal</t>
  </si>
  <si>
    <t>Entree</t>
  </si>
  <si>
    <t>Trappenhuis</t>
  </si>
  <si>
    <t>Kolom voor matrix</t>
  </si>
  <si>
    <t>Frequentie verklaring</t>
  </si>
  <si>
    <t>Freq</t>
  </si>
  <si>
    <t>Kolom</t>
  </si>
  <si>
    <t>Gebouw</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</si>
  <si>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</si>
  <si>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</si>
  <si>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</si>
  <si>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</si>
  <si>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</si>
  <si>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</si>
  <si>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</si>
  <si>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</si>
  <si>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</si>
  <si>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</si>
  <si>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</si>
  <si>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</si>
  <si>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</si>
  <si>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Kleedruimte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</si>
  <si>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</si>
  <si>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</si>
  <si>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</si>
  <si>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</si>
  <si>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</si>
  <si>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</si>
  <si>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</si>
  <si>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</si>
  <si>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</si>
  <si>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</si>
  <si>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</si>
  <si>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</si>
  <si>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</si>
  <si>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</si>
  <si>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</si>
  <si>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</si>
  <si>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</si>
  <si>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</si>
  <si>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</si>
  <si>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</si>
  <si>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</si>
  <si>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</si>
  <si>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</si>
  <si>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</si>
  <si>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</si>
  <si>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</si>
  <si>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</si>
  <si>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</si>
  <si>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</si>
  <si>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</si>
  <si>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</si>
  <si>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</si>
  <si>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</si>
  <si>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</si>
  <si>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</si>
  <si>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</si>
  <si>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</si>
  <si>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</si>
  <si>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</si>
  <si>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</si>
  <si>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</si>
  <si>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</si>
  <si>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</si>
  <si>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</si>
  <si>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</si>
  <si>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</si>
  <si>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</si>
  <si>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</si>
  <si>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</si>
  <si>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</si>
  <si>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</si>
  <si>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</si>
  <si>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</si>
  <si>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</si>
  <si>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</si>
  <si>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</si>
  <si>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</si>
  <si>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</si>
  <si>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</si>
  <si>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</si>
  <si>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</si>
  <si>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</si>
  <si>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</si>
  <si>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</si>
  <si>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</si>
  <si>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</si>
  <si>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</si>
  <si>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</si>
  <si>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</si>
  <si>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</si>
  <si>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</si>
  <si>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</si>
  <si>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</si>
  <si>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</si>
  <si>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</si>
  <si>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</si>
  <si>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</si>
  <si>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</si>
  <si>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</si>
  <si>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</si>
  <si>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</si>
  <si>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</si>
  <si>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</si>
  <si>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</si>
  <si>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</si>
  <si>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</si>
  <si>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</si>
  <si>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</si>
  <si>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</si>
  <si>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</si>
  <si>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</si>
  <si>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</si>
  <si>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Omschrijving kostenaspect</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</si>
  <si>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</si>
  <si>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</si>
  <si>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</si>
  <si>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</si>
  <si>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</si>
  <si>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</si>
  <si>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</si>
  <si>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</si>
  <si>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</si>
  <si>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</si>
  <si>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</si>
  <si>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</si>
  <si>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</si>
  <si>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</si>
  <si>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</si>
  <si>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Regietarieven</t>
  </si>
  <si>
    <t>Prijs p/uur excl. btw</t>
  </si>
  <si>
    <t>Schoonmaakonderhoud</t>
  </si>
  <si>
    <t>Opmerking:</t>
  </si>
  <si>
    <t>Alle prijzen inclusief materialen en middelen, voorrijkosten en overige bijkomende kosten.</t>
  </si>
  <si>
    <t>Mits anders aangegeven is de uitvoering op reguliere werktijden: maandag t/m vrijdag [06.00 en 21.30 uur]</t>
  </si>
  <si>
    <t>M² prijs</t>
  </si>
  <si>
    <t>Aantal m2</t>
  </si>
  <si>
    <r>
      <t>Kosten per m</t>
    </r>
    <r>
      <rPr>
        <b/>
        <vertAlign val="superscript"/>
        <sz val="10"/>
        <color theme="0"/>
        <rFont val="Arial Black"/>
        <family val="2"/>
      </rPr>
      <t>2</t>
    </r>
  </si>
  <si>
    <t>Kosten per beurt</t>
  </si>
  <si>
    <t>Frequentie per jaar</t>
  </si>
  <si>
    <t>Totaalkosten per jaar</t>
  </si>
  <si>
    <t>Handeling</t>
  </si>
  <si>
    <t>Sprayen</t>
  </si>
  <si>
    <t>Vloerafwerking</t>
  </si>
  <si>
    <t>1</t>
  </si>
  <si>
    <t>Tapijt</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</si>
  <si>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</si>
  <si>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</si>
  <si>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</si>
  <si>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</si>
  <si>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</si>
  <si>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</si>
  <si>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</si>
  <si>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</si>
  <si>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</si>
  <si>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</si>
  <si>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</si>
  <si>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</si>
  <si>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</si>
  <si>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</si>
  <si>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Locatie soort</t>
  </si>
  <si>
    <t>Gebruiker</t>
  </si>
  <si>
    <t>Lage Hoek</t>
  </si>
  <si>
    <t>Brede School</t>
  </si>
  <si>
    <t>Gemeenschappelijk</t>
  </si>
  <si>
    <t>B.G.</t>
  </si>
  <si>
    <t>0.01</t>
  </si>
  <si>
    <t>Entree/hal</t>
  </si>
  <si>
    <t>Socrates</t>
  </si>
  <si>
    <t>0.02</t>
  </si>
  <si>
    <t>Personeelsruimte/kantine</t>
  </si>
  <si>
    <t>Vergader/Spreekruimte</t>
  </si>
  <si>
    <t>Lino</t>
  </si>
  <si>
    <t>0.04</t>
  </si>
  <si>
    <t>Kantoor</t>
  </si>
  <si>
    <t>Administratieve ruimte</t>
  </si>
  <si>
    <t>0.06</t>
  </si>
  <si>
    <t>Toilet</t>
  </si>
  <si>
    <t>Sanitaire ruimte</t>
  </si>
  <si>
    <t>0.07</t>
  </si>
  <si>
    <t>Hal</t>
  </si>
  <si>
    <t>Gangen en hallen</t>
  </si>
  <si>
    <t>SKWF</t>
  </si>
  <si>
    <t>0.07B</t>
  </si>
  <si>
    <t>Hal SKWF</t>
  </si>
  <si>
    <t>0.10</t>
  </si>
  <si>
    <t>MIVA toilet</t>
  </si>
  <si>
    <t>0.12</t>
  </si>
  <si>
    <t>Speellokaal</t>
  </si>
  <si>
    <t>Leslokaal</t>
  </si>
  <si>
    <t>0.12A</t>
  </si>
  <si>
    <t>0.13</t>
  </si>
  <si>
    <t>Aula</t>
  </si>
  <si>
    <t>0.14</t>
  </si>
  <si>
    <t>Lokaal</t>
  </si>
  <si>
    <t>0.16</t>
  </si>
  <si>
    <t>Trappenhuis/verkeers ruimte</t>
  </si>
  <si>
    <t>hout trap/Lino</t>
  </si>
  <si>
    <t>0.18</t>
  </si>
  <si>
    <t>Keuken</t>
  </si>
  <si>
    <t>Pantry/koffiecorner</t>
  </si>
  <si>
    <t>0.19</t>
  </si>
  <si>
    <t>0.20</t>
  </si>
  <si>
    <t>0.23</t>
  </si>
  <si>
    <t>0.24</t>
  </si>
  <si>
    <t>PVC</t>
  </si>
  <si>
    <t>0.26A</t>
  </si>
  <si>
    <t>KDV/Lokaal</t>
  </si>
  <si>
    <t>0.26B</t>
  </si>
  <si>
    <t>Slaapkamer</t>
  </si>
  <si>
    <t>Slaapruimte</t>
  </si>
  <si>
    <t>0.26C</t>
  </si>
  <si>
    <t>0.27A</t>
  </si>
  <si>
    <t>0.27B</t>
  </si>
  <si>
    <t>0.31</t>
  </si>
  <si>
    <t>Burg. de Wilde School</t>
  </si>
  <si>
    <t>0.32</t>
  </si>
  <si>
    <t>0.34</t>
  </si>
  <si>
    <t>Spreekkamer</t>
  </si>
  <si>
    <t>NSDSK</t>
  </si>
  <si>
    <t>0.35</t>
  </si>
  <si>
    <t>Kantoor concierge</t>
  </si>
  <si>
    <t>0.36</t>
  </si>
  <si>
    <t>Steen</t>
  </si>
  <si>
    <t>0.37</t>
  </si>
  <si>
    <t>Gang</t>
  </si>
  <si>
    <t>0.40</t>
  </si>
  <si>
    <t>Steen/gietvloer</t>
  </si>
  <si>
    <t>0.42</t>
  </si>
  <si>
    <t>Sportvloer</t>
  </si>
  <si>
    <t>Reserveren voor onderwijs</t>
  </si>
  <si>
    <t>0.43</t>
  </si>
  <si>
    <t>0.44</t>
  </si>
  <si>
    <t>0.46</t>
  </si>
  <si>
    <t>0.47</t>
  </si>
  <si>
    <t>0.48</t>
  </si>
  <si>
    <t>0.49</t>
  </si>
  <si>
    <t>0.50</t>
  </si>
  <si>
    <t>Lino/tapijt</t>
  </si>
  <si>
    <t>0.53</t>
  </si>
  <si>
    <t>0.54</t>
  </si>
  <si>
    <t>Toilet/commode</t>
  </si>
  <si>
    <t>NTB</t>
  </si>
  <si>
    <t>0.55</t>
  </si>
  <si>
    <t>Portaal</t>
  </si>
  <si>
    <t>Lino/tapijt?</t>
  </si>
  <si>
    <t>0.56B</t>
  </si>
  <si>
    <t>1e</t>
  </si>
  <si>
    <t>1.01</t>
  </si>
  <si>
    <t>1.02</t>
  </si>
  <si>
    <t>1.03</t>
  </si>
  <si>
    <t>Steen/gietvloer?</t>
  </si>
  <si>
    <t>1.04</t>
  </si>
  <si>
    <t>1.05</t>
  </si>
  <si>
    <t>1.06</t>
  </si>
  <si>
    <t>1.07</t>
  </si>
  <si>
    <t>1.08</t>
  </si>
  <si>
    <t>1.09</t>
  </si>
  <si>
    <t>1.11</t>
  </si>
  <si>
    <t>1.12</t>
  </si>
  <si>
    <t>groepswerkruimte</t>
  </si>
  <si>
    <t>1.21</t>
  </si>
  <si>
    <t>1.22</t>
  </si>
  <si>
    <t>1.23</t>
  </si>
  <si>
    <t>1.24</t>
  </si>
  <si>
    <t>1.25</t>
  </si>
  <si>
    <t>1.26</t>
  </si>
  <si>
    <t>1.27</t>
  </si>
  <si>
    <t>1.29</t>
  </si>
  <si>
    <t>1.31</t>
  </si>
  <si>
    <t xml:space="preserve">Leslokaal   </t>
  </si>
  <si>
    <t>1.32</t>
  </si>
  <si>
    <t>Groepswerkruimte/leslokaal</t>
  </si>
  <si>
    <t>Gerritsland</t>
  </si>
  <si>
    <t>Sportaccommodatie</t>
  </si>
  <si>
    <t>Gemeente Hoorn</t>
  </si>
  <si>
    <t>0.1</t>
  </si>
  <si>
    <t>0.2</t>
  </si>
  <si>
    <t>Kleedruimte 2</t>
  </si>
  <si>
    <t>Gietvloer</t>
  </si>
  <si>
    <t>0.3</t>
  </si>
  <si>
    <t>0.4</t>
  </si>
  <si>
    <t>Doucheruimte</t>
  </si>
  <si>
    <t>0.5</t>
  </si>
  <si>
    <t>Kleedruimte 1</t>
  </si>
  <si>
    <t>0.6</t>
  </si>
  <si>
    <t>0.7</t>
  </si>
  <si>
    <t>0.8</t>
  </si>
  <si>
    <t>Miva toilet</t>
  </si>
  <si>
    <t>0.9</t>
  </si>
  <si>
    <t>Gymzaal</t>
  </si>
  <si>
    <t>Sportzaal/Gymzaal</t>
  </si>
  <si>
    <t>Docentkamer</t>
  </si>
  <si>
    <t>0.11</t>
  </si>
  <si>
    <t>Toilet/douche</t>
  </si>
  <si>
    <t>0.17</t>
  </si>
  <si>
    <t>Toestellenberging</t>
  </si>
  <si>
    <t>Grote Beer</t>
  </si>
  <si>
    <t>0.61</t>
  </si>
  <si>
    <t>0.63</t>
  </si>
  <si>
    <t xml:space="preserve">Kleedkamer 1 </t>
  </si>
  <si>
    <t>0.64</t>
  </si>
  <si>
    <t>0.65</t>
  </si>
  <si>
    <t xml:space="preserve">Kleedkamer 2 </t>
  </si>
  <si>
    <t>0.66</t>
  </si>
  <si>
    <t>Kleedkamer 3</t>
  </si>
  <si>
    <t>0.67</t>
  </si>
  <si>
    <t>Kleedkamer 4</t>
  </si>
  <si>
    <t>0.69</t>
  </si>
  <si>
    <t>0.70</t>
  </si>
  <si>
    <t>0.71</t>
  </si>
  <si>
    <t>0.72</t>
  </si>
  <si>
    <t>Kleedkamer</t>
  </si>
  <si>
    <t>0.73</t>
  </si>
  <si>
    <t>Douche/wc</t>
  </si>
  <si>
    <t>0.74</t>
  </si>
  <si>
    <t>0.75</t>
  </si>
  <si>
    <t xml:space="preserve">Kleedkamer </t>
  </si>
  <si>
    <t>0.76</t>
  </si>
  <si>
    <t>0.77</t>
  </si>
  <si>
    <t>0.78</t>
  </si>
  <si>
    <t>Sporthal</t>
  </si>
  <si>
    <t>Tribune</t>
  </si>
  <si>
    <t>Huesmolen</t>
  </si>
  <si>
    <t>Steen (+6,80 m2 inloopmat)</t>
  </si>
  <si>
    <t>Lino (+2 m2 tegel)</t>
  </si>
  <si>
    <t>0.36a</t>
  </si>
  <si>
    <t>0.36b</t>
  </si>
  <si>
    <t>Troffelvloer</t>
  </si>
  <si>
    <t>0.36c</t>
  </si>
  <si>
    <t>0.37a</t>
  </si>
  <si>
    <t>0.37b</t>
  </si>
  <si>
    <t>0.37c</t>
  </si>
  <si>
    <t>0.38a</t>
  </si>
  <si>
    <t>0.38b</t>
  </si>
  <si>
    <t>0.38c</t>
  </si>
  <si>
    <t>0.39a</t>
  </si>
  <si>
    <t>0.39b</t>
  </si>
  <si>
    <t>0.39c</t>
  </si>
  <si>
    <t>0.40a</t>
  </si>
  <si>
    <t>Docentenruimte</t>
  </si>
  <si>
    <t>0.40b</t>
  </si>
  <si>
    <t>0.45a</t>
  </si>
  <si>
    <t>0.45b</t>
  </si>
  <si>
    <t>0.45c</t>
  </si>
  <si>
    <t>1.60</t>
  </si>
  <si>
    <t>Julianalaan</t>
  </si>
  <si>
    <t>Kleedruimte heren</t>
  </si>
  <si>
    <t>Tegel</t>
  </si>
  <si>
    <t>Kleedruimte dames</t>
  </si>
  <si>
    <t>Docenten kleedruimte</t>
  </si>
  <si>
    <t>Pr. Willem Alexanderlaan (gymzaal Westerblokker)</t>
  </si>
  <si>
    <t>0.03</t>
  </si>
  <si>
    <t>0.05</t>
  </si>
  <si>
    <t>Douche</t>
  </si>
  <si>
    <t>0.08</t>
  </si>
  <si>
    <t>Kleedruimte Leerkracht</t>
  </si>
  <si>
    <t>Doucheruimte Leerkracht</t>
  </si>
  <si>
    <t>Tweeboomlaan</t>
  </si>
  <si>
    <t>Douche heren</t>
  </si>
  <si>
    <t>Kleedruimte /douches</t>
  </si>
  <si>
    <t>Douche dames</t>
  </si>
  <si>
    <t>0.09</t>
  </si>
  <si>
    <t>Toilet dames</t>
  </si>
  <si>
    <t>Invalidentoilet</t>
  </si>
  <si>
    <t>Docentenkamer</t>
  </si>
  <si>
    <t>nio</t>
  </si>
  <si>
    <t>Niet in onderhoud</t>
  </si>
  <si>
    <t>1 x per 2 weken (40 weken)</t>
  </si>
  <si>
    <t>1 x per week (40 weken)</t>
  </si>
  <si>
    <t>5 x per week (40 weken)</t>
  </si>
  <si>
    <t>L</t>
  </si>
  <si>
    <t>Kosten productie per jaar ma t/m vr</t>
  </si>
  <si>
    <t>Kosten vloeronder houd per jaar</t>
  </si>
  <si>
    <t>Dagelijksonderhoud SKWF ruimte in vakantieweken.</t>
  </si>
  <si>
    <t>Freq. ma-vr naloop</t>
  </si>
  <si>
    <t>Uren p/j ma t/m vrij naloop</t>
  </si>
  <si>
    <t>Norm ma t/m vr naloop</t>
  </si>
  <si>
    <t>Naloop opslag ma-vr</t>
  </si>
  <si>
    <t>Productie uren ma t/m vr naloop</t>
  </si>
  <si>
    <t>3</t>
  </si>
  <si>
    <t>Handeling  (incl uit- en inruimen)</t>
  </si>
  <si>
    <t>Hoorn</t>
  </si>
  <si>
    <t>Uurlonen 1 januari 2026</t>
  </si>
  <si>
    <t xml:space="preserve">* uitgangspunt: kwaliteit van de coating is in de juiste conditie. Indien topcoaten niet meer leidt tot het beoogde resultaat dient er recoating plaats te vinden. </t>
  </si>
  <si>
    <t>Top of Re-coaten *</t>
  </si>
  <si>
    <t>CM00005</t>
  </si>
  <si>
    <t>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</si>
</sst>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5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b/>
      <sz val="10"/>
      <color theme="1"/>
      <name val="Times New Roman"/>
      <family val="1"/>
    </font>
    <font>
      <sz val="12"/>
      <color rgb="FFFF0000"/>
      <name val="Georgia"/>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xf numFmtId="0" fontId="1" fillId="0" borderId="0"/>
  </cellStyleXfs>
  <cellXfs count="502">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4" applyFont="1" applyAlignment="1">
      <alignment wrapText="1"/>
    </xf>
    <xf numFmtId="0" fontId="74" fillId="0" borderId="0" xfId="84" applyFont="1"/>
    <xf numFmtId="0" fontId="75" fillId="0" borderId="0" xfId="0" applyFont="1"/>
    <xf numFmtId="2" fontId="76" fillId="0" borderId="0" xfId="12" applyNumberFormat="1" applyFont="1"/>
    <xf numFmtId="2" fontId="77" fillId="2" borderId="0" xfId="12" applyNumberFormat="1" applyFont="1" applyFill="1"/>
    <xf numFmtId="0" fontId="79" fillId="0" borderId="0" xfId="89" applyFont="1"/>
    <xf numFmtId="167" fontId="79" fillId="0" borderId="0" xfId="8" applyFont="1"/>
    <xf numFmtId="173" fontId="81" fillId="0" borderId="0" xfId="8" applyNumberFormat="1" applyFont="1" applyAlignment="1">
      <alignment horizontal="center"/>
    </xf>
    <xf numFmtId="49" fontId="83" fillId="0" borderId="0" xfId="63" applyNumberFormat="1" applyFont="1"/>
    <xf numFmtId="0" fontId="83" fillId="0" borderId="0" xfId="63" applyFont="1"/>
    <xf numFmtId="10" fontId="83" fillId="0" borderId="0" xfId="63" applyNumberFormat="1" applyFont="1" applyAlignment="1">
      <alignment horizontal="left"/>
    </xf>
    <xf numFmtId="2" fontId="77" fillId="0" borderId="0" xfId="12" applyNumberFormat="1" applyFont="1"/>
    <xf numFmtId="188" fontId="84" fillId="0" borderId="0" xfId="63" applyNumberFormat="1" applyFont="1" applyAlignment="1">
      <alignment horizontal="left"/>
    </xf>
    <xf numFmtId="0" fontId="79" fillId="0" borderId="0" xfId="63" applyFont="1"/>
    <xf numFmtId="2" fontId="84" fillId="0" borderId="0" xfId="12" applyNumberFormat="1" applyFont="1"/>
    <xf numFmtId="0" fontId="83" fillId="0" borderId="0" xfId="89" applyFont="1"/>
    <xf numFmtId="167" fontId="83" fillId="0" borderId="0" xfId="8" applyFont="1"/>
    <xf numFmtId="2" fontId="81" fillId="0" borderId="0" xfId="89" applyNumberFormat="1" applyFont="1"/>
    <xf numFmtId="0" fontId="86" fillId="0" borderId="0" xfId="89" applyFont="1"/>
    <xf numFmtId="0" fontId="81" fillId="0" borderId="0" xfId="89"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7" applyFont="1" applyAlignment="1">
      <alignment horizontal="center"/>
    </xf>
    <xf numFmtId="2" fontId="79" fillId="0" borderId="0" xfId="8" applyNumberFormat="1" applyFont="1" applyAlignment="1">
      <alignment horizontal="left"/>
    </xf>
    <xf numFmtId="172" fontId="79" fillId="0" borderId="0" xfId="17"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7" applyFont="1"/>
    <xf numFmtId="0" fontId="79" fillId="0" borderId="0" xfId="17" applyFont="1" applyAlignment="1">
      <alignment horizontal="center" vertical="center"/>
    </xf>
    <xf numFmtId="0" fontId="89" fillId="0" borderId="0" xfId="17" applyFont="1"/>
    <xf numFmtId="0" fontId="79" fillId="0" borderId="36" xfId="0" applyFont="1" applyBorder="1"/>
    <xf numFmtId="0" fontId="83" fillId="0" borderId="0" xfId="0" applyFont="1"/>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0" xfId="0" applyFont="1" applyAlignment="1">
      <alignment horizontal="center"/>
    </xf>
    <xf numFmtId="0" fontId="79" fillId="0" borderId="4" xfId="0" applyFont="1" applyBorder="1"/>
    <xf numFmtId="1" fontId="79" fillId="0" borderId="4" xfId="0" applyNumberFormat="1" applyFont="1" applyBorder="1" applyAlignment="1">
      <alignment horizontal="center"/>
    </xf>
    <xf numFmtId="1" fontId="85" fillId="0" borderId="38" xfId="0" applyNumberFormat="1" applyFont="1" applyBorder="1" applyAlignment="1">
      <alignment horizontal="center"/>
    </xf>
    <xf numFmtId="167" fontId="86" fillId="0" borderId="38" xfId="8" applyFont="1" applyFill="1" applyBorder="1" applyAlignment="1">
      <alignment horizontal="center"/>
    </xf>
    <xf numFmtId="167" fontId="86" fillId="0" borderId="0" xfId="8" applyFont="1" applyFill="1" applyBorder="1" applyAlignment="1">
      <alignment horizontal="center"/>
    </xf>
    <xf numFmtId="2" fontId="86" fillId="0" borderId="0" xfId="8" applyNumberFormat="1" applyFont="1" applyFill="1" applyBorder="1" applyAlignment="1">
      <alignment horizontal="center"/>
    </xf>
    <xf numFmtId="2" fontId="79" fillId="0" borderId="0" xfId="0" applyNumberFormat="1" applyFont="1"/>
    <xf numFmtId="1" fontId="79" fillId="0" borderId="0" xfId="0" applyNumberFormat="1" applyFont="1" applyAlignment="1">
      <alignment horizontal="center"/>
    </xf>
    <xf numFmtId="0" fontId="79" fillId="0" borderId="0" xfId="8" applyNumberFormat="1" applyFont="1" applyFill="1" applyBorder="1" applyAlignment="1"/>
    <xf numFmtId="2" fontId="79" fillId="0" borderId="0" xfId="0" applyNumberFormat="1" applyFont="1" applyAlignment="1">
      <alignment horizontal="right"/>
    </xf>
    <xf numFmtId="1" fontId="83" fillId="0" borderId="0" xfId="0" applyNumberFormat="1" applyFont="1" applyAlignment="1">
      <alignment horizontal="center"/>
    </xf>
    <xf numFmtId="1" fontId="85" fillId="0" borderId="0" xfId="0" applyNumberFormat="1" applyFont="1" applyAlignment="1">
      <alignment horizontal="center"/>
    </xf>
    <xf numFmtId="43" fontId="86" fillId="0" borderId="0" xfId="8" applyNumberFormat="1" applyFont="1" applyFill="1" applyBorder="1" applyAlignment="1">
      <alignment horizontal="center"/>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5" xfId="0" applyFont="1" applyBorder="1"/>
    <xf numFmtId="0" fontId="79" fillId="0" borderId="34"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4"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89" fillId="0" borderId="36" xfId="3" applyNumberFormat="1" applyFont="1" applyFill="1" applyBorder="1" applyAlignment="1" applyProtection="1">
      <protection hidden="1"/>
    </xf>
    <xf numFmtId="0" fontId="79" fillId="0" borderId="35" xfId="13" applyFont="1" applyBorder="1" applyProtection="1">
      <protection hidden="1"/>
    </xf>
    <xf numFmtId="0" fontId="104" fillId="0" borderId="34"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5" xfId="13" applyNumberFormat="1" applyFont="1" applyBorder="1" applyProtection="1">
      <protection hidden="1"/>
    </xf>
    <xf numFmtId="0" fontId="81" fillId="0" borderId="36" xfId="0" applyFont="1" applyBorder="1"/>
    <xf numFmtId="0" fontId="105" fillId="0" borderId="0" xfId="0" applyFont="1"/>
    <xf numFmtId="0" fontId="108" fillId="0" borderId="35" xfId="13" applyFont="1" applyBorder="1" applyProtection="1">
      <protection hidden="1"/>
    </xf>
    <xf numFmtId="0" fontId="109" fillId="0" borderId="37" xfId="13" applyFont="1" applyBorder="1" applyProtection="1">
      <protection hidden="1"/>
    </xf>
    <xf numFmtId="0" fontId="109" fillId="0" borderId="34" xfId="13" applyFont="1" applyBorder="1" applyAlignment="1" applyProtection="1">
      <alignment horizontal="right"/>
      <protection hidden="1"/>
    </xf>
    <xf numFmtId="0" fontId="89" fillId="0" borderId="33"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2" fontId="77" fillId="0" borderId="0" xfId="63" applyNumberFormat="1" applyFont="1"/>
    <xf numFmtId="0" fontId="79" fillId="0" borderId="33" xfId="0" applyFont="1" applyBorder="1" applyAlignment="1">
      <alignment horizontal="center"/>
    </xf>
    <xf numFmtId="0" fontId="79" fillId="0" borderId="2" xfId="0" applyFont="1" applyBorder="1" applyAlignment="1">
      <alignment horizontal="center"/>
    </xf>
    <xf numFmtId="0" fontId="79" fillId="0" borderId="6" xfId="0" applyFont="1" applyBorder="1" applyAlignment="1">
      <alignment horizontal="center"/>
    </xf>
    <xf numFmtId="0" fontId="105" fillId="0" borderId="0" xfId="10" applyFont="1"/>
    <xf numFmtId="179"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88" fillId="0" borderId="0" xfId="14" applyFont="1"/>
    <xf numFmtId="2" fontId="88" fillId="0" borderId="0" xfId="14" applyNumberFormat="1" applyFont="1"/>
    <xf numFmtId="0" fontId="79" fillId="0" borderId="0" xfId="10" applyFont="1"/>
    <xf numFmtId="0" fontId="81" fillId="0" borderId="0" xfId="9" applyFont="1" applyAlignment="1" applyProtection="1">
      <alignment horizontal="left" vertical="center"/>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4" applyFont="1"/>
    <xf numFmtId="175" fontId="110" fillId="0" borderId="0" xfId="3" applyNumberFormat="1" applyFont="1" applyFill="1" applyBorder="1" applyAlignment="1" applyProtection="1">
      <alignment horizontal="center"/>
      <protection hidden="1"/>
    </xf>
    <xf numFmtId="0" fontId="79" fillId="0" borderId="0" xfId="103" applyFont="1"/>
    <xf numFmtId="0" fontId="79" fillId="0" borderId="0" xfId="103" applyFont="1" applyAlignment="1">
      <alignment horizontal="center"/>
    </xf>
    <xf numFmtId="167" fontId="79" fillId="0" borderId="0" xfId="105" applyFont="1"/>
    <xf numFmtId="173" fontId="79" fillId="0" borderId="0" xfId="8" applyNumberFormat="1" applyFont="1"/>
    <xf numFmtId="0" fontId="79" fillId="0" borderId="0" xfId="97" applyFont="1"/>
    <xf numFmtId="2" fontId="91" fillId="0" borderId="0" xfId="63" applyNumberFormat="1" applyFont="1"/>
    <xf numFmtId="196" fontId="111" fillId="0" borderId="0" xfId="63" applyNumberFormat="1" applyFont="1" applyAlignment="1">
      <alignment horizontal="left"/>
    </xf>
    <xf numFmtId="0" fontId="81" fillId="0" borderId="35" xfId="84" applyFont="1" applyBorder="1"/>
    <xf numFmtId="0" fontId="81" fillId="0" borderId="37" xfId="84" applyFont="1" applyBorder="1"/>
    <xf numFmtId="0" fontId="80" fillId="63" borderId="36" xfId="0" applyFont="1" applyFill="1" applyBorder="1" applyAlignment="1">
      <alignment wrapText="1"/>
    </xf>
    <xf numFmtId="0" fontId="80" fillId="63" borderId="36" xfId="0" applyFont="1" applyFill="1" applyBorder="1"/>
    <xf numFmtId="2" fontId="77" fillId="64" borderId="0" xfId="12" applyNumberFormat="1" applyFont="1" applyFill="1"/>
    <xf numFmtId="2" fontId="76" fillId="64" borderId="0" xfId="12" applyNumberFormat="1" applyFont="1" applyFill="1"/>
    <xf numFmtId="3" fontId="89" fillId="64" borderId="36" xfId="62" applyNumberFormat="1" applyFont="1" applyFill="1" applyBorder="1" applyAlignment="1" applyProtection="1">
      <alignment horizontal="left" wrapText="1"/>
      <protection hidden="1"/>
    </xf>
    <xf numFmtId="3" fontId="89" fillId="64" borderId="36" xfId="62" applyNumberFormat="1" applyFont="1" applyFill="1" applyBorder="1" applyAlignment="1" applyProtection="1">
      <alignment horizontal="left" vertical="top" wrapText="1"/>
      <protection hidden="1"/>
    </xf>
    <xf numFmtId="167" fontId="114" fillId="63" borderId="32"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2" fontId="118" fillId="0" borderId="0" xfId="0" applyNumberFormat="1" applyFont="1"/>
    <xf numFmtId="2" fontId="116" fillId="63" borderId="32"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3" fillId="63" borderId="35" xfId="13" applyNumberFormat="1" applyFont="1" applyFill="1" applyBorder="1" applyAlignment="1" applyProtection="1">
      <alignment horizontal="left" vertical="center" wrapText="1"/>
      <protection hidden="1"/>
    </xf>
    <xf numFmtId="2" fontId="123" fillId="63" borderId="36" xfId="3" applyNumberFormat="1" applyFont="1" applyFill="1" applyBorder="1" applyAlignment="1" applyProtection="1">
      <alignment vertical="center" wrapText="1"/>
      <protection hidden="1"/>
    </xf>
    <xf numFmtId="0" fontId="114" fillId="63" borderId="35" xfId="59" applyFont="1" applyFill="1" applyBorder="1" applyAlignment="1">
      <alignment horizontal="left" vertical="top" wrapText="1"/>
    </xf>
    <xf numFmtId="0" fontId="114" fillId="63" borderId="37" xfId="59" applyFont="1" applyFill="1" applyBorder="1" applyAlignment="1">
      <alignment horizontal="left" vertical="top" wrapText="1"/>
    </xf>
    <xf numFmtId="0" fontId="114" fillId="63" borderId="34" xfId="59" applyFont="1" applyFill="1" applyBorder="1" applyAlignment="1">
      <alignment horizontal="left" vertical="top" wrapText="1"/>
    </xf>
    <xf numFmtId="0" fontId="84" fillId="0" borderId="0" xfId="9" applyFont="1" applyAlignment="1" applyProtection="1">
      <alignment horizontal="left" vertical="center"/>
      <protection hidden="1"/>
    </xf>
    <xf numFmtId="2" fontId="114" fillId="63" borderId="32" xfId="0" applyNumberFormat="1" applyFont="1" applyFill="1" applyBorder="1" applyAlignment="1">
      <alignment horizontal="left" vertical="top" wrapText="1"/>
    </xf>
    <xf numFmtId="0" fontId="113" fillId="0" borderId="0" xfId="84" applyFont="1"/>
    <xf numFmtId="166" fontId="129" fillId="2" borderId="34" xfId="18" applyFont="1" applyFill="1" applyBorder="1" applyAlignment="1"/>
    <xf numFmtId="0" fontId="130" fillId="0" borderId="0" xfId="63" applyFont="1"/>
    <xf numFmtId="178" fontId="130" fillId="0" borderId="2" xfId="6" applyNumberFormat="1" applyFont="1" applyFill="1" applyBorder="1" applyAlignment="1"/>
    <xf numFmtId="44" fontId="130" fillId="0" borderId="0" xfId="63" applyNumberFormat="1" applyFont="1"/>
    <xf numFmtId="44" fontId="127" fillId="63" borderId="34" xfId="63" applyNumberFormat="1" applyFont="1" applyFill="1" applyBorder="1"/>
    <xf numFmtId="2" fontId="35" fillId="64" borderId="36" xfId="8" applyNumberFormat="1" applyFont="1" applyFill="1" applyBorder="1" applyAlignment="1">
      <alignment horizontal="center"/>
    </xf>
    <xf numFmtId="1" fontId="128" fillId="2" borderId="36" xfId="8" applyNumberFormat="1" applyFont="1" applyFill="1" applyBorder="1" applyAlignment="1">
      <alignment horizontal="center"/>
    </xf>
    <xf numFmtId="173" fontId="128" fillId="2" borderId="36" xfId="8" applyNumberFormat="1" applyFont="1" applyFill="1" applyBorder="1"/>
    <xf numFmtId="167" fontId="128" fillId="2" borderId="36" xfId="8" applyFont="1" applyFill="1" applyBorder="1"/>
    <xf numFmtId="166" fontId="35" fillId="0" borderId="36" xfId="18" applyFont="1" applyBorder="1"/>
    <xf numFmtId="180" fontId="35" fillId="0" borderId="36" xfId="89" applyNumberFormat="1" applyFont="1" applyBorder="1"/>
    <xf numFmtId="173" fontId="80" fillId="63" borderId="35" xfId="8" applyNumberFormat="1" applyFont="1" applyFill="1" applyBorder="1" applyAlignment="1">
      <alignment horizontal="left"/>
    </xf>
    <xf numFmtId="167" fontId="80" fillId="63" borderId="34" xfId="8" applyFont="1" applyFill="1" applyBorder="1"/>
    <xf numFmtId="49" fontId="82" fillId="0" borderId="35" xfId="63" applyNumberFormat="1" applyFont="1" applyBorder="1" applyAlignment="1">
      <alignment vertical="top"/>
    </xf>
    <xf numFmtId="0" fontId="79" fillId="0" borderId="37" xfId="63" applyFont="1" applyBorder="1"/>
    <xf numFmtId="49" fontId="81" fillId="0" borderId="37" xfId="63" applyNumberFormat="1" applyFont="1" applyBorder="1"/>
    <xf numFmtId="49" fontId="80" fillId="63" borderId="35" xfId="63" applyNumberFormat="1" applyFont="1" applyFill="1" applyBorder="1"/>
    <xf numFmtId="0" fontId="80" fillId="63" borderId="37" xfId="63" applyFont="1" applyFill="1" applyBorder="1"/>
    <xf numFmtId="173" fontId="80" fillId="63" borderId="36" xfId="8" applyNumberFormat="1" applyFont="1" applyFill="1" applyBorder="1" applyAlignment="1">
      <alignment vertical="top" wrapText="1"/>
    </xf>
    <xf numFmtId="173" fontId="80" fillId="63" borderId="36" xfId="8" applyNumberFormat="1" applyFont="1" applyFill="1" applyBorder="1" applyAlignment="1">
      <alignment horizontal="center" vertical="top" wrapText="1"/>
    </xf>
    <xf numFmtId="167" fontId="80" fillId="63" borderId="36" xfId="8" applyFont="1" applyFill="1" applyBorder="1" applyAlignment="1">
      <alignment horizontal="center" vertical="top" wrapText="1"/>
    </xf>
    <xf numFmtId="167" fontId="80" fillId="63"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28" fillId="0" borderId="0" xfId="0" applyNumberFormat="1" applyFont="1" applyAlignment="1">
      <alignment horizontal="center"/>
    </xf>
    <xf numFmtId="2" fontId="131" fillId="0" borderId="0" xfId="0" applyNumberFormat="1" applyFont="1" applyAlignment="1">
      <alignment horizontal="center"/>
    </xf>
    <xf numFmtId="2" fontId="137" fillId="0" borderId="0" xfId="12" applyNumberFormat="1" applyFont="1" applyAlignment="1">
      <alignment horizontal="center"/>
    </xf>
    <xf numFmtId="174" fontId="35" fillId="0" borderId="4" xfId="0" applyNumberFormat="1" applyFont="1" applyBorder="1" applyAlignment="1">
      <alignment horizontal="center"/>
    </xf>
    <xf numFmtId="174" fontId="35" fillId="0" borderId="0" xfId="0" applyNumberFormat="1" applyFont="1" applyAlignment="1">
      <alignment horizontal="center"/>
    </xf>
    <xf numFmtId="43" fontId="133" fillId="0" borderId="36" xfId="8" applyNumberFormat="1" applyFont="1" applyFill="1" applyBorder="1" applyAlignment="1">
      <alignment horizontal="center"/>
    </xf>
    <xf numFmtId="1" fontId="134" fillId="0" borderId="36" xfId="0" applyNumberFormat="1" applyFont="1" applyBorder="1" applyAlignment="1">
      <alignment horizontal="center"/>
    </xf>
    <xf numFmtId="14" fontId="132" fillId="0" borderId="0" xfId="12" applyNumberFormat="1" applyFont="1" applyAlignment="1">
      <alignment horizontal="left"/>
    </xf>
    <xf numFmtId="177" fontId="35" fillId="64" borderId="36" xfId="11" applyNumberFormat="1" applyFont="1" applyFill="1" applyBorder="1" applyAlignment="1" applyProtection="1">
      <alignment vertical="center"/>
      <protection hidden="1"/>
    </xf>
    <xf numFmtId="179" fontId="138"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8" fillId="0" borderId="36" xfId="3" applyNumberFormat="1" applyFont="1" applyFill="1" applyBorder="1" applyAlignment="1" applyProtection="1">
      <protection hidden="1"/>
    </xf>
    <xf numFmtId="166" fontId="138" fillId="35" borderId="36" xfId="18" applyFont="1" applyFill="1" applyBorder="1" applyAlignment="1" applyProtection="1">
      <protection locked="0"/>
    </xf>
    <xf numFmtId="175" fontId="139" fillId="0" borderId="5" xfId="0" applyNumberFormat="1" applyFont="1" applyBorder="1" applyAlignment="1">
      <alignment horizontal="center" vertical="center"/>
    </xf>
    <xf numFmtId="166" fontId="138" fillId="65" borderId="36" xfId="18" applyFont="1" applyFill="1" applyBorder="1" applyAlignment="1" applyProtection="1">
      <protection locked="0"/>
    </xf>
    <xf numFmtId="179" fontId="128" fillId="0" borderId="36" xfId="3" applyNumberFormat="1" applyFont="1" applyFill="1" applyBorder="1" applyAlignment="1" applyProtection="1">
      <protection hidden="1"/>
    </xf>
    <xf numFmtId="169" fontId="138" fillId="0" borderId="36" xfId="3" applyFont="1" applyFill="1" applyBorder="1" applyAlignment="1" applyProtection="1">
      <protection hidden="1"/>
    </xf>
    <xf numFmtId="166" fontId="138" fillId="0" borderId="36" xfId="18" applyFont="1" applyFill="1" applyBorder="1" applyAlignment="1" applyProtection="1">
      <protection locked="0"/>
    </xf>
    <xf numFmtId="169" fontId="138" fillId="0" borderId="36" xfId="3" applyFont="1" applyFill="1" applyBorder="1" applyAlignment="1" applyProtection="1">
      <protection locked="0"/>
    </xf>
    <xf numFmtId="166" fontId="141" fillId="2" borderId="36" xfId="18" applyFont="1" applyFill="1" applyBorder="1" applyAlignment="1" applyProtection="1">
      <alignment horizontal="right"/>
      <protection locked="0"/>
    </xf>
    <xf numFmtId="175" fontId="133" fillId="0" borderId="5" xfId="0" applyNumberFormat="1" applyFont="1" applyBorder="1" applyAlignment="1">
      <alignment horizontal="center" vertical="center"/>
    </xf>
    <xf numFmtId="175" fontId="142" fillId="0" borderId="5" xfId="0" applyNumberFormat="1" applyFont="1" applyBorder="1" applyAlignment="1">
      <alignment horizontal="center" vertical="center"/>
    </xf>
    <xf numFmtId="175" fontId="35" fillId="0" borderId="5" xfId="0" applyNumberFormat="1" applyFont="1" applyBorder="1"/>
    <xf numFmtId="179" fontId="128"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3" fillId="0" borderId="36" xfId="5" applyNumberFormat="1" applyFont="1" applyFill="1" applyBorder="1" applyAlignment="1" applyProtection="1">
      <protection hidden="1"/>
    </xf>
    <xf numFmtId="179" fontId="133" fillId="0" borderId="0" xfId="0" applyNumberFormat="1" applyFont="1"/>
    <xf numFmtId="0" fontId="133" fillId="0" borderId="0" xfId="0" applyFont="1"/>
    <xf numFmtId="14" fontId="132" fillId="0" borderId="0" xfId="0" applyNumberFormat="1" applyFont="1" applyAlignment="1">
      <alignment horizontal="left"/>
    </xf>
    <xf numFmtId="166" fontId="35" fillId="0" borderId="35" xfId="18" applyFont="1" applyFill="1" applyBorder="1" applyAlignment="1" applyProtection="1">
      <protection hidden="1"/>
    </xf>
    <xf numFmtId="166" fontId="128" fillId="0" borderId="36" xfId="18" applyFont="1" applyBorder="1"/>
    <xf numFmtId="1" fontId="128" fillId="0" borderId="36" xfId="13" applyNumberFormat="1" applyFont="1" applyBorder="1" applyAlignment="1" applyProtection="1">
      <alignment horizontal="center"/>
      <protection hidden="1"/>
    </xf>
    <xf numFmtId="166" fontId="35" fillId="64" borderId="36" xfId="18" applyFont="1" applyFill="1" applyBorder="1"/>
    <xf numFmtId="2" fontId="35" fillId="0" borderId="35" xfId="13" applyNumberFormat="1" applyFont="1" applyBorder="1" applyProtection="1">
      <protection hidden="1"/>
    </xf>
    <xf numFmtId="44" fontId="35" fillId="65" borderId="34" xfId="66" applyFont="1" applyFill="1" applyBorder="1" applyAlignment="1" applyProtection="1">
      <protection locked="0"/>
    </xf>
    <xf numFmtId="14" fontId="132" fillId="0" borderId="0" xfId="63" applyNumberFormat="1" applyFont="1" applyAlignment="1">
      <alignment horizontal="left"/>
    </xf>
    <xf numFmtId="0" fontId="35" fillId="0" borderId="0" xfId="103" applyFont="1"/>
    <xf numFmtId="14" fontId="146" fillId="0" borderId="0" xfId="63" applyNumberFormat="1" applyFont="1" applyAlignment="1">
      <alignment horizontal="left"/>
    </xf>
    <xf numFmtId="0" fontId="138" fillId="0" borderId="32" xfId="62" applyFont="1" applyBorder="1" applyAlignment="1" applyProtection="1">
      <alignment horizontal="left" textRotation="90"/>
      <protection hidden="1"/>
    </xf>
    <xf numFmtId="175" fontId="138" fillId="64" borderId="32" xfId="65" applyNumberFormat="1" applyFont="1" applyFill="1" applyBorder="1" applyAlignment="1" applyProtection="1">
      <alignment horizontal="center"/>
      <protection hidden="1"/>
    </xf>
    <xf numFmtId="0" fontId="138" fillId="0" borderId="0" xfId="62" applyFont="1" applyAlignment="1" applyProtection="1">
      <alignment horizontal="left" textRotation="90"/>
      <protection hidden="1"/>
    </xf>
    <xf numFmtId="0" fontId="35" fillId="0" borderId="0" xfId="84" applyFont="1"/>
    <xf numFmtId="0" fontId="147" fillId="0" borderId="0" xfId="62" applyFont="1" applyAlignment="1" applyProtection="1">
      <alignment horizontal="left" textRotation="90"/>
      <protection hidden="1"/>
    </xf>
    <xf numFmtId="179" fontId="138" fillId="64" borderId="36" xfId="62" applyNumberFormat="1" applyFont="1" applyFill="1" applyBorder="1" applyAlignment="1" applyProtection="1">
      <alignment horizontal="center"/>
      <protection hidden="1"/>
    </xf>
    <xf numFmtId="179" fontId="138" fillId="2" borderId="36" xfId="62" applyNumberFormat="1" applyFont="1" applyFill="1" applyBorder="1" applyAlignment="1" applyProtection="1">
      <alignment horizontal="center"/>
      <protection hidden="1"/>
    </xf>
    <xf numFmtId="179" fontId="138" fillId="0" borderId="36" xfId="62" applyNumberFormat="1" applyFont="1" applyBorder="1" applyAlignment="1" applyProtection="1">
      <alignment horizontal="center"/>
      <protection hidden="1"/>
    </xf>
    <xf numFmtId="3" fontId="138" fillId="64" borderId="36" xfId="62" applyNumberFormat="1" applyFont="1" applyFill="1" applyBorder="1" applyAlignment="1" applyProtection="1">
      <alignment horizontal="center"/>
      <protection hidden="1"/>
    </xf>
    <xf numFmtId="166" fontId="35" fillId="0" borderId="36" xfId="102" applyFont="1" applyBorder="1"/>
    <xf numFmtId="180" fontId="35" fillId="0" borderId="36" xfId="84" applyNumberFormat="1" applyFont="1" applyBorder="1"/>
    <xf numFmtId="197" fontId="35" fillId="0" borderId="36" xfId="84" applyNumberFormat="1" applyFont="1" applyBorder="1"/>
    <xf numFmtId="166" fontId="35" fillId="0" borderId="36" xfId="84" applyNumberFormat="1" applyFont="1" applyBorder="1"/>
    <xf numFmtId="0" fontId="128" fillId="0" borderId="37" xfId="84" applyFont="1" applyBorder="1"/>
    <xf numFmtId="0" fontId="128" fillId="0" borderId="34" xfId="84" applyFont="1" applyBorder="1"/>
    <xf numFmtId="49" fontId="128" fillId="0" borderId="36" xfId="8" applyNumberFormat="1" applyFont="1" applyBorder="1" applyAlignment="1">
      <alignment horizontal="center"/>
    </xf>
    <xf numFmtId="166" fontId="128" fillId="0" borderId="36" xfId="84" applyNumberFormat="1" applyFont="1" applyBorder="1"/>
    <xf numFmtId="49" fontId="78" fillId="65" borderId="36" xfId="62" applyNumberFormat="1" applyFont="1" applyFill="1" applyBorder="1" applyAlignment="1" applyProtection="1">
      <alignment horizontal="left" vertical="top"/>
      <protection hidden="1"/>
    </xf>
    <xf numFmtId="2" fontId="80" fillId="63" borderId="36" xfId="89" applyNumberFormat="1" applyFont="1" applyFill="1" applyBorder="1" applyAlignment="1">
      <alignment vertical="top" wrapText="1"/>
    </xf>
    <xf numFmtId="2" fontId="79" fillId="0" borderId="36" xfId="0" applyNumberFormat="1" applyFont="1" applyBorder="1"/>
    <xf numFmtId="2" fontId="79" fillId="0" borderId="36" xfId="89" applyNumberFormat="1" applyFont="1" applyBorder="1"/>
    <xf numFmtId="0" fontId="85" fillId="0" borderId="36" xfId="0" applyFont="1" applyBorder="1"/>
    <xf numFmtId="0" fontId="81" fillId="0" borderId="36" xfId="89" applyFont="1" applyBorder="1"/>
    <xf numFmtId="166" fontId="35" fillId="2" borderId="36" xfId="18" applyFont="1" applyFill="1" applyBorder="1" applyAlignment="1">
      <alignment horizontal="center"/>
    </xf>
    <xf numFmtId="166" fontId="128" fillId="2" borderId="36" xfId="18" applyFont="1" applyFill="1" applyBorder="1"/>
    <xf numFmtId="1" fontId="112" fillId="0" borderId="35" xfId="0" applyNumberFormat="1" applyFont="1" applyBorder="1" applyAlignment="1">
      <alignment horizontal="left" vertical="center"/>
    </xf>
    <xf numFmtId="1" fontId="112" fillId="0" borderId="34" xfId="0" applyNumberFormat="1" applyFont="1" applyBorder="1" applyAlignment="1">
      <alignment horizontal="center" vertical="center" wrapText="1"/>
    </xf>
    <xf numFmtId="2" fontId="114" fillId="63" borderId="36" xfId="0" applyNumberFormat="1" applyFont="1" applyFill="1" applyBorder="1" applyAlignment="1">
      <alignment horizontal="left" vertical="center" wrapText="1"/>
    </xf>
    <xf numFmtId="1" fontId="114" fillId="63" borderId="36" xfId="0" applyNumberFormat="1" applyFont="1" applyFill="1" applyBorder="1" applyAlignment="1">
      <alignment horizontal="center" vertical="center" wrapText="1"/>
    </xf>
    <xf numFmtId="0" fontId="114" fillId="63" borderId="36" xfId="0" applyFont="1" applyFill="1" applyBorder="1" applyAlignment="1">
      <alignment horizontal="left" vertical="center" wrapText="1"/>
    </xf>
    <xf numFmtId="2" fontId="114" fillId="63" borderId="36" xfId="0" applyNumberFormat="1" applyFont="1" applyFill="1" applyBorder="1" applyAlignment="1">
      <alignment horizontal="center" vertical="center" wrapText="1"/>
    </xf>
    <xf numFmtId="0" fontId="79" fillId="2" borderId="36" xfId="0" applyFont="1" applyFill="1" applyBorder="1" applyAlignment="1">
      <alignment vertical="center"/>
    </xf>
    <xf numFmtId="173" fontId="128" fillId="64" borderId="36" xfId="8" applyNumberFormat="1" applyFont="1" applyFill="1" applyBorder="1" applyAlignment="1">
      <alignment horizontal="center"/>
    </xf>
    <xf numFmtId="173" fontId="35" fillId="0" borderId="36" xfId="8" applyNumberFormat="1" applyFont="1" applyFill="1" applyBorder="1" applyAlignment="1">
      <alignment horizontal="center" vertical="center"/>
    </xf>
    <xf numFmtId="0" fontId="79" fillId="0" borderId="36" xfId="0" applyFont="1" applyBorder="1" applyAlignment="1">
      <alignment horizontal="center" vertical="center"/>
    </xf>
    <xf numFmtId="0" fontId="79" fillId="0" borderId="36" xfId="0" applyFont="1" applyBorder="1" applyAlignment="1">
      <alignment vertical="center"/>
    </xf>
    <xf numFmtId="173" fontId="128" fillId="0" borderId="36" xfId="8" applyNumberFormat="1" applyFont="1" applyFill="1" applyBorder="1" applyAlignment="1">
      <alignment horizontal="center"/>
    </xf>
    <xf numFmtId="173" fontId="135" fillId="0" borderId="36" xfId="8" applyNumberFormat="1" applyFont="1" applyFill="1" applyBorder="1" applyAlignment="1">
      <alignment horizontal="center"/>
    </xf>
    <xf numFmtId="49" fontId="35" fillId="0" borderId="36" xfId="0" applyNumberFormat="1" applyFont="1" applyBorder="1" applyAlignment="1">
      <alignment horizontal="center"/>
    </xf>
    <xf numFmtId="0" fontId="81" fillId="0" borderId="36" xfId="0" applyFont="1" applyBorder="1" applyAlignment="1">
      <alignment vertical="center"/>
    </xf>
    <xf numFmtId="0" fontId="128" fillId="0" borderId="36" xfId="0" applyFont="1" applyBorder="1"/>
    <xf numFmtId="173" fontId="128" fillId="0" borderId="36" xfId="8" applyNumberFormat="1" applyFont="1" applyFill="1" applyBorder="1" applyAlignment="1">
      <alignment horizontal="center" vertical="center"/>
    </xf>
    <xf numFmtId="0" fontId="81" fillId="0" borderId="36" xfId="0" applyFont="1" applyBorder="1" applyAlignment="1">
      <alignment horizontal="center" vertical="center"/>
    </xf>
    <xf numFmtId="1" fontId="114" fillId="63" borderId="36" xfId="0" applyNumberFormat="1" applyFont="1" applyFill="1" applyBorder="1" applyAlignment="1">
      <alignment horizontal="left"/>
    </xf>
    <xf numFmtId="1" fontId="114" fillId="63" borderId="36" xfId="0" applyNumberFormat="1" applyFont="1" applyFill="1" applyBorder="1" applyAlignment="1">
      <alignment horizontal="center"/>
    </xf>
    <xf numFmtId="0" fontId="114" fillId="63" borderId="32" xfId="0" applyFont="1" applyFill="1" applyBorder="1" applyAlignment="1">
      <alignment horizontal="left" vertical="top" wrapText="1"/>
    </xf>
    <xf numFmtId="182" fontId="114" fillId="63" borderId="32" xfId="8" applyNumberFormat="1" applyFont="1" applyFill="1" applyBorder="1" applyAlignment="1">
      <alignment horizontal="left" vertical="top" wrapText="1"/>
    </xf>
    <xf numFmtId="167" fontId="116" fillId="63" borderId="32" xfId="8" applyFont="1" applyFill="1" applyBorder="1" applyAlignment="1">
      <alignment horizontal="center" vertical="top" wrapText="1"/>
    </xf>
    <xf numFmtId="1" fontId="79" fillId="0" borderId="36" xfId="0" applyNumberFormat="1" applyFont="1" applyBorder="1" applyAlignment="1">
      <alignment horizontal="center"/>
    </xf>
    <xf numFmtId="174" fontId="35" fillId="0" borderId="36" xfId="0" applyNumberFormat="1" applyFont="1" applyBorder="1" applyAlignment="1">
      <alignment horizontal="center"/>
    </xf>
    <xf numFmtId="2" fontId="35" fillId="0" borderId="36" xfId="0" applyNumberFormat="1" applyFont="1" applyBorder="1" applyAlignment="1">
      <alignment horizontal="right"/>
    </xf>
    <xf numFmtId="1" fontId="130" fillId="0" borderId="36" xfId="0" applyNumberFormat="1" applyFont="1" applyBorder="1" applyAlignment="1">
      <alignment horizontal="center"/>
    </xf>
    <xf numFmtId="1" fontId="133" fillId="0" borderId="36" xfId="8" applyNumberFormat="1" applyFont="1" applyFill="1" applyBorder="1" applyAlignment="1">
      <alignment horizontal="center"/>
    </xf>
    <xf numFmtId="2" fontId="86" fillId="0" borderId="36" xfId="8" applyNumberFormat="1" applyFont="1" applyFill="1" applyBorder="1" applyAlignment="1">
      <alignment horizontal="center"/>
    </xf>
    <xf numFmtId="173" fontId="133" fillId="0" borderId="36" xfId="8" applyNumberFormat="1" applyFont="1" applyFill="1" applyBorder="1" applyAlignment="1">
      <alignment horizontal="center"/>
    </xf>
    <xf numFmtId="0" fontId="79" fillId="0" borderId="34" xfId="0" applyFont="1" applyBorder="1"/>
    <xf numFmtId="1" fontId="35" fillId="0" borderId="36" xfId="0" applyNumberFormat="1" applyFont="1" applyBorder="1" applyAlignment="1">
      <alignment horizontal="right"/>
    </xf>
    <xf numFmtId="0" fontId="79" fillId="0" borderId="32" xfId="0" applyFont="1" applyBorder="1"/>
    <xf numFmtId="2" fontId="35" fillId="0" borderId="34" xfId="0" applyNumberFormat="1" applyFont="1" applyBorder="1" applyAlignment="1">
      <alignment horizontal="right"/>
    </xf>
    <xf numFmtId="2" fontId="79" fillId="0" borderId="38" xfId="0" applyNumberFormat="1" applyFont="1" applyBorder="1"/>
    <xf numFmtId="1" fontId="79" fillId="0" borderId="38" xfId="0" applyNumberFormat="1" applyFont="1" applyBorder="1" applyAlignment="1">
      <alignment horizontal="center"/>
    </xf>
    <xf numFmtId="174" fontId="35" fillId="0" borderId="38" xfId="0" applyNumberFormat="1" applyFont="1" applyBorder="1" applyAlignment="1">
      <alignment horizontal="center"/>
    </xf>
    <xf numFmtId="0" fontId="79" fillId="0" borderId="38" xfId="8" applyNumberFormat="1" applyFont="1" applyFill="1" applyBorder="1" applyAlignment="1"/>
    <xf numFmtId="0" fontId="79" fillId="0" borderId="38" xfId="0" applyFont="1" applyBorder="1"/>
    <xf numFmtId="2" fontId="79" fillId="0" borderId="38" xfId="0" applyNumberFormat="1" applyFont="1" applyBorder="1" applyAlignment="1">
      <alignment horizontal="right"/>
    </xf>
    <xf numFmtId="1" fontId="83" fillId="0" borderId="38" xfId="0" applyNumberFormat="1" applyFont="1" applyBorder="1" applyAlignment="1">
      <alignment horizontal="center"/>
    </xf>
    <xf numFmtId="43" fontId="86" fillId="0" borderId="38" xfId="8" applyNumberFormat="1" applyFont="1" applyFill="1" applyBorder="1" applyAlignment="1">
      <alignment horizontal="center"/>
    </xf>
    <xf numFmtId="2" fontId="120" fillId="63" borderId="35" xfId="13" applyNumberFormat="1" applyFont="1" applyFill="1" applyBorder="1" applyAlignment="1" applyProtection="1">
      <alignment horizontal="left" vertical="center"/>
      <protection hidden="1"/>
    </xf>
    <xf numFmtId="2" fontId="92" fillId="63" borderId="37" xfId="11" applyNumberFormat="1" applyFont="1" applyFill="1" applyBorder="1" applyProtection="1">
      <protection hidden="1"/>
    </xf>
    <xf numFmtId="2" fontId="92" fillId="63" borderId="34" xfId="11" applyNumberFormat="1" applyFont="1" applyFill="1" applyBorder="1" applyProtection="1">
      <protection hidden="1"/>
    </xf>
    <xf numFmtId="2" fontId="79" fillId="0" borderId="35" xfId="11" applyNumberFormat="1" applyFont="1" applyBorder="1" applyProtection="1">
      <protection hidden="1"/>
    </xf>
    <xf numFmtId="2" fontId="79" fillId="0" borderId="34" xfId="11" applyNumberFormat="1" applyFont="1" applyBorder="1" applyProtection="1">
      <protection hidden="1"/>
    </xf>
    <xf numFmtId="0" fontId="81" fillId="0" borderId="35" xfId="0" applyFont="1" applyBorder="1"/>
    <xf numFmtId="0" fontId="81" fillId="0" borderId="34" xfId="0" applyFont="1" applyBorder="1"/>
    <xf numFmtId="177" fontId="128" fillId="0" borderId="36" xfId="11" applyNumberFormat="1" applyFont="1" applyBorder="1" applyAlignment="1" applyProtection="1">
      <alignment vertical="center"/>
      <protection hidden="1"/>
    </xf>
    <xf numFmtId="177" fontId="35" fillId="0" borderId="36" xfId="11" applyNumberFormat="1" applyFont="1" applyBorder="1" applyAlignment="1" applyProtection="1">
      <alignment vertical="center"/>
      <protection hidden="1"/>
    </xf>
    <xf numFmtId="10" fontId="128" fillId="0" borderId="34" xfId="0" applyNumberFormat="1" applyFont="1" applyBorder="1"/>
    <xf numFmtId="2" fontId="81" fillId="0" borderId="36" xfId="11" applyNumberFormat="1" applyFont="1" applyBorder="1" applyAlignment="1" applyProtection="1">
      <alignment horizontal="center"/>
      <protection hidden="1"/>
    </xf>
    <xf numFmtId="179" fontId="138" fillId="0" borderId="36" xfId="13" applyNumberFormat="1" applyFont="1" applyBorder="1" applyAlignment="1" applyProtection="1">
      <alignment horizontal="left" vertical="center"/>
      <protection hidden="1"/>
    </xf>
    <xf numFmtId="166" fontId="138" fillId="64" borderId="36" xfId="18" applyFont="1" applyFill="1" applyBorder="1" applyAlignment="1" applyProtection="1">
      <alignment horizontal="right" vertical="center"/>
      <protection hidden="1"/>
    </xf>
    <xf numFmtId="0" fontId="79"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9" fillId="0" borderId="37" xfId="0" applyFont="1" applyBorder="1"/>
    <xf numFmtId="0" fontId="81" fillId="0" borderId="35" xfId="13" applyFont="1" applyBorder="1" applyAlignment="1" applyProtection="1">
      <alignment vertical="center"/>
      <protection hidden="1"/>
    </xf>
    <xf numFmtId="0" fontId="81" fillId="0" borderId="37" xfId="0" applyFont="1" applyBorder="1"/>
    <xf numFmtId="10" fontId="128" fillId="0" borderId="36" xfId="16" applyNumberFormat="1" applyFont="1" applyFill="1" applyBorder="1" applyAlignment="1"/>
    <xf numFmtId="0" fontId="120" fillId="63" borderId="35" xfId="13" applyFont="1" applyFill="1" applyBorder="1" applyAlignment="1" applyProtection="1">
      <alignment horizontal="left" vertical="center"/>
      <protection hidden="1"/>
    </xf>
    <xf numFmtId="0" fontId="121" fillId="63" borderId="37" xfId="13" applyFont="1" applyFill="1" applyBorder="1" applyAlignment="1" applyProtection="1">
      <alignment horizontal="left" vertical="center"/>
      <protection hidden="1"/>
    </xf>
    <xf numFmtId="9" fontId="122" fillId="63" borderId="34" xfId="13" applyNumberFormat="1" applyFont="1" applyFill="1" applyBorder="1" applyAlignment="1" applyProtection="1">
      <alignment vertical="center"/>
      <protection hidden="1"/>
    </xf>
    <xf numFmtId="0" fontId="114" fillId="63" borderId="36" xfId="13" applyFont="1" applyFill="1" applyBorder="1" applyAlignment="1" applyProtection="1">
      <alignment horizontal="left" vertical="center"/>
      <protection hidden="1"/>
    </xf>
    <xf numFmtId="0" fontId="89" fillId="0" borderId="36" xfId="13" applyFont="1" applyBorder="1" applyAlignment="1" applyProtection="1">
      <alignment horizontal="left" vertical="center"/>
      <protection hidden="1"/>
    </xf>
    <xf numFmtId="2" fontId="138" fillId="2" borderId="36" xfId="13" applyNumberFormat="1" applyFont="1" applyFill="1" applyBorder="1" applyAlignment="1" applyProtection="1">
      <alignment horizontal="right" vertical="center"/>
      <protection hidden="1"/>
    </xf>
    <xf numFmtId="0" fontId="81" fillId="0" borderId="36" xfId="13" applyFont="1" applyBorder="1" applyAlignment="1" applyProtection="1">
      <alignment vertical="center"/>
      <protection hidden="1"/>
    </xf>
    <xf numFmtId="2" fontId="128" fillId="0" borderId="36" xfId="13" applyNumberFormat="1" applyFont="1" applyBorder="1" applyAlignment="1" applyProtection="1">
      <alignment vertical="center"/>
      <protection hidden="1"/>
    </xf>
    <xf numFmtId="0" fontId="93" fillId="0" borderId="36" xfId="13" applyFont="1" applyBorder="1" applyAlignment="1" applyProtection="1">
      <alignment vertical="center"/>
      <protection hidden="1"/>
    </xf>
    <xf numFmtId="0" fontId="35" fillId="0" borderId="36" xfId="0" applyFont="1" applyBorder="1" applyAlignment="1">
      <alignment vertical="center"/>
    </xf>
    <xf numFmtId="2" fontId="138" fillId="64" borderId="36" xfId="13" applyNumberFormat="1" applyFont="1" applyFill="1" applyBorder="1" applyAlignment="1" applyProtection="1">
      <alignment horizontal="right" vertical="center"/>
      <protection hidden="1"/>
    </xf>
    <xf numFmtId="0" fontId="94" fillId="0" borderId="36" xfId="13" applyFont="1" applyBorder="1" applyAlignment="1" applyProtection="1">
      <alignment vertical="center"/>
      <protection hidden="1"/>
    </xf>
    <xf numFmtId="0" fontId="79" fillId="0" borderId="36" xfId="13" applyFont="1" applyBorder="1" applyAlignment="1" applyProtection="1">
      <alignment vertical="center"/>
      <protection hidden="1"/>
    </xf>
    <xf numFmtId="10" fontId="138" fillId="0" borderId="36" xfId="16" applyNumberFormat="1" applyFont="1" applyFill="1" applyBorder="1" applyAlignment="1" applyProtection="1">
      <alignment vertical="center"/>
      <protection hidden="1"/>
    </xf>
    <xf numFmtId="10" fontId="128" fillId="0" borderId="36" xfId="16" applyNumberFormat="1" applyFont="1" applyFill="1" applyBorder="1" applyAlignment="1" applyProtection="1">
      <alignment vertical="center"/>
      <protection hidden="1"/>
    </xf>
    <xf numFmtId="2" fontId="123" fillId="63" borderId="37" xfId="13" applyNumberFormat="1" applyFont="1" applyFill="1" applyBorder="1" applyAlignment="1" applyProtection="1">
      <alignment horizontal="center" wrapText="1"/>
      <protection hidden="1"/>
    </xf>
    <xf numFmtId="2" fontId="123" fillId="63" borderId="34" xfId="13" applyNumberFormat="1" applyFont="1" applyFill="1" applyBorder="1" applyAlignment="1" applyProtection="1">
      <alignment horizontal="right" wrapText="1"/>
      <protection hidden="1"/>
    </xf>
    <xf numFmtId="2" fontId="101" fillId="0" borderId="37" xfId="3" applyNumberFormat="1" applyFont="1" applyFill="1" applyBorder="1" applyAlignment="1" applyProtection="1">
      <alignment horizontal="center" vertical="center"/>
      <protection hidden="1"/>
    </xf>
    <xf numFmtId="2" fontId="101" fillId="0" borderId="34" xfId="3" applyNumberFormat="1" applyFont="1" applyFill="1" applyBorder="1" applyAlignment="1" applyProtection="1">
      <alignment horizontal="right" vertical="center"/>
      <protection hidden="1"/>
    </xf>
    <xf numFmtId="175" fontId="139" fillId="0" borderId="39" xfId="0" applyNumberFormat="1" applyFont="1" applyBorder="1" applyAlignment="1">
      <alignment horizontal="center" vertical="center"/>
    </xf>
    <xf numFmtId="2" fontId="102" fillId="0" borderId="37" xfId="3" applyNumberFormat="1" applyFont="1" applyFill="1" applyBorder="1" applyAlignment="1" applyProtection="1">
      <alignment horizontal="left" vertical="center"/>
      <protection hidden="1"/>
    </xf>
    <xf numFmtId="2" fontId="96" fillId="0" borderId="34" xfId="3" applyNumberFormat="1" applyFont="1" applyFill="1" applyBorder="1" applyAlignment="1" applyProtection="1">
      <alignment horizontal="right" vertical="center"/>
      <protection hidden="1"/>
    </xf>
    <xf numFmtId="10" fontId="103" fillId="0" borderId="34" xfId="16" applyNumberFormat="1" applyFont="1" applyFill="1" applyBorder="1" applyAlignment="1" applyProtection="1">
      <alignment horizontal="right"/>
      <protection hidden="1"/>
    </xf>
    <xf numFmtId="0" fontId="81" fillId="0" borderId="35" xfId="13" applyFont="1" applyBorder="1" applyProtection="1">
      <protection hidden="1"/>
    </xf>
    <xf numFmtId="0" fontId="105" fillId="0" borderId="37" xfId="13" applyFont="1" applyBorder="1" applyProtection="1">
      <protection hidden="1"/>
    </xf>
    <xf numFmtId="0" fontId="105" fillId="0" borderId="34" xfId="13" applyFont="1" applyBorder="1" applyAlignment="1" applyProtection="1">
      <alignment horizontal="right"/>
      <protection hidden="1"/>
    </xf>
    <xf numFmtId="0" fontId="103" fillId="0" borderId="37" xfId="13" applyFont="1" applyBorder="1" applyAlignment="1" applyProtection="1">
      <alignment horizontal="right"/>
      <protection hidden="1"/>
    </xf>
    <xf numFmtId="0" fontId="103" fillId="0" borderId="34" xfId="13" applyFont="1" applyBorder="1" applyAlignment="1" applyProtection="1">
      <alignment horizontal="right"/>
      <protection hidden="1"/>
    </xf>
    <xf numFmtId="0" fontId="89" fillId="0" borderId="35" xfId="13" applyFont="1" applyBorder="1" applyProtection="1">
      <protection hidden="1"/>
    </xf>
    <xf numFmtId="10" fontId="144" fillId="64" borderId="36" xfId="16" applyNumberFormat="1" applyFont="1" applyFill="1" applyBorder="1" applyAlignment="1" applyProtection="1">
      <alignment horizontal="right"/>
      <protection hidden="1"/>
    </xf>
    <xf numFmtId="0" fontId="104" fillId="0" borderId="37" xfId="13" applyFont="1" applyBorder="1" applyAlignment="1" applyProtection="1">
      <alignment horizontal="center"/>
      <protection hidden="1"/>
    </xf>
    <xf numFmtId="175" fontId="140" fillId="0" borderId="36" xfId="16" applyNumberFormat="1" applyFont="1" applyFill="1" applyBorder="1" applyAlignment="1" applyProtection="1">
      <alignment horizontal="center"/>
      <protection hidden="1"/>
    </xf>
    <xf numFmtId="0" fontId="86" fillId="0" borderId="35" xfId="13" applyFont="1" applyBorder="1" applyProtection="1">
      <protection hidden="1"/>
    </xf>
    <xf numFmtId="10" fontId="103" fillId="0" borderId="37" xfId="13" applyNumberFormat="1" applyFont="1" applyBorder="1" applyAlignment="1" applyProtection="1">
      <alignment horizontal="right"/>
      <protection hidden="1"/>
    </xf>
    <xf numFmtId="175" fontId="104" fillId="0" borderId="34" xfId="16" applyNumberFormat="1" applyFont="1" applyFill="1" applyBorder="1" applyAlignment="1" applyProtection="1">
      <alignment horizontal="right"/>
      <protection hidden="1"/>
    </xf>
    <xf numFmtId="9" fontId="138" fillId="64" borderId="36" xfId="16" applyFont="1" applyFill="1" applyBorder="1" applyAlignment="1" applyProtection="1">
      <alignment horizontal="center"/>
      <protection hidden="1"/>
    </xf>
    <xf numFmtId="0" fontId="107" fillId="0" borderId="37" xfId="13" applyFont="1" applyBorder="1" applyAlignment="1" applyProtection="1">
      <alignment horizontal="center"/>
      <protection hidden="1"/>
    </xf>
    <xf numFmtId="169" fontId="104" fillId="0" borderId="37" xfId="13" applyNumberFormat="1" applyFont="1" applyBorder="1" applyAlignment="1" applyProtection="1">
      <alignment horizontal="center"/>
      <protection hidden="1"/>
    </xf>
    <xf numFmtId="165" fontId="104" fillId="0" borderId="37" xfId="13" applyNumberFormat="1" applyFont="1" applyBorder="1" applyAlignment="1" applyProtection="1">
      <alignment horizontal="center"/>
      <protection hidden="1"/>
    </xf>
    <xf numFmtId="9" fontId="128" fillId="0" borderId="36" xfId="0" applyNumberFormat="1" applyFont="1" applyBorder="1" applyAlignment="1">
      <alignment horizontal="center"/>
    </xf>
    <xf numFmtId="9" fontId="128" fillId="61" borderId="36" xfId="65" applyFont="1" applyFill="1" applyBorder="1" applyAlignment="1">
      <alignment horizontal="center"/>
    </xf>
    <xf numFmtId="0" fontId="79" fillId="64" borderId="35" xfId="13" applyFont="1" applyFill="1" applyBorder="1" applyProtection="1">
      <protection hidden="1"/>
    </xf>
    <xf numFmtId="0" fontId="104" fillId="64" borderId="37" xfId="13" applyFont="1" applyFill="1" applyBorder="1" applyAlignment="1" applyProtection="1">
      <alignment horizontal="center"/>
      <protection hidden="1"/>
    </xf>
    <xf numFmtId="0" fontId="104" fillId="64" borderId="34" xfId="13" applyFont="1" applyFill="1" applyBorder="1" applyAlignment="1" applyProtection="1">
      <alignment horizontal="right"/>
      <protection hidden="1"/>
    </xf>
    <xf numFmtId="167" fontId="104" fillId="0" borderId="34" xfId="8" applyFont="1" applyFill="1" applyBorder="1" applyAlignment="1" applyProtection="1">
      <alignment horizontal="right"/>
      <protection hidden="1"/>
    </xf>
    <xf numFmtId="10" fontId="104" fillId="0" borderId="34" xfId="16" applyNumberFormat="1" applyFont="1" applyFill="1" applyBorder="1" applyAlignment="1" applyProtection="1">
      <alignment horizontal="right"/>
      <protection hidden="1"/>
    </xf>
    <xf numFmtId="10" fontId="104" fillId="64" borderId="34" xfId="16" applyNumberFormat="1" applyFont="1" applyFill="1" applyBorder="1" applyAlignment="1" applyProtection="1">
      <alignment horizontal="right"/>
      <protection hidden="1"/>
    </xf>
    <xf numFmtId="0" fontId="104" fillId="0" borderId="37" xfId="13" applyFont="1" applyBorder="1" applyProtection="1">
      <protection hidden="1"/>
    </xf>
    <xf numFmtId="169" fontId="105" fillId="0" borderId="37" xfId="13" applyNumberFormat="1" applyFont="1" applyBorder="1" applyProtection="1">
      <protection hidden="1"/>
    </xf>
    <xf numFmtId="169" fontId="104" fillId="0" borderId="34" xfId="13" applyNumberFormat="1" applyFont="1" applyBorder="1" applyAlignment="1" applyProtection="1">
      <alignment horizontal="right"/>
      <protection hidden="1"/>
    </xf>
    <xf numFmtId="0" fontId="105" fillId="0" borderId="39" xfId="0" applyFont="1" applyBorder="1" applyAlignment="1">
      <alignment horizontal="right"/>
    </xf>
    <xf numFmtId="0" fontId="90" fillId="0" borderId="35" xfId="13" applyFont="1" applyBorder="1" applyProtection="1">
      <protection hidden="1"/>
    </xf>
    <xf numFmtId="169" fontId="103" fillId="0" borderId="37" xfId="13" applyNumberFormat="1" applyFont="1" applyBorder="1" applyProtection="1">
      <protection hidden="1"/>
    </xf>
    <xf numFmtId="169" fontId="103" fillId="0" borderId="34" xfId="13" applyNumberFormat="1" applyFont="1" applyBorder="1" applyAlignment="1" applyProtection="1">
      <alignment horizontal="right"/>
      <protection hidden="1"/>
    </xf>
    <xf numFmtId="2" fontId="121" fillId="63" borderId="35" xfId="13" applyNumberFormat="1" applyFont="1" applyFill="1" applyBorder="1" applyAlignment="1" applyProtection="1">
      <alignment horizontal="left" vertical="center" wrapText="1"/>
      <protection hidden="1"/>
    </xf>
    <xf numFmtId="175" fontId="88" fillId="0" borderId="39" xfId="0" applyNumberFormat="1" applyFont="1" applyBorder="1" applyAlignment="1">
      <alignment horizontal="center" vertical="center"/>
    </xf>
    <xf numFmtId="166" fontId="128" fillId="0" borderId="36" xfId="18" applyFont="1" applyBorder="1" applyAlignment="1">
      <alignment horizontal="center"/>
    </xf>
    <xf numFmtId="0" fontId="114" fillId="63" borderId="36" xfId="59" applyFont="1" applyFill="1" applyBorder="1" applyAlignment="1">
      <alignment horizontal="left" vertical="top" wrapText="1"/>
    </xf>
    <xf numFmtId="0" fontId="35" fillId="0" borderId="36" xfId="0" applyFont="1" applyBorder="1" applyAlignment="1">
      <alignment horizontal="center"/>
    </xf>
    <xf numFmtId="167" fontId="35" fillId="0" borderId="36" xfId="8" applyFont="1" applyBorder="1"/>
    <xf numFmtId="166" fontId="35" fillId="0" borderId="36" xfId="18" applyFont="1" applyFill="1" applyBorder="1"/>
    <xf numFmtId="167" fontId="128" fillId="0" borderId="36" xfId="8" applyFont="1" applyBorder="1"/>
    <xf numFmtId="0" fontId="121" fillId="63" borderId="35" xfId="9" applyFont="1" applyFill="1" applyBorder="1" applyAlignment="1" applyProtection="1">
      <alignment horizontal="left" vertical="center"/>
      <protection hidden="1"/>
    </xf>
    <xf numFmtId="0" fontId="122" fillId="63" borderId="37" xfId="10" applyFont="1" applyFill="1" applyBorder="1"/>
    <xf numFmtId="0" fontId="125" fillId="63" borderId="37" xfId="10" applyFont="1" applyFill="1" applyBorder="1"/>
    <xf numFmtId="0" fontId="125" fillId="63" borderId="34" xfId="10" applyFont="1" applyFill="1" applyBorder="1"/>
    <xf numFmtId="0" fontId="79" fillId="0" borderId="35" xfId="9" applyFont="1" applyBorder="1" applyAlignment="1" applyProtection="1">
      <alignment horizontal="left"/>
      <protection hidden="1"/>
    </xf>
    <xf numFmtId="0" fontId="79" fillId="0" borderId="34" xfId="9" applyFont="1" applyBorder="1" applyAlignment="1" applyProtection="1">
      <alignment horizontal="left"/>
      <protection hidden="1"/>
    </xf>
    <xf numFmtId="0" fontId="79" fillId="0" borderId="36" xfId="9" applyFont="1" applyBorder="1" applyAlignment="1" applyProtection="1">
      <alignment horizontal="left"/>
      <protection hidden="1"/>
    </xf>
    <xf numFmtId="0" fontId="35" fillId="0" borderId="36" xfId="9" applyFont="1" applyBorder="1" applyAlignment="1" applyProtection="1">
      <alignment horizontal="center"/>
      <protection hidden="1"/>
    </xf>
    <xf numFmtId="0" fontId="79" fillId="0" borderId="36" xfId="10" applyFont="1" applyBorder="1"/>
    <xf numFmtId="179" fontId="145" fillId="64" borderId="36" xfId="10" applyNumberFormat="1" applyFont="1" applyFill="1" applyBorder="1"/>
    <xf numFmtId="0" fontId="79" fillId="64" borderId="36" xfId="10" applyFont="1" applyFill="1" applyBorder="1"/>
    <xf numFmtId="0" fontId="92" fillId="63" borderId="37" xfId="10" applyFont="1" applyFill="1" applyBorder="1"/>
    <xf numFmtId="0" fontId="92" fillId="63" borderId="34" xfId="10" applyFont="1" applyFill="1" applyBorder="1"/>
    <xf numFmtId="0" fontId="79" fillId="0" borderId="37" xfId="10" applyFont="1" applyBorder="1"/>
    <xf numFmtId="0" fontId="79" fillId="0" borderId="36" xfId="9" applyFont="1" applyBorder="1" applyAlignment="1" applyProtection="1">
      <alignment horizontal="right"/>
      <protection hidden="1"/>
    </xf>
    <xf numFmtId="173" fontId="114" fillId="63" borderId="32" xfId="8" applyNumberFormat="1" applyFont="1" applyFill="1" applyBorder="1" applyAlignment="1">
      <alignment vertical="top" wrapText="1"/>
    </xf>
    <xf numFmtId="0" fontId="79" fillId="0" borderId="36" xfId="103" applyFont="1" applyBorder="1" applyAlignment="1">
      <alignment vertical="top" wrapText="1"/>
    </xf>
    <xf numFmtId="44" fontId="35" fillId="65" borderId="36" xfId="66" applyFont="1" applyFill="1" applyBorder="1" applyAlignment="1" applyProtection="1">
      <protection locked="0"/>
    </xf>
    <xf numFmtId="2" fontId="114" fillId="63" borderId="32" xfId="84" applyNumberFormat="1" applyFont="1" applyFill="1" applyBorder="1" applyAlignment="1">
      <alignment horizontal="left" vertical="top" wrapText="1"/>
    </xf>
    <xf numFmtId="2" fontId="114" fillId="63" borderId="32" xfId="84" applyNumberFormat="1" applyFont="1" applyFill="1" applyBorder="1" applyAlignment="1">
      <alignment vertical="top" wrapText="1"/>
    </xf>
    <xf numFmtId="3" fontId="35" fillId="0" borderId="36" xfId="8" applyNumberFormat="1" applyFont="1" applyFill="1" applyBorder="1" applyAlignment="1">
      <alignment horizontal="center" vertical="top" wrapText="1"/>
    </xf>
    <xf numFmtId="166" fontId="35" fillId="0" borderId="36" xfId="18" applyFont="1" applyBorder="1" applyAlignment="1">
      <alignment horizontal="center" vertical="top" wrapText="1"/>
    </xf>
    <xf numFmtId="44" fontId="35" fillId="0" borderId="36" xfId="66" applyFont="1" applyBorder="1" applyAlignment="1">
      <alignment vertical="top" wrapText="1"/>
    </xf>
    <xf numFmtId="49" fontId="35" fillId="0" borderId="36" xfId="103" applyNumberFormat="1" applyFont="1" applyBorder="1" applyAlignment="1">
      <alignment horizontal="center" vertical="top" wrapText="1"/>
    </xf>
    <xf numFmtId="2" fontId="81" fillId="2" borderId="35" xfId="84" applyNumberFormat="1" applyFont="1" applyFill="1" applyBorder="1" applyAlignment="1">
      <alignment vertical="top" wrapText="1"/>
    </xf>
    <xf numFmtId="2" fontId="81" fillId="2" borderId="34" xfId="84" applyNumberFormat="1" applyFont="1" applyFill="1" applyBorder="1" applyAlignment="1">
      <alignment vertical="top" wrapText="1"/>
    </xf>
    <xf numFmtId="2" fontId="81" fillId="2" borderId="37" xfId="84" applyNumberFormat="1" applyFont="1" applyFill="1" applyBorder="1" applyAlignment="1">
      <alignment vertical="top" wrapText="1"/>
    </xf>
    <xf numFmtId="3" fontId="128" fillId="2" borderId="37" xfId="8" applyNumberFormat="1" applyFont="1" applyFill="1" applyBorder="1" applyAlignment="1">
      <alignment horizontal="center" vertical="top" wrapText="1"/>
    </xf>
    <xf numFmtId="2" fontId="128" fillId="2" borderId="34" xfId="84" applyNumberFormat="1" applyFont="1" applyFill="1" applyBorder="1" applyAlignment="1">
      <alignment vertical="top" wrapText="1"/>
    </xf>
    <xf numFmtId="180" fontId="128" fillId="2" borderId="35" xfId="84" applyNumberFormat="1" applyFont="1" applyFill="1" applyBorder="1" applyAlignment="1">
      <alignment vertical="top" wrapText="1"/>
    </xf>
    <xf numFmtId="2" fontId="128" fillId="2" borderId="37" xfId="84" applyNumberFormat="1" applyFont="1" applyFill="1" applyBorder="1" applyAlignment="1">
      <alignment vertical="top" wrapText="1"/>
    </xf>
    <xf numFmtId="180" fontId="128" fillId="2" borderId="34" xfId="84" applyNumberFormat="1" applyFont="1" applyFill="1" applyBorder="1" applyAlignment="1">
      <alignment vertical="top" wrapText="1"/>
    </xf>
    <xf numFmtId="3" fontId="35" fillId="2" borderId="36" xfId="8" applyNumberFormat="1" applyFont="1" applyFill="1" applyBorder="1" applyAlignment="1">
      <alignment horizontal="center"/>
    </xf>
    <xf numFmtId="3" fontId="128" fillId="2" borderId="36" xfId="8" applyNumberFormat="1" applyFont="1" applyFill="1" applyBorder="1" applyAlignment="1">
      <alignment horizontal="center"/>
    </xf>
    <xf numFmtId="4" fontId="35" fillId="2" borderId="36" xfId="8" applyNumberFormat="1" applyFont="1" applyFill="1" applyBorder="1" applyAlignment="1">
      <alignment horizontal="center"/>
    </xf>
    <xf numFmtId="4" fontId="128" fillId="2" borderId="36" xfId="8" applyNumberFormat="1" applyFont="1" applyFill="1" applyBorder="1" applyAlignment="1">
      <alignment horizontal="center"/>
    </xf>
    <xf numFmtId="0" fontId="7" fillId="0" borderId="0" xfId="0" applyFont="1"/>
    <xf numFmtId="9" fontId="79" fillId="0" borderId="0" xfId="0" applyNumberFormat="1" applyFont="1"/>
    <xf numFmtId="166" fontId="79" fillId="0" borderId="0" xfId="18" applyFont="1"/>
    <xf numFmtId="9" fontId="79" fillId="0" borderId="0" xfId="16" applyFont="1"/>
    <xf numFmtId="44" fontId="79" fillId="0" borderId="0" xfId="0" applyNumberFormat="1" applyFont="1"/>
    <xf numFmtId="49" fontId="78" fillId="65" borderId="36" xfId="9" applyNumberFormat="1" applyFont="1" applyFill="1" applyBorder="1" applyAlignment="1" applyProtection="1">
      <alignment horizontal="left" vertical="top"/>
      <protection hidden="1"/>
    </xf>
    <xf numFmtId="0" fontId="81" fillId="64" borderId="36" xfId="13" applyFont="1" applyFill="1" applyBorder="1" applyProtection="1">
      <protection hidden="1"/>
    </xf>
    <xf numFmtId="0" fontId="68" fillId="0" borderId="0" xfId="0" applyFont="1"/>
    <xf numFmtId="10" fontId="35" fillId="64" borderId="36" xfId="16" applyNumberFormat="1" applyFont="1" applyFill="1" applyBorder="1" applyAlignment="1">
      <alignment horizontal="center"/>
    </xf>
    <xf numFmtId="166" fontId="35" fillId="0" borderId="36" xfId="18" applyFont="1" applyFill="1" applyBorder="1" applyAlignment="1" applyProtection="1">
      <protection hidden="1"/>
    </xf>
    <xf numFmtId="2" fontId="79" fillId="0" borderId="4" xfId="0" applyNumberFormat="1" applyFont="1" applyBorder="1"/>
    <xf numFmtId="1" fontId="35" fillId="0" borderId="36" xfId="61" applyNumberFormat="1" applyFont="1" applyBorder="1" applyAlignment="1">
      <alignment horizontal="center"/>
    </xf>
    <xf numFmtId="1" fontId="138" fillId="0" borderId="36" xfId="61" applyNumberFormat="1" applyFont="1" applyBorder="1" applyAlignment="1">
      <alignment horizontal="center"/>
    </xf>
    <xf numFmtId="1" fontId="128" fillId="0" borderId="36" xfId="61" applyNumberFormat="1" applyFont="1" applyBorder="1" applyAlignment="1">
      <alignment horizontal="center"/>
    </xf>
    <xf numFmtId="173" fontId="35" fillId="2" borderId="36" xfId="8" applyNumberFormat="1" applyFont="1" applyFill="1" applyBorder="1" applyAlignment="1">
      <alignment horizontal="center" vertical="center"/>
    </xf>
    <xf numFmtId="0" fontId="79" fillId="2" borderId="0" xfId="0" applyFont="1" applyFill="1"/>
    <xf numFmtId="0" fontId="79" fillId="2" borderId="36" xfId="0" applyFont="1" applyFill="1" applyBorder="1" applyAlignment="1">
      <alignment horizontal="center" vertical="center"/>
    </xf>
    <xf numFmtId="9" fontId="129" fillId="63" borderId="32" xfId="16" applyFont="1" applyFill="1" applyBorder="1" applyAlignment="1">
      <alignment horizontal="center" vertical="top" wrapText="1"/>
    </xf>
    <xf numFmtId="167" fontId="79" fillId="0" borderId="0" xfId="8" applyFont="1" applyAlignment="1">
      <alignment horizontal="right"/>
    </xf>
    <xf numFmtId="9" fontId="148" fillId="64" borderId="36" xfId="61" applyNumberFormat="1" applyFont="1" applyFill="1" applyBorder="1" applyAlignment="1">
      <alignment horizontal="center" vertical="center"/>
    </xf>
    <xf numFmtId="1" fontId="115" fillId="0" borderId="36" xfId="0" applyNumberFormat="1" applyFont="1" applyBorder="1" applyAlignment="1">
      <alignment horizontal="center" vertical="center" wrapText="1"/>
    </xf>
    <xf numFmtId="173" fontId="79" fillId="0" borderId="0" xfId="0" applyNumberFormat="1" applyFont="1"/>
    <xf numFmtId="2" fontId="76" fillId="2" borderId="0" xfId="12" applyNumberFormat="1" applyFont="1" applyFill="1"/>
    <xf numFmtId="188" fontId="149" fillId="0" borderId="0" xfId="63" applyNumberFormat="1" applyFont="1" applyAlignment="1">
      <alignment horizontal="left"/>
    </xf>
    <xf numFmtId="1" fontId="136" fillId="0" borderId="36" xfId="0" applyNumberFormat="1" applyFont="1" applyBorder="1" applyAlignment="1">
      <alignment horizontal="center" vertical="center" wrapText="1"/>
    </xf>
    <xf numFmtId="166" fontId="35" fillId="2" borderId="36" xfId="18" applyFont="1" applyFill="1" applyBorder="1" applyAlignment="1">
      <alignment horizontal="right"/>
    </xf>
    <xf numFmtId="4" fontId="138" fillId="64" borderId="36" xfId="62" applyNumberFormat="1" applyFont="1" applyFill="1" applyBorder="1" applyAlignment="1" applyProtection="1">
      <alignment horizontal="center"/>
      <protection hidden="1"/>
    </xf>
    <xf numFmtId="167" fontId="79" fillId="0" borderId="36" xfId="8" applyFont="1" applyBorder="1"/>
    <xf numFmtId="0" fontId="133" fillId="0" borderId="0" xfId="0" applyFont="1" applyAlignment="1">
      <alignment horizontal="center"/>
    </xf>
    <xf numFmtId="166" fontId="138" fillId="2" borderId="36" xfId="18" applyFont="1" applyFill="1" applyBorder="1" applyAlignment="1" applyProtection="1">
      <alignment horizontal="center"/>
      <protection hidden="1"/>
    </xf>
    <xf numFmtId="2" fontId="114" fillId="63" borderId="35" xfId="0" applyNumberFormat="1" applyFont="1" applyFill="1" applyBorder="1" applyAlignment="1">
      <alignment horizontal="center" vertical="center" wrapText="1"/>
    </xf>
    <xf numFmtId="2" fontId="114" fillId="63" borderId="37" xfId="0" applyNumberFormat="1" applyFont="1" applyFill="1" applyBorder="1" applyAlignment="1">
      <alignment horizontal="center" vertical="center" wrapText="1"/>
    </xf>
    <xf numFmtId="49" fontId="114" fillId="63" borderId="35" xfId="63" applyNumberFormat="1" applyFont="1" applyFill="1" applyBorder="1" applyAlignment="1">
      <alignment horizontal="left" vertical="top" wrapText="1"/>
    </xf>
    <xf numFmtId="49" fontId="114" fillId="62" borderId="37" xfId="63" applyNumberFormat="1" applyFont="1" applyFill="1" applyBorder="1" applyAlignment="1">
      <alignment horizontal="left" vertical="top" wrapText="1"/>
    </xf>
    <xf numFmtId="49" fontId="114" fillId="62" borderId="34" xfId="63" applyNumberFormat="1" applyFont="1" applyFill="1" applyBorder="1" applyAlignment="1">
      <alignment horizontal="left" vertical="top" wrapText="1"/>
    </xf>
    <xf numFmtId="0" fontId="79" fillId="0" borderId="35" xfId="0" applyFont="1" applyBorder="1" applyAlignment="1">
      <alignment horizontal="left"/>
    </xf>
    <xf numFmtId="0" fontId="79" fillId="0" borderId="34" xfId="0" applyFont="1" applyBorder="1" applyAlignment="1">
      <alignment horizontal="left"/>
    </xf>
    <xf numFmtId="0" fontId="81" fillId="0" borderId="35" xfId="13" applyFont="1" applyBorder="1" applyAlignment="1" applyProtection="1">
      <alignment horizontal="left" vertical="center"/>
      <protection hidden="1"/>
    </xf>
    <xf numFmtId="0" fontId="81" fillId="0" borderId="34" xfId="13" applyFont="1" applyBorder="1" applyAlignment="1" applyProtection="1">
      <alignment horizontal="left" vertical="center"/>
      <protection hidden="1"/>
    </xf>
    <xf numFmtId="2" fontId="123" fillId="63" borderId="36" xfId="13" applyNumberFormat="1" applyFont="1" applyFill="1" applyBorder="1" applyAlignment="1" applyProtection="1">
      <alignment horizontal="center" vertical="center" wrapText="1"/>
      <protection hidden="1"/>
    </xf>
    <xf numFmtId="2" fontId="123" fillId="62" borderId="36" xfId="13" applyNumberFormat="1" applyFont="1" applyFill="1" applyBorder="1" applyAlignment="1" applyProtection="1">
      <alignment horizontal="center" vertical="center" wrapText="1"/>
      <protection hidden="1"/>
    </xf>
    <xf numFmtId="2" fontId="123" fillId="63" borderId="35" xfId="3" applyNumberFormat="1" applyFont="1" applyFill="1" applyBorder="1" applyAlignment="1" applyProtection="1">
      <alignment horizontal="center" vertical="center" wrapText="1"/>
      <protection hidden="1"/>
    </xf>
    <xf numFmtId="0" fontId="114" fillId="62" borderId="34" xfId="0" applyFont="1" applyFill="1" applyBorder="1" applyAlignment="1">
      <alignment horizontal="center" vertical="center" wrapText="1"/>
    </xf>
    <xf numFmtId="0" fontId="79" fillId="0" borderId="0" xfId="0" applyFont="1" applyAlignment="1">
      <alignment horizontal="left" vertical="top" wrapText="1"/>
    </xf>
    <xf numFmtId="2" fontId="123" fillId="63" borderId="35" xfId="13" applyNumberFormat="1" applyFont="1" applyFill="1" applyBorder="1" applyAlignment="1" applyProtection="1">
      <alignment horizontal="center" vertical="center" wrapText="1"/>
      <protection hidden="1"/>
    </xf>
    <xf numFmtId="2" fontId="123" fillId="62" borderId="37" xfId="13" applyNumberFormat="1" applyFont="1" applyFill="1" applyBorder="1" applyAlignment="1" applyProtection="1">
      <alignment horizontal="center" vertical="center" wrapText="1"/>
      <protection hidden="1"/>
    </xf>
    <xf numFmtId="2" fontId="123" fillId="62" borderId="34" xfId="13" applyNumberFormat="1" applyFont="1" applyFill="1" applyBorder="1" applyAlignment="1" applyProtection="1">
      <alignment horizontal="center" vertical="center" wrapText="1"/>
      <protection hidden="1"/>
    </xf>
    <xf numFmtId="2" fontId="123" fillId="63" borderId="37" xfId="13" applyNumberFormat="1" applyFont="1" applyFill="1" applyBorder="1" applyAlignment="1" applyProtection="1">
      <alignment horizontal="center" vertical="center" wrapText="1"/>
      <protection hidden="1"/>
    </xf>
    <xf numFmtId="2" fontId="123" fillId="63" borderId="34" xfId="13" applyNumberFormat="1" applyFont="1" applyFill="1" applyBorder="1" applyAlignment="1" applyProtection="1">
      <alignment horizontal="center" vertical="center" wrapText="1"/>
      <protection hidden="1"/>
    </xf>
    <xf numFmtId="0" fontId="79" fillId="0" borderId="35" xfId="9" applyFont="1" applyBorder="1" applyAlignment="1" applyProtection="1">
      <alignment horizontal="center"/>
      <protection hidden="1"/>
    </xf>
    <xf numFmtId="0" fontId="79" fillId="0" borderId="37" xfId="9" applyFont="1" applyBorder="1" applyAlignment="1" applyProtection="1">
      <alignment horizontal="center"/>
      <protection hidden="1"/>
    </xf>
    <xf numFmtId="0" fontId="79" fillId="0" borderId="34" xfId="9" applyFont="1" applyBorder="1" applyAlignment="1" applyProtection="1">
      <alignment horizontal="center"/>
      <protection hidden="1"/>
    </xf>
  </cellXfs>
  <cellStyles count="52887">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18" xfId="52886" xr:uid="{1DF30532-44B1-435F-9632-222E4F2482A5}"/>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58</xdr:row>
      <xdr:rowOff>133350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2504"/>
          <a:ext cx="11172825" cy="8684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a:t>
          </a:r>
          <a:r>
            <a:rPr lang="nl-NL" sz="1200" b="0">
              <a:solidFill>
                <a:schemeClr val="tx1"/>
              </a:solidFill>
              <a:effectLst/>
              <a:latin typeface="Georgia" panose="02040502050405020303" pitchFamily="18" charset="0"/>
              <a:ea typeface="+mn-ea"/>
              <a:cs typeface="+mn-cs"/>
            </a:rPr>
            <a:t>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200" b="1">
            <a:solidFill>
              <a:schemeClr val="dk1"/>
            </a:solidFill>
            <a:effectLst/>
            <a:latin typeface="Georgia" panose="02040502050405020303" pitchFamily="18" charset="0"/>
            <a:ea typeface="+mn-ea"/>
            <a:cs typeface="+mn-cs"/>
          </a:endParaRPr>
        </a:p>
        <a:p>
          <a:pPr lvl="0"/>
          <a:r>
            <a:rPr lang="nl-NL" sz="1200" b="1">
              <a:solidFill>
                <a:schemeClr val="tx1"/>
              </a:solidFill>
              <a:effectLst/>
              <a:latin typeface="Arial Black" panose="020B0A04020102020204" pitchFamily="34" charset="0"/>
              <a:ea typeface="+mn-ea"/>
              <a:cs typeface="+mn-cs"/>
            </a:rPr>
            <a:t>Machinekosten </a:t>
          </a:r>
          <a:r>
            <a:rPr lang="nl-NL" sz="1200" b="0">
              <a:solidFill>
                <a:schemeClr val="tx1"/>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chemeClr val="tx1"/>
            </a:solidFill>
            <a:effectLst/>
            <a:latin typeface="Georgia" panose="02040502050405020303" pitchFamily="18" charset="0"/>
          </a:endParaRPr>
        </a:p>
        <a:p>
          <a:r>
            <a:rPr lang="nl-NL" sz="1200" b="0">
              <a:solidFill>
                <a:schemeClr val="tx1"/>
              </a:solidFill>
              <a:effectLst/>
              <a:latin typeface="Georgia" panose="02040502050405020303" pitchFamily="18" charset="0"/>
              <a:ea typeface="+mn-ea"/>
              <a:cs typeface="+mn-cs"/>
            </a:rPr>
            <a:t> </a:t>
          </a:r>
          <a:r>
            <a:rPr lang="nl-NL" sz="1200">
              <a:solidFill>
                <a:schemeClr val="tx1"/>
              </a:solidFill>
              <a:effectLst/>
              <a:latin typeface="Georgia" panose="02040502050405020303" pitchFamily="18" charset="0"/>
              <a:ea typeface="+mn-ea"/>
              <a:cs typeface="+mn-cs"/>
            </a:rPr>
            <a:t> </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Voor investering in machines gelden de navolgende voorschriften:</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investeringsvoorstel van de dienstverlener.</a:t>
          </a:r>
          <a:r>
            <a:rPr lang="nl-NL" sz="1200" baseline="0">
              <a:solidFill>
                <a:schemeClr val="tx1"/>
              </a:solidFill>
              <a:effectLst/>
              <a:latin typeface="Georgia" panose="02040502050405020303" pitchFamily="18" charset="0"/>
              <a:ea typeface="+mn-ea"/>
              <a:cs typeface="+mn-cs"/>
            </a:rPr>
            <a:t> </a:t>
          </a:r>
          <a:endParaRPr lang="nl-NL" sz="1200">
            <a:solidFill>
              <a:schemeClr val="tx1"/>
            </a:solidFill>
            <a:effectLst/>
            <a:latin typeface="Georgia" panose="02040502050405020303" pitchFamily="18" charset="0"/>
          </a:endParaRPr>
        </a:p>
        <a:p>
          <a:r>
            <a:rPr lang="nl-NL" sz="1200" baseline="0">
              <a:solidFill>
                <a:schemeClr val="tx1"/>
              </a:solidFill>
              <a:effectLst/>
              <a:latin typeface="Georgia" panose="02040502050405020303" pitchFamily="18" charset="0"/>
              <a:ea typeface="+mn-ea"/>
              <a:cs typeface="+mn-cs"/>
            </a:rPr>
            <a:t>- I</a:t>
          </a:r>
          <a:r>
            <a:rPr lang="nl-NL" sz="1200">
              <a:solidFill>
                <a:schemeClr val="tx1"/>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200" baseline="0">
              <a:solidFill>
                <a:schemeClr val="tx1"/>
              </a:solidFill>
              <a:effectLst/>
              <a:latin typeface="Georgia" panose="02040502050405020303" pitchFamily="18" charset="0"/>
              <a:ea typeface="+mn-ea"/>
              <a:cs typeface="+mn-cs"/>
            </a:rPr>
            <a:t> </a:t>
          </a:r>
          <a:endParaRPr lang="nl-NL" sz="1200">
            <a:solidFill>
              <a:schemeClr val="tx1"/>
            </a:solidFill>
            <a:effectLst/>
            <a:latin typeface="Georgia" panose="02040502050405020303" pitchFamily="18" charset="0"/>
          </a:endParaRPr>
        </a:p>
        <a:p>
          <a:r>
            <a:rPr lang="nl-NL" sz="1200" baseline="0">
              <a:solidFill>
                <a:schemeClr val="tx1"/>
              </a:solidFill>
              <a:effectLst/>
              <a:latin typeface="Georgia" panose="02040502050405020303" pitchFamily="18" charset="0"/>
              <a:ea typeface="+mn-ea"/>
              <a:cs typeface="+mn-cs"/>
            </a:rPr>
            <a:t>- A</a:t>
          </a:r>
          <a:r>
            <a:rPr lang="nl-NL" sz="1200">
              <a:solidFill>
                <a:schemeClr val="tx1"/>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Kosten voor het gebruik van borstels, filters, etc. zijn voor rekening van de dienstverlener.</a:t>
          </a:r>
          <a:endParaRPr lang="nl-NL" sz="1200">
            <a:solidFill>
              <a:schemeClr val="tx1"/>
            </a:solidFill>
            <a:effectLst/>
            <a:latin typeface="Georgia" panose="02040502050405020303" pitchFamily="18" charset="0"/>
          </a:endParaRPr>
        </a:p>
        <a:p>
          <a:r>
            <a:rPr lang="nl-NL" sz="1200">
              <a:solidFill>
                <a:schemeClr val="tx1"/>
              </a:solidFill>
              <a:effectLst/>
              <a:latin typeface="Georgia" panose="02040502050405020303" pitchFamily="18" charset="0"/>
              <a:ea typeface="+mn-ea"/>
              <a:cs typeface="+mn-cs"/>
            </a:rPr>
            <a:t> </a:t>
          </a:r>
        </a:p>
        <a:p>
          <a:r>
            <a:rPr lang="nl-NL" sz="1200" b="0">
              <a:solidFill>
                <a:schemeClr val="tx1"/>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nader te bepalen afhankelijk van contractduur. </a:t>
          </a:r>
          <a:endParaRPr lang="nl-NL" sz="1200" b="1">
            <a:solidFill>
              <a:schemeClr val="tx1"/>
            </a:solidFill>
            <a:effectLst/>
            <a:latin typeface="Georgia" panose="02040502050405020303" pitchFamily="18" charset="0"/>
            <a:ea typeface="+mn-ea"/>
            <a:cs typeface="+mn-cs"/>
          </a:endParaRPr>
        </a:p>
        <a:p>
          <a:endParaRPr lang="nl-NL" sz="1200">
            <a:solidFill>
              <a:schemeClr val="tx1"/>
            </a:solidFill>
            <a:effectLst/>
            <a:latin typeface="Georgia" panose="02040502050405020303" pitchFamily="18" charset="0"/>
          </a:endParaRPr>
        </a:p>
        <a:p>
          <a:pPr eaLnBrk="1" fontAlgn="auto" latinLnBrk="0" hangingPunct="1"/>
          <a:r>
            <a:rPr lang="nl-NL" sz="1200" b="0">
              <a:solidFill>
                <a:schemeClr val="tx1"/>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200">
            <a:solidFill>
              <a:schemeClr val="tx1"/>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213359</xdr:colOff>
      <xdr:row>30</xdr:row>
      <xdr:rowOff>19049</xdr:rowOff>
    </xdr:from>
    <xdr:to>
      <xdr:col>9</xdr:col>
      <xdr:colOff>56028</xdr:colOff>
      <xdr:row>37</xdr:row>
      <xdr:rowOff>44823</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407035" y="6014196"/>
          <a:ext cx="3495787" cy="120239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0">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55881</xdr:rowOff>
    </xdr:from>
    <xdr:to>
      <xdr:col>14</xdr:col>
      <xdr:colOff>49953</xdr:colOff>
      <xdr:row>3</xdr:row>
      <xdr:rowOff>169333</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72916" y="55881"/>
          <a:ext cx="6611620" cy="6108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H65" sqref="H65"/>
    </sheetView>
  </sheetViews>
  <sheetFormatPr defaultRowHeight="12.75"/>
  <cols>
    <col min="1" max="1" width="27.7109375" customWidth="1"/>
  </cols>
  <sheetData>
    <row r="1" spans="1:13" ht="15">
      <c r="A1" s="39" t="s">
        <v>0</v>
      </c>
      <c r="B1" s="40" t="str">
        <f>'2-Kosten per locatie'!B3</f>
        <v>Gemeente Hoorn</v>
      </c>
    </row>
    <row r="2" spans="1:13" ht="15">
      <c r="A2" s="39" t="s">
        <v>1</v>
      </c>
      <c r="B2" s="40" t="str">
        <f ca="1">MID(CELL("bestandsnaam",$B$11),SEARCH("]",CELL("bestandsnaam",$B$11),1)+1,256)</f>
        <v>1-Uitgangspunten</v>
      </c>
    </row>
    <row r="3" spans="1:13" ht="15">
      <c r="A3" s="39" t="s">
        <v>2</v>
      </c>
      <c r="B3" s="40" t="str">
        <f>'2-Kosten per locatie'!B5</f>
        <v>Hoorn</v>
      </c>
    </row>
    <row r="4" spans="1:13" ht="15">
      <c r="A4" s="39" t="s">
        <v>3</v>
      </c>
      <c r="B4" s="40" t="str">
        <f>'2-Kosten per locatie'!B6</f>
        <v>CM00005</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28"/>
  <sheetViews>
    <sheetView showGridLines="0" zoomScale="85" zoomScaleNormal="85" zoomScaleSheetLayoutView="50" zoomScalePageLayoutView="50" workbookViewId="0">
      <pane ySplit="10" topLeftCell="A11" activePane="bottomLeft" state="frozen"/>
      <selection activeCell="B1" sqref="B1"/>
      <selection pane="bottomLeft" activeCell="B7" sqref="B7"/>
    </sheetView>
  </sheetViews>
  <sheetFormatPr defaultColWidth="13.7109375" defaultRowHeight="13.5"/>
  <cols>
    <col min="1" max="1" width="46.140625" style="171" customWidth="1"/>
    <col min="2" max="2" width="36.28515625" style="172" bestFit="1" customWidth="1"/>
    <col min="3" max="3" width="27.5703125" style="172" customWidth="1"/>
    <col min="4" max="4" width="12.140625" style="171" customWidth="1"/>
    <col min="5" max="5" width="14.42578125" style="173" customWidth="1"/>
    <col min="6" max="6" width="16.140625" style="174" customWidth="1"/>
    <col min="7" max="7" width="13.7109375" style="173" customWidth="1"/>
    <col min="8" max="8" width="15.85546875" style="173" customWidth="1"/>
    <col min="9" max="247" width="13.7109375" style="29"/>
    <col min="248" max="248" width="22.140625" style="29" customWidth="1"/>
    <col min="249" max="255" width="13.7109375" style="29" customWidth="1"/>
    <col min="256" max="256" width="15.85546875" style="29" customWidth="1"/>
    <col min="257" max="257" width="16.5703125" style="29" bestFit="1" customWidth="1"/>
    <col min="258" max="258" width="13.7109375" style="29" customWidth="1"/>
    <col min="259" max="259" width="17.140625" style="29" bestFit="1" customWidth="1"/>
    <col min="260" max="260" width="4" style="29" customWidth="1"/>
    <col min="261" max="261" width="13.7109375" style="29" customWidth="1"/>
    <col min="262" max="503" width="13.7109375" style="29"/>
    <col min="504" max="504" width="22.140625" style="29" customWidth="1"/>
    <col min="505" max="511" width="13.7109375" style="29" customWidth="1"/>
    <col min="512" max="512" width="15.85546875" style="29" customWidth="1"/>
    <col min="513" max="513" width="16.5703125" style="29" bestFit="1" customWidth="1"/>
    <col min="514" max="514" width="13.7109375" style="29" customWidth="1"/>
    <col min="515" max="515" width="17.140625" style="29" bestFit="1" customWidth="1"/>
    <col min="516" max="516" width="4" style="29" customWidth="1"/>
    <col min="517" max="517" width="13.7109375" style="29" customWidth="1"/>
    <col min="518" max="759" width="13.7109375" style="29"/>
    <col min="760" max="760" width="22.140625" style="29" customWidth="1"/>
    <col min="761" max="767" width="13.7109375" style="29" customWidth="1"/>
    <col min="768" max="768" width="15.85546875" style="29" customWidth="1"/>
    <col min="769" max="769" width="16.5703125" style="29" bestFit="1" customWidth="1"/>
    <col min="770" max="770" width="13.7109375" style="29" customWidth="1"/>
    <col min="771" max="771" width="17.140625" style="29" bestFit="1" customWidth="1"/>
    <col min="772" max="772" width="4" style="29" customWidth="1"/>
    <col min="773" max="773" width="13.7109375" style="29" customWidth="1"/>
    <col min="774" max="1015" width="13.7109375" style="29"/>
    <col min="1016" max="1016" width="22.140625" style="29" customWidth="1"/>
    <col min="1017" max="1023" width="13.7109375" style="29" customWidth="1"/>
    <col min="1024" max="1024" width="15.85546875" style="29" customWidth="1"/>
    <col min="1025" max="1025" width="16.5703125" style="29" bestFit="1" customWidth="1"/>
    <col min="1026" max="1026" width="13.7109375" style="29" customWidth="1"/>
    <col min="1027" max="1027" width="17.140625" style="29" bestFit="1" customWidth="1"/>
    <col min="1028" max="1028" width="4" style="29" customWidth="1"/>
    <col min="1029" max="1029" width="13.7109375" style="29" customWidth="1"/>
    <col min="1030" max="1271" width="13.7109375" style="29"/>
    <col min="1272" max="1272" width="22.140625" style="29" customWidth="1"/>
    <col min="1273" max="1279" width="13.7109375" style="29" customWidth="1"/>
    <col min="1280" max="1280" width="15.85546875" style="29" customWidth="1"/>
    <col min="1281" max="1281" width="16.5703125" style="29" bestFit="1" customWidth="1"/>
    <col min="1282" max="1282" width="13.7109375" style="29" customWidth="1"/>
    <col min="1283" max="1283" width="17.140625" style="29" bestFit="1" customWidth="1"/>
    <col min="1284" max="1284" width="4" style="29" customWidth="1"/>
    <col min="1285" max="1285" width="13.7109375" style="29" customWidth="1"/>
    <col min="1286" max="1527" width="13.7109375" style="29"/>
    <col min="1528" max="1528" width="22.140625" style="29" customWidth="1"/>
    <col min="1529" max="1535" width="13.7109375" style="29" customWidth="1"/>
    <col min="1536" max="1536" width="15.85546875" style="29" customWidth="1"/>
    <col min="1537" max="1537" width="16.5703125" style="29" bestFit="1" customWidth="1"/>
    <col min="1538" max="1538" width="13.7109375" style="29" customWidth="1"/>
    <col min="1539" max="1539" width="17.140625" style="29" bestFit="1" customWidth="1"/>
    <col min="1540" max="1540" width="4" style="29" customWidth="1"/>
    <col min="1541" max="1541" width="13.7109375" style="29" customWidth="1"/>
    <col min="1542" max="1783" width="13.7109375" style="29"/>
    <col min="1784" max="1784" width="22.140625" style="29" customWidth="1"/>
    <col min="1785" max="1791" width="13.7109375" style="29" customWidth="1"/>
    <col min="1792" max="1792" width="15.85546875" style="29" customWidth="1"/>
    <col min="1793" max="1793" width="16.5703125" style="29" bestFit="1" customWidth="1"/>
    <col min="1794" max="1794" width="13.7109375" style="29" customWidth="1"/>
    <col min="1795" max="1795" width="17.140625" style="29" bestFit="1" customWidth="1"/>
    <col min="1796" max="1796" width="4" style="29" customWidth="1"/>
    <col min="1797" max="1797" width="13.7109375" style="29" customWidth="1"/>
    <col min="1798" max="2039" width="13.7109375" style="29"/>
    <col min="2040" max="2040" width="22.140625" style="29" customWidth="1"/>
    <col min="2041" max="2047" width="13.7109375" style="29" customWidth="1"/>
    <col min="2048" max="2048" width="15.85546875" style="29" customWidth="1"/>
    <col min="2049" max="2049" width="16.5703125" style="29" bestFit="1" customWidth="1"/>
    <col min="2050" max="2050" width="13.7109375" style="29" customWidth="1"/>
    <col min="2051" max="2051" width="17.140625" style="29" bestFit="1" customWidth="1"/>
    <col min="2052" max="2052" width="4" style="29" customWidth="1"/>
    <col min="2053" max="2053" width="13.7109375" style="29" customWidth="1"/>
    <col min="2054" max="2295" width="13.7109375" style="29"/>
    <col min="2296" max="2296" width="22.140625" style="29" customWidth="1"/>
    <col min="2297" max="2303" width="13.7109375" style="29" customWidth="1"/>
    <col min="2304" max="2304" width="15.85546875" style="29" customWidth="1"/>
    <col min="2305" max="2305" width="16.5703125" style="29" bestFit="1" customWidth="1"/>
    <col min="2306" max="2306" width="13.7109375" style="29" customWidth="1"/>
    <col min="2307" max="2307" width="17.140625" style="29" bestFit="1" customWidth="1"/>
    <col min="2308" max="2308" width="4" style="29" customWidth="1"/>
    <col min="2309" max="2309" width="13.7109375" style="29" customWidth="1"/>
    <col min="2310" max="2551" width="13.7109375" style="29"/>
    <col min="2552" max="2552" width="22.140625" style="29" customWidth="1"/>
    <col min="2553" max="2559" width="13.7109375" style="29" customWidth="1"/>
    <col min="2560" max="2560" width="15.85546875" style="29" customWidth="1"/>
    <col min="2561" max="2561" width="16.5703125" style="29" bestFit="1" customWidth="1"/>
    <col min="2562" max="2562" width="13.7109375" style="29" customWidth="1"/>
    <col min="2563" max="2563" width="17.140625" style="29" bestFit="1" customWidth="1"/>
    <col min="2564" max="2564" width="4" style="29" customWidth="1"/>
    <col min="2565" max="2565" width="13.7109375" style="29" customWidth="1"/>
    <col min="2566" max="2807" width="13.7109375" style="29"/>
    <col min="2808" max="2808" width="22.140625" style="29" customWidth="1"/>
    <col min="2809" max="2815" width="13.7109375" style="29" customWidth="1"/>
    <col min="2816" max="2816" width="15.85546875" style="29" customWidth="1"/>
    <col min="2817" max="2817" width="16.5703125" style="29" bestFit="1" customWidth="1"/>
    <col min="2818" max="2818" width="13.7109375" style="29" customWidth="1"/>
    <col min="2819" max="2819" width="17.140625" style="29" bestFit="1" customWidth="1"/>
    <col min="2820" max="2820" width="4" style="29" customWidth="1"/>
    <col min="2821" max="2821" width="13.7109375" style="29" customWidth="1"/>
    <col min="2822" max="3063" width="13.7109375" style="29"/>
    <col min="3064" max="3064" width="22.140625" style="29" customWidth="1"/>
    <col min="3065" max="3071" width="13.7109375" style="29" customWidth="1"/>
    <col min="3072" max="3072" width="15.85546875" style="29" customWidth="1"/>
    <col min="3073" max="3073" width="16.5703125" style="29" bestFit="1" customWidth="1"/>
    <col min="3074" max="3074" width="13.7109375" style="29" customWidth="1"/>
    <col min="3075" max="3075" width="17.140625" style="29" bestFit="1" customWidth="1"/>
    <col min="3076" max="3076" width="4" style="29" customWidth="1"/>
    <col min="3077" max="3077" width="13.7109375" style="29" customWidth="1"/>
    <col min="3078" max="3319" width="13.7109375" style="29"/>
    <col min="3320" max="3320" width="22.140625" style="29" customWidth="1"/>
    <col min="3321" max="3327" width="13.7109375" style="29" customWidth="1"/>
    <col min="3328" max="3328" width="15.85546875" style="29" customWidth="1"/>
    <col min="3329" max="3329" width="16.5703125" style="29" bestFit="1" customWidth="1"/>
    <col min="3330" max="3330" width="13.7109375" style="29" customWidth="1"/>
    <col min="3331" max="3331" width="17.140625" style="29" bestFit="1" customWidth="1"/>
    <col min="3332" max="3332" width="4" style="29" customWidth="1"/>
    <col min="3333" max="3333" width="13.7109375" style="29" customWidth="1"/>
    <col min="3334" max="3575" width="13.7109375" style="29"/>
    <col min="3576" max="3576" width="22.140625" style="29" customWidth="1"/>
    <col min="3577" max="3583" width="13.7109375" style="29" customWidth="1"/>
    <col min="3584" max="3584" width="15.85546875" style="29" customWidth="1"/>
    <col min="3585" max="3585" width="16.5703125" style="29" bestFit="1" customWidth="1"/>
    <col min="3586" max="3586" width="13.7109375" style="29" customWidth="1"/>
    <col min="3587" max="3587" width="17.140625" style="29" bestFit="1" customWidth="1"/>
    <col min="3588" max="3588" width="4" style="29" customWidth="1"/>
    <col min="3589" max="3589" width="13.7109375" style="29" customWidth="1"/>
    <col min="3590" max="3831" width="13.7109375" style="29"/>
    <col min="3832" max="3832" width="22.140625" style="29" customWidth="1"/>
    <col min="3833" max="3839" width="13.7109375" style="29" customWidth="1"/>
    <col min="3840" max="3840" width="15.85546875" style="29" customWidth="1"/>
    <col min="3841" max="3841" width="16.5703125" style="29" bestFit="1" customWidth="1"/>
    <col min="3842" max="3842" width="13.7109375" style="29" customWidth="1"/>
    <col min="3843" max="3843" width="17.140625" style="29" bestFit="1" customWidth="1"/>
    <col min="3844" max="3844" width="4" style="29" customWidth="1"/>
    <col min="3845" max="3845" width="13.7109375" style="29" customWidth="1"/>
    <col min="3846" max="4087" width="13.7109375" style="29"/>
    <col min="4088" max="4088" width="22.140625" style="29" customWidth="1"/>
    <col min="4089" max="4095" width="13.7109375" style="29" customWidth="1"/>
    <col min="4096" max="4096" width="15.85546875" style="29" customWidth="1"/>
    <col min="4097" max="4097" width="16.5703125" style="29" bestFit="1" customWidth="1"/>
    <col min="4098" max="4098" width="13.7109375" style="29" customWidth="1"/>
    <col min="4099" max="4099" width="17.140625" style="29" bestFit="1" customWidth="1"/>
    <col min="4100" max="4100" width="4" style="29" customWidth="1"/>
    <col min="4101" max="4101" width="13.7109375" style="29" customWidth="1"/>
    <col min="4102" max="4343" width="13.7109375" style="29"/>
    <col min="4344" max="4344" width="22.140625" style="29" customWidth="1"/>
    <col min="4345" max="4351" width="13.7109375" style="29" customWidth="1"/>
    <col min="4352" max="4352" width="15.85546875" style="29" customWidth="1"/>
    <col min="4353" max="4353" width="16.5703125" style="29" bestFit="1" customWidth="1"/>
    <col min="4354" max="4354" width="13.7109375" style="29" customWidth="1"/>
    <col min="4355" max="4355" width="17.140625" style="29" bestFit="1" customWidth="1"/>
    <col min="4356" max="4356" width="4" style="29" customWidth="1"/>
    <col min="4357" max="4357" width="13.7109375" style="29" customWidth="1"/>
    <col min="4358" max="4599" width="13.7109375" style="29"/>
    <col min="4600" max="4600" width="22.140625" style="29" customWidth="1"/>
    <col min="4601" max="4607" width="13.7109375" style="29" customWidth="1"/>
    <col min="4608" max="4608" width="15.85546875" style="29" customWidth="1"/>
    <col min="4609" max="4609" width="16.5703125" style="29" bestFit="1" customWidth="1"/>
    <col min="4610" max="4610" width="13.7109375" style="29" customWidth="1"/>
    <col min="4611" max="4611" width="17.140625" style="29" bestFit="1" customWidth="1"/>
    <col min="4612" max="4612" width="4" style="29" customWidth="1"/>
    <col min="4613" max="4613" width="13.7109375" style="29" customWidth="1"/>
    <col min="4614" max="4855" width="13.7109375" style="29"/>
    <col min="4856" max="4856" width="22.140625" style="29" customWidth="1"/>
    <col min="4857" max="4863" width="13.7109375" style="29" customWidth="1"/>
    <col min="4864" max="4864" width="15.85546875" style="29" customWidth="1"/>
    <col min="4865" max="4865" width="16.5703125" style="29" bestFit="1" customWidth="1"/>
    <col min="4866" max="4866" width="13.7109375" style="29" customWidth="1"/>
    <col min="4867" max="4867" width="17.140625" style="29" bestFit="1" customWidth="1"/>
    <col min="4868" max="4868" width="4" style="29" customWidth="1"/>
    <col min="4869" max="4869" width="13.7109375" style="29" customWidth="1"/>
    <col min="4870" max="5111" width="13.7109375" style="29"/>
    <col min="5112" max="5112" width="22.140625" style="29" customWidth="1"/>
    <col min="5113" max="5119" width="13.7109375" style="29" customWidth="1"/>
    <col min="5120" max="5120" width="15.85546875" style="29" customWidth="1"/>
    <col min="5121" max="5121" width="16.5703125" style="29" bestFit="1" customWidth="1"/>
    <col min="5122" max="5122" width="13.7109375" style="29" customWidth="1"/>
    <col min="5123" max="5123" width="17.140625" style="29" bestFit="1" customWidth="1"/>
    <col min="5124" max="5124" width="4" style="29" customWidth="1"/>
    <col min="5125" max="5125" width="13.7109375" style="29" customWidth="1"/>
    <col min="5126" max="5367" width="13.7109375" style="29"/>
    <col min="5368" max="5368" width="22.140625" style="29" customWidth="1"/>
    <col min="5369" max="5375" width="13.7109375" style="29" customWidth="1"/>
    <col min="5376" max="5376" width="15.85546875" style="29" customWidth="1"/>
    <col min="5377" max="5377" width="16.5703125" style="29" bestFit="1" customWidth="1"/>
    <col min="5378" max="5378" width="13.7109375" style="29" customWidth="1"/>
    <col min="5379" max="5379" width="17.140625" style="29" bestFit="1" customWidth="1"/>
    <col min="5380" max="5380" width="4" style="29" customWidth="1"/>
    <col min="5381" max="5381" width="13.7109375" style="29" customWidth="1"/>
    <col min="5382" max="5623" width="13.7109375" style="29"/>
    <col min="5624" max="5624" width="22.140625" style="29" customWidth="1"/>
    <col min="5625" max="5631" width="13.7109375" style="29" customWidth="1"/>
    <col min="5632" max="5632" width="15.85546875" style="29" customWidth="1"/>
    <col min="5633" max="5633" width="16.5703125" style="29" bestFit="1" customWidth="1"/>
    <col min="5634" max="5634" width="13.7109375" style="29" customWidth="1"/>
    <col min="5635" max="5635" width="17.140625" style="29" bestFit="1" customWidth="1"/>
    <col min="5636" max="5636" width="4" style="29" customWidth="1"/>
    <col min="5637" max="5637" width="13.7109375" style="29" customWidth="1"/>
    <col min="5638" max="5879" width="13.7109375" style="29"/>
    <col min="5880" max="5880" width="22.140625" style="29" customWidth="1"/>
    <col min="5881" max="5887" width="13.7109375" style="29" customWidth="1"/>
    <col min="5888" max="5888" width="15.85546875" style="29" customWidth="1"/>
    <col min="5889" max="5889" width="16.5703125" style="29" bestFit="1" customWidth="1"/>
    <col min="5890" max="5890" width="13.7109375" style="29" customWidth="1"/>
    <col min="5891" max="5891" width="17.140625" style="29" bestFit="1" customWidth="1"/>
    <col min="5892" max="5892" width="4" style="29" customWidth="1"/>
    <col min="5893" max="5893" width="13.7109375" style="29" customWidth="1"/>
    <col min="5894" max="6135" width="13.7109375" style="29"/>
    <col min="6136" max="6136" width="22.140625" style="29" customWidth="1"/>
    <col min="6137" max="6143" width="13.7109375" style="29" customWidth="1"/>
    <col min="6144" max="6144" width="15.85546875" style="29" customWidth="1"/>
    <col min="6145" max="6145" width="16.5703125" style="29" bestFit="1" customWidth="1"/>
    <col min="6146" max="6146" width="13.7109375" style="29" customWidth="1"/>
    <col min="6147" max="6147" width="17.140625" style="29" bestFit="1" customWidth="1"/>
    <col min="6148" max="6148" width="4" style="29" customWidth="1"/>
    <col min="6149" max="6149" width="13.7109375" style="29" customWidth="1"/>
    <col min="6150" max="6391" width="13.7109375" style="29"/>
    <col min="6392" max="6392" width="22.140625" style="29" customWidth="1"/>
    <col min="6393" max="6399" width="13.7109375" style="29" customWidth="1"/>
    <col min="6400" max="6400" width="15.85546875" style="29" customWidth="1"/>
    <col min="6401" max="6401" width="16.5703125" style="29" bestFit="1" customWidth="1"/>
    <col min="6402" max="6402" width="13.7109375" style="29" customWidth="1"/>
    <col min="6403" max="6403" width="17.140625" style="29" bestFit="1" customWidth="1"/>
    <col min="6404" max="6404" width="4" style="29" customWidth="1"/>
    <col min="6405" max="6405" width="13.7109375" style="29" customWidth="1"/>
    <col min="6406" max="6647" width="13.7109375" style="29"/>
    <col min="6648" max="6648" width="22.140625" style="29" customWidth="1"/>
    <col min="6649" max="6655" width="13.7109375" style="29" customWidth="1"/>
    <col min="6656" max="6656" width="15.85546875" style="29" customWidth="1"/>
    <col min="6657" max="6657" width="16.5703125" style="29" bestFit="1" customWidth="1"/>
    <col min="6658" max="6658" width="13.7109375" style="29" customWidth="1"/>
    <col min="6659" max="6659" width="17.140625" style="29" bestFit="1" customWidth="1"/>
    <col min="6660" max="6660" width="4" style="29" customWidth="1"/>
    <col min="6661" max="6661" width="13.7109375" style="29" customWidth="1"/>
    <col min="6662" max="6903" width="13.7109375" style="29"/>
    <col min="6904" max="6904" width="22.140625" style="29" customWidth="1"/>
    <col min="6905" max="6911" width="13.7109375" style="29" customWidth="1"/>
    <col min="6912" max="6912" width="15.85546875" style="29" customWidth="1"/>
    <col min="6913" max="6913" width="16.5703125" style="29" bestFit="1" customWidth="1"/>
    <col min="6914" max="6914" width="13.7109375" style="29" customWidth="1"/>
    <col min="6915" max="6915" width="17.140625" style="29" bestFit="1" customWidth="1"/>
    <col min="6916" max="6916" width="4" style="29" customWidth="1"/>
    <col min="6917" max="6917" width="13.7109375" style="29" customWidth="1"/>
    <col min="6918" max="7159" width="13.7109375" style="29"/>
    <col min="7160" max="7160" width="22.140625" style="29" customWidth="1"/>
    <col min="7161" max="7167" width="13.7109375" style="29" customWidth="1"/>
    <col min="7168" max="7168" width="15.85546875" style="29" customWidth="1"/>
    <col min="7169" max="7169" width="16.5703125" style="29" bestFit="1" customWidth="1"/>
    <col min="7170" max="7170" width="13.7109375" style="29" customWidth="1"/>
    <col min="7171" max="7171" width="17.140625" style="29" bestFit="1" customWidth="1"/>
    <col min="7172" max="7172" width="4" style="29" customWidth="1"/>
    <col min="7173" max="7173" width="13.7109375" style="29" customWidth="1"/>
    <col min="7174" max="7415" width="13.7109375" style="29"/>
    <col min="7416" max="7416" width="22.140625" style="29" customWidth="1"/>
    <col min="7417" max="7423" width="13.7109375" style="29" customWidth="1"/>
    <col min="7424" max="7424" width="15.85546875" style="29" customWidth="1"/>
    <col min="7425" max="7425" width="16.5703125" style="29" bestFit="1" customWidth="1"/>
    <col min="7426" max="7426" width="13.7109375" style="29" customWidth="1"/>
    <col min="7427" max="7427" width="17.140625" style="29" bestFit="1" customWidth="1"/>
    <col min="7428" max="7428" width="4" style="29" customWidth="1"/>
    <col min="7429" max="7429" width="13.7109375" style="29" customWidth="1"/>
    <col min="7430" max="7671" width="13.7109375" style="29"/>
    <col min="7672" max="7672" width="22.140625" style="29" customWidth="1"/>
    <col min="7673" max="7679" width="13.7109375" style="29" customWidth="1"/>
    <col min="7680" max="7680" width="15.85546875" style="29" customWidth="1"/>
    <col min="7681" max="7681" width="16.5703125" style="29" bestFit="1" customWidth="1"/>
    <col min="7682" max="7682" width="13.7109375" style="29" customWidth="1"/>
    <col min="7683" max="7683" width="17.140625" style="29" bestFit="1" customWidth="1"/>
    <col min="7684" max="7684" width="4" style="29" customWidth="1"/>
    <col min="7685" max="7685" width="13.7109375" style="29" customWidth="1"/>
    <col min="7686" max="7927" width="13.7109375" style="29"/>
    <col min="7928" max="7928" width="22.140625" style="29" customWidth="1"/>
    <col min="7929" max="7935" width="13.7109375" style="29" customWidth="1"/>
    <col min="7936" max="7936" width="15.85546875" style="29" customWidth="1"/>
    <col min="7937" max="7937" width="16.5703125" style="29" bestFit="1" customWidth="1"/>
    <col min="7938" max="7938" width="13.7109375" style="29" customWidth="1"/>
    <col min="7939" max="7939" width="17.140625" style="29" bestFit="1" customWidth="1"/>
    <col min="7940" max="7940" width="4" style="29" customWidth="1"/>
    <col min="7941" max="7941" width="13.7109375" style="29" customWidth="1"/>
    <col min="7942" max="8183" width="13.7109375" style="29"/>
    <col min="8184" max="8184" width="22.140625" style="29" customWidth="1"/>
    <col min="8185" max="8191" width="13.7109375" style="29" customWidth="1"/>
    <col min="8192" max="8192" width="15.85546875" style="29" customWidth="1"/>
    <col min="8193" max="8193" width="16.5703125" style="29" bestFit="1" customWidth="1"/>
    <col min="8194" max="8194" width="13.7109375" style="29" customWidth="1"/>
    <col min="8195" max="8195" width="17.140625" style="29" bestFit="1" customWidth="1"/>
    <col min="8196" max="8196" width="4" style="29" customWidth="1"/>
    <col min="8197" max="8197" width="13.7109375" style="29" customWidth="1"/>
    <col min="8198" max="8439" width="13.7109375" style="29"/>
    <col min="8440" max="8440" width="22.140625" style="29" customWidth="1"/>
    <col min="8441" max="8447" width="13.7109375" style="29" customWidth="1"/>
    <col min="8448" max="8448" width="15.85546875" style="29" customWidth="1"/>
    <col min="8449" max="8449" width="16.5703125" style="29" bestFit="1" customWidth="1"/>
    <col min="8450" max="8450" width="13.7109375" style="29" customWidth="1"/>
    <col min="8451" max="8451" width="17.140625" style="29" bestFit="1" customWidth="1"/>
    <col min="8452" max="8452" width="4" style="29" customWidth="1"/>
    <col min="8453" max="8453" width="13.7109375" style="29" customWidth="1"/>
    <col min="8454" max="8695" width="13.7109375" style="29"/>
    <col min="8696" max="8696" width="22.140625" style="29" customWidth="1"/>
    <col min="8697" max="8703" width="13.7109375" style="29" customWidth="1"/>
    <col min="8704" max="8704" width="15.85546875" style="29" customWidth="1"/>
    <col min="8705" max="8705" width="16.5703125" style="29" bestFit="1" customWidth="1"/>
    <col min="8706" max="8706" width="13.7109375" style="29" customWidth="1"/>
    <col min="8707" max="8707" width="17.140625" style="29" bestFit="1" customWidth="1"/>
    <col min="8708" max="8708" width="4" style="29" customWidth="1"/>
    <col min="8709" max="8709" width="13.7109375" style="29" customWidth="1"/>
    <col min="8710" max="8951" width="13.7109375" style="29"/>
    <col min="8952" max="8952" width="22.140625" style="29" customWidth="1"/>
    <col min="8953" max="8959" width="13.7109375" style="29" customWidth="1"/>
    <col min="8960" max="8960" width="15.85546875" style="29" customWidth="1"/>
    <col min="8961" max="8961" width="16.5703125" style="29" bestFit="1" customWidth="1"/>
    <col min="8962" max="8962" width="13.7109375" style="29" customWidth="1"/>
    <col min="8963" max="8963" width="17.140625" style="29" bestFit="1" customWidth="1"/>
    <col min="8964" max="8964" width="4" style="29" customWidth="1"/>
    <col min="8965" max="8965" width="13.7109375" style="29" customWidth="1"/>
    <col min="8966" max="9207" width="13.7109375" style="29"/>
    <col min="9208" max="9208" width="22.140625" style="29" customWidth="1"/>
    <col min="9209" max="9215" width="13.7109375" style="29" customWidth="1"/>
    <col min="9216" max="9216" width="15.85546875" style="29" customWidth="1"/>
    <col min="9217" max="9217" width="16.5703125" style="29" bestFit="1" customWidth="1"/>
    <col min="9218" max="9218" width="13.7109375" style="29" customWidth="1"/>
    <col min="9219" max="9219" width="17.140625" style="29" bestFit="1" customWidth="1"/>
    <col min="9220" max="9220" width="4" style="29" customWidth="1"/>
    <col min="9221" max="9221" width="13.7109375" style="29" customWidth="1"/>
    <col min="9222" max="9463" width="13.7109375" style="29"/>
    <col min="9464" max="9464" width="22.140625" style="29" customWidth="1"/>
    <col min="9465" max="9471" width="13.7109375" style="29" customWidth="1"/>
    <col min="9472" max="9472" width="15.85546875" style="29" customWidth="1"/>
    <col min="9473" max="9473" width="16.5703125" style="29" bestFit="1" customWidth="1"/>
    <col min="9474" max="9474" width="13.7109375" style="29" customWidth="1"/>
    <col min="9475" max="9475" width="17.140625" style="29" bestFit="1" customWidth="1"/>
    <col min="9476" max="9476" width="4" style="29" customWidth="1"/>
    <col min="9477" max="9477" width="13.7109375" style="29" customWidth="1"/>
    <col min="9478" max="9719" width="13.7109375" style="29"/>
    <col min="9720" max="9720" width="22.140625" style="29" customWidth="1"/>
    <col min="9721" max="9727" width="13.7109375" style="29" customWidth="1"/>
    <col min="9728" max="9728" width="15.85546875" style="29" customWidth="1"/>
    <col min="9729" max="9729" width="16.5703125" style="29" bestFit="1" customWidth="1"/>
    <col min="9730" max="9730" width="13.7109375" style="29" customWidth="1"/>
    <col min="9731" max="9731" width="17.140625" style="29" bestFit="1" customWidth="1"/>
    <col min="9732" max="9732" width="4" style="29" customWidth="1"/>
    <col min="9733" max="9733" width="13.7109375" style="29" customWidth="1"/>
    <col min="9734" max="9975" width="13.7109375" style="29"/>
    <col min="9976" max="9976" width="22.140625" style="29" customWidth="1"/>
    <col min="9977" max="9983" width="13.7109375" style="29" customWidth="1"/>
    <col min="9984" max="9984" width="15.85546875" style="29" customWidth="1"/>
    <col min="9985" max="9985" width="16.5703125" style="29" bestFit="1" customWidth="1"/>
    <col min="9986" max="9986" width="13.7109375" style="29" customWidth="1"/>
    <col min="9987" max="9987" width="17.140625" style="29" bestFit="1" customWidth="1"/>
    <col min="9988" max="9988" width="4" style="29" customWidth="1"/>
    <col min="9989" max="9989" width="13.7109375" style="29" customWidth="1"/>
    <col min="9990" max="10231" width="13.7109375" style="29"/>
    <col min="10232" max="10232" width="22.140625" style="29" customWidth="1"/>
    <col min="10233" max="10239" width="13.7109375" style="29" customWidth="1"/>
    <col min="10240" max="10240" width="15.85546875" style="29" customWidth="1"/>
    <col min="10241" max="10241" width="16.5703125" style="29" bestFit="1" customWidth="1"/>
    <col min="10242" max="10242" width="13.7109375" style="29" customWidth="1"/>
    <col min="10243" max="10243" width="17.140625" style="29" bestFit="1" customWidth="1"/>
    <col min="10244" max="10244" width="4" style="29" customWidth="1"/>
    <col min="10245" max="10245" width="13.7109375" style="29" customWidth="1"/>
    <col min="10246" max="10487" width="13.7109375" style="29"/>
    <col min="10488" max="10488" width="22.140625" style="29" customWidth="1"/>
    <col min="10489" max="10495" width="13.7109375" style="29" customWidth="1"/>
    <col min="10496" max="10496" width="15.85546875" style="29" customWidth="1"/>
    <col min="10497" max="10497" width="16.5703125" style="29" bestFit="1" customWidth="1"/>
    <col min="10498" max="10498" width="13.7109375" style="29" customWidth="1"/>
    <col min="10499" max="10499" width="17.140625" style="29" bestFit="1" customWidth="1"/>
    <col min="10500" max="10500" width="4" style="29" customWidth="1"/>
    <col min="10501" max="10501" width="13.7109375" style="29" customWidth="1"/>
    <col min="10502" max="10743" width="13.7109375" style="29"/>
    <col min="10744" max="10744" width="22.140625" style="29" customWidth="1"/>
    <col min="10745" max="10751" width="13.7109375" style="29" customWidth="1"/>
    <col min="10752" max="10752" width="15.85546875" style="29" customWidth="1"/>
    <col min="10753" max="10753" width="16.5703125" style="29" bestFit="1" customWidth="1"/>
    <col min="10754" max="10754" width="13.7109375" style="29" customWidth="1"/>
    <col min="10755" max="10755" width="17.140625" style="29" bestFit="1" customWidth="1"/>
    <col min="10756" max="10756" width="4" style="29" customWidth="1"/>
    <col min="10757" max="10757" width="13.7109375" style="29" customWidth="1"/>
    <col min="10758" max="10999" width="13.7109375" style="29"/>
    <col min="11000" max="11000" width="22.140625" style="29" customWidth="1"/>
    <col min="11001" max="11007" width="13.7109375" style="29" customWidth="1"/>
    <col min="11008" max="11008" width="15.85546875" style="29" customWidth="1"/>
    <col min="11009" max="11009" width="16.5703125" style="29" bestFit="1" customWidth="1"/>
    <col min="11010" max="11010" width="13.7109375" style="29" customWidth="1"/>
    <col min="11011" max="11011" width="17.140625" style="29" bestFit="1" customWidth="1"/>
    <col min="11012" max="11012" width="4" style="29" customWidth="1"/>
    <col min="11013" max="11013" width="13.7109375" style="29" customWidth="1"/>
    <col min="11014" max="11255" width="13.7109375" style="29"/>
    <col min="11256" max="11256" width="22.140625" style="29" customWidth="1"/>
    <col min="11257" max="11263" width="13.7109375" style="29" customWidth="1"/>
    <col min="11264" max="11264" width="15.85546875" style="29" customWidth="1"/>
    <col min="11265" max="11265" width="16.5703125" style="29" bestFit="1" customWidth="1"/>
    <col min="11266" max="11266" width="13.7109375" style="29" customWidth="1"/>
    <col min="11267" max="11267" width="17.140625" style="29" bestFit="1" customWidth="1"/>
    <col min="11268" max="11268" width="4" style="29" customWidth="1"/>
    <col min="11269" max="11269" width="13.7109375" style="29" customWidth="1"/>
    <col min="11270" max="11511" width="13.7109375" style="29"/>
    <col min="11512" max="11512" width="22.140625" style="29" customWidth="1"/>
    <col min="11513" max="11519" width="13.7109375" style="29" customWidth="1"/>
    <col min="11520" max="11520" width="15.85546875" style="29" customWidth="1"/>
    <col min="11521" max="11521" width="16.5703125" style="29" bestFit="1" customWidth="1"/>
    <col min="11522" max="11522" width="13.7109375" style="29" customWidth="1"/>
    <col min="11523" max="11523" width="17.140625" style="29" bestFit="1" customWidth="1"/>
    <col min="11524" max="11524" width="4" style="29" customWidth="1"/>
    <col min="11525" max="11525" width="13.7109375" style="29" customWidth="1"/>
    <col min="11526" max="11767" width="13.7109375" style="29"/>
    <col min="11768" max="11768" width="22.140625" style="29" customWidth="1"/>
    <col min="11769" max="11775" width="13.7109375" style="29" customWidth="1"/>
    <col min="11776" max="11776" width="15.85546875" style="29" customWidth="1"/>
    <col min="11777" max="11777" width="16.5703125" style="29" bestFit="1" customWidth="1"/>
    <col min="11778" max="11778" width="13.7109375" style="29" customWidth="1"/>
    <col min="11779" max="11779" width="17.140625" style="29" bestFit="1" customWidth="1"/>
    <col min="11780" max="11780" width="4" style="29" customWidth="1"/>
    <col min="11781" max="11781" width="13.7109375" style="29" customWidth="1"/>
    <col min="11782" max="12023" width="13.7109375" style="29"/>
    <col min="12024" max="12024" width="22.140625" style="29" customWidth="1"/>
    <col min="12025" max="12031" width="13.7109375" style="29" customWidth="1"/>
    <col min="12032" max="12032" width="15.85546875" style="29" customWidth="1"/>
    <col min="12033" max="12033" width="16.5703125" style="29" bestFit="1" customWidth="1"/>
    <col min="12034" max="12034" width="13.7109375" style="29" customWidth="1"/>
    <col min="12035" max="12035" width="17.140625" style="29" bestFit="1" customWidth="1"/>
    <col min="12036" max="12036" width="4" style="29" customWidth="1"/>
    <col min="12037" max="12037" width="13.7109375" style="29" customWidth="1"/>
    <col min="12038" max="12279" width="13.7109375" style="29"/>
    <col min="12280" max="12280" width="22.140625" style="29" customWidth="1"/>
    <col min="12281" max="12287" width="13.7109375" style="29" customWidth="1"/>
    <col min="12288" max="12288" width="15.85546875" style="29" customWidth="1"/>
    <col min="12289" max="12289" width="16.5703125" style="29" bestFit="1" customWidth="1"/>
    <col min="12290" max="12290" width="13.7109375" style="29" customWidth="1"/>
    <col min="12291" max="12291" width="17.140625" style="29" bestFit="1" customWidth="1"/>
    <col min="12292" max="12292" width="4" style="29" customWidth="1"/>
    <col min="12293" max="12293" width="13.7109375" style="29" customWidth="1"/>
    <col min="12294" max="12535" width="13.7109375" style="29"/>
    <col min="12536" max="12536" width="22.140625" style="29" customWidth="1"/>
    <col min="12537" max="12543" width="13.7109375" style="29" customWidth="1"/>
    <col min="12544" max="12544" width="15.85546875" style="29" customWidth="1"/>
    <col min="12545" max="12545" width="16.5703125" style="29" bestFit="1" customWidth="1"/>
    <col min="12546" max="12546" width="13.7109375" style="29" customWidth="1"/>
    <col min="12547" max="12547" width="17.140625" style="29" bestFit="1" customWidth="1"/>
    <col min="12548" max="12548" width="4" style="29" customWidth="1"/>
    <col min="12549" max="12549" width="13.7109375" style="29" customWidth="1"/>
    <col min="12550" max="12791" width="13.7109375" style="29"/>
    <col min="12792" max="12792" width="22.140625" style="29" customWidth="1"/>
    <col min="12793" max="12799" width="13.7109375" style="29" customWidth="1"/>
    <col min="12800" max="12800" width="15.85546875" style="29" customWidth="1"/>
    <col min="12801" max="12801" width="16.5703125" style="29" bestFit="1" customWidth="1"/>
    <col min="12802" max="12802" width="13.7109375" style="29" customWidth="1"/>
    <col min="12803" max="12803" width="17.140625" style="29" bestFit="1" customWidth="1"/>
    <col min="12804" max="12804" width="4" style="29" customWidth="1"/>
    <col min="12805" max="12805" width="13.7109375" style="29" customWidth="1"/>
    <col min="12806" max="13047" width="13.7109375" style="29"/>
    <col min="13048" max="13048" width="22.140625" style="29" customWidth="1"/>
    <col min="13049" max="13055" width="13.7109375" style="29" customWidth="1"/>
    <col min="13056" max="13056" width="15.85546875" style="29" customWidth="1"/>
    <col min="13057" max="13057" width="16.5703125" style="29" bestFit="1" customWidth="1"/>
    <col min="13058" max="13058" width="13.7109375" style="29" customWidth="1"/>
    <col min="13059" max="13059" width="17.140625" style="29" bestFit="1" customWidth="1"/>
    <col min="13060" max="13060" width="4" style="29" customWidth="1"/>
    <col min="13061" max="13061" width="13.7109375" style="29" customWidth="1"/>
    <col min="13062" max="13303" width="13.7109375" style="29"/>
    <col min="13304" max="13304" width="22.140625" style="29" customWidth="1"/>
    <col min="13305" max="13311" width="13.7109375" style="29" customWidth="1"/>
    <col min="13312" max="13312" width="15.85546875" style="29" customWidth="1"/>
    <col min="13313" max="13313" width="16.5703125" style="29" bestFit="1" customWidth="1"/>
    <col min="13314" max="13314" width="13.7109375" style="29" customWidth="1"/>
    <col min="13315" max="13315" width="17.140625" style="29" bestFit="1" customWidth="1"/>
    <col min="13316" max="13316" width="4" style="29" customWidth="1"/>
    <col min="13317" max="13317" width="13.7109375" style="29" customWidth="1"/>
    <col min="13318" max="13559" width="13.7109375" style="29"/>
    <col min="13560" max="13560" width="22.140625" style="29" customWidth="1"/>
    <col min="13561" max="13567" width="13.7109375" style="29" customWidth="1"/>
    <col min="13568" max="13568" width="15.85546875" style="29" customWidth="1"/>
    <col min="13569" max="13569" width="16.5703125" style="29" bestFit="1" customWidth="1"/>
    <col min="13570" max="13570" width="13.7109375" style="29" customWidth="1"/>
    <col min="13571" max="13571" width="17.140625" style="29" bestFit="1" customWidth="1"/>
    <col min="13572" max="13572" width="4" style="29" customWidth="1"/>
    <col min="13573" max="13573" width="13.7109375" style="29" customWidth="1"/>
    <col min="13574" max="13815" width="13.7109375" style="29"/>
    <col min="13816" max="13816" width="22.140625" style="29" customWidth="1"/>
    <col min="13817" max="13823" width="13.7109375" style="29" customWidth="1"/>
    <col min="13824" max="13824" width="15.85546875" style="29" customWidth="1"/>
    <col min="13825" max="13825" width="16.5703125" style="29" bestFit="1" customWidth="1"/>
    <col min="13826" max="13826" width="13.7109375" style="29" customWidth="1"/>
    <col min="13827" max="13827" width="17.140625" style="29" bestFit="1" customWidth="1"/>
    <col min="13828" max="13828" width="4" style="29" customWidth="1"/>
    <col min="13829" max="13829" width="13.7109375" style="29" customWidth="1"/>
    <col min="13830" max="14071" width="13.7109375" style="29"/>
    <col min="14072" max="14072" width="22.140625" style="29" customWidth="1"/>
    <col min="14073" max="14079" width="13.7109375" style="29" customWidth="1"/>
    <col min="14080" max="14080" width="15.85546875" style="29" customWidth="1"/>
    <col min="14081" max="14081" width="16.5703125" style="29" bestFit="1" customWidth="1"/>
    <col min="14082" max="14082" width="13.7109375" style="29" customWidth="1"/>
    <col min="14083" max="14083" width="17.140625" style="29" bestFit="1" customWidth="1"/>
    <col min="14084" max="14084" width="4" style="29" customWidth="1"/>
    <col min="14085" max="14085" width="13.7109375" style="29" customWidth="1"/>
    <col min="14086" max="14327" width="13.7109375" style="29"/>
    <col min="14328" max="14328" width="22.140625" style="29" customWidth="1"/>
    <col min="14329" max="14335" width="13.7109375" style="29" customWidth="1"/>
    <col min="14336" max="14336" width="15.85546875" style="29" customWidth="1"/>
    <col min="14337" max="14337" width="16.5703125" style="29" bestFit="1" customWidth="1"/>
    <col min="14338" max="14338" width="13.7109375" style="29" customWidth="1"/>
    <col min="14339" max="14339" width="17.140625" style="29" bestFit="1" customWidth="1"/>
    <col min="14340" max="14340" width="4" style="29" customWidth="1"/>
    <col min="14341" max="14341" width="13.7109375" style="29" customWidth="1"/>
    <col min="14342" max="14583" width="13.7109375" style="29"/>
    <col min="14584" max="14584" width="22.140625" style="29" customWidth="1"/>
    <col min="14585" max="14591" width="13.7109375" style="29" customWidth="1"/>
    <col min="14592" max="14592" width="15.85546875" style="29" customWidth="1"/>
    <col min="14593" max="14593" width="16.5703125" style="29" bestFit="1" customWidth="1"/>
    <col min="14594" max="14594" width="13.7109375" style="29" customWidth="1"/>
    <col min="14595" max="14595" width="17.140625" style="29" bestFit="1" customWidth="1"/>
    <col min="14596" max="14596" width="4" style="29" customWidth="1"/>
    <col min="14597" max="14597" width="13.7109375" style="29" customWidth="1"/>
    <col min="14598" max="14839" width="13.7109375" style="29"/>
    <col min="14840" max="14840" width="22.140625" style="29" customWidth="1"/>
    <col min="14841" max="14847" width="13.7109375" style="29" customWidth="1"/>
    <col min="14848" max="14848" width="15.85546875" style="29" customWidth="1"/>
    <col min="14849" max="14849" width="16.5703125" style="29" bestFit="1" customWidth="1"/>
    <col min="14850" max="14850" width="13.7109375" style="29" customWidth="1"/>
    <col min="14851" max="14851" width="17.140625" style="29" bestFit="1" customWidth="1"/>
    <col min="14852" max="14852" width="4" style="29" customWidth="1"/>
    <col min="14853" max="14853" width="13.7109375" style="29" customWidth="1"/>
    <col min="14854" max="15095" width="13.7109375" style="29"/>
    <col min="15096" max="15096" width="22.140625" style="29" customWidth="1"/>
    <col min="15097" max="15103" width="13.7109375" style="29" customWidth="1"/>
    <col min="15104" max="15104" width="15.85546875" style="29" customWidth="1"/>
    <col min="15105" max="15105" width="16.5703125" style="29" bestFit="1" customWidth="1"/>
    <col min="15106" max="15106" width="13.7109375" style="29" customWidth="1"/>
    <col min="15107" max="15107" width="17.140625" style="29" bestFit="1" customWidth="1"/>
    <col min="15108" max="15108" width="4" style="29" customWidth="1"/>
    <col min="15109" max="15109" width="13.7109375" style="29" customWidth="1"/>
    <col min="15110" max="15351" width="13.7109375" style="29"/>
    <col min="15352" max="15352" width="22.140625" style="29" customWidth="1"/>
    <col min="15353" max="15359" width="13.7109375" style="29" customWidth="1"/>
    <col min="15360" max="15360" width="15.85546875" style="29" customWidth="1"/>
    <col min="15361" max="15361" width="16.5703125" style="29" bestFit="1" customWidth="1"/>
    <col min="15362" max="15362" width="13.7109375" style="29" customWidth="1"/>
    <col min="15363" max="15363" width="17.140625" style="29" bestFit="1" customWidth="1"/>
    <col min="15364" max="15364" width="4" style="29" customWidth="1"/>
    <col min="15365" max="15365" width="13.7109375" style="29" customWidth="1"/>
    <col min="15366" max="15607" width="13.7109375" style="29"/>
    <col min="15608" max="15608" width="22.140625" style="29" customWidth="1"/>
    <col min="15609" max="15615" width="13.7109375" style="29" customWidth="1"/>
    <col min="15616" max="15616" width="15.85546875" style="29" customWidth="1"/>
    <col min="15617" max="15617" width="16.5703125" style="29" bestFit="1" customWidth="1"/>
    <col min="15618" max="15618" width="13.7109375" style="29" customWidth="1"/>
    <col min="15619" max="15619" width="17.140625" style="29" bestFit="1" customWidth="1"/>
    <col min="15620" max="15620" width="4" style="29" customWidth="1"/>
    <col min="15621" max="15621" width="13.7109375" style="29" customWidth="1"/>
    <col min="15622" max="15863" width="13.7109375" style="29"/>
    <col min="15864" max="15864" width="22.140625" style="29" customWidth="1"/>
    <col min="15865" max="15871" width="13.7109375" style="29" customWidth="1"/>
    <col min="15872" max="15872" width="15.85546875" style="29" customWidth="1"/>
    <col min="15873" max="15873" width="16.5703125" style="29" bestFit="1" customWidth="1"/>
    <col min="15874" max="15874" width="13.7109375" style="29" customWidth="1"/>
    <col min="15875" max="15875" width="17.140625" style="29" bestFit="1" customWidth="1"/>
    <col min="15876" max="15876" width="4" style="29" customWidth="1"/>
    <col min="15877" max="15877" width="13.7109375" style="29" customWidth="1"/>
    <col min="15878" max="16119" width="13.7109375" style="29"/>
    <col min="16120" max="16120" width="22.140625" style="29" customWidth="1"/>
    <col min="16121" max="16127" width="13.7109375" style="29" customWidth="1"/>
    <col min="16128" max="16128" width="15.85546875" style="29" customWidth="1"/>
    <col min="16129" max="16129" width="16.5703125" style="29" bestFit="1" customWidth="1"/>
    <col min="16130" max="16130" width="13.7109375" style="29" customWidth="1"/>
    <col min="16131" max="16131" width="17.140625" style="29" bestFit="1" customWidth="1"/>
    <col min="16132" max="16132" width="4" style="29" customWidth="1"/>
    <col min="16133" max="16133" width="13.7109375" style="29" customWidth="1"/>
    <col min="16134" max="16384" width="13.7109375" style="29"/>
  </cols>
  <sheetData>
    <row r="1" spans="1:26" s="23" customFormat="1">
      <c r="A1" s="456" t="s">
        <v>4</v>
      </c>
      <c r="B1" s="167"/>
      <c r="C1" s="167"/>
      <c r="D1" s="94"/>
      <c r="E1" s="94"/>
      <c r="F1" s="168"/>
      <c r="G1" s="94"/>
      <c r="H1" s="94"/>
    </row>
    <row r="2" spans="1:26" s="23" customFormat="1" ht="30">
      <c r="A2" s="94"/>
      <c r="B2" s="167"/>
      <c r="C2" s="429" t="s">
        <v>420</v>
      </c>
      <c r="D2" s="429" t="s">
        <v>174</v>
      </c>
      <c r="G2" s="169"/>
      <c r="H2" s="94"/>
    </row>
    <row r="3" spans="1:26" s="23" customFormat="1" ht="15.75">
      <c r="A3" s="39" t="str">
        <f>'2-Kosten per locatie'!A3</f>
        <v>Naam opdrachtgever</v>
      </c>
      <c r="B3" s="150" t="str">
        <f>'2-Kosten per locatie'!B3</f>
        <v>Gemeente Hoorn</v>
      </c>
      <c r="C3" s="430" t="s">
        <v>181</v>
      </c>
      <c r="D3" s="431">
        <v>0</v>
      </c>
      <c r="G3" s="169"/>
      <c r="H3" s="94"/>
    </row>
    <row r="4" spans="1:26" s="23" customFormat="1" ht="15.75">
      <c r="A4" s="39" t="str">
        <f>'2-Kosten per locatie'!A4</f>
        <v>Calculatie onderdeel</v>
      </c>
      <c r="B4" s="150" t="str">
        <f ca="1">MID(CELL("bestandsnaam",$C$9),SEARCH("]",CELL("bestandsnaam",$C$9),1)+1,256)</f>
        <v>10-Vloeronderhoud</v>
      </c>
      <c r="C4" s="430" t="s">
        <v>424</v>
      </c>
      <c r="D4" s="431">
        <v>0</v>
      </c>
      <c r="G4" s="169"/>
      <c r="H4" s="94"/>
    </row>
    <row r="5" spans="1:26" s="23" customFormat="1" ht="15.75">
      <c r="A5" s="39" t="str">
        <f>'2-Kosten per locatie'!A5</f>
        <v>Gebouw/plaats</v>
      </c>
      <c r="B5" s="150" t="str">
        <f>'2-Kosten per locatie'!B5</f>
        <v>Hoorn</v>
      </c>
      <c r="C5" s="150"/>
      <c r="D5" s="169"/>
      <c r="E5" s="169"/>
      <c r="F5" s="169"/>
      <c r="G5" s="169"/>
      <c r="H5" s="170"/>
      <c r="J5" s="25"/>
      <c r="K5" s="24"/>
      <c r="L5" s="25"/>
      <c r="M5" s="25"/>
      <c r="N5" s="24"/>
      <c r="O5" s="26"/>
      <c r="P5" s="25"/>
      <c r="Q5" s="24"/>
      <c r="R5" s="25"/>
      <c r="S5" s="25"/>
      <c r="T5" s="24"/>
      <c r="U5" s="25"/>
      <c r="V5" s="25"/>
      <c r="W5" s="24"/>
      <c r="X5" s="25"/>
      <c r="Y5" s="25"/>
      <c r="Z5" s="24"/>
    </row>
    <row r="6" spans="1:26" s="23" customFormat="1" ht="17.25" customHeight="1">
      <c r="A6" s="39" t="str">
        <f>'2-Kosten per locatie'!A6</f>
        <v>Referentie nummer</v>
      </c>
      <c r="B6" s="150" t="str">
        <f>'2-Kosten per locatie'!B6</f>
        <v>CM00005</v>
      </c>
      <c r="C6" s="150"/>
      <c r="D6" s="169"/>
      <c r="E6" s="169"/>
      <c r="F6" s="169"/>
      <c r="G6" s="169"/>
      <c r="H6" s="170"/>
      <c r="J6" s="27"/>
      <c r="K6" s="28"/>
      <c r="L6" s="25"/>
      <c r="M6" s="27"/>
      <c r="N6" s="28"/>
      <c r="O6" s="26"/>
      <c r="P6" s="27"/>
      <c r="Q6" s="28"/>
      <c r="R6" s="25"/>
      <c r="S6" s="27"/>
      <c r="T6" s="28"/>
      <c r="U6" s="25"/>
      <c r="V6" s="27"/>
      <c r="W6" s="28"/>
      <c r="X6" s="25"/>
      <c r="Y6" s="27"/>
      <c r="Z6" s="28"/>
    </row>
    <row r="7" spans="1:26" s="23" customFormat="1" ht="17.25" customHeight="1">
      <c r="A7" s="39" t="str">
        <f>'2-Kosten per locatie'!A7</f>
        <v>Naam dienstverlener</v>
      </c>
      <c r="B7" s="150">
        <f>'2-Kosten per locatie'!B7</f>
        <v>0</v>
      </c>
      <c r="C7" s="116"/>
      <c r="D7" s="169"/>
      <c r="E7" s="169"/>
      <c r="F7" s="169"/>
      <c r="G7" s="169"/>
      <c r="H7" s="170"/>
    </row>
    <row r="8" spans="1:26" s="23" customFormat="1" ht="17.25" customHeight="1">
      <c r="A8" s="39" t="str">
        <f>'2-Kosten per locatie'!A8</f>
        <v>Prijspeil</v>
      </c>
      <c r="B8" s="263">
        <f>'2-Kosten per locatie'!B8</f>
        <v>46023</v>
      </c>
      <c r="C8" s="48"/>
      <c r="D8" s="169"/>
      <c r="E8" s="169"/>
      <c r="F8" s="169"/>
      <c r="G8" s="169"/>
      <c r="H8" s="170"/>
    </row>
    <row r="9" spans="1:26" s="23" customFormat="1" ht="17.25" customHeight="1">
      <c r="A9" s="169"/>
      <c r="B9" s="169"/>
      <c r="C9" s="169"/>
      <c r="D9" s="169"/>
      <c r="E9" s="169"/>
      <c r="F9" s="169"/>
      <c r="G9" s="169"/>
      <c r="H9" s="170"/>
    </row>
    <row r="10" spans="1:26" s="30" customFormat="1" ht="43.5" customHeight="1">
      <c r="A10" s="432" t="s">
        <v>16</v>
      </c>
      <c r="B10" s="433" t="s">
        <v>182</v>
      </c>
      <c r="C10" s="433" t="s">
        <v>180</v>
      </c>
      <c r="D10" s="429" t="s">
        <v>175</v>
      </c>
      <c r="E10" s="433" t="s">
        <v>176</v>
      </c>
      <c r="F10" s="433" t="s">
        <v>177</v>
      </c>
      <c r="G10" s="433" t="s">
        <v>178</v>
      </c>
      <c r="H10" s="433" t="s">
        <v>179</v>
      </c>
    </row>
    <row r="11" spans="1:26">
      <c r="A11" s="285" t="s">
        <v>312</v>
      </c>
      <c r="B11" s="430" t="s">
        <v>211</v>
      </c>
      <c r="C11" s="430" t="s">
        <v>181</v>
      </c>
      <c r="D11" s="434">
        <f>SUMIFS('4-Basis ruimtestaat'!J:J,'4-Basis ruimtestaat'!B:B,A11,'4-Basis ruimtestaat'!I:I,B11)</f>
        <v>0</v>
      </c>
      <c r="E11" s="435">
        <f>VLOOKUP(C11,$C$3:$D$9,2,FALSE)</f>
        <v>0</v>
      </c>
      <c r="F11" s="436">
        <f t="shared" ref="F11:F23" si="0">(D11*E11)</f>
        <v>0</v>
      </c>
      <c r="G11" s="437" t="s">
        <v>419</v>
      </c>
      <c r="H11" s="436">
        <f t="shared" ref="H11:H23" si="1">G11*F11</f>
        <v>0</v>
      </c>
    </row>
    <row r="12" spans="1:26">
      <c r="A12" s="285" t="s">
        <v>312</v>
      </c>
      <c r="B12" s="430" t="s">
        <v>211</v>
      </c>
      <c r="C12" s="430" t="s">
        <v>424</v>
      </c>
      <c r="D12" s="434">
        <f>SUMIFS('4-Basis ruimtestaat'!J:J,'4-Basis ruimtestaat'!B:B,A12,'4-Basis ruimtestaat'!I:I,B12)</f>
        <v>0</v>
      </c>
      <c r="E12" s="435">
        <f t="shared" ref="E12:E24" si="2">VLOOKUP(C12,$C$3:$D$9,2,FALSE)</f>
        <v>0</v>
      </c>
      <c r="F12" s="436">
        <f t="shared" si="0"/>
        <v>0</v>
      </c>
      <c r="G12" s="437" t="s">
        <v>183</v>
      </c>
      <c r="H12" s="436">
        <f t="shared" si="1"/>
        <v>0</v>
      </c>
    </row>
    <row r="13" spans="1:26">
      <c r="A13" s="285" t="s">
        <v>336</v>
      </c>
      <c r="B13" s="430" t="s">
        <v>211</v>
      </c>
      <c r="C13" s="430" t="s">
        <v>181</v>
      </c>
      <c r="D13" s="434">
        <f>SUMIFS('4-Basis ruimtestaat'!J:J,'4-Basis ruimtestaat'!B:B,A13,'4-Basis ruimtestaat'!I:I,B13)</f>
        <v>110.8</v>
      </c>
      <c r="E13" s="435">
        <f t="shared" si="2"/>
        <v>0</v>
      </c>
      <c r="F13" s="436">
        <f t="shared" si="0"/>
        <v>0</v>
      </c>
      <c r="G13" s="437" t="s">
        <v>419</v>
      </c>
      <c r="H13" s="436">
        <f t="shared" si="1"/>
        <v>0</v>
      </c>
    </row>
    <row r="14" spans="1:26">
      <c r="A14" s="285" t="s">
        <v>336</v>
      </c>
      <c r="B14" s="430" t="s">
        <v>211</v>
      </c>
      <c r="C14" s="430" t="s">
        <v>424</v>
      </c>
      <c r="D14" s="434">
        <f>SUMIFS('4-Basis ruimtestaat'!J:J,'4-Basis ruimtestaat'!B:B,A14,'4-Basis ruimtestaat'!I:I,B14)</f>
        <v>110.8</v>
      </c>
      <c r="E14" s="435">
        <f t="shared" si="2"/>
        <v>0</v>
      </c>
      <c r="F14" s="436">
        <f t="shared" si="0"/>
        <v>0</v>
      </c>
      <c r="G14" s="437" t="s">
        <v>183</v>
      </c>
      <c r="H14" s="436">
        <f t="shared" si="1"/>
        <v>0</v>
      </c>
    </row>
    <row r="15" spans="1:26">
      <c r="A15" s="286" t="s">
        <v>362</v>
      </c>
      <c r="B15" s="430" t="s">
        <v>211</v>
      </c>
      <c r="C15" s="430" t="s">
        <v>181</v>
      </c>
      <c r="D15" s="434">
        <f>SUMIFS('4-Basis ruimtestaat'!J:J,'4-Basis ruimtestaat'!B:B,A15,'4-Basis ruimtestaat'!I:I,B15)</f>
        <v>83</v>
      </c>
      <c r="E15" s="435">
        <f t="shared" si="2"/>
        <v>0</v>
      </c>
      <c r="F15" s="436">
        <f t="shared" si="0"/>
        <v>0</v>
      </c>
      <c r="G15" s="437" t="s">
        <v>419</v>
      </c>
      <c r="H15" s="436">
        <f t="shared" si="1"/>
        <v>0</v>
      </c>
    </row>
    <row r="16" spans="1:26">
      <c r="A16" s="286" t="s">
        <v>362</v>
      </c>
      <c r="B16" s="430" t="s">
        <v>211</v>
      </c>
      <c r="C16" s="430" t="s">
        <v>424</v>
      </c>
      <c r="D16" s="434">
        <f>SUMIFS('4-Basis ruimtestaat'!J:J,'4-Basis ruimtestaat'!B:B,A16,'4-Basis ruimtestaat'!I:I,B16)</f>
        <v>83</v>
      </c>
      <c r="E16" s="435">
        <f t="shared" si="2"/>
        <v>0</v>
      </c>
      <c r="F16" s="436">
        <f t="shared" si="0"/>
        <v>0</v>
      </c>
      <c r="G16" s="437" t="s">
        <v>183</v>
      </c>
      <c r="H16" s="436">
        <f t="shared" si="1"/>
        <v>0</v>
      </c>
    </row>
    <row r="17" spans="1:8">
      <c r="A17" s="286" t="s">
        <v>385</v>
      </c>
      <c r="B17" s="430" t="s">
        <v>211</v>
      </c>
      <c r="C17" s="430" t="s">
        <v>181</v>
      </c>
      <c r="D17" s="434">
        <f>SUMIFS('4-Basis ruimtestaat'!J:J,'4-Basis ruimtestaat'!B:B,A17,'4-Basis ruimtestaat'!I:I,B17)</f>
        <v>0</v>
      </c>
      <c r="E17" s="435">
        <f t="shared" si="2"/>
        <v>0</v>
      </c>
      <c r="F17" s="436">
        <f t="shared" si="0"/>
        <v>0</v>
      </c>
      <c r="G17" s="437" t="s">
        <v>419</v>
      </c>
      <c r="H17" s="436">
        <f t="shared" si="1"/>
        <v>0</v>
      </c>
    </row>
    <row r="18" spans="1:8">
      <c r="A18" s="286" t="s">
        <v>385</v>
      </c>
      <c r="B18" s="430" t="s">
        <v>211</v>
      </c>
      <c r="C18" s="430" t="s">
        <v>424</v>
      </c>
      <c r="D18" s="434">
        <f>SUMIFS('4-Basis ruimtestaat'!J:J,'4-Basis ruimtestaat'!B:B,A18,'4-Basis ruimtestaat'!I:I,B18)</f>
        <v>0</v>
      </c>
      <c r="E18" s="435">
        <f t="shared" si="2"/>
        <v>0</v>
      </c>
      <c r="F18" s="436">
        <f t="shared" si="0"/>
        <v>0</v>
      </c>
      <c r="G18" s="437" t="s">
        <v>183</v>
      </c>
      <c r="H18" s="436">
        <f t="shared" si="1"/>
        <v>0</v>
      </c>
    </row>
    <row r="19" spans="1:8">
      <c r="A19" s="286" t="s">
        <v>201</v>
      </c>
      <c r="B19" s="430" t="s">
        <v>211</v>
      </c>
      <c r="C19" s="430" t="s">
        <v>181</v>
      </c>
      <c r="D19" s="434">
        <f>SUMIFS('4-Basis ruimtestaat'!J:J,'4-Basis ruimtestaat'!B:B,A19,'4-Basis ruimtestaat'!I:I,B19)</f>
        <v>1831.9000000000005</v>
      </c>
      <c r="E19" s="435">
        <f t="shared" si="2"/>
        <v>0</v>
      </c>
      <c r="F19" s="436">
        <f t="shared" si="0"/>
        <v>0</v>
      </c>
      <c r="G19" s="437" t="s">
        <v>419</v>
      </c>
      <c r="H19" s="436">
        <f t="shared" si="1"/>
        <v>0</v>
      </c>
    </row>
    <row r="20" spans="1:8">
      <c r="A20" s="286" t="s">
        <v>201</v>
      </c>
      <c r="B20" s="430" t="s">
        <v>211</v>
      </c>
      <c r="C20" s="430" t="s">
        <v>424</v>
      </c>
      <c r="D20" s="434">
        <f>SUMIFS('4-Basis ruimtestaat'!J:J,'4-Basis ruimtestaat'!B:B,A20,'4-Basis ruimtestaat'!I:I,B20)</f>
        <v>1831.9000000000005</v>
      </c>
      <c r="E20" s="435">
        <f t="shared" si="2"/>
        <v>0</v>
      </c>
      <c r="F20" s="436">
        <f t="shared" si="0"/>
        <v>0</v>
      </c>
      <c r="G20" s="437" t="s">
        <v>183</v>
      </c>
      <c r="H20" s="436">
        <f t="shared" si="1"/>
        <v>0</v>
      </c>
    </row>
    <row r="21" spans="1:8">
      <c r="A21" s="286" t="s">
        <v>390</v>
      </c>
      <c r="B21" s="430" t="s">
        <v>211</v>
      </c>
      <c r="C21" s="430" t="s">
        <v>181</v>
      </c>
      <c r="D21" s="434">
        <f>SUMIFS('4-Basis ruimtestaat'!J:J,'4-Basis ruimtestaat'!B:B,A21,'4-Basis ruimtestaat'!I:I,B21)</f>
        <v>0</v>
      </c>
      <c r="E21" s="435">
        <f t="shared" si="2"/>
        <v>0</v>
      </c>
      <c r="F21" s="436">
        <f t="shared" si="0"/>
        <v>0</v>
      </c>
      <c r="G21" s="437" t="s">
        <v>419</v>
      </c>
      <c r="H21" s="436">
        <f t="shared" si="1"/>
        <v>0</v>
      </c>
    </row>
    <row r="22" spans="1:8">
      <c r="A22" s="286" t="s">
        <v>390</v>
      </c>
      <c r="B22" s="430" t="s">
        <v>211</v>
      </c>
      <c r="C22" s="430" t="s">
        <v>424</v>
      </c>
      <c r="D22" s="434">
        <f>SUMIFS('4-Basis ruimtestaat'!J:J,'4-Basis ruimtestaat'!B:B,A22,'4-Basis ruimtestaat'!I:I,B22)</f>
        <v>0</v>
      </c>
      <c r="E22" s="435">
        <f t="shared" si="2"/>
        <v>0</v>
      </c>
      <c r="F22" s="436">
        <f t="shared" si="0"/>
        <v>0</v>
      </c>
      <c r="G22" s="437" t="s">
        <v>183</v>
      </c>
      <c r="H22" s="436">
        <f t="shared" si="1"/>
        <v>0</v>
      </c>
    </row>
    <row r="23" spans="1:8">
      <c r="A23" s="286" t="s">
        <v>397</v>
      </c>
      <c r="B23" s="430" t="s">
        <v>211</v>
      </c>
      <c r="C23" s="430" t="s">
        <v>181</v>
      </c>
      <c r="D23" s="434">
        <f>SUMIFS('4-Basis ruimtestaat'!J:J,'4-Basis ruimtestaat'!B:B,A23,'4-Basis ruimtestaat'!I:I,B23)</f>
        <v>10.8</v>
      </c>
      <c r="E23" s="435">
        <f t="shared" si="2"/>
        <v>0</v>
      </c>
      <c r="F23" s="436">
        <f t="shared" si="0"/>
        <v>0</v>
      </c>
      <c r="G23" s="437" t="s">
        <v>419</v>
      </c>
      <c r="H23" s="436">
        <f t="shared" si="1"/>
        <v>0</v>
      </c>
    </row>
    <row r="24" spans="1:8">
      <c r="A24" s="286" t="s">
        <v>397</v>
      </c>
      <c r="B24" s="430" t="s">
        <v>211</v>
      </c>
      <c r="C24" s="430" t="s">
        <v>424</v>
      </c>
      <c r="D24" s="434">
        <f>SUMIFS('4-Basis ruimtestaat'!J:J,'4-Basis ruimtestaat'!B:B,A24,'4-Basis ruimtestaat'!I:I,B24)</f>
        <v>10.8</v>
      </c>
      <c r="E24" s="435">
        <f t="shared" si="2"/>
        <v>0</v>
      </c>
      <c r="F24" s="436">
        <f t="shared" ref="F24" si="3">(D24*E24)</f>
        <v>0</v>
      </c>
      <c r="G24" s="437" t="s">
        <v>183</v>
      </c>
      <c r="H24" s="436">
        <f t="shared" ref="H24" si="4">G24*F24</f>
        <v>0</v>
      </c>
    </row>
    <row r="25" spans="1:8">
      <c r="B25" s="171"/>
      <c r="C25" s="171"/>
      <c r="D25" s="264"/>
      <c r="E25" s="264"/>
      <c r="F25" s="264"/>
      <c r="G25" s="264"/>
      <c r="H25" s="264"/>
    </row>
    <row r="26" spans="1:8">
      <c r="A26" s="438" t="s">
        <v>23</v>
      </c>
      <c r="B26" s="439"/>
      <c r="C26" s="440"/>
      <c r="D26" s="441">
        <f>SUM(D11:D24)</f>
        <v>4073.0000000000014</v>
      </c>
      <c r="E26" s="442"/>
      <c r="F26" s="443"/>
      <c r="G26" s="444"/>
      <c r="H26" s="445">
        <f>SUM(H11:H24)</f>
        <v>0</v>
      </c>
    </row>
    <row r="28" spans="1:8" ht="15.75">
      <c r="A28" s="473" t="s">
        <v>423</v>
      </c>
    </row>
  </sheetData>
  <autoFilter ref="A10:Z26" xr:uid="{00000000-0009-0000-0000-00000A000000}"/>
  <phoneticPr fontId="73" type="noConversion"/>
  <dataValidations count="1">
    <dataValidation type="list" allowBlank="1" showInputMessage="1" showErrorMessage="1" sqref="C11 C19 C13 C15 C17 C21 C23" xr:uid="{C736CBFC-1565-48E2-8F22-639725E5CCC0}">
      <formula1>$E$3:$E$9</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3"/>
  <sheetViews>
    <sheetView showGridLines="0" zoomScale="85" zoomScaleNormal="85" workbookViewId="0">
      <selection activeCell="G3" sqref="G3"/>
    </sheetView>
  </sheetViews>
  <sheetFormatPr defaultColWidth="9.140625" defaultRowHeight="13.5"/>
  <cols>
    <col min="1" max="2" width="35.7109375" style="169" bestFit="1" customWidth="1"/>
    <col min="3" max="3" width="23.7109375" style="169" customWidth="1"/>
    <col min="4" max="6" width="12.85546875" style="169" customWidth="1"/>
    <col min="7" max="7" width="16.140625" style="169" customWidth="1"/>
    <col min="8" max="8" width="12.85546875" style="169" customWidth="1"/>
    <col min="9" max="9" width="14" style="169" customWidth="1"/>
    <col min="10" max="10" width="12.85546875" style="169" customWidth="1"/>
    <col min="11" max="11" width="15.7109375" style="169" customWidth="1"/>
    <col min="12" max="12" width="14.140625" style="169" customWidth="1"/>
    <col min="13" max="13" width="1.7109375" style="169" customWidth="1"/>
    <col min="14" max="14" width="12.85546875" style="169" customWidth="1"/>
    <col min="15" max="15" width="1.5703125" style="169" customWidth="1"/>
    <col min="16" max="17" width="12.85546875" style="169" customWidth="1"/>
    <col min="18" max="16384" width="9.140625" style="23"/>
  </cols>
  <sheetData>
    <row r="1" spans="1:17">
      <c r="A1" s="456" t="s">
        <v>4</v>
      </c>
    </row>
    <row r="2" spans="1:17">
      <c r="A2" s="94"/>
      <c r="B2" s="175"/>
      <c r="C2" s="175"/>
    </row>
    <row r="3" spans="1:17" ht="15.75">
      <c r="A3" s="39" t="str">
        <f>'2-Kosten per locatie'!A3</f>
        <v>Naam opdrachtgever</v>
      </c>
      <c r="B3" s="150" t="str">
        <f>'2-Kosten per locatie'!B3</f>
        <v>Gemeente Hoorn</v>
      </c>
    </row>
    <row r="4" spans="1:17" ht="15.75">
      <c r="A4" s="39" t="str">
        <f>'2-Kosten per locatie'!A4</f>
        <v>Calculatie onderdeel</v>
      </c>
      <c r="B4" s="47" t="str">
        <f ca="1">MID(CELL("bestandsnaam",$D$9),SEARCH("]",CELL("bestandsnaam",$D$9),1)+1,256)</f>
        <v>11-Machinekosten</v>
      </c>
    </row>
    <row r="5" spans="1:17" ht="15.75">
      <c r="A5" s="39" t="str">
        <f>'2-Kosten per locatie'!A5</f>
        <v>Gebouw/plaats</v>
      </c>
      <c r="B5" s="150" t="str">
        <f>'2-Kosten per locatie'!B5</f>
        <v>Hoorn</v>
      </c>
    </row>
    <row r="6" spans="1:17" ht="15.75">
      <c r="A6" s="39" t="str">
        <f>'2-Kosten per locatie'!A6</f>
        <v>Referentie nummer</v>
      </c>
      <c r="B6" s="150" t="str">
        <f>'2-Kosten per locatie'!B6</f>
        <v>CM00005</v>
      </c>
    </row>
    <row r="7" spans="1:17" ht="15.75">
      <c r="A7" s="39" t="str">
        <f>'2-Kosten per locatie'!A7</f>
        <v>Naam dienstverlener</v>
      </c>
      <c r="B7" s="150">
        <f>'2-Kosten per locatie'!B7</f>
        <v>0</v>
      </c>
    </row>
    <row r="8" spans="1:17" ht="15.75">
      <c r="A8" s="39" t="str">
        <f>'2-Kosten per locatie'!A8</f>
        <v>Prijspeil</v>
      </c>
      <c r="B8" s="265">
        <f>'2-Kosten per locatie'!B8</f>
        <v>46023</v>
      </c>
    </row>
    <row r="9" spans="1:17" ht="15.75">
      <c r="A9" s="176"/>
      <c r="B9" s="176"/>
      <c r="C9" s="177"/>
    </row>
    <row r="10" spans="1:17" s="36" customFormat="1" ht="60">
      <c r="A10" s="201" t="s">
        <v>16</v>
      </c>
      <c r="B10" s="201" t="s">
        <v>185</v>
      </c>
      <c r="C10" s="201" t="s">
        <v>186</v>
      </c>
      <c r="D10" s="201" t="s">
        <v>187</v>
      </c>
      <c r="E10" s="201" t="s">
        <v>188</v>
      </c>
      <c r="F10" s="201" t="s">
        <v>189</v>
      </c>
      <c r="G10" s="201" t="s">
        <v>190</v>
      </c>
      <c r="H10" s="201" t="s">
        <v>191</v>
      </c>
      <c r="I10" s="201" t="s">
        <v>192</v>
      </c>
      <c r="J10" s="201" t="s">
        <v>193</v>
      </c>
      <c r="K10" s="201" t="s">
        <v>194</v>
      </c>
      <c r="L10" s="201" t="s">
        <v>195</v>
      </c>
      <c r="M10" s="202"/>
      <c r="N10" s="201" t="s">
        <v>196</v>
      </c>
      <c r="O10" s="202"/>
      <c r="P10" s="201" t="s">
        <v>197</v>
      </c>
      <c r="Q10" s="201" t="s">
        <v>198</v>
      </c>
    </row>
    <row r="11" spans="1:17">
      <c r="D11" s="266"/>
      <c r="E11" s="267">
        <v>0</v>
      </c>
      <c r="F11" s="268"/>
      <c r="G11" s="266"/>
      <c r="H11" s="266"/>
      <c r="I11" s="269"/>
      <c r="J11" s="267">
        <v>0</v>
      </c>
      <c r="K11" s="267">
        <v>0</v>
      </c>
      <c r="L11" s="267">
        <v>0</v>
      </c>
      <c r="M11" s="269"/>
      <c r="N11" s="270"/>
      <c r="O11" s="269"/>
      <c r="P11" s="268"/>
      <c r="Q11" s="269"/>
    </row>
    <row r="12" spans="1:17">
      <c r="A12" s="184"/>
      <c r="B12" s="184"/>
      <c r="C12" s="185"/>
      <c r="D12" s="271">
        <v>0</v>
      </c>
      <c r="E12" s="272">
        <f>D12*$E$11</f>
        <v>0</v>
      </c>
      <c r="F12" s="273">
        <f>D12-E12</f>
        <v>0</v>
      </c>
      <c r="G12" s="274">
        <v>0</v>
      </c>
      <c r="H12" s="271">
        <v>0</v>
      </c>
      <c r="I12" s="275">
        <f>IF(G12=0,0,(F12-H12)/G12)</f>
        <v>0</v>
      </c>
      <c r="J12" s="276">
        <f>D12*$J$11</f>
        <v>0</v>
      </c>
      <c r="K12" s="275">
        <f>D12*$K$11</f>
        <v>0</v>
      </c>
      <c r="L12" s="277">
        <f>$L$11*D12</f>
        <v>0</v>
      </c>
      <c r="M12" s="269"/>
      <c r="N12" s="278">
        <f>SUM(I12:L12)</f>
        <v>0</v>
      </c>
      <c r="O12" s="269"/>
      <c r="P12" s="274">
        <v>0</v>
      </c>
      <c r="Q12" s="275">
        <f>N12*P12</f>
        <v>0</v>
      </c>
    </row>
    <row r="13" spans="1:17">
      <c r="A13" s="184"/>
      <c r="B13" s="184"/>
      <c r="C13" s="185"/>
      <c r="D13" s="271">
        <v>0</v>
      </c>
      <c r="E13" s="272">
        <f t="shared" ref="E13:E27" si="0">D13*$E$11</f>
        <v>0</v>
      </c>
      <c r="F13" s="273">
        <f>D13-E13</f>
        <v>0</v>
      </c>
      <c r="G13" s="274">
        <v>0</v>
      </c>
      <c r="H13" s="271">
        <v>0</v>
      </c>
      <c r="I13" s="275">
        <f>IF(G13=0,0,(F13-H13)/G13)</f>
        <v>0</v>
      </c>
      <c r="J13" s="276">
        <f>D13*$J$11</f>
        <v>0</v>
      </c>
      <c r="K13" s="275">
        <f>D13*$K$11</f>
        <v>0</v>
      </c>
      <c r="L13" s="277">
        <f>$L$11*D13</f>
        <v>0</v>
      </c>
      <c r="M13" s="269"/>
      <c r="N13" s="278">
        <f>SUM(I13:L13)</f>
        <v>0</v>
      </c>
      <c r="O13" s="269"/>
      <c r="P13" s="274">
        <v>0</v>
      </c>
      <c r="Q13" s="275">
        <f>N13*P13</f>
        <v>0</v>
      </c>
    </row>
    <row r="14" spans="1:17">
      <c r="A14" s="184"/>
      <c r="B14" s="184"/>
      <c r="C14" s="185"/>
      <c r="D14" s="271">
        <v>0</v>
      </c>
      <c r="E14" s="272">
        <f t="shared" si="0"/>
        <v>0</v>
      </c>
      <c r="F14" s="273">
        <f t="shared" ref="F14:F27" si="1">D14-E14</f>
        <v>0</v>
      </c>
      <c r="G14" s="274">
        <v>0</v>
      </c>
      <c r="H14" s="271">
        <v>0</v>
      </c>
      <c r="I14" s="275">
        <f t="shared" ref="I14:I27" si="2">IF(G14=0,0,(F14-H14)/G14)</f>
        <v>0</v>
      </c>
      <c r="J14" s="276">
        <f t="shared" ref="J14:J27" si="3">D14*$J$11</f>
        <v>0</v>
      </c>
      <c r="K14" s="275">
        <f t="shared" ref="K14:K27" si="4">D14*$K$11</f>
        <v>0</v>
      </c>
      <c r="L14" s="277">
        <f t="shared" ref="L14:L27" si="5">$L$11*D14</f>
        <v>0</v>
      </c>
      <c r="M14" s="269"/>
      <c r="N14" s="278">
        <f t="shared" ref="N14:N27" si="6">SUM(I14:L14)</f>
        <v>0</v>
      </c>
      <c r="O14" s="269"/>
      <c r="P14" s="274">
        <v>0</v>
      </c>
      <c r="Q14" s="275">
        <f t="shared" ref="Q14:Q27" si="7">N14*P14</f>
        <v>0</v>
      </c>
    </row>
    <row r="15" spans="1:17">
      <c r="A15" s="184"/>
      <c r="B15" s="184"/>
      <c r="C15" s="185"/>
      <c r="D15" s="271">
        <v>0</v>
      </c>
      <c r="E15" s="272">
        <f t="shared" si="0"/>
        <v>0</v>
      </c>
      <c r="F15" s="273">
        <f t="shared" si="1"/>
        <v>0</v>
      </c>
      <c r="G15" s="274">
        <v>0</v>
      </c>
      <c r="H15" s="271">
        <v>0</v>
      </c>
      <c r="I15" s="275">
        <f t="shared" si="2"/>
        <v>0</v>
      </c>
      <c r="J15" s="276">
        <f t="shared" si="3"/>
        <v>0</v>
      </c>
      <c r="K15" s="275">
        <f t="shared" si="4"/>
        <v>0</v>
      </c>
      <c r="L15" s="277">
        <f t="shared" si="5"/>
        <v>0</v>
      </c>
      <c r="M15" s="269"/>
      <c r="N15" s="278">
        <f t="shared" si="6"/>
        <v>0</v>
      </c>
      <c r="O15" s="269"/>
      <c r="P15" s="274">
        <v>0</v>
      </c>
      <c r="Q15" s="275">
        <f t="shared" si="7"/>
        <v>0</v>
      </c>
    </row>
    <row r="16" spans="1:17">
      <c r="A16" s="184"/>
      <c r="B16" s="184"/>
      <c r="C16" s="185"/>
      <c r="D16" s="271">
        <v>0</v>
      </c>
      <c r="E16" s="272">
        <f t="shared" si="0"/>
        <v>0</v>
      </c>
      <c r="F16" s="273">
        <f t="shared" si="1"/>
        <v>0</v>
      </c>
      <c r="G16" s="274">
        <v>0</v>
      </c>
      <c r="H16" s="271">
        <v>0</v>
      </c>
      <c r="I16" s="275">
        <f t="shared" si="2"/>
        <v>0</v>
      </c>
      <c r="J16" s="276">
        <f t="shared" si="3"/>
        <v>0</v>
      </c>
      <c r="K16" s="275">
        <f t="shared" si="4"/>
        <v>0</v>
      </c>
      <c r="L16" s="277">
        <f t="shared" si="5"/>
        <v>0</v>
      </c>
      <c r="M16" s="269"/>
      <c r="N16" s="278">
        <f t="shared" si="6"/>
        <v>0</v>
      </c>
      <c r="O16" s="269"/>
      <c r="P16" s="274">
        <v>0</v>
      </c>
      <c r="Q16" s="275">
        <f t="shared" si="7"/>
        <v>0</v>
      </c>
    </row>
    <row r="17" spans="1:17">
      <c r="A17" s="184"/>
      <c r="B17" s="184"/>
      <c r="C17" s="185"/>
      <c r="D17" s="271">
        <v>0</v>
      </c>
      <c r="E17" s="272">
        <f t="shared" si="0"/>
        <v>0</v>
      </c>
      <c r="F17" s="273">
        <f t="shared" si="1"/>
        <v>0</v>
      </c>
      <c r="G17" s="274">
        <v>0</v>
      </c>
      <c r="H17" s="271">
        <v>0</v>
      </c>
      <c r="I17" s="275">
        <f t="shared" si="2"/>
        <v>0</v>
      </c>
      <c r="J17" s="276">
        <f t="shared" si="3"/>
        <v>0</v>
      </c>
      <c r="K17" s="275">
        <f t="shared" si="4"/>
        <v>0</v>
      </c>
      <c r="L17" s="277">
        <f t="shared" si="5"/>
        <v>0</v>
      </c>
      <c r="M17" s="269"/>
      <c r="N17" s="278">
        <f t="shared" si="6"/>
        <v>0</v>
      </c>
      <c r="O17" s="269"/>
      <c r="P17" s="274">
        <v>0</v>
      </c>
      <c r="Q17" s="275">
        <f t="shared" si="7"/>
        <v>0</v>
      </c>
    </row>
    <row r="18" spans="1:17">
      <c r="A18" s="184"/>
      <c r="B18" s="184"/>
      <c r="C18" s="185"/>
      <c r="D18" s="271">
        <v>0</v>
      </c>
      <c r="E18" s="272">
        <f t="shared" si="0"/>
        <v>0</v>
      </c>
      <c r="F18" s="273">
        <f t="shared" si="1"/>
        <v>0</v>
      </c>
      <c r="G18" s="274">
        <v>0</v>
      </c>
      <c r="H18" s="271">
        <v>0</v>
      </c>
      <c r="I18" s="275">
        <f t="shared" si="2"/>
        <v>0</v>
      </c>
      <c r="J18" s="276">
        <f t="shared" si="3"/>
        <v>0</v>
      </c>
      <c r="K18" s="275">
        <f t="shared" si="4"/>
        <v>0</v>
      </c>
      <c r="L18" s="277">
        <f t="shared" si="5"/>
        <v>0</v>
      </c>
      <c r="M18" s="269"/>
      <c r="N18" s="278">
        <f t="shared" si="6"/>
        <v>0</v>
      </c>
      <c r="O18" s="269"/>
      <c r="P18" s="274">
        <v>0</v>
      </c>
      <c r="Q18" s="275">
        <f t="shared" si="7"/>
        <v>0</v>
      </c>
    </row>
    <row r="19" spans="1:17">
      <c r="A19" s="184"/>
      <c r="B19" s="184"/>
      <c r="C19" s="185"/>
      <c r="D19" s="271">
        <v>0</v>
      </c>
      <c r="E19" s="272">
        <f t="shared" si="0"/>
        <v>0</v>
      </c>
      <c r="F19" s="273">
        <f t="shared" si="1"/>
        <v>0</v>
      </c>
      <c r="G19" s="274">
        <v>0</v>
      </c>
      <c r="H19" s="271">
        <v>0</v>
      </c>
      <c r="I19" s="275">
        <f t="shared" si="2"/>
        <v>0</v>
      </c>
      <c r="J19" s="276">
        <f t="shared" si="3"/>
        <v>0</v>
      </c>
      <c r="K19" s="275">
        <f t="shared" si="4"/>
        <v>0</v>
      </c>
      <c r="L19" s="277">
        <f t="shared" si="5"/>
        <v>0</v>
      </c>
      <c r="M19" s="269"/>
      <c r="N19" s="278">
        <f t="shared" si="6"/>
        <v>0</v>
      </c>
      <c r="O19" s="269"/>
      <c r="P19" s="274">
        <v>0</v>
      </c>
      <c r="Q19" s="275">
        <f t="shared" si="7"/>
        <v>0</v>
      </c>
    </row>
    <row r="20" spans="1:17">
      <c r="A20" s="184"/>
      <c r="B20" s="184"/>
      <c r="C20" s="185"/>
      <c r="D20" s="271">
        <v>0</v>
      </c>
      <c r="E20" s="272">
        <f t="shared" si="0"/>
        <v>0</v>
      </c>
      <c r="F20" s="273">
        <f t="shared" si="1"/>
        <v>0</v>
      </c>
      <c r="G20" s="274">
        <v>0</v>
      </c>
      <c r="H20" s="271">
        <v>0</v>
      </c>
      <c r="I20" s="275">
        <f t="shared" si="2"/>
        <v>0</v>
      </c>
      <c r="J20" s="276">
        <f t="shared" si="3"/>
        <v>0</v>
      </c>
      <c r="K20" s="275">
        <f t="shared" si="4"/>
        <v>0</v>
      </c>
      <c r="L20" s="277">
        <f t="shared" si="5"/>
        <v>0</v>
      </c>
      <c r="M20" s="269"/>
      <c r="N20" s="278">
        <f t="shared" si="6"/>
        <v>0</v>
      </c>
      <c r="O20" s="269"/>
      <c r="P20" s="274">
        <v>0</v>
      </c>
      <c r="Q20" s="275">
        <f t="shared" si="7"/>
        <v>0</v>
      </c>
    </row>
    <row r="21" spans="1:17">
      <c r="A21" s="184"/>
      <c r="B21" s="184"/>
      <c r="C21" s="185"/>
      <c r="D21" s="271">
        <v>0</v>
      </c>
      <c r="E21" s="272">
        <f t="shared" si="0"/>
        <v>0</v>
      </c>
      <c r="F21" s="273">
        <f t="shared" si="1"/>
        <v>0</v>
      </c>
      <c r="G21" s="274">
        <v>0</v>
      </c>
      <c r="H21" s="271">
        <v>0</v>
      </c>
      <c r="I21" s="275">
        <f t="shared" si="2"/>
        <v>0</v>
      </c>
      <c r="J21" s="276">
        <f t="shared" si="3"/>
        <v>0</v>
      </c>
      <c r="K21" s="275">
        <f t="shared" si="4"/>
        <v>0</v>
      </c>
      <c r="L21" s="277">
        <f t="shared" si="5"/>
        <v>0</v>
      </c>
      <c r="M21" s="269"/>
      <c r="N21" s="278">
        <f t="shared" si="6"/>
        <v>0</v>
      </c>
      <c r="O21" s="269"/>
      <c r="P21" s="274">
        <v>0</v>
      </c>
      <c r="Q21" s="275">
        <f t="shared" si="7"/>
        <v>0</v>
      </c>
    </row>
    <row r="22" spans="1:17">
      <c r="A22" s="184"/>
      <c r="B22" s="184"/>
      <c r="C22" s="185"/>
      <c r="D22" s="271">
        <v>0</v>
      </c>
      <c r="E22" s="272">
        <f t="shared" si="0"/>
        <v>0</v>
      </c>
      <c r="F22" s="273">
        <f t="shared" si="1"/>
        <v>0</v>
      </c>
      <c r="G22" s="274">
        <v>0</v>
      </c>
      <c r="H22" s="271">
        <v>0</v>
      </c>
      <c r="I22" s="275">
        <f t="shared" si="2"/>
        <v>0</v>
      </c>
      <c r="J22" s="276">
        <f t="shared" si="3"/>
        <v>0</v>
      </c>
      <c r="K22" s="275">
        <f t="shared" si="4"/>
        <v>0</v>
      </c>
      <c r="L22" s="277">
        <f t="shared" si="5"/>
        <v>0</v>
      </c>
      <c r="M22" s="269"/>
      <c r="N22" s="278">
        <f t="shared" si="6"/>
        <v>0</v>
      </c>
      <c r="O22" s="269"/>
      <c r="P22" s="274">
        <v>0</v>
      </c>
      <c r="Q22" s="275">
        <f t="shared" si="7"/>
        <v>0</v>
      </c>
    </row>
    <row r="23" spans="1:17">
      <c r="A23" s="184"/>
      <c r="B23" s="184"/>
      <c r="C23" s="185"/>
      <c r="D23" s="271">
        <v>0</v>
      </c>
      <c r="E23" s="272">
        <f t="shared" si="0"/>
        <v>0</v>
      </c>
      <c r="F23" s="273">
        <f t="shared" si="1"/>
        <v>0</v>
      </c>
      <c r="G23" s="274">
        <v>0</v>
      </c>
      <c r="H23" s="271">
        <v>0</v>
      </c>
      <c r="I23" s="275">
        <f t="shared" si="2"/>
        <v>0</v>
      </c>
      <c r="J23" s="276">
        <f t="shared" si="3"/>
        <v>0</v>
      </c>
      <c r="K23" s="275">
        <f t="shared" si="4"/>
        <v>0</v>
      </c>
      <c r="L23" s="277">
        <f t="shared" si="5"/>
        <v>0</v>
      </c>
      <c r="M23" s="269"/>
      <c r="N23" s="278">
        <f t="shared" si="6"/>
        <v>0</v>
      </c>
      <c r="O23" s="269"/>
      <c r="P23" s="274">
        <v>0</v>
      </c>
      <c r="Q23" s="275">
        <f t="shared" si="7"/>
        <v>0</v>
      </c>
    </row>
    <row r="24" spans="1:17">
      <c r="A24" s="184"/>
      <c r="B24" s="184"/>
      <c r="C24" s="185"/>
      <c r="D24" s="271">
        <v>0</v>
      </c>
      <c r="E24" s="272">
        <f t="shared" si="0"/>
        <v>0</v>
      </c>
      <c r="F24" s="273">
        <f t="shared" si="1"/>
        <v>0</v>
      </c>
      <c r="G24" s="274">
        <v>0</v>
      </c>
      <c r="H24" s="271">
        <v>0</v>
      </c>
      <c r="I24" s="275">
        <f t="shared" si="2"/>
        <v>0</v>
      </c>
      <c r="J24" s="276">
        <f t="shared" si="3"/>
        <v>0</v>
      </c>
      <c r="K24" s="275">
        <f t="shared" si="4"/>
        <v>0</v>
      </c>
      <c r="L24" s="277">
        <f t="shared" si="5"/>
        <v>0</v>
      </c>
      <c r="M24" s="269"/>
      <c r="N24" s="278">
        <f t="shared" si="6"/>
        <v>0</v>
      </c>
      <c r="O24" s="269"/>
      <c r="P24" s="274">
        <v>0</v>
      </c>
      <c r="Q24" s="275">
        <f t="shared" si="7"/>
        <v>0</v>
      </c>
    </row>
    <row r="25" spans="1:17">
      <c r="A25" s="184"/>
      <c r="B25" s="184"/>
      <c r="C25" s="185"/>
      <c r="D25" s="271">
        <v>0</v>
      </c>
      <c r="E25" s="272">
        <f t="shared" si="0"/>
        <v>0</v>
      </c>
      <c r="F25" s="273">
        <f t="shared" si="1"/>
        <v>0</v>
      </c>
      <c r="G25" s="274">
        <v>0</v>
      </c>
      <c r="H25" s="271">
        <v>0</v>
      </c>
      <c r="I25" s="275">
        <f t="shared" si="2"/>
        <v>0</v>
      </c>
      <c r="J25" s="276">
        <f t="shared" si="3"/>
        <v>0</v>
      </c>
      <c r="K25" s="275">
        <f t="shared" si="4"/>
        <v>0</v>
      </c>
      <c r="L25" s="277">
        <f t="shared" si="5"/>
        <v>0</v>
      </c>
      <c r="M25" s="269"/>
      <c r="N25" s="278">
        <f t="shared" si="6"/>
        <v>0</v>
      </c>
      <c r="O25" s="269"/>
      <c r="P25" s="274">
        <v>0</v>
      </c>
      <c r="Q25" s="275">
        <f t="shared" si="7"/>
        <v>0</v>
      </c>
    </row>
    <row r="26" spans="1:17">
      <c r="A26" s="184"/>
      <c r="B26" s="184"/>
      <c r="C26" s="185"/>
      <c r="D26" s="271">
        <v>0</v>
      </c>
      <c r="E26" s="272">
        <f t="shared" si="0"/>
        <v>0</v>
      </c>
      <c r="F26" s="273">
        <f t="shared" si="1"/>
        <v>0</v>
      </c>
      <c r="G26" s="274">
        <v>0</v>
      </c>
      <c r="H26" s="271">
        <v>0</v>
      </c>
      <c r="I26" s="275">
        <f t="shared" si="2"/>
        <v>0</v>
      </c>
      <c r="J26" s="276">
        <f t="shared" si="3"/>
        <v>0</v>
      </c>
      <c r="K26" s="275">
        <f t="shared" si="4"/>
        <v>0</v>
      </c>
      <c r="L26" s="277">
        <f t="shared" si="5"/>
        <v>0</v>
      </c>
      <c r="M26" s="269"/>
      <c r="N26" s="278">
        <f t="shared" si="6"/>
        <v>0</v>
      </c>
      <c r="O26" s="269"/>
      <c r="P26" s="274">
        <v>0</v>
      </c>
      <c r="Q26" s="275">
        <f t="shared" si="7"/>
        <v>0</v>
      </c>
    </row>
    <row r="27" spans="1:17">
      <c r="A27" s="184"/>
      <c r="B27" s="184"/>
      <c r="C27" s="185"/>
      <c r="D27" s="271">
        <v>0</v>
      </c>
      <c r="E27" s="272">
        <f t="shared" si="0"/>
        <v>0</v>
      </c>
      <c r="F27" s="273">
        <f t="shared" si="1"/>
        <v>0</v>
      </c>
      <c r="G27" s="274">
        <v>0</v>
      </c>
      <c r="H27" s="271">
        <v>0</v>
      </c>
      <c r="I27" s="275">
        <f t="shared" si="2"/>
        <v>0</v>
      </c>
      <c r="J27" s="276">
        <f t="shared" si="3"/>
        <v>0</v>
      </c>
      <c r="K27" s="275">
        <f t="shared" si="4"/>
        <v>0</v>
      </c>
      <c r="L27" s="277">
        <f t="shared" si="5"/>
        <v>0</v>
      </c>
      <c r="M27" s="269"/>
      <c r="N27" s="278">
        <f t="shared" si="6"/>
        <v>0</v>
      </c>
      <c r="O27" s="269"/>
      <c r="P27" s="274">
        <v>0</v>
      </c>
      <c r="Q27" s="275">
        <f t="shared" si="7"/>
        <v>0</v>
      </c>
    </row>
    <row r="28" spans="1:17">
      <c r="D28" s="269"/>
      <c r="E28" s="269"/>
      <c r="F28" s="269"/>
      <c r="G28" s="269"/>
      <c r="H28" s="269"/>
      <c r="I28" s="269"/>
      <c r="J28" s="269"/>
      <c r="K28" s="269"/>
      <c r="L28" s="269"/>
      <c r="M28" s="269"/>
      <c r="N28" s="269"/>
      <c r="O28" s="269"/>
      <c r="P28" s="269"/>
      <c r="Q28" s="269"/>
    </row>
    <row r="29" spans="1:17">
      <c r="A29" s="178"/>
      <c r="B29" s="178" t="s">
        <v>23</v>
      </c>
      <c r="C29" s="179"/>
      <c r="D29" s="279"/>
      <c r="E29" s="279"/>
      <c r="F29" s="279"/>
      <c r="G29" s="279"/>
      <c r="H29" s="279"/>
      <c r="I29" s="279"/>
      <c r="J29" s="279"/>
      <c r="K29" s="279"/>
      <c r="L29" s="280"/>
      <c r="M29" s="269"/>
      <c r="N29" s="269"/>
      <c r="O29" s="269"/>
      <c r="P29" s="281">
        <f>SUM(P12:P27)</f>
        <v>0</v>
      </c>
      <c r="Q29" s="282">
        <f>SUM(Q12:Q27)</f>
        <v>0</v>
      </c>
    </row>
    <row r="33" spans="18:18">
      <c r="R33" s="3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41"/>
  <sheetViews>
    <sheetView showGridLines="0" showZeros="0" zoomScale="98" zoomScaleNormal="98" workbookViewId="0">
      <pane xSplit="1" ySplit="14" topLeftCell="B15" activePane="bottomRight" state="frozen"/>
      <selection pane="topRight" activeCell="B1" sqref="B1"/>
      <selection pane="bottomLeft" activeCell="A15" sqref="A15"/>
      <selection pane="bottomRight" activeCell="N7" sqref="N7"/>
    </sheetView>
  </sheetViews>
  <sheetFormatPr defaultColWidth="8.7109375" defaultRowHeight="14.1" customHeight="1"/>
  <cols>
    <col min="1" max="1" width="34.7109375" style="41" customWidth="1"/>
    <col min="2" max="2" width="19.28515625" style="41" customWidth="1"/>
    <col min="3" max="3" width="16" style="41" customWidth="1"/>
    <col min="4" max="4" width="13.7109375" style="42" customWidth="1"/>
    <col min="5" max="5" width="14.28515625" style="42" customWidth="1"/>
    <col min="6" max="6" width="14.7109375" style="42" customWidth="1"/>
    <col min="7" max="7" width="13.7109375" style="42" customWidth="1"/>
    <col min="8" max="8" width="15.42578125" style="42" customWidth="1"/>
    <col min="9" max="9" width="15.140625" style="42" customWidth="1"/>
    <col min="10" max="13" width="13.7109375" style="42" customWidth="1"/>
    <col min="14" max="14" width="18.28515625" style="42" customWidth="1"/>
    <col min="15" max="15" width="14.7109375" style="42" customWidth="1"/>
    <col min="16" max="16" width="19.140625" style="42" customWidth="1"/>
    <col min="17" max="17" width="17.28515625" style="42" customWidth="1"/>
    <col min="18" max="18" width="13.7109375" style="42" customWidth="1"/>
    <col min="19" max="19" width="16.5703125" style="42" customWidth="1"/>
    <col min="20" max="24" width="13.7109375" style="42" customWidth="1"/>
    <col min="25" max="29" width="13.28515625" style="42" customWidth="1"/>
    <col min="30" max="30" width="14.7109375" style="42" customWidth="1"/>
    <col min="31" max="34" width="13.28515625" style="42" customWidth="1"/>
    <col min="35" max="16384" width="8.7109375" style="41"/>
  </cols>
  <sheetData>
    <row r="1" spans="1:34" ht="14.1" customHeight="1">
      <c r="A1" s="283" t="s">
        <v>4</v>
      </c>
      <c r="D1" s="214" t="s">
        <v>8</v>
      </c>
      <c r="E1" s="215"/>
      <c r="G1" s="216" t="s">
        <v>5</v>
      </c>
      <c r="H1" s="217"/>
      <c r="I1" s="217"/>
      <c r="J1" s="217"/>
      <c r="K1" s="217"/>
      <c r="L1" s="218"/>
      <c r="M1" s="203" t="e">
        <f>L23</f>
        <v>#DIV/0!</v>
      </c>
    </row>
    <row r="2" spans="1:34" ht="14.1" customHeight="1">
      <c r="D2" s="458">
        <v>0</v>
      </c>
      <c r="E2" s="477" t="s">
        <v>9</v>
      </c>
      <c r="G2" s="44" t="s">
        <v>6</v>
      </c>
      <c r="H2" s="45"/>
      <c r="I2" s="45"/>
      <c r="J2" s="45"/>
      <c r="K2" s="45"/>
      <c r="L2" s="46">
        <v>0.21</v>
      </c>
      <c r="M2" s="205" t="e">
        <f>L2*M1</f>
        <v>#DIV/0!</v>
      </c>
    </row>
    <row r="3" spans="1:34" ht="14.1" customHeight="1">
      <c r="A3" s="39" t="s">
        <v>0</v>
      </c>
      <c r="B3" s="40" t="s">
        <v>314</v>
      </c>
      <c r="C3" s="472"/>
      <c r="D3" s="43"/>
      <c r="E3" s="43"/>
      <c r="F3" s="43"/>
      <c r="G3" s="44" t="s">
        <v>7</v>
      </c>
      <c r="H3" s="45"/>
      <c r="I3" s="45"/>
      <c r="J3" s="45"/>
      <c r="K3" s="45"/>
      <c r="L3" s="45"/>
      <c r="M3" s="206" t="e">
        <f>M1+M2</f>
        <v>#DIV/0!</v>
      </c>
      <c r="AG3" s="43"/>
      <c r="AH3" s="43"/>
    </row>
    <row r="4" spans="1:34" ht="14.1" customHeight="1">
      <c r="A4" s="39" t="s">
        <v>1</v>
      </c>
      <c r="B4" s="40" t="str">
        <f ca="1">MID(CELL("bestandsnaam",$B$13),SEARCH("]",CELL("bestandsnaam",$B$13),1)+1,256)</f>
        <v>2-Kosten per locatie</v>
      </c>
      <c r="C4" s="40"/>
      <c r="D4" s="43"/>
      <c r="G4" s="45"/>
      <c r="H4" s="45"/>
      <c r="I4" s="45"/>
      <c r="J4" s="45"/>
      <c r="K4" s="45"/>
      <c r="L4" s="45"/>
      <c r="M4" s="204"/>
      <c r="AG4" s="43"/>
      <c r="AH4" s="43"/>
    </row>
    <row r="5" spans="1:34" ht="14.1" customHeight="1">
      <c r="A5" s="39" t="s">
        <v>2</v>
      </c>
      <c r="B5" s="40" t="s">
        <v>421</v>
      </c>
      <c r="C5" s="472"/>
      <c r="D5" s="43"/>
      <c r="G5" s="219" t="s">
        <v>10</v>
      </c>
      <c r="H5" s="220"/>
      <c r="I5" s="220"/>
      <c r="J5" s="220"/>
      <c r="K5" s="220"/>
      <c r="L5" s="220"/>
      <c r="M5" s="207">
        <v>175000</v>
      </c>
      <c r="N5" s="42" t="s">
        <v>426</v>
      </c>
      <c r="AG5" s="43"/>
      <c r="AH5" s="43"/>
    </row>
    <row r="6" spans="1:34" ht="14.1" customHeight="1">
      <c r="A6" s="39" t="s">
        <v>3</v>
      </c>
      <c r="B6" s="47" t="s">
        <v>425</v>
      </c>
      <c r="C6" s="39"/>
      <c r="D6" s="43"/>
      <c r="E6" s="43"/>
      <c r="F6" s="43"/>
      <c r="G6" s="219" t="s">
        <v>11</v>
      </c>
      <c r="H6" s="220"/>
      <c r="I6" s="220"/>
      <c r="J6" s="220"/>
      <c r="K6" s="220"/>
      <c r="L6" s="220"/>
      <c r="M6" s="207">
        <v>150000</v>
      </c>
      <c r="N6" s="42" t="s">
        <v>426</v>
      </c>
      <c r="AG6" s="43"/>
      <c r="AH6" s="43"/>
    </row>
    <row r="7" spans="1:34" ht="14.1" customHeight="1">
      <c r="A7" s="39" t="s">
        <v>12</v>
      </c>
      <c r="B7" s="182"/>
      <c r="C7" s="183"/>
      <c r="D7" s="43"/>
      <c r="E7" s="43"/>
      <c r="F7" s="43"/>
      <c r="G7" s="43"/>
      <c r="H7" s="43"/>
      <c r="I7" s="43"/>
      <c r="J7" s="43"/>
      <c r="K7" s="43"/>
      <c r="L7" s="43"/>
      <c r="W7" s="43"/>
      <c r="X7" s="41"/>
      <c r="Y7" s="41"/>
      <c r="Z7" s="41"/>
      <c r="AG7" s="43"/>
      <c r="AH7" s="43"/>
    </row>
    <row r="8" spans="1:34" ht="14.1" customHeight="1">
      <c r="A8" s="39" t="s">
        <v>13</v>
      </c>
      <c r="B8" s="48">
        <v>46023</v>
      </c>
      <c r="C8" s="39"/>
      <c r="D8" s="43"/>
      <c r="E8" s="43"/>
      <c r="F8" s="43"/>
      <c r="G8" s="43"/>
      <c r="H8" s="43"/>
      <c r="I8" s="43"/>
      <c r="J8" s="43"/>
      <c r="K8" s="43"/>
      <c r="L8" s="43"/>
      <c r="M8" s="43"/>
      <c r="N8" s="43"/>
      <c r="O8" s="43"/>
      <c r="P8" s="43"/>
      <c r="Q8" s="43"/>
      <c r="R8" s="43"/>
      <c r="S8" s="43"/>
      <c r="T8" s="43"/>
      <c r="U8" s="43"/>
      <c r="V8" s="43"/>
      <c r="W8" s="43"/>
      <c r="X8" s="43"/>
      <c r="Y8" s="43"/>
      <c r="Z8" s="43"/>
      <c r="AA8" s="43"/>
      <c r="AB8" s="49"/>
      <c r="AC8" s="49"/>
      <c r="AD8" s="49"/>
      <c r="AE8" s="49"/>
      <c r="AF8" s="49"/>
      <c r="AG8" s="43"/>
      <c r="AH8" s="43"/>
    </row>
    <row r="9" spans="1:34" ht="14.1" customHeight="1">
      <c r="A9" s="39" t="s">
        <v>14</v>
      </c>
      <c r="B9" s="50" t="s">
        <v>15</v>
      </c>
      <c r="C9" s="39"/>
      <c r="D9" s="39"/>
      <c r="E9" s="39"/>
      <c r="F9" s="39"/>
      <c r="G9" s="39"/>
      <c r="H9" s="43"/>
      <c r="I9" s="43"/>
      <c r="J9" s="43"/>
      <c r="K9" s="43"/>
      <c r="L9" s="43"/>
      <c r="M9" s="43"/>
      <c r="N9" s="43"/>
      <c r="Q9" s="43"/>
      <c r="R9" s="43"/>
      <c r="W9" s="43"/>
      <c r="X9" s="41"/>
      <c r="Y9" s="41"/>
      <c r="Z9" s="41"/>
      <c r="AA9" s="41"/>
      <c r="AB9" s="41"/>
      <c r="AC9" s="41"/>
      <c r="AD9" s="41"/>
      <c r="AE9" s="41"/>
      <c r="AF9" s="41"/>
      <c r="AG9" s="43"/>
      <c r="AH9" s="43"/>
    </row>
    <row r="10" spans="1:34" ht="14.1" customHeight="1">
      <c r="A10" s="39"/>
      <c r="B10" s="39"/>
      <c r="C10" s="39"/>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row>
    <row r="11" spans="1:34" ht="14.1" customHeight="1">
      <c r="A11" s="39"/>
      <c r="B11" s="39"/>
      <c r="C11" s="39"/>
      <c r="D11" s="43"/>
      <c r="E11" s="43"/>
      <c r="F11" s="43"/>
      <c r="G11" s="43"/>
      <c r="H11" s="43"/>
      <c r="I11" s="43"/>
      <c r="J11" s="43"/>
      <c r="K11" s="51"/>
      <c r="L11" s="43"/>
      <c r="M11" s="43"/>
      <c r="N11" s="43"/>
      <c r="O11" s="43"/>
      <c r="P11" s="43"/>
      <c r="Q11" s="43"/>
      <c r="R11" s="43"/>
      <c r="S11" s="43"/>
      <c r="T11" s="43"/>
      <c r="U11" s="43"/>
      <c r="V11" s="43"/>
      <c r="W11" s="43"/>
      <c r="X11" s="43"/>
      <c r="Y11" s="43"/>
      <c r="Z11" s="43"/>
      <c r="AA11" s="43"/>
      <c r="AB11" s="43"/>
      <c r="AC11" s="43"/>
      <c r="AD11" s="43"/>
      <c r="AE11" s="43"/>
      <c r="AF11" s="43"/>
      <c r="AG11" s="43"/>
      <c r="AH11" s="43"/>
    </row>
    <row r="12" spans="1:34" ht="15">
      <c r="C12" s="48"/>
      <c r="K12" s="52"/>
      <c r="AB12" s="43"/>
      <c r="AC12" s="43"/>
      <c r="AD12" s="43"/>
      <c r="AE12" s="43"/>
      <c r="AF12" s="43"/>
      <c r="AG12" s="43"/>
      <c r="AH12" s="43"/>
    </row>
    <row r="13" spans="1:34" ht="18" customHeight="1">
      <c r="A13" s="53"/>
      <c r="B13" s="53"/>
      <c r="C13" s="53"/>
      <c r="D13" s="53"/>
      <c r="E13" s="53"/>
      <c r="F13" s="53"/>
      <c r="G13" s="53"/>
      <c r="H13" s="53"/>
      <c r="I13" s="53"/>
      <c r="J13" s="53"/>
      <c r="K13" s="53"/>
      <c r="L13" s="53"/>
      <c r="M13" s="53"/>
      <c r="N13" s="53"/>
      <c r="O13" s="53"/>
      <c r="P13" s="53"/>
      <c r="Q13" s="53"/>
      <c r="R13" s="53"/>
      <c r="S13" s="53"/>
      <c r="T13" s="53"/>
      <c r="U13" s="53"/>
      <c r="V13" s="53"/>
      <c r="W13" s="53"/>
      <c r="X13" s="53"/>
      <c r="Y13" s="43"/>
      <c r="Z13" s="43"/>
      <c r="AA13" s="43"/>
      <c r="AB13" s="43"/>
      <c r="AC13" s="43"/>
      <c r="AD13" s="43"/>
      <c r="AE13" s="41"/>
      <c r="AF13" s="41"/>
      <c r="AG13" s="41"/>
      <c r="AH13" s="41"/>
    </row>
    <row r="14" spans="1:34" ht="64.5" customHeight="1">
      <c r="A14" s="284" t="s">
        <v>16</v>
      </c>
      <c r="B14" s="221" t="s">
        <v>17</v>
      </c>
      <c r="C14" s="221" t="s">
        <v>18</v>
      </c>
      <c r="D14" s="222" t="s">
        <v>19</v>
      </c>
      <c r="E14" s="223" t="s">
        <v>20</v>
      </c>
      <c r="F14" s="223" t="s">
        <v>418</v>
      </c>
      <c r="G14" s="223" t="s">
        <v>21</v>
      </c>
      <c r="H14" s="224" t="s">
        <v>411</v>
      </c>
      <c r="I14" s="224" t="s">
        <v>24</v>
      </c>
      <c r="J14" s="224" t="s">
        <v>412</v>
      </c>
      <c r="K14" s="224" t="s">
        <v>25</v>
      </c>
      <c r="L14" s="224" t="s">
        <v>26</v>
      </c>
      <c r="M14" s="224" t="s">
        <v>27</v>
      </c>
      <c r="N14" s="41"/>
      <c r="O14" s="41"/>
      <c r="P14" s="41"/>
      <c r="Q14" s="41"/>
      <c r="R14" s="41"/>
      <c r="S14" s="41"/>
      <c r="T14" s="41"/>
      <c r="U14" s="41"/>
      <c r="V14" s="41"/>
      <c r="W14" s="41"/>
      <c r="X14" s="41"/>
      <c r="Y14" s="41"/>
      <c r="Z14" s="41"/>
      <c r="AA14" s="41"/>
      <c r="AB14" s="41"/>
      <c r="AC14" s="41"/>
      <c r="AD14" s="41"/>
      <c r="AE14" s="41"/>
      <c r="AF14" s="41"/>
      <c r="AG14" s="41"/>
      <c r="AH14" s="41"/>
    </row>
    <row r="15" spans="1:34" s="54" customFormat="1" ht="15" customHeight="1">
      <c r="A15" s="285" t="s">
        <v>312</v>
      </c>
      <c r="B15" s="446">
        <f>SUMIF('4-Basis ruimtestaat'!B:B,'2-Kosten per locatie'!A15,'4-Basis ruimtestaat'!J:J)</f>
        <v>422.7</v>
      </c>
      <c r="C15" s="208">
        <v>1</v>
      </c>
      <c r="D15" s="209">
        <f>_xlfn.MAXIFS('4-Basis ruimtestaat'!K:K,'4-Basis ruimtestaat'!B:B,'2-Kosten per locatie'!A15)</f>
        <v>200</v>
      </c>
      <c r="E15" s="448" t="e">
        <f>SUMIF('4-Basis ruimtestaat'!B:B,'2-Kosten per locatie'!A15,'4-Basis ruimtestaat'!N:N)</f>
        <v>#DIV/0!</v>
      </c>
      <c r="F15" s="448">
        <f>SUMIF('4-Basis ruimtestaat'!B:B,'2-Kosten per locatie'!A15,'4-Basis ruimtestaat'!O:O)</f>
        <v>0</v>
      </c>
      <c r="G15" s="448" t="e">
        <f t="shared" ref="G15:G21" si="0">(E15+F15)*$D$2</f>
        <v>#DIV/0!</v>
      </c>
      <c r="H15" s="475" t="e">
        <f>(E15+F15)*'6-Opbouw uurtarief productie'!$E$46</f>
        <v>#DIV/0!</v>
      </c>
      <c r="I15" s="289" t="e">
        <f>G15*'7-Opbouw uurtarief toezicht'!$E$46</f>
        <v>#DIV/0!</v>
      </c>
      <c r="J15" s="213">
        <f>SUMIF('10-Vloeronderhoud'!A:A,'2-Kosten per locatie'!A15,'10-Vloeronderhoud'!H:H)</f>
        <v>0</v>
      </c>
      <c r="K15" s="289">
        <f>SUMIF('8-Additionele kosten'!A:A,'2-Kosten per locatie'!A15,'8-Additionele kosten'!H:H)</f>
        <v>0</v>
      </c>
      <c r="L15" s="289" t="e">
        <f t="shared" ref="L15:L22" si="1">SUM(H15:K15)</f>
        <v>#DIV/0!</v>
      </c>
      <c r="M15" s="289" t="e">
        <f>L15/12</f>
        <v>#DIV/0!</v>
      </c>
    </row>
    <row r="16" spans="1:34" ht="15" customHeight="1">
      <c r="A16" s="285" t="s">
        <v>336</v>
      </c>
      <c r="B16" s="446">
        <f>SUMIF('4-Basis ruimtestaat'!B:B,'2-Kosten per locatie'!A16,'4-Basis ruimtestaat'!J:J)</f>
        <v>1048.3</v>
      </c>
      <c r="C16" s="208">
        <v>1</v>
      </c>
      <c r="D16" s="209">
        <f>_xlfn.MAXIFS('4-Basis ruimtestaat'!K:K,'4-Basis ruimtestaat'!B:B,'2-Kosten per locatie'!A16)</f>
        <v>200</v>
      </c>
      <c r="E16" s="448" t="e">
        <f>SUMIF('4-Basis ruimtestaat'!B:B,'2-Kosten per locatie'!A16,'4-Basis ruimtestaat'!N:N)</f>
        <v>#DIV/0!</v>
      </c>
      <c r="F16" s="448">
        <f>SUMIF('4-Basis ruimtestaat'!B:B,'2-Kosten per locatie'!A16,'4-Basis ruimtestaat'!O:O)</f>
        <v>0</v>
      </c>
      <c r="G16" s="448" t="e">
        <f t="shared" si="0"/>
        <v>#DIV/0!</v>
      </c>
      <c r="H16" s="475" t="e">
        <f>(E16+F16)*'6-Opbouw uurtarief productie'!$E$46</f>
        <v>#DIV/0!</v>
      </c>
      <c r="I16" s="289" t="e">
        <f>G16*'7-Opbouw uurtarief toezicht'!$E$46</f>
        <v>#DIV/0!</v>
      </c>
      <c r="J16" s="213">
        <f>SUMIF('10-Vloeronderhoud'!A:A,'2-Kosten per locatie'!A16,'10-Vloeronderhoud'!H:H)</f>
        <v>0</v>
      </c>
      <c r="K16" s="289">
        <f>SUMIF('8-Additionele kosten'!A:A,'2-Kosten per locatie'!A16,'8-Additionele kosten'!H:H)</f>
        <v>0</v>
      </c>
      <c r="L16" s="289" t="e">
        <f t="shared" si="1"/>
        <v>#DIV/0!</v>
      </c>
      <c r="M16" s="289" t="e">
        <f t="shared" ref="M16" si="2">L16/12</f>
        <v>#DIV/0!</v>
      </c>
      <c r="N16" s="41"/>
      <c r="O16" s="41"/>
      <c r="P16" s="41"/>
      <c r="Q16" s="41"/>
      <c r="R16" s="41"/>
      <c r="S16" s="41"/>
      <c r="T16" s="41"/>
      <c r="U16" s="41"/>
      <c r="V16" s="41"/>
      <c r="W16" s="41"/>
      <c r="X16" s="41"/>
      <c r="Y16" s="41"/>
      <c r="Z16" s="41"/>
      <c r="AA16" s="41"/>
      <c r="AB16" s="41"/>
      <c r="AC16" s="41"/>
      <c r="AD16" s="41"/>
      <c r="AE16" s="41"/>
      <c r="AF16" s="41"/>
      <c r="AG16" s="41"/>
      <c r="AH16" s="41"/>
    </row>
    <row r="17" spans="1:34" ht="15" customHeight="1">
      <c r="A17" s="286" t="s">
        <v>362</v>
      </c>
      <c r="B17" s="446">
        <f>SUMIF('4-Basis ruimtestaat'!B:B,'2-Kosten per locatie'!A17,'4-Basis ruimtestaat'!J:J)</f>
        <v>1172.4000000000001</v>
      </c>
      <c r="C17" s="208">
        <v>1</v>
      </c>
      <c r="D17" s="209">
        <f>_xlfn.MAXIFS('4-Basis ruimtestaat'!K:K,'4-Basis ruimtestaat'!B:B,'2-Kosten per locatie'!A17)</f>
        <v>400</v>
      </c>
      <c r="E17" s="448" t="e">
        <f>SUMIF('4-Basis ruimtestaat'!B:B,'2-Kosten per locatie'!A17,'4-Basis ruimtestaat'!N:N)</f>
        <v>#DIV/0!</v>
      </c>
      <c r="F17" s="448" t="e">
        <f>SUMIF('4-Basis ruimtestaat'!B:B,'2-Kosten per locatie'!A17,'4-Basis ruimtestaat'!O:O)</f>
        <v>#DIV/0!</v>
      </c>
      <c r="G17" s="448" t="e">
        <f t="shared" si="0"/>
        <v>#DIV/0!</v>
      </c>
      <c r="H17" s="475" t="e">
        <f>(E17+F17)*'6-Opbouw uurtarief productie'!$E$46</f>
        <v>#DIV/0!</v>
      </c>
      <c r="I17" s="289" t="e">
        <f>G17*'7-Opbouw uurtarief toezicht'!$E$46</f>
        <v>#DIV/0!</v>
      </c>
      <c r="J17" s="213">
        <f>SUMIF('10-Vloeronderhoud'!A:A,'2-Kosten per locatie'!A17,'10-Vloeronderhoud'!H:H)</f>
        <v>0</v>
      </c>
      <c r="K17" s="289">
        <f>SUMIF('8-Additionele kosten'!A:A,'2-Kosten per locatie'!A17,'8-Additionele kosten'!H:H)</f>
        <v>0</v>
      </c>
      <c r="L17" s="289" t="e">
        <f t="shared" si="1"/>
        <v>#DIV/0!</v>
      </c>
      <c r="M17" s="289" t="e">
        <f t="shared" ref="M17:M22" si="3">L17/12</f>
        <v>#DIV/0!</v>
      </c>
      <c r="N17" s="41"/>
      <c r="O17" s="41"/>
      <c r="P17" s="41"/>
      <c r="Q17" s="41"/>
      <c r="R17" s="41"/>
      <c r="S17" s="41"/>
      <c r="T17" s="41"/>
      <c r="U17" s="41"/>
      <c r="V17" s="41"/>
      <c r="W17" s="41"/>
      <c r="X17" s="41"/>
      <c r="Y17" s="41"/>
      <c r="Z17" s="41"/>
      <c r="AA17" s="41"/>
      <c r="AB17" s="41"/>
      <c r="AC17" s="41"/>
      <c r="AD17" s="41"/>
      <c r="AE17" s="41"/>
      <c r="AF17" s="41"/>
      <c r="AG17" s="41"/>
      <c r="AH17" s="41"/>
    </row>
    <row r="18" spans="1:34" ht="15" customHeight="1">
      <c r="A18" s="286" t="s">
        <v>385</v>
      </c>
      <c r="B18" s="446">
        <f>SUMIF('4-Basis ruimtestaat'!B:B,'2-Kosten per locatie'!A18,'4-Basis ruimtestaat'!J:J)</f>
        <v>422.9</v>
      </c>
      <c r="C18" s="208">
        <v>1</v>
      </c>
      <c r="D18" s="209">
        <f>_xlfn.MAXIFS('4-Basis ruimtestaat'!K:K,'4-Basis ruimtestaat'!B:B,'2-Kosten per locatie'!A18)</f>
        <v>200</v>
      </c>
      <c r="E18" s="448" t="e">
        <f>SUMIF('4-Basis ruimtestaat'!B:B,'2-Kosten per locatie'!A18,'4-Basis ruimtestaat'!N:N)</f>
        <v>#DIV/0!</v>
      </c>
      <c r="F18" s="448">
        <f>SUMIF('4-Basis ruimtestaat'!B:B,'2-Kosten per locatie'!A18,'4-Basis ruimtestaat'!O:O)</f>
        <v>0</v>
      </c>
      <c r="G18" s="448" t="e">
        <f t="shared" si="0"/>
        <v>#DIV/0!</v>
      </c>
      <c r="H18" s="475" t="e">
        <f>(E18+F18)*'6-Opbouw uurtarief productie'!$E$46</f>
        <v>#DIV/0!</v>
      </c>
      <c r="I18" s="289" t="e">
        <f>G18*'7-Opbouw uurtarief toezicht'!$E$46</f>
        <v>#DIV/0!</v>
      </c>
      <c r="J18" s="213">
        <f>SUMIF('10-Vloeronderhoud'!A:A,'2-Kosten per locatie'!A18,'10-Vloeronderhoud'!H:H)</f>
        <v>0</v>
      </c>
      <c r="K18" s="289">
        <f>SUMIF('8-Additionele kosten'!A:A,'2-Kosten per locatie'!A18,'8-Additionele kosten'!H:H)</f>
        <v>0</v>
      </c>
      <c r="L18" s="289" t="e">
        <f t="shared" si="1"/>
        <v>#DIV/0!</v>
      </c>
      <c r="M18" s="289" t="e">
        <f t="shared" si="3"/>
        <v>#DIV/0!</v>
      </c>
      <c r="N18" s="41"/>
      <c r="O18" s="41"/>
      <c r="P18" s="41"/>
      <c r="Q18" s="41"/>
      <c r="R18" s="41"/>
      <c r="S18" s="41"/>
      <c r="T18" s="41"/>
      <c r="U18" s="41"/>
      <c r="V18" s="41"/>
      <c r="W18" s="41"/>
      <c r="X18" s="41"/>
      <c r="Y18" s="41"/>
      <c r="Z18" s="41"/>
      <c r="AA18" s="41"/>
      <c r="AB18" s="41"/>
      <c r="AC18" s="41"/>
      <c r="AD18" s="41"/>
      <c r="AE18" s="41"/>
      <c r="AF18" s="41"/>
      <c r="AG18" s="41"/>
      <c r="AH18" s="41"/>
    </row>
    <row r="19" spans="1:34" ht="15" customHeight="1">
      <c r="A19" s="286" t="s">
        <v>201</v>
      </c>
      <c r="B19" s="446">
        <f>SUMIF('4-Basis ruimtestaat'!B:B,'2-Kosten per locatie'!A19,'4-Basis ruimtestaat'!J:J)</f>
        <v>2093.900000000001</v>
      </c>
      <c r="C19" s="208">
        <v>1</v>
      </c>
      <c r="D19" s="209">
        <f>_xlfn.MAXIFS('4-Basis ruimtestaat'!K:K,'4-Basis ruimtestaat'!B:B,'2-Kosten per locatie'!A19)</f>
        <v>200</v>
      </c>
      <c r="E19" s="448" t="e">
        <f>SUMIF('4-Basis ruimtestaat'!B:B,'2-Kosten per locatie'!A19,'4-Basis ruimtestaat'!N:N)</f>
        <v>#DIV/0!</v>
      </c>
      <c r="F19" s="448">
        <f>SUMIF('4-Basis ruimtestaat'!B:B,'2-Kosten per locatie'!A19,'4-Basis ruimtestaat'!O:O)</f>
        <v>0</v>
      </c>
      <c r="G19" s="448" t="e">
        <f t="shared" si="0"/>
        <v>#DIV/0!</v>
      </c>
      <c r="H19" s="475" t="e">
        <f>(E19+F19)*'6-Opbouw uurtarief productie'!$E$46</f>
        <v>#DIV/0!</v>
      </c>
      <c r="I19" s="289" t="e">
        <f>G19*'7-Opbouw uurtarief toezicht'!$E$46</f>
        <v>#DIV/0!</v>
      </c>
      <c r="J19" s="213">
        <f>SUMIF('10-Vloeronderhoud'!A:A,'2-Kosten per locatie'!A19,'10-Vloeronderhoud'!H:H)</f>
        <v>0</v>
      </c>
      <c r="K19" s="289">
        <f>SUMIF('8-Additionele kosten'!A:A,'2-Kosten per locatie'!A19,'8-Additionele kosten'!H:H)</f>
        <v>0</v>
      </c>
      <c r="L19" s="289" t="e">
        <f t="shared" si="1"/>
        <v>#DIV/0!</v>
      </c>
      <c r="M19" s="289" t="e">
        <f t="shared" si="3"/>
        <v>#DIV/0!</v>
      </c>
      <c r="N19" s="41"/>
      <c r="O19" s="41"/>
      <c r="P19" s="41"/>
      <c r="Q19" s="41"/>
      <c r="R19" s="41"/>
      <c r="S19" s="41"/>
      <c r="T19" s="41"/>
      <c r="U19" s="41"/>
      <c r="V19" s="41"/>
      <c r="W19" s="41"/>
      <c r="X19" s="41"/>
      <c r="Y19" s="41"/>
      <c r="Z19" s="41"/>
      <c r="AA19" s="41"/>
      <c r="AB19" s="41"/>
      <c r="AC19" s="41"/>
      <c r="AD19" s="41"/>
      <c r="AE19" s="41"/>
      <c r="AF19" s="41"/>
      <c r="AG19" s="41"/>
      <c r="AH19" s="41"/>
    </row>
    <row r="20" spans="1:34" ht="15" customHeight="1">
      <c r="A20" s="286" t="s">
        <v>390</v>
      </c>
      <c r="B20" s="446">
        <f>SUMIF('4-Basis ruimtestaat'!B:B,'2-Kosten per locatie'!A20,'4-Basis ruimtestaat'!J:J)</f>
        <v>435.5</v>
      </c>
      <c r="C20" s="208">
        <v>1</v>
      </c>
      <c r="D20" s="209">
        <f>_xlfn.MAXIFS('4-Basis ruimtestaat'!K:K,'4-Basis ruimtestaat'!B:B,'2-Kosten per locatie'!A20)</f>
        <v>200</v>
      </c>
      <c r="E20" s="448" t="e">
        <f>SUMIF('4-Basis ruimtestaat'!B:B,'2-Kosten per locatie'!A20,'4-Basis ruimtestaat'!N:N)</f>
        <v>#DIV/0!</v>
      </c>
      <c r="F20" s="448">
        <f>SUMIF('4-Basis ruimtestaat'!B:B,'2-Kosten per locatie'!A20,'4-Basis ruimtestaat'!O:O)</f>
        <v>0</v>
      </c>
      <c r="G20" s="448" t="e">
        <f t="shared" si="0"/>
        <v>#DIV/0!</v>
      </c>
      <c r="H20" s="475" t="e">
        <f>(E20+F20)*'6-Opbouw uurtarief productie'!$E$46</f>
        <v>#DIV/0!</v>
      </c>
      <c r="I20" s="289" t="e">
        <f>G20*'7-Opbouw uurtarief toezicht'!$E$46</f>
        <v>#DIV/0!</v>
      </c>
      <c r="J20" s="213">
        <f>SUMIF('10-Vloeronderhoud'!A:A,'2-Kosten per locatie'!A20,'10-Vloeronderhoud'!H:H)</f>
        <v>0</v>
      </c>
      <c r="K20" s="289">
        <f>SUMIF('8-Additionele kosten'!A:A,'2-Kosten per locatie'!A20,'8-Additionele kosten'!H:H)</f>
        <v>0</v>
      </c>
      <c r="L20" s="289" t="e">
        <f t="shared" si="1"/>
        <v>#DIV/0!</v>
      </c>
      <c r="M20" s="289" t="e">
        <f t="shared" si="3"/>
        <v>#DIV/0!</v>
      </c>
      <c r="N20" s="41"/>
      <c r="O20" s="41"/>
      <c r="P20" s="41"/>
      <c r="Q20" s="41"/>
      <c r="R20" s="41"/>
      <c r="S20" s="41"/>
      <c r="T20" s="41"/>
      <c r="U20" s="41"/>
      <c r="V20" s="41"/>
      <c r="W20" s="41"/>
      <c r="X20" s="41"/>
      <c r="Y20" s="41"/>
      <c r="Z20" s="41"/>
      <c r="AA20" s="41"/>
      <c r="AB20" s="41"/>
      <c r="AC20" s="41"/>
      <c r="AD20" s="41"/>
      <c r="AE20" s="41"/>
      <c r="AF20" s="41"/>
      <c r="AG20" s="41"/>
      <c r="AH20" s="41"/>
    </row>
    <row r="21" spans="1:34" ht="15" customHeight="1">
      <c r="A21" s="286" t="s">
        <v>397</v>
      </c>
      <c r="B21" s="446">
        <f>SUMIF('4-Basis ruimtestaat'!B:B,'2-Kosten per locatie'!A21,'4-Basis ruimtestaat'!J:J)</f>
        <v>505.30000000000007</v>
      </c>
      <c r="C21" s="208">
        <v>1</v>
      </c>
      <c r="D21" s="209">
        <f>_xlfn.MAXIFS('4-Basis ruimtestaat'!K:K,'4-Basis ruimtestaat'!B:B,'2-Kosten per locatie'!A21)</f>
        <v>200</v>
      </c>
      <c r="E21" s="448" t="e">
        <f>SUMIF('4-Basis ruimtestaat'!B:B,'2-Kosten per locatie'!A21,'4-Basis ruimtestaat'!N:N)</f>
        <v>#DIV/0!</v>
      </c>
      <c r="F21" s="448">
        <f>SUMIF('4-Basis ruimtestaat'!B:B,'2-Kosten per locatie'!A21,'4-Basis ruimtestaat'!O:O)</f>
        <v>0</v>
      </c>
      <c r="G21" s="448" t="e">
        <f t="shared" si="0"/>
        <v>#DIV/0!</v>
      </c>
      <c r="H21" s="475" t="e">
        <f>(E21+F21)*'6-Opbouw uurtarief productie'!$E$46</f>
        <v>#DIV/0!</v>
      </c>
      <c r="I21" s="289" t="e">
        <f>G21*'7-Opbouw uurtarief toezicht'!$E$46</f>
        <v>#DIV/0!</v>
      </c>
      <c r="J21" s="213">
        <f>SUMIF('10-Vloeronderhoud'!A:A,'2-Kosten per locatie'!A21,'10-Vloeronderhoud'!H:H)</f>
        <v>0</v>
      </c>
      <c r="K21" s="289">
        <f>SUMIF('8-Additionele kosten'!A:A,'2-Kosten per locatie'!A21,'8-Additionele kosten'!H:H)</f>
        <v>0</v>
      </c>
      <c r="L21" s="289" t="e">
        <f t="shared" si="1"/>
        <v>#DIV/0!</v>
      </c>
      <c r="M21" s="289" t="e">
        <f t="shared" si="3"/>
        <v>#DIV/0!</v>
      </c>
      <c r="N21" s="41"/>
      <c r="O21" s="41"/>
      <c r="P21" s="41"/>
      <c r="Q21" s="41"/>
      <c r="R21" s="41"/>
      <c r="S21" s="41"/>
      <c r="T21" s="41"/>
      <c r="U21" s="41"/>
      <c r="V21" s="41"/>
      <c r="W21" s="41"/>
      <c r="X21" s="41"/>
      <c r="Y21" s="41"/>
      <c r="Z21" s="41"/>
      <c r="AA21" s="41"/>
      <c r="AB21" s="41"/>
      <c r="AC21" s="41"/>
      <c r="AD21" s="41"/>
      <c r="AE21" s="41"/>
      <c r="AF21" s="41"/>
      <c r="AG21" s="41"/>
      <c r="AH21" s="41"/>
    </row>
    <row r="22" spans="1:34" ht="15" customHeight="1">
      <c r="A22" s="287" t="s">
        <v>22</v>
      </c>
      <c r="B22" s="446">
        <f>SUMIF('4-Basis ruimtestaat'!B:B,'2-Kosten per locatie'!A22,'4-Basis ruimtestaat'!J:J)</f>
        <v>0</v>
      </c>
      <c r="C22" s="208">
        <v>1</v>
      </c>
      <c r="D22" s="209">
        <f>_xlfn.MAXIFS('4-Basis ruimtestaat'!L:L,'4-Basis ruimtestaat'!B:B,'2-Kosten per locatie'!A22)</f>
        <v>0</v>
      </c>
      <c r="E22" s="448">
        <f>SUMIF('4-Basis ruimtestaat'!B:B,'2-Kosten per locatie'!A22,'4-Basis ruimtestaat'!N:N)</f>
        <v>0</v>
      </c>
      <c r="F22" s="448"/>
      <c r="G22" s="448">
        <f>E22*$D$2</f>
        <v>0</v>
      </c>
      <c r="H22" s="475"/>
      <c r="I22" s="289"/>
      <c r="J22" s="213">
        <f>SUMIF('10-Vloeronderhoud'!A:A,'2-Kosten per locatie'!A39,'10-Vloeronderhoud'!H:H)</f>
        <v>0</v>
      </c>
      <c r="K22" s="289">
        <f>SUMIF('8-Additionele kosten'!A:A,'2-Kosten per locatie'!A22,'8-Additionele kosten'!H:H)</f>
        <v>0</v>
      </c>
      <c r="L22" s="289">
        <f t="shared" si="1"/>
        <v>0</v>
      </c>
      <c r="M22" s="289">
        <f t="shared" si="3"/>
        <v>0</v>
      </c>
      <c r="N22" s="41"/>
      <c r="O22" s="41"/>
      <c r="P22" s="41"/>
      <c r="Q22" s="41"/>
      <c r="R22" s="41"/>
      <c r="S22" s="41"/>
      <c r="T22" s="41"/>
      <c r="U22" s="41"/>
      <c r="V22" s="41"/>
      <c r="W22" s="41"/>
      <c r="X22" s="41"/>
      <c r="Y22" s="41"/>
      <c r="Z22" s="41"/>
      <c r="AA22" s="41"/>
      <c r="AB22" s="41"/>
      <c r="AC22" s="41"/>
      <c r="AD22" s="41"/>
      <c r="AE22" s="41"/>
      <c r="AF22" s="41"/>
      <c r="AG22" s="41"/>
      <c r="AH22" s="41"/>
    </row>
    <row r="23" spans="1:34" s="55" customFormat="1" ht="15" customHeight="1">
      <c r="A23" s="288" t="s">
        <v>23</v>
      </c>
      <c r="B23" s="447">
        <f>SUM(B15:B22)</f>
        <v>6101.0000000000009</v>
      </c>
      <c r="C23" s="210"/>
      <c r="D23" s="211"/>
      <c r="E23" s="449" t="e">
        <f t="shared" ref="E23:M23" si="4">SUM(E15:E22)</f>
        <v>#DIV/0!</v>
      </c>
      <c r="F23" s="449"/>
      <c r="G23" s="449" t="e">
        <f t="shared" si="4"/>
        <v>#DIV/0!</v>
      </c>
      <c r="H23" s="290" t="e">
        <f t="shared" si="4"/>
        <v>#DIV/0!</v>
      </c>
      <c r="I23" s="290" t="e">
        <f t="shared" si="4"/>
        <v>#DIV/0!</v>
      </c>
      <c r="J23" s="290">
        <f t="shared" si="4"/>
        <v>0</v>
      </c>
      <c r="K23" s="290">
        <f t="shared" si="4"/>
        <v>0</v>
      </c>
      <c r="L23" s="290" t="e">
        <f t="shared" si="4"/>
        <v>#DIV/0!</v>
      </c>
      <c r="M23" s="290" t="e">
        <f t="shared" si="4"/>
        <v>#DIV/0!</v>
      </c>
    </row>
    <row r="24" spans="1:34" s="54" customFormat="1" ht="14.1" customHeight="1">
      <c r="AE24" s="41"/>
    </row>
    <row r="25" spans="1:34" ht="83.45" customHeight="1">
      <c r="A25" s="54"/>
      <c r="W25" s="54"/>
      <c r="X25" s="41"/>
      <c r="Y25" s="41"/>
      <c r="Z25" s="41"/>
      <c r="AA25" s="41"/>
      <c r="AB25" s="41"/>
      <c r="AC25" s="41"/>
      <c r="AD25" s="41"/>
      <c r="AE25" s="41"/>
      <c r="AF25" s="41"/>
      <c r="AG25" s="41"/>
      <c r="AH25" s="41"/>
    </row>
    <row r="26" spans="1:34" s="54" customFormat="1" ht="15" customHeight="1">
      <c r="K26" s="42"/>
      <c r="L26" s="42"/>
      <c r="M26" s="42"/>
      <c r="N26" s="42"/>
      <c r="O26" s="42"/>
    </row>
    <row r="27" spans="1:34" ht="15" customHeight="1">
      <c r="A27" s="54"/>
      <c r="W27" s="54"/>
      <c r="X27" s="41"/>
      <c r="Y27" s="41"/>
      <c r="Z27" s="41"/>
      <c r="AA27" s="41"/>
      <c r="AB27" s="41"/>
      <c r="AC27" s="41"/>
      <c r="AD27" s="41"/>
      <c r="AE27" s="41"/>
      <c r="AF27" s="41"/>
      <c r="AG27" s="41"/>
      <c r="AH27" s="41"/>
    </row>
    <row r="28" spans="1:34" ht="15" customHeight="1">
      <c r="A28" s="54"/>
      <c r="W28" s="54"/>
      <c r="X28" s="41"/>
      <c r="Y28" s="41"/>
      <c r="Z28" s="41"/>
      <c r="AA28" s="41"/>
      <c r="AB28" s="41"/>
      <c r="AC28" s="41"/>
      <c r="AD28" s="41"/>
      <c r="AE28" s="41"/>
      <c r="AF28" s="41"/>
      <c r="AG28" s="41"/>
      <c r="AH28" s="41"/>
    </row>
    <row r="29" spans="1:34" ht="15" customHeight="1">
      <c r="A29" s="54"/>
      <c r="W29" s="54"/>
      <c r="X29" s="41"/>
      <c r="Y29" s="41"/>
      <c r="Z29" s="41"/>
      <c r="AA29" s="41"/>
      <c r="AB29" s="41"/>
      <c r="AC29" s="41"/>
      <c r="AD29" s="41"/>
      <c r="AE29" s="41"/>
      <c r="AF29" s="41"/>
      <c r="AG29" s="41"/>
      <c r="AH29" s="41"/>
    </row>
    <row r="30" spans="1:34" ht="15" customHeight="1">
      <c r="A30" s="54"/>
      <c r="W30" s="54"/>
      <c r="X30" s="41"/>
      <c r="Y30" s="41"/>
      <c r="Z30" s="41"/>
      <c r="AA30" s="41"/>
      <c r="AB30" s="41"/>
      <c r="AC30" s="41"/>
      <c r="AD30" s="41"/>
      <c r="AE30" s="41"/>
      <c r="AF30" s="41"/>
      <c r="AG30" s="41"/>
      <c r="AH30" s="41"/>
    </row>
    <row r="31" spans="1:34" ht="15" customHeight="1">
      <c r="A31" s="54"/>
      <c r="W31" s="54"/>
      <c r="X31" s="41"/>
      <c r="Y31" s="41"/>
      <c r="Z31" s="41"/>
      <c r="AA31" s="41"/>
      <c r="AB31" s="41"/>
      <c r="AC31" s="41"/>
      <c r="AD31" s="41"/>
      <c r="AE31" s="41"/>
      <c r="AF31" s="41"/>
      <c r="AG31" s="41"/>
      <c r="AH31" s="41"/>
    </row>
    <row r="32" spans="1:34" ht="15" customHeight="1">
      <c r="A32" s="54"/>
      <c r="W32" s="54"/>
      <c r="X32" s="41"/>
      <c r="Y32" s="41"/>
      <c r="Z32" s="41"/>
      <c r="AA32" s="41"/>
      <c r="AB32" s="41"/>
      <c r="AC32" s="41"/>
      <c r="AD32" s="41"/>
      <c r="AE32" s="41"/>
      <c r="AF32" s="41"/>
      <c r="AG32" s="41"/>
      <c r="AH32" s="41"/>
    </row>
    <row r="33" spans="1:34" ht="15" customHeight="1">
      <c r="A33" s="54"/>
      <c r="S33" s="54"/>
      <c r="T33" s="54"/>
      <c r="U33" s="54"/>
      <c r="V33" s="54"/>
      <c r="W33" s="54"/>
      <c r="X33" s="41"/>
      <c r="Y33" s="41"/>
      <c r="Z33" s="41"/>
      <c r="AA33" s="41"/>
      <c r="AB33" s="41"/>
      <c r="AC33" s="41"/>
      <c r="AD33" s="41"/>
      <c r="AE33" s="41"/>
      <c r="AF33" s="41"/>
      <c r="AG33" s="41"/>
      <c r="AH33" s="41"/>
    </row>
    <row r="34" spans="1:34" ht="15" customHeight="1">
      <c r="A34" s="54"/>
      <c r="S34" s="54"/>
      <c r="T34" s="54"/>
      <c r="U34" s="54"/>
      <c r="V34" s="54"/>
      <c r="W34" s="54"/>
      <c r="X34" s="41"/>
      <c r="Y34" s="41"/>
      <c r="Z34" s="41"/>
      <c r="AA34" s="41"/>
      <c r="AB34" s="41"/>
      <c r="AC34" s="41"/>
      <c r="AD34" s="41"/>
      <c r="AE34" s="41"/>
      <c r="AF34" s="41"/>
      <c r="AG34" s="41"/>
      <c r="AH34" s="41"/>
    </row>
    <row r="35" spans="1:34" ht="15" customHeight="1">
      <c r="A35" s="54"/>
      <c r="S35" s="54"/>
      <c r="T35" s="54"/>
      <c r="U35" s="54"/>
      <c r="V35" s="54"/>
      <c r="W35" s="54"/>
      <c r="X35" s="41"/>
      <c r="Y35" s="41"/>
      <c r="Z35" s="41"/>
      <c r="AA35" s="41"/>
      <c r="AB35" s="41"/>
      <c r="AC35" s="41"/>
      <c r="AD35" s="41"/>
      <c r="AE35" s="41"/>
      <c r="AF35" s="41"/>
      <c r="AG35" s="41"/>
      <c r="AH35" s="41"/>
    </row>
    <row r="36" spans="1:34" ht="15" customHeight="1">
      <c r="A36" s="54"/>
      <c r="S36" s="54"/>
      <c r="T36" s="54"/>
      <c r="U36" s="54"/>
      <c r="V36" s="54"/>
      <c r="W36" s="54"/>
      <c r="X36" s="41"/>
      <c r="Y36" s="41"/>
      <c r="Z36" s="41"/>
      <c r="AA36" s="41"/>
      <c r="AB36" s="41"/>
      <c r="AC36" s="41"/>
      <c r="AD36" s="41"/>
      <c r="AE36" s="41"/>
      <c r="AF36" s="41"/>
      <c r="AG36" s="41"/>
      <c r="AH36" s="41"/>
    </row>
    <row r="37" spans="1:34" ht="15" customHeight="1">
      <c r="A37" s="54"/>
      <c r="S37" s="54"/>
      <c r="T37" s="54"/>
      <c r="U37" s="54"/>
      <c r="V37" s="54"/>
      <c r="W37" s="54"/>
      <c r="X37" s="41"/>
      <c r="Y37" s="41"/>
      <c r="Z37" s="41"/>
      <c r="AA37" s="41"/>
      <c r="AB37" s="41"/>
      <c r="AC37" s="41"/>
      <c r="AD37" s="41"/>
      <c r="AE37" s="41"/>
      <c r="AF37" s="41"/>
      <c r="AG37" s="41"/>
      <c r="AH37" s="41"/>
    </row>
    <row r="38" spans="1:34" ht="15" customHeight="1">
      <c r="A38" s="54"/>
      <c r="S38" s="54"/>
      <c r="T38" s="54"/>
      <c r="U38" s="54"/>
      <c r="V38" s="54"/>
      <c r="W38" s="54"/>
      <c r="X38" s="41"/>
      <c r="Y38" s="41"/>
      <c r="Z38" s="41"/>
      <c r="AA38" s="41"/>
      <c r="AB38" s="41"/>
      <c r="AC38" s="41"/>
      <c r="AD38" s="41"/>
      <c r="AE38" s="41"/>
      <c r="AF38" s="41"/>
      <c r="AG38" s="41"/>
      <c r="AH38" s="41"/>
    </row>
    <row r="39" spans="1:34" ht="15" customHeight="1">
      <c r="A39" s="54"/>
      <c r="S39" s="54"/>
      <c r="T39" s="54"/>
      <c r="U39" s="54"/>
      <c r="V39" s="54"/>
      <c r="W39" s="54"/>
      <c r="X39" s="41"/>
      <c r="Y39" s="41"/>
      <c r="Z39" s="41"/>
      <c r="AA39" s="41"/>
      <c r="AB39" s="41"/>
      <c r="AC39" s="41"/>
      <c r="AD39" s="41"/>
      <c r="AE39" s="41"/>
      <c r="AF39" s="41"/>
      <c r="AG39" s="41"/>
      <c r="AH39" s="41"/>
    </row>
    <row r="40" spans="1:34" s="55" customFormat="1" ht="15" customHeight="1">
      <c r="A40" s="54"/>
      <c r="S40" s="54"/>
      <c r="T40" s="54"/>
      <c r="U40" s="54"/>
      <c r="V40" s="54"/>
      <c r="W40" s="54"/>
    </row>
    <row r="41" spans="1:34" ht="14.1" customHeight="1">
      <c r="A41" s="54"/>
      <c r="AD41" s="54"/>
      <c r="AE41" s="54"/>
      <c r="AF41" s="54"/>
      <c r="AG41" s="54"/>
      <c r="AH41" s="54"/>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34"/>
  <sheetViews>
    <sheetView showGridLines="0" tabSelected="1" zoomScale="85" zoomScaleNormal="85" workbookViewId="0">
      <pane ySplit="9" topLeftCell="A21" activePane="bottomLeft" state="frozen"/>
      <selection activeCell="B1" sqref="B1"/>
      <selection pane="bottomLeft" activeCell="G42" sqref="G42"/>
    </sheetView>
  </sheetViews>
  <sheetFormatPr defaultColWidth="9.140625" defaultRowHeight="13.5"/>
  <cols>
    <col min="1" max="1" width="29.7109375" style="56" customWidth="1"/>
    <col min="2" max="2" width="9.140625" style="56" customWidth="1"/>
    <col min="3" max="4" width="9.140625" style="56"/>
    <col min="5" max="5" width="3.42578125" style="56" customWidth="1"/>
    <col min="6" max="6" width="10.5703125" style="56" customWidth="1"/>
    <col min="7" max="7" width="10.140625" style="56" customWidth="1"/>
    <col min="8" max="8" width="9.140625" style="56"/>
    <col min="9" max="9" width="12.5703125" style="56" customWidth="1"/>
    <col min="10" max="10" width="9.140625" style="57"/>
    <col min="11" max="11" width="3" style="56" customWidth="1"/>
    <col min="12" max="12" width="9.140625" style="57"/>
    <col min="13" max="13" width="9.140625" style="2"/>
    <col min="14" max="14" width="30.42578125" style="2" customWidth="1"/>
    <col min="15" max="16384" width="9.140625" style="2"/>
  </cols>
  <sheetData>
    <row r="1" spans="1:12">
      <c r="A1" s="455" t="s">
        <v>4</v>
      </c>
    </row>
    <row r="3" spans="1:12" ht="15.75">
      <c r="A3" s="39" t="str">
        <f>'2-Kosten per locatie'!A3</f>
        <v>Naam opdrachtgever</v>
      </c>
      <c r="B3" s="47" t="str">
        <f>'2-Kosten per locatie'!B3</f>
        <v>Gemeente Hoorn</v>
      </c>
      <c r="C3" s="58"/>
    </row>
    <row r="4" spans="1:12" ht="15.75">
      <c r="A4" s="39" t="str">
        <f>'2-Kosten per locatie'!A4</f>
        <v>Calculatie onderdeel</v>
      </c>
      <c r="B4" s="47" t="str">
        <f ca="1">MID(CELL("bestandsnaam",$B$7),SEARCH("]",CELL("bestandsnaam",$B$7),1)+1,256)</f>
        <v>3-Productie normen</v>
      </c>
      <c r="C4" s="47"/>
    </row>
    <row r="5" spans="1:12" ht="15.75">
      <c r="A5" s="39" t="str">
        <f>'2-Kosten per locatie'!A5</f>
        <v>Gebouw/plaats</v>
      </c>
      <c r="B5" s="47" t="str">
        <f>'2-Kosten per locatie'!B5</f>
        <v>Hoorn</v>
      </c>
      <c r="C5" s="47"/>
    </row>
    <row r="6" spans="1:12" ht="17.45" customHeight="1">
      <c r="A6" s="39" t="str">
        <f>'2-Kosten per locatie'!A6</f>
        <v>Referentie nummer</v>
      </c>
      <c r="B6" s="47" t="str">
        <f>'2-Kosten per locatie'!B6</f>
        <v>CM00005</v>
      </c>
      <c r="C6" s="47"/>
      <c r="E6" s="291" t="s">
        <v>28</v>
      </c>
      <c r="F6" s="321"/>
      <c r="G6" s="321"/>
      <c r="H6" s="474" t="e">
        <f>SUM('4-Basis ruimtestaat'!U:U)/SUM('4-Basis ruimtestaat'!N:N)</f>
        <v>#DIV/0!</v>
      </c>
      <c r="I6" s="292" t="s">
        <v>29</v>
      </c>
    </row>
    <row r="7" spans="1:12">
      <c r="A7" s="59"/>
      <c r="B7" s="60"/>
      <c r="C7" s="60"/>
      <c r="D7" s="61"/>
      <c r="E7" s="62"/>
      <c r="F7" s="63"/>
      <c r="G7" s="468"/>
      <c r="H7" s="64"/>
      <c r="I7" s="65"/>
      <c r="K7" s="65"/>
      <c r="L7" s="66"/>
    </row>
    <row r="8" spans="1:12" ht="27.75" customHeight="1">
      <c r="A8" s="293" t="s">
        <v>30</v>
      </c>
      <c r="B8" s="294">
        <v>20</v>
      </c>
      <c r="C8" s="294">
        <v>40</v>
      </c>
      <c r="D8" s="294">
        <v>200</v>
      </c>
      <c r="E8" s="62"/>
      <c r="F8" s="187"/>
      <c r="G8" s="469">
        <v>0</v>
      </c>
      <c r="H8" s="187"/>
      <c r="I8" s="187"/>
      <c r="J8" s="187"/>
      <c r="K8" s="2"/>
      <c r="L8" s="2"/>
    </row>
    <row r="9" spans="1:12" ht="60.6" customHeight="1">
      <c r="A9" s="295" t="s">
        <v>31</v>
      </c>
      <c r="B9" s="480" t="s">
        <v>32</v>
      </c>
      <c r="C9" s="481"/>
      <c r="D9" s="481"/>
      <c r="E9" s="62"/>
      <c r="F9" s="296" t="s">
        <v>33</v>
      </c>
      <c r="G9" s="470" t="s">
        <v>417</v>
      </c>
      <c r="H9" s="188"/>
      <c r="I9" s="296" t="s">
        <v>34</v>
      </c>
      <c r="J9" s="2"/>
      <c r="K9" s="2"/>
      <c r="L9" s="2"/>
    </row>
    <row r="10" spans="1:12">
      <c r="A10" s="297" t="s">
        <v>214</v>
      </c>
      <c r="B10" s="303"/>
      <c r="C10" s="303"/>
      <c r="D10" s="298"/>
      <c r="E10" s="62"/>
      <c r="F10" s="299">
        <f>SUMIF('4-Basis ruimtestaat'!H:H,'3-Productie normen'!A10,'4-Basis ruimtestaat'!J:J)</f>
        <v>131.1</v>
      </c>
      <c r="G10" s="471"/>
      <c r="H10" s="65"/>
      <c r="I10" s="300" t="s">
        <v>35</v>
      </c>
      <c r="J10" s="2"/>
      <c r="K10" s="2"/>
      <c r="L10" s="2"/>
    </row>
    <row r="11" spans="1:12">
      <c r="A11" s="297" t="s">
        <v>206</v>
      </c>
      <c r="B11" s="303"/>
      <c r="C11" s="303"/>
      <c r="D11" s="298"/>
      <c r="E11" s="62"/>
      <c r="F11" s="299">
        <f>SUMIF('4-Basis ruimtestaat'!H:H,'3-Productie normen'!A11,'4-Basis ruimtestaat'!J:J)</f>
        <v>84.800000000000011</v>
      </c>
      <c r="I11" s="300" t="s">
        <v>37</v>
      </c>
      <c r="J11" s="2"/>
      <c r="K11" s="2"/>
      <c r="L11" s="2"/>
    </row>
    <row r="12" spans="1:12">
      <c r="A12" s="297" t="s">
        <v>220</v>
      </c>
      <c r="B12" s="303"/>
      <c r="C12" s="303"/>
      <c r="D12" s="298"/>
      <c r="E12" s="62"/>
      <c r="F12" s="299">
        <f>SUMIF('4-Basis ruimtestaat'!H:H,'3-Productie normen'!A12,'4-Basis ruimtestaat'!J:J)</f>
        <v>525.00000000000011</v>
      </c>
      <c r="I12" s="300" t="s">
        <v>37</v>
      </c>
      <c r="J12" s="2"/>
      <c r="K12" s="2"/>
      <c r="L12" s="2"/>
    </row>
    <row r="13" spans="1:12">
      <c r="A13" s="297" t="s">
        <v>361</v>
      </c>
      <c r="B13" s="298"/>
      <c r="C13" s="303"/>
      <c r="D13" s="303"/>
      <c r="E13" s="62"/>
      <c r="F13" s="464">
        <f>SUMIF('4-Basis ruimtestaat'!H:H,'3-Productie normen'!A13,'4-Basis ruimtestaat'!J:J)</f>
        <v>193.8</v>
      </c>
      <c r="H13" s="465"/>
      <c r="I13" s="466" t="s">
        <v>37</v>
      </c>
      <c r="J13" s="2"/>
      <c r="K13" s="2"/>
      <c r="L13" s="2"/>
    </row>
    <row r="14" spans="1:12">
      <c r="A14" s="297" t="s">
        <v>59</v>
      </c>
      <c r="B14" s="303"/>
      <c r="C14" s="303"/>
      <c r="D14" s="298"/>
      <c r="E14" s="62"/>
      <c r="F14" s="299">
        <f>SUMIF('4-Basis ruimtestaat'!H:H,'3-Productie normen'!A14,'4-Basis ruimtestaat'!J:J)</f>
        <v>395.5</v>
      </c>
      <c r="I14" s="300" t="s">
        <v>37</v>
      </c>
      <c r="J14" s="2"/>
      <c r="K14" s="2"/>
      <c r="L14" s="2"/>
    </row>
    <row r="15" spans="1:12">
      <c r="A15" s="297" t="s">
        <v>399</v>
      </c>
      <c r="B15" s="303"/>
      <c r="C15" s="303"/>
      <c r="D15" s="298"/>
      <c r="E15" s="62"/>
      <c r="F15" s="299">
        <f>SUMIF('4-Basis ruimtestaat'!H:H,'3-Productie normen'!A15,'4-Basis ruimtestaat'!J:J)</f>
        <v>112.1</v>
      </c>
      <c r="I15" s="300" t="s">
        <v>36</v>
      </c>
      <c r="J15" s="2"/>
      <c r="K15" s="2"/>
      <c r="L15" s="2"/>
    </row>
    <row r="16" spans="1:12">
      <c r="A16" s="301" t="s">
        <v>228</v>
      </c>
      <c r="B16" s="303"/>
      <c r="C16" s="303"/>
      <c r="D16" s="298"/>
      <c r="E16" s="62"/>
      <c r="F16" s="299">
        <f>SUMIF('4-Basis ruimtestaat'!H:H,'3-Productie normen'!A16,'4-Basis ruimtestaat'!J:J)</f>
        <v>1247.1000000000001</v>
      </c>
      <c r="I16" s="300" t="s">
        <v>410</v>
      </c>
      <c r="J16" s="2"/>
      <c r="K16" s="2"/>
      <c r="L16" s="2"/>
    </row>
    <row r="17" spans="1:12">
      <c r="A17" s="301" t="s">
        <v>239</v>
      </c>
      <c r="B17" s="303"/>
      <c r="C17" s="303"/>
      <c r="D17" s="298"/>
      <c r="E17" s="62"/>
      <c r="F17" s="299">
        <f>SUMIF('4-Basis ruimtestaat'!H:H,'3-Productie normen'!A17,'4-Basis ruimtestaat'!J:J)</f>
        <v>32.4</v>
      </c>
      <c r="I17" s="300" t="s">
        <v>37</v>
      </c>
      <c r="J17" s="2"/>
      <c r="K17" s="2"/>
      <c r="L17" s="2"/>
    </row>
    <row r="18" spans="1:12">
      <c r="A18" s="301" t="s">
        <v>217</v>
      </c>
      <c r="B18" s="303"/>
      <c r="C18" s="303"/>
      <c r="D18" s="298"/>
      <c r="E18" s="62"/>
      <c r="F18" s="299">
        <f>SUMIF('4-Basis ruimtestaat'!H:H,'3-Productie normen'!A18,'4-Basis ruimtestaat'!J:J)</f>
        <v>352.20000000000016</v>
      </c>
      <c r="I18" s="300" t="s">
        <v>36</v>
      </c>
      <c r="J18" s="2"/>
      <c r="K18" s="2"/>
      <c r="L18" s="2"/>
    </row>
    <row r="19" spans="1:12">
      <c r="A19" s="301" t="s">
        <v>249</v>
      </c>
      <c r="B19" s="303"/>
      <c r="C19" s="303"/>
      <c r="D19" s="298"/>
      <c r="E19" s="62"/>
      <c r="F19" s="299">
        <f>SUMIF('4-Basis ruimtestaat'!H:H,'3-Productie normen'!A19,'4-Basis ruimtestaat'!J:J)</f>
        <v>24.6</v>
      </c>
      <c r="I19" s="300" t="s">
        <v>37</v>
      </c>
      <c r="J19" s="2"/>
      <c r="K19" s="2"/>
      <c r="L19" s="2"/>
    </row>
    <row r="20" spans="1:12">
      <c r="A20" s="301" t="s">
        <v>227</v>
      </c>
      <c r="B20" s="303"/>
      <c r="C20" s="303"/>
      <c r="D20" s="298"/>
      <c r="E20" s="62"/>
      <c r="F20" s="299">
        <f>SUMIF('4-Basis ruimtestaat'!H:H,'3-Productie normen'!A20,'4-Basis ruimtestaat'!J:J)</f>
        <v>93.3</v>
      </c>
      <c r="I20" s="300" t="s">
        <v>37</v>
      </c>
      <c r="J20" s="2"/>
      <c r="K20" s="2"/>
      <c r="L20" s="2"/>
    </row>
    <row r="21" spans="1:12">
      <c r="A21" s="301" t="s">
        <v>330</v>
      </c>
      <c r="B21" s="303"/>
      <c r="C21" s="303"/>
      <c r="D21" s="298"/>
      <c r="E21" s="62"/>
      <c r="F21" s="299">
        <f>SUMIF('4-Basis ruimtestaat'!H:H,'3-Productie normen'!A21,'4-Basis ruimtestaat'!J:J)</f>
        <v>2426.2000000000003</v>
      </c>
      <c r="I21" s="300" t="s">
        <v>37</v>
      </c>
      <c r="J21" s="2"/>
      <c r="K21" s="2"/>
      <c r="L21" s="2"/>
    </row>
    <row r="22" spans="1:12">
      <c r="A22" s="301" t="s">
        <v>335</v>
      </c>
      <c r="B22" s="303"/>
      <c r="C22" s="298"/>
      <c r="D22" s="303"/>
      <c r="E22" s="62"/>
      <c r="F22" s="299">
        <f>SUMIF('4-Basis ruimtestaat'!H:H,'3-Productie normen'!A22,'4-Basis ruimtestaat'!J:J)</f>
        <v>341.4</v>
      </c>
      <c r="I22" s="300" t="s">
        <v>37</v>
      </c>
      <c r="J22" s="2"/>
      <c r="K22" s="2"/>
      <c r="L22" s="2"/>
    </row>
    <row r="23" spans="1:12">
      <c r="A23" s="301" t="s">
        <v>235</v>
      </c>
      <c r="B23" s="303"/>
      <c r="C23" s="303"/>
      <c r="D23" s="298"/>
      <c r="E23" s="62"/>
      <c r="F23" s="299">
        <f>SUMIF('4-Basis ruimtestaat'!H:H,'3-Productie normen'!A23,'4-Basis ruimtestaat'!J:J)</f>
        <v>74.399999999999991</v>
      </c>
      <c r="I23" s="300" t="s">
        <v>37</v>
      </c>
      <c r="J23" s="2"/>
      <c r="K23" s="2"/>
      <c r="L23" s="2"/>
    </row>
    <row r="24" spans="1:12">
      <c r="A24" s="301" t="s">
        <v>210</v>
      </c>
      <c r="B24" s="303"/>
      <c r="C24" s="303"/>
      <c r="D24" s="298"/>
      <c r="E24" s="62"/>
      <c r="F24" s="299">
        <f>SUMIF('4-Basis ruimtestaat'!H:H,'3-Productie normen'!A24,'4-Basis ruimtestaat'!J:J)</f>
        <v>63.099999999999994</v>
      </c>
      <c r="I24" s="300" t="s">
        <v>35</v>
      </c>
      <c r="J24" s="2"/>
      <c r="K24" s="2"/>
      <c r="L24" s="2"/>
    </row>
    <row r="25" spans="1:12">
      <c r="A25" s="301" t="s">
        <v>406</v>
      </c>
      <c r="B25" s="303"/>
      <c r="C25" s="303"/>
      <c r="D25" s="302"/>
      <c r="E25" s="62"/>
      <c r="F25" s="299">
        <f>SUMIF('4-Basis ruimtestaat'!H:H,'3-Productie normen'!A25,'4-Basis ruimtestaat'!J:J)</f>
        <v>4</v>
      </c>
      <c r="I25" s="300"/>
      <c r="J25" s="2"/>
      <c r="K25" s="2"/>
      <c r="L25" s="2"/>
    </row>
    <row r="26" spans="1:12">
      <c r="A26" s="301"/>
      <c r="B26" s="304"/>
      <c r="C26" s="304"/>
      <c r="D26" s="304"/>
      <c r="E26" s="62"/>
      <c r="F26" s="299"/>
      <c r="H26" s="67"/>
      <c r="I26" s="300"/>
      <c r="J26" s="2"/>
      <c r="K26" s="2"/>
      <c r="L26" s="2"/>
    </row>
    <row r="27" spans="1:12">
      <c r="A27" s="305" t="s">
        <v>23</v>
      </c>
      <c r="B27" s="306"/>
      <c r="C27" s="306"/>
      <c r="D27" s="306"/>
      <c r="E27" s="62"/>
      <c r="F27" s="307">
        <f>SUM(F10:F26)</f>
        <v>6101</v>
      </c>
      <c r="H27" s="65"/>
      <c r="I27" s="308"/>
      <c r="J27" s="2"/>
      <c r="K27" s="2"/>
      <c r="L27" s="2"/>
    </row>
    <row r="28" spans="1:12">
      <c r="J28" s="56"/>
      <c r="K28" s="65"/>
      <c r="L28" s="56"/>
    </row>
    <row r="29" spans="1:12" ht="15">
      <c r="A29" s="309" t="s">
        <v>41</v>
      </c>
      <c r="B29" s="310">
        <v>2</v>
      </c>
      <c r="C29" s="310">
        <v>3</v>
      </c>
      <c r="D29" s="310">
        <v>4</v>
      </c>
      <c r="E29" s="65"/>
      <c r="F29" s="65"/>
      <c r="H29" s="65"/>
      <c r="I29" s="65"/>
    </row>
    <row r="31" spans="1:12">
      <c r="A31" s="180" t="s">
        <v>42</v>
      </c>
      <c r="B31" s="180" t="s">
        <v>43</v>
      </c>
      <c r="C31" s="181" t="s">
        <v>44</v>
      </c>
    </row>
    <row r="32" spans="1:12">
      <c r="A32" s="68" t="s">
        <v>407</v>
      </c>
      <c r="B32" s="461">
        <v>20</v>
      </c>
      <c r="C32" s="463">
        <v>2</v>
      </c>
    </row>
    <row r="33" spans="1:3">
      <c r="A33" s="68" t="s">
        <v>408</v>
      </c>
      <c r="B33" s="461">
        <v>40</v>
      </c>
      <c r="C33" s="463">
        <v>3</v>
      </c>
    </row>
    <row r="34" spans="1:3">
      <c r="A34" s="68" t="s">
        <v>409</v>
      </c>
      <c r="B34" s="462">
        <v>200</v>
      </c>
      <c r="C34" s="463">
        <v>4</v>
      </c>
    </row>
  </sheetData>
  <mergeCells count="1">
    <mergeCell ref="B9:D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437"/>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activeCell="N10" sqref="N10"/>
    </sheetView>
  </sheetViews>
  <sheetFormatPr defaultColWidth="8.7109375" defaultRowHeight="14.1" customHeight="1"/>
  <cols>
    <col min="1" max="1" width="5" style="225" bestFit="1" customWidth="1"/>
    <col min="2" max="2" width="33.28515625" style="56" customWidth="1"/>
    <col min="3" max="3" width="35.42578125" style="56" customWidth="1"/>
    <col min="4" max="4" width="26.7109375" style="56" bestFit="1" customWidth="1"/>
    <col min="5" max="5" width="12" style="56" customWidth="1"/>
    <col min="6" max="6" width="20.28515625" style="226" bestFit="1" customWidth="1"/>
    <col min="7" max="7" width="28.5703125" style="56" bestFit="1" customWidth="1"/>
    <col min="8" max="8" width="30.140625" style="56" bestFit="1" customWidth="1"/>
    <col min="9" max="9" width="12.140625" style="56" bestFit="1" customWidth="1"/>
    <col min="10" max="10" width="8" style="56" bestFit="1" customWidth="1"/>
    <col min="11" max="11" width="10.7109375" style="69" customWidth="1"/>
    <col min="12" max="13" width="9.140625" style="92" customWidth="1"/>
    <col min="14" max="14" width="12.5703125" style="56" bestFit="1" customWidth="1"/>
    <col min="15" max="15" width="12.5703125" style="56" customWidth="1"/>
    <col min="16" max="16" width="12" style="56" bestFit="1" customWidth="1"/>
    <col min="17" max="17" width="12" style="56" customWidth="1"/>
    <col min="18" max="18" width="9.28515625" style="56" customWidth="1"/>
    <col min="19" max="19" width="35.140625" style="56" customWidth="1"/>
    <col min="20" max="20" width="3" style="56" customWidth="1"/>
    <col min="21" max="21" width="11.140625" style="56" customWidth="1"/>
    <col min="22" max="22" width="15.5703125" style="2" bestFit="1" customWidth="1"/>
    <col min="23" max="16384" width="8.7109375" style="2"/>
  </cols>
  <sheetData>
    <row r="1" spans="1:21" ht="13.5">
      <c r="A1" s="478">
        <v>1</v>
      </c>
      <c r="L1" s="56"/>
      <c r="M1" s="56"/>
    </row>
    <row r="2" spans="1:21" ht="14.1" customHeight="1">
      <c r="A2" s="478">
        <v>2</v>
      </c>
      <c r="B2" s="189"/>
      <c r="C2" s="70"/>
      <c r="D2" s="70"/>
      <c r="E2" s="71"/>
      <c r="F2" s="227"/>
      <c r="G2" s="72"/>
      <c r="H2" s="72"/>
      <c r="I2" s="73"/>
      <c r="J2" s="74"/>
      <c r="K2" s="75"/>
      <c r="L2" s="76"/>
      <c r="M2" s="76"/>
      <c r="N2" s="73"/>
      <c r="O2" s="73"/>
      <c r="P2" s="77"/>
      <c r="Q2" s="77"/>
      <c r="R2" s="72"/>
      <c r="S2" s="72"/>
    </row>
    <row r="3" spans="1:21" ht="14.1" customHeight="1">
      <c r="A3" s="478">
        <v>3</v>
      </c>
      <c r="B3" s="39" t="str">
        <f>'2-Kosten per locatie'!A3</f>
        <v>Naam opdrachtgever</v>
      </c>
      <c r="C3" s="47" t="str">
        <f>'2-Kosten per locatie'!B3</f>
        <v>Gemeente Hoorn</v>
      </c>
      <c r="D3" s="47"/>
      <c r="F3" s="228"/>
      <c r="I3" s="73"/>
      <c r="J3" s="74"/>
      <c r="K3" s="75"/>
      <c r="L3" s="76"/>
      <c r="M3" s="76"/>
      <c r="N3" s="73"/>
      <c r="O3" s="73"/>
      <c r="P3" s="77"/>
      <c r="Q3" s="77"/>
      <c r="R3" s="72"/>
      <c r="S3" s="72"/>
    </row>
    <row r="4" spans="1:21" ht="14.1" customHeight="1">
      <c r="A4" s="478">
        <v>4</v>
      </c>
      <c r="B4" s="39" t="str">
        <f>'2-Kosten per locatie'!A4</f>
        <v>Calculatie onderdeel</v>
      </c>
      <c r="C4" s="47" t="str">
        <f ca="1">MID(CELL("bestandsnaam",$E$9),SEARCH("]",CELL("bestandsnaam",$E$9),1)+1,256)</f>
        <v>4-Basis ruimtestaat</v>
      </c>
      <c r="D4" s="47"/>
      <c r="F4" s="229"/>
      <c r="I4" s="73"/>
      <c r="J4" s="74"/>
      <c r="K4" s="75"/>
      <c r="L4" s="76"/>
      <c r="M4" s="76"/>
      <c r="N4" s="73"/>
      <c r="O4" s="73"/>
      <c r="P4" s="77"/>
      <c r="Q4" s="77"/>
      <c r="R4" s="72"/>
      <c r="S4" s="72"/>
    </row>
    <row r="5" spans="1:21" ht="14.1" customHeight="1">
      <c r="A5" s="478">
        <v>5</v>
      </c>
      <c r="B5" s="39" t="str">
        <f>'2-Kosten per locatie'!A5</f>
        <v>Gebouw/plaats</v>
      </c>
      <c r="C5" s="47" t="str">
        <f>'2-Kosten per locatie'!B5</f>
        <v>Hoorn</v>
      </c>
      <c r="D5" s="47"/>
      <c r="F5" s="228"/>
      <c r="G5" s="228"/>
      <c r="H5" s="228"/>
      <c r="I5" s="228"/>
      <c r="J5" s="228"/>
      <c r="K5" s="228"/>
      <c r="L5" s="228"/>
      <c r="M5" s="228"/>
      <c r="N5" s="228"/>
      <c r="O5" s="228"/>
      <c r="P5" s="77"/>
      <c r="Q5" s="77"/>
      <c r="R5" s="72"/>
      <c r="S5" s="72"/>
    </row>
    <row r="6" spans="1:21" ht="14.1" customHeight="1">
      <c r="A6" s="478">
        <v>6</v>
      </c>
      <c r="B6" s="39" t="str">
        <f>'2-Kosten per locatie'!A6</f>
        <v>Referentie nummer</v>
      </c>
      <c r="C6" s="47" t="str">
        <f>'2-Kosten per locatie'!B6</f>
        <v>CM00005</v>
      </c>
      <c r="D6" s="47"/>
      <c r="F6" s="228"/>
      <c r="I6" s="73"/>
      <c r="J6" s="74"/>
      <c r="K6" s="75"/>
      <c r="L6" s="76"/>
      <c r="M6" s="76"/>
      <c r="N6" s="73"/>
      <c r="O6" s="73"/>
      <c r="P6" s="77"/>
      <c r="Q6" s="77"/>
      <c r="R6" s="72"/>
      <c r="S6" s="72"/>
    </row>
    <row r="7" spans="1:21" ht="12.75" customHeight="1">
      <c r="A7" s="478">
        <v>7</v>
      </c>
      <c r="B7" s="39" t="str">
        <f>'2-Kosten per locatie'!A7</f>
        <v>Naam dienstverlener</v>
      </c>
      <c r="C7" s="47">
        <f>'2-Kosten per locatie'!B7</f>
        <v>0</v>
      </c>
      <c r="D7" s="47"/>
      <c r="F7" s="228"/>
      <c r="I7" s="73"/>
      <c r="J7" s="74"/>
      <c r="K7" s="75"/>
      <c r="L7" s="76"/>
      <c r="M7" s="76"/>
      <c r="N7" s="73"/>
      <c r="O7" s="73"/>
      <c r="P7" s="77"/>
      <c r="Q7" s="77"/>
      <c r="R7" s="72"/>
      <c r="S7" s="72"/>
    </row>
    <row r="8" spans="1:21" ht="14.1" customHeight="1">
      <c r="A8" s="478">
        <v>8</v>
      </c>
      <c r="B8" s="72"/>
      <c r="C8" s="72"/>
      <c r="D8" s="72"/>
      <c r="E8" s="71"/>
      <c r="F8" s="227"/>
      <c r="G8" s="72"/>
      <c r="H8" s="72"/>
      <c r="I8" s="73"/>
      <c r="J8" s="74"/>
      <c r="K8" s="75"/>
      <c r="L8" s="72"/>
      <c r="M8" s="72"/>
      <c r="N8" s="72"/>
      <c r="O8" s="72"/>
      <c r="P8" s="72"/>
      <c r="Q8" s="467">
        <f>'3-Productie normen'!G8</f>
        <v>0</v>
      </c>
      <c r="R8" s="72"/>
      <c r="S8" s="72"/>
    </row>
    <row r="9" spans="1:21" ht="52.15" customHeight="1">
      <c r="A9" s="478">
        <v>9</v>
      </c>
      <c r="B9" s="201" t="s">
        <v>45</v>
      </c>
      <c r="C9" s="201" t="s">
        <v>199</v>
      </c>
      <c r="D9" s="201" t="s">
        <v>200</v>
      </c>
      <c r="E9" s="201" t="s">
        <v>46</v>
      </c>
      <c r="F9" s="201" t="s">
        <v>47</v>
      </c>
      <c r="G9" s="201" t="s">
        <v>48</v>
      </c>
      <c r="H9" s="201" t="s">
        <v>49</v>
      </c>
      <c r="I9" s="311" t="s">
        <v>50</v>
      </c>
      <c r="J9" s="312" t="s">
        <v>51</v>
      </c>
      <c r="K9" s="313" t="s">
        <v>52</v>
      </c>
      <c r="L9" s="186" t="s">
        <v>53</v>
      </c>
      <c r="M9" s="186" t="s">
        <v>414</v>
      </c>
      <c r="N9" s="313" t="s">
        <v>54</v>
      </c>
      <c r="O9" s="313" t="s">
        <v>415</v>
      </c>
      <c r="P9" s="313" t="s">
        <v>55</v>
      </c>
      <c r="Q9" s="313" t="s">
        <v>416</v>
      </c>
      <c r="R9" s="190" t="s">
        <v>56</v>
      </c>
      <c r="S9" s="190" t="s">
        <v>57</v>
      </c>
      <c r="T9" s="191"/>
      <c r="U9" s="190" t="s">
        <v>58</v>
      </c>
    </row>
    <row r="10" spans="1:21" s="14" customFormat="1" ht="14.1" customHeight="1">
      <c r="A10" s="478">
        <v>10</v>
      </c>
      <c r="B10" s="285" t="s">
        <v>201</v>
      </c>
      <c r="C10" s="285" t="s">
        <v>202</v>
      </c>
      <c r="D10" s="285" t="s">
        <v>203</v>
      </c>
      <c r="E10" s="314" t="s">
        <v>204</v>
      </c>
      <c r="F10" s="315" t="s">
        <v>205</v>
      </c>
      <c r="G10" s="285" t="s">
        <v>39</v>
      </c>
      <c r="H10" s="285" t="s">
        <v>206</v>
      </c>
      <c r="I10" s="68" t="s">
        <v>184</v>
      </c>
      <c r="J10" s="316">
        <v>5.0999999999999996</v>
      </c>
      <c r="K10" s="317">
        <f>SUM(L10:M10)</f>
        <v>200</v>
      </c>
      <c r="L10" s="233">
        <v>200</v>
      </c>
      <c r="M10" s="233"/>
      <c r="N10" s="232" t="e">
        <f>IF(L10="nio",0,IF(L10&gt;0,L10*J10/P10,0))*VLOOKUP(B10,'2-Kosten per locatie'!$A$14:$C$22,3,FALSE)</f>
        <v>#DIV/0!</v>
      </c>
      <c r="O10" s="232">
        <f>IF(M10&gt;0,M10*J10/Q10,0)*VLOOKUP(B10,'2-Kosten per locatie'!$A$15:$C$22,3,FALSE)</f>
        <v>0</v>
      </c>
      <c r="P10" s="318">
        <f>IF(L10="nio",0,IF(L10&gt;0,VLOOKUP(H10,'3-Productie normen'!A:J,VLOOKUP(L10,'3-Productie normen'!$B$32:$C$34,2,FALSE),FALSE)))</f>
        <v>0</v>
      </c>
      <c r="Q10" s="318">
        <f>IF(L10&gt;0,P10*$Q$8,0)</f>
        <v>0</v>
      </c>
      <c r="R10" s="319" t="str">
        <f>VLOOKUP(H10,'3-Productie normen'!A:L,9,FALSE)</f>
        <v>V</v>
      </c>
      <c r="S10" s="319"/>
      <c r="T10" s="56"/>
      <c r="U10" s="320">
        <f t="shared" ref="U10:U41" si="0">K10*J10</f>
        <v>1019.9999999999999</v>
      </c>
    </row>
    <row r="11" spans="1:21" ht="14.1" customHeight="1">
      <c r="A11" s="478">
        <v>11</v>
      </c>
      <c r="B11" s="285" t="s">
        <v>201</v>
      </c>
      <c r="C11" s="285" t="s">
        <v>202</v>
      </c>
      <c r="D11" s="285" t="s">
        <v>207</v>
      </c>
      <c r="E11" s="314" t="s">
        <v>204</v>
      </c>
      <c r="F11" s="315" t="s">
        <v>208</v>
      </c>
      <c r="G11" s="285" t="s">
        <v>209</v>
      </c>
      <c r="H11" s="285" t="s">
        <v>210</v>
      </c>
      <c r="I11" s="68" t="s">
        <v>211</v>
      </c>
      <c r="J11" s="316">
        <v>46.9</v>
      </c>
      <c r="K11" s="317">
        <f t="shared" ref="K11:K74" si="1">SUM(L11:M11)</f>
        <v>200</v>
      </c>
      <c r="L11" s="233">
        <v>200</v>
      </c>
      <c r="M11" s="233"/>
      <c r="N11" s="232" t="e">
        <f>IF(L11="nio",0,IF(L11&gt;0,L11*J11/P11,0))*VLOOKUP(B11,'2-Kosten per locatie'!$A$14:$C$22,3,FALSE)</f>
        <v>#DIV/0!</v>
      </c>
      <c r="O11" s="232">
        <f>IF(M11&gt;0,M11*J11/Q11,0)*VLOOKUP(B11,'2-Kosten per locatie'!$A$15:$C$22,3,FALSE)</f>
        <v>0</v>
      </c>
      <c r="P11" s="318">
        <f>IF(L11="nio",0,IF(L11&gt;0,VLOOKUP(H11,'3-Productie normen'!A:J,VLOOKUP(L11,'3-Productie normen'!$B$32:$C$34,2,FALSE),FALSE)))</f>
        <v>0</v>
      </c>
      <c r="Q11" s="318">
        <f t="shared" ref="Q11:Q74" si="2">IF(L11&gt;0,P11*$Q$8,0)</f>
        <v>0</v>
      </c>
      <c r="R11" s="319" t="str">
        <f>VLOOKUP(H11,'3-Productie normen'!A:L,9,FALSE)</f>
        <v>B</v>
      </c>
      <c r="S11" s="319"/>
      <c r="U11" s="320">
        <f t="shared" si="0"/>
        <v>9380</v>
      </c>
    </row>
    <row r="12" spans="1:21" ht="14.1" customHeight="1">
      <c r="A12" s="478">
        <v>12</v>
      </c>
      <c r="B12" s="285" t="s">
        <v>201</v>
      </c>
      <c r="C12" s="285" t="s">
        <v>202</v>
      </c>
      <c r="D12" s="285" t="s">
        <v>207</v>
      </c>
      <c r="E12" s="314" t="s">
        <v>204</v>
      </c>
      <c r="F12" s="315" t="s">
        <v>212</v>
      </c>
      <c r="G12" s="285" t="s">
        <v>213</v>
      </c>
      <c r="H12" s="285" t="s">
        <v>214</v>
      </c>
      <c r="I12" s="68" t="s">
        <v>211</v>
      </c>
      <c r="J12" s="316">
        <v>16.2</v>
      </c>
      <c r="K12" s="317">
        <f t="shared" si="1"/>
        <v>200</v>
      </c>
      <c r="L12" s="233">
        <v>200</v>
      </c>
      <c r="M12" s="233"/>
      <c r="N12" s="232" t="e">
        <f>IF(L12="nio",0,IF(L12&gt;0,L12*J12/P12,0))*VLOOKUP(B12,'2-Kosten per locatie'!$A$14:$C$22,3,FALSE)</f>
        <v>#DIV/0!</v>
      </c>
      <c r="O12" s="232">
        <f>IF(M12&gt;0,M12*J12/Q12,0)*VLOOKUP(B12,'2-Kosten per locatie'!$A$15:$C$22,3,FALSE)</f>
        <v>0</v>
      </c>
      <c r="P12" s="318">
        <f>IF(L12="nio",0,IF(L12&gt;0,VLOOKUP(H12,'3-Productie normen'!A:J,VLOOKUP(L12,'3-Productie normen'!$B$32:$C$34,2,FALSE),FALSE)))</f>
        <v>0</v>
      </c>
      <c r="Q12" s="318">
        <f t="shared" si="2"/>
        <v>0</v>
      </c>
      <c r="R12" s="319" t="str">
        <f>VLOOKUP(H12,'3-Productie normen'!A:L,9,FALSE)</f>
        <v>B</v>
      </c>
      <c r="S12" s="319"/>
      <c r="U12" s="320">
        <f t="shared" si="0"/>
        <v>3240</v>
      </c>
    </row>
    <row r="13" spans="1:21" ht="14.1" customHeight="1">
      <c r="A13" s="478">
        <v>13</v>
      </c>
      <c r="B13" s="285" t="s">
        <v>201</v>
      </c>
      <c r="C13" s="285" t="s">
        <v>202</v>
      </c>
      <c r="D13" s="285" t="s">
        <v>207</v>
      </c>
      <c r="E13" s="314" t="s">
        <v>204</v>
      </c>
      <c r="F13" s="315" t="s">
        <v>215</v>
      </c>
      <c r="G13" s="68" t="s">
        <v>216</v>
      </c>
      <c r="H13" s="68" t="s">
        <v>217</v>
      </c>
      <c r="I13" s="68" t="s">
        <v>211</v>
      </c>
      <c r="J13" s="316">
        <v>11.8</v>
      </c>
      <c r="K13" s="317">
        <f t="shared" si="1"/>
        <v>200</v>
      </c>
      <c r="L13" s="233">
        <v>200</v>
      </c>
      <c r="M13" s="233"/>
      <c r="N13" s="232" t="e">
        <f>IF(L13="nio",0,IF(L13&gt;0,L13*J13/P13,0))*VLOOKUP(B13,'2-Kosten per locatie'!$A$14:$C$22,3,FALSE)</f>
        <v>#DIV/0!</v>
      </c>
      <c r="O13" s="232">
        <f>IF(M13&gt;0,M13*J13/Q13,0)*VLOOKUP(B13,'2-Kosten per locatie'!$A$15:$C$22,3,FALSE)</f>
        <v>0</v>
      </c>
      <c r="P13" s="318">
        <f>IF(L13="nio",0,IF(L13&gt;0,VLOOKUP(H13,'3-Productie normen'!A:J,VLOOKUP(L13,'3-Productie normen'!$B$32:$C$34,2,FALSE),FALSE)))</f>
        <v>0</v>
      </c>
      <c r="Q13" s="318">
        <f t="shared" si="2"/>
        <v>0</v>
      </c>
      <c r="R13" s="319" t="str">
        <f>VLOOKUP(H13,'3-Productie normen'!A:L,9,FALSE)</f>
        <v>S</v>
      </c>
      <c r="S13" s="319"/>
      <c r="U13" s="320">
        <f t="shared" si="0"/>
        <v>2360</v>
      </c>
    </row>
    <row r="14" spans="1:21" ht="14.1" customHeight="1">
      <c r="A14" s="478">
        <v>14</v>
      </c>
      <c r="B14" s="285" t="s">
        <v>201</v>
      </c>
      <c r="C14" s="285" t="s">
        <v>202</v>
      </c>
      <c r="D14" s="285" t="s">
        <v>203</v>
      </c>
      <c r="E14" s="314" t="s">
        <v>204</v>
      </c>
      <c r="F14" s="230" t="s">
        <v>218</v>
      </c>
      <c r="G14" s="79" t="s">
        <v>219</v>
      </c>
      <c r="H14" s="297" t="s">
        <v>220</v>
      </c>
      <c r="I14" s="68" t="s">
        <v>211</v>
      </c>
      <c r="J14" s="316">
        <v>111.5</v>
      </c>
      <c r="K14" s="317">
        <f t="shared" si="1"/>
        <v>200</v>
      </c>
      <c r="L14" s="233">
        <v>200</v>
      </c>
      <c r="M14" s="233"/>
      <c r="N14" s="232" t="e">
        <f>IF(L14="nio",0,IF(L14&gt;0,L14*J14/P14,0))*VLOOKUP(B14,'2-Kosten per locatie'!$A$14:$C$22,3,FALSE)</f>
        <v>#DIV/0!</v>
      </c>
      <c r="O14" s="232">
        <f>IF(M14&gt;0,M14*J14/Q14,0)*VLOOKUP(B14,'2-Kosten per locatie'!$A$15:$C$22,3,FALSE)</f>
        <v>0</v>
      </c>
      <c r="P14" s="318">
        <f>IF(L14="nio",0,IF(L14&gt;0,VLOOKUP(H14,'3-Productie normen'!A:J,VLOOKUP(L14,'3-Productie normen'!$B$32:$C$34,2,FALSE),FALSE)))</f>
        <v>0</v>
      </c>
      <c r="Q14" s="318">
        <f t="shared" si="2"/>
        <v>0</v>
      </c>
      <c r="R14" s="319" t="str">
        <f>VLOOKUP(H14,'3-Productie normen'!A:L,9,FALSE)</f>
        <v>V</v>
      </c>
      <c r="S14" s="319"/>
      <c r="U14" s="320">
        <f t="shared" si="0"/>
        <v>22300</v>
      </c>
    </row>
    <row r="15" spans="1:21" ht="14.1" customHeight="1">
      <c r="A15" s="478">
        <v>15</v>
      </c>
      <c r="B15" s="285" t="s">
        <v>201</v>
      </c>
      <c r="C15" s="285" t="s">
        <v>202</v>
      </c>
      <c r="D15" s="285" t="s">
        <v>221</v>
      </c>
      <c r="E15" s="314" t="s">
        <v>204</v>
      </c>
      <c r="F15" s="315" t="s">
        <v>222</v>
      </c>
      <c r="G15" s="285" t="s">
        <v>223</v>
      </c>
      <c r="H15" s="285" t="s">
        <v>220</v>
      </c>
      <c r="I15" s="68" t="s">
        <v>211</v>
      </c>
      <c r="J15" s="316">
        <v>7.9</v>
      </c>
      <c r="K15" s="317">
        <f t="shared" si="1"/>
        <v>200</v>
      </c>
      <c r="L15" s="233">
        <v>200</v>
      </c>
      <c r="M15" s="233"/>
      <c r="N15" s="232" t="e">
        <f>IF(L15="nio",0,IF(L15&gt;0,L15*J15/P15,0))*VLOOKUP(B15,'2-Kosten per locatie'!$A$14:$C$22,3,FALSE)</f>
        <v>#DIV/0!</v>
      </c>
      <c r="O15" s="232">
        <f>IF(M15&gt;0,M15*J15/Q15,0)*VLOOKUP(B15,'2-Kosten per locatie'!$A$15:$C$22,3,FALSE)</f>
        <v>0</v>
      </c>
      <c r="P15" s="318">
        <f>IF(L15="nio",0,IF(L15&gt;0,VLOOKUP(H15,'3-Productie normen'!A:J,VLOOKUP(L15,'3-Productie normen'!$B$32:$C$34,2,FALSE),FALSE)))</f>
        <v>0</v>
      </c>
      <c r="Q15" s="318">
        <f t="shared" si="2"/>
        <v>0</v>
      </c>
      <c r="R15" s="319" t="str">
        <f>VLOOKUP(H15,'3-Productie normen'!A:L,9,FALSE)</f>
        <v>V</v>
      </c>
      <c r="S15" s="319"/>
      <c r="U15" s="320">
        <f t="shared" si="0"/>
        <v>1580</v>
      </c>
    </row>
    <row r="16" spans="1:21" ht="14.1" customHeight="1">
      <c r="A16" s="478">
        <v>16</v>
      </c>
      <c r="B16" s="285" t="s">
        <v>201</v>
      </c>
      <c r="C16" s="285" t="s">
        <v>202</v>
      </c>
      <c r="D16" s="285" t="s">
        <v>203</v>
      </c>
      <c r="E16" s="314" t="s">
        <v>204</v>
      </c>
      <c r="F16" s="315" t="s">
        <v>224</v>
      </c>
      <c r="G16" s="285" t="s">
        <v>225</v>
      </c>
      <c r="H16" s="285" t="s">
        <v>217</v>
      </c>
      <c r="I16" s="68" t="s">
        <v>211</v>
      </c>
      <c r="J16" s="316">
        <v>5.6</v>
      </c>
      <c r="K16" s="317">
        <f t="shared" si="1"/>
        <v>200</v>
      </c>
      <c r="L16" s="233">
        <v>200</v>
      </c>
      <c r="M16" s="233"/>
      <c r="N16" s="232" t="e">
        <f>IF(L16="nio",0,IF(L16&gt;0,L16*J16/P16,0))*VLOOKUP(B16,'2-Kosten per locatie'!$A$14:$C$22,3,FALSE)</f>
        <v>#DIV/0!</v>
      </c>
      <c r="O16" s="232">
        <f>IF(M16&gt;0,M16*J16/Q16,0)*VLOOKUP(B16,'2-Kosten per locatie'!$A$15:$C$22,3,FALSE)</f>
        <v>0</v>
      </c>
      <c r="P16" s="318">
        <f>IF(L16="nio",0,IF(L16&gt;0,VLOOKUP(H16,'3-Productie normen'!A:J,VLOOKUP(L16,'3-Productie normen'!$B$32:$C$34,2,FALSE),FALSE)))</f>
        <v>0</v>
      </c>
      <c r="Q16" s="318">
        <f t="shared" si="2"/>
        <v>0</v>
      </c>
      <c r="R16" s="319" t="str">
        <f>VLOOKUP(H16,'3-Productie normen'!A:L,9,FALSE)</f>
        <v>S</v>
      </c>
      <c r="S16" s="319"/>
      <c r="U16" s="320">
        <f t="shared" si="0"/>
        <v>1120</v>
      </c>
    </row>
    <row r="17" spans="1:21" ht="14.1" customHeight="1">
      <c r="A17" s="478">
        <v>17</v>
      </c>
      <c r="B17" s="285" t="s">
        <v>201</v>
      </c>
      <c r="C17" s="285" t="s">
        <v>202</v>
      </c>
      <c r="D17" s="285" t="s">
        <v>207</v>
      </c>
      <c r="E17" s="314" t="s">
        <v>204</v>
      </c>
      <c r="F17" s="315" t="s">
        <v>226</v>
      </c>
      <c r="G17" s="285" t="s">
        <v>227</v>
      </c>
      <c r="H17" s="285" t="s">
        <v>228</v>
      </c>
      <c r="I17" s="68" t="s">
        <v>211</v>
      </c>
      <c r="J17" s="316">
        <v>43.3</v>
      </c>
      <c r="K17" s="317">
        <f t="shared" si="1"/>
        <v>200</v>
      </c>
      <c r="L17" s="233">
        <v>200</v>
      </c>
      <c r="M17" s="233"/>
      <c r="N17" s="232" t="e">
        <f>IF(L17="nio",0,IF(L17&gt;0,L17*J17/P17,0))*VLOOKUP(B17,'2-Kosten per locatie'!$A$14:$C$22,3,FALSE)</f>
        <v>#DIV/0!</v>
      </c>
      <c r="O17" s="232">
        <f>IF(M17&gt;0,M17*J17/Q17,0)*VLOOKUP(B17,'2-Kosten per locatie'!$A$15:$C$22,3,FALSE)</f>
        <v>0</v>
      </c>
      <c r="P17" s="318">
        <f>IF(L17="nio",0,IF(L17&gt;0,VLOOKUP(H17,'3-Productie normen'!A:J,VLOOKUP(L17,'3-Productie normen'!$B$32:$C$34,2,FALSE),FALSE)))</f>
        <v>0</v>
      </c>
      <c r="Q17" s="318">
        <f t="shared" si="2"/>
        <v>0</v>
      </c>
      <c r="R17" s="319" t="str">
        <f>VLOOKUP(H17,'3-Productie normen'!A:L,9,FALSE)</f>
        <v>L</v>
      </c>
      <c r="S17" s="319"/>
      <c r="U17" s="320">
        <f t="shared" si="0"/>
        <v>8660</v>
      </c>
    </row>
    <row r="18" spans="1:21" ht="14.1" customHeight="1">
      <c r="A18" s="478">
        <v>18</v>
      </c>
      <c r="B18" s="285" t="s">
        <v>201</v>
      </c>
      <c r="C18" s="285" t="s">
        <v>202</v>
      </c>
      <c r="D18" s="285" t="s">
        <v>207</v>
      </c>
      <c r="E18" s="314" t="s">
        <v>204</v>
      </c>
      <c r="F18" s="315" t="s">
        <v>229</v>
      </c>
      <c r="G18" s="68" t="s">
        <v>227</v>
      </c>
      <c r="H18" s="68" t="s">
        <v>228</v>
      </c>
      <c r="I18" s="68" t="s">
        <v>211</v>
      </c>
      <c r="J18" s="316">
        <v>49</v>
      </c>
      <c r="K18" s="317">
        <f t="shared" si="1"/>
        <v>200</v>
      </c>
      <c r="L18" s="233">
        <v>200</v>
      </c>
      <c r="M18" s="233"/>
      <c r="N18" s="232" t="e">
        <f>IF(L18="nio",0,IF(L18&gt;0,L18*J18/P18,0))*VLOOKUP(B18,'2-Kosten per locatie'!$A$14:$C$22,3,FALSE)</f>
        <v>#DIV/0!</v>
      </c>
      <c r="O18" s="232">
        <f>IF(M18&gt;0,M18*J18/Q18,0)*VLOOKUP(B18,'2-Kosten per locatie'!$A$15:$C$22,3,FALSE)</f>
        <v>0</v>
      </c>
      <c r="P18" s="318">
        <f>IF(L18="nio",0,IF(L18&gt;0,VLOOKUP(H18,'3-Productie normen'!A:J,VLOOKUP(L18,'3-Productie normen'!$B$32:$C$34,2,FALSE),FALSE)))</f>
        <v>0</v>
      </c>
      <c r="Q18" s="318">
        <f t="shared" si="2"/>
        <v>0</v>
      </c>
      <c r="R18" s="319" t="str">
        <f>VLOOKUP(H18,'3-Productie normen'!A:L,9,FALSE)</f>
        <v>L</v>
      </c>
      <c r="S18" s="319"/>
      <c r="U18" s="320">
        <f t="shared" si="0"/>
        <v>9800</v>
      </c>
    </row>
    <row r="19" spans="1:21" ht="14.1" customHeight="1">
      <c r="A19" s="478">
        <v>19</v>
      </c>
      <c r="B19" s="285" t="s">
        <v>201</v>
      </c>
      <c r="C19" s="285" t="s">
        <v>202</v>
      </c>
      <c r="D19" s="285" t="s">
        <v>207</v>
      </c>
      <c r="E19" s="314" t="s">
        <v>204</v>
      </c>
      <c r="F19" s="230" t="s">
        <v>230</v>
      </c>
      <c r="G19" s="79" t="s">
        <v>231</v>
      </c>
      <c r="H19" s="297" t="s">
        <v>228</v>
      </c>
      <c r="I19" s="68" t="s">
        <v>211</v>
      </c>
      <c r="J19" s="316">
        <v>90</v>
      </c>
      <c r="K19" s="317">
        <f t="shared" si="1"/>
        <v>200</v>
      </c>
      <c r="L19" s="233">
        <v>200</v>
      </c>
      <c r="M19" s="233"/>
      <c r="N19" s="232" t="e">
        <f>IF(L19="nio",0,IF(L19&gt;0,L19*J19/P19,0))*VLOOKUP(B19,'2-Kosten per locatie'!$A$14:$C$22,3,FALSE)</f>
        <v>#DIV/0!</v>
      </c>
      <c r="O19" s="232">
        <f>IF(M19&gt;0,M19*J19/Q19,0)*VLOOKUP(B19,'2-Kosten per locatie'!$A$15:$C$22,3,FALSE)</f>
        <v>0</v>
      </c>
      <c r="P19" s="318">
        <f>IF(L19="nio",0,IF(L19&gt;0,VLOOKUP(H19,'3-Productie normen'!A:J,VLOOKUP(L19,'3-Productie normen'!$B$32:$C$34,2,FALSE),FALSE)))</f>
        <v>0</v>
      </c>
      <c r="Q19" s="318">
        <f t="shared" si="2"/>
        <v>0</v>
      </c>
      <c r="R19" s="319" t="str">
        <f>VLOOKUP(H19,'3-Productie normen'!A:L,9,FALSE)</f>
        <v>L</v>
      </c>
      <c r="S19" s="319"/>
      <c r="U19" s="320">
        <f t="shared" si="0"/>
        <v>18000</v>
      </c>
    </row>
    <row r="20" spans="1:21" ht="14.1" customHeight="1">
      <c r="A20" s="478">
        <v>20</v>
      </c>
      <c r="B20" s="285" t="s">
        <v>201</v>
      </c>
      <c r="C20" s="285" t="s">
        <v>202</v>
      </c>
      <c r="D20" s="285" t="s">
        <v>207</v>
      </c>
      <c r="E20" s="314" t="s">
        <v>204</v>
      </c>
      <c r="F20" s="315" t="s">
        <v>232</v>
      </c>
      <c r="G20" s="285" t="s">
        <v>233</v>
      </c>
      <c r="H20" s="285" t="s">
        <v>228</v>
      </c>
      <c r="I20" s="68" t="s">
        <v>211</v>
      </c>
      <c r="J20" s="316">
        <v>75.400000000000006</v>
      </c>
      <c r="K20" s="317">
        <f t="shared" si="1"/>
        <v>200</v>
      </c>
      <c r="L20" s="233">
        <v>200</v>
      </c>
      <c r="M20" s="233"/>
      <c r="N20" s="232" t="e">
        <f>IF(L20="nio",0,IF(L20&gt;0,L20*J20/P20,0))*VLOOKUP(B20,'2-Kosten per locatie'!$A$14:$C$22,3,FALSE)</f>
        <v>#DIV/0!</v>
      </c>
      <c r="O20" s="232">
        <f>IF(M20&gt;0,M20*J20/Q20,0)*VLOOKUP(B20,'2-Kosten per locatie'!$A$15:$C$22,3,FALSE)</f>
        <v>0</v>
      </c>
      <c r="P20" s="318">
        <f>IF(L20="nio",0,IF(L20&gt;0,VLOOKUP(H20,'3-Productie normen'!A:J,VLOOKUP(L20,'3-Productie normen'!$B$32:$C$34,2,FALSE),FALSE)))</f>
        <v>0</v>
      </c>
      <c r="Q20" s="318">
        <f t="shared" si="2"/>
        <v>0</v>
      </c>
      <c r="R20" s="319" t="str">
        <f>VLOOKUP(H20,'3-Productie normen'!A:L,9,FALSE)</f>
        <v>L</v>
      </c>
      <c r="S20" s="319"/>
      <c r="U20" s="320">
        <f t="shared" si="0"/>
        <v>15080.000000000002</v>
      </c>
    </row>
    <row r="21" spans="1:21" ht="14.1" customHeight="1">
      <c r="A21" s="478">
        <v>21</v>
      </c>
      <c r="B21" s="285" t="s">
        <v>201</v>
      </c>
      <c r="C21" s="285" t="s">
        <v>202</v>
      </c>
      <c r="D21" s="285" t="s">
        <v>203</v>
      </c>
      <c r="E21" s="314" t="s">
        <v>204</v>
      </c>
      <c r="F21" s="315" t="s">
        <v>234</v>
      </c>
      <c r="G21" s="285" t="s">
        <v>40</v>
      </c>
      <c r="H21" s="285" t="s">
        <v>235</v>
      </c>
      <c r="I21" s="68" t="s">
        <v>236</v>
      </c>
      <c r="J21" s="316">
        <v>16.2</v>
      </c>
      <c r="K21" s="317">
        <f t="shared" si="1"/>
        <v>200</v>
      </c>
      <c r="L21" s="233">
        <v>200</v>
      </c>
      <c r="M21" s="233"/>
      <c r="N21" s="232" t="e">
        <f>IF(L21="nio",0,IF(L21&gt;0,L21*J21/P21,0))*VLOOKUP(B21,'2-Kosten per locatie'!$A$14:$C$22,3,FALSE)</f>
        <v>#DIV/0!</v>
      </c>
      <c r="O21" s="232">
        <f>IF(M21&gt;0,M21*J21/Q21,0)*VLOOKUP(B21,'2-Kosten per locatie'!$A$15:$C$22,3,FALSE)</f>
        <v>0</v>
      </c>
      <c r="P21" s="318">
        <f>IF(L21="nio",0,IF(L21&gt;0,VLOOKUP(H21,'3-Productie normen'!A:J,VLOOKUP(L21,'3-Productie normen'!$B$32:$C$34,2,FALSE),FALSE)))</f>
        <v>0</v>
      </c>
      <c r="Q21" s="318">
        <f t="shared" si="2"/>
        <v>0</v>
      </c>
      <c r="R21" s="319" t="str">
        <f>VLOOKUP(H21,'3-Productie normen'!A:L,9,FALSE)</f>
        <v>V</v>
      </c>
      <c r="S21" s="319"/>
      <c r="U21" s="320">
        <f t="shared" si="0"/>
        <v>3240</v>
      </c>
    </row>
    <row r="22" spans="1:21" ht="14.1" customHeight="1">
      <c r="A22" s="478">
        <v>22</v>
      </c>
      <c r="B22" s="285" t="s">
        <v>201</v>
      </c>
      <c r="C22" s="285" t="s">
        <v>202</v>
      </c>
      <c r="D22" s="285" t="s">
        <v>207</v>
      </c>
      <c r="E22" s="314" t="s">
        <v>204</v>
      </c>
      <c r="F22" s="315" t="s">
        <v>237</v>
      </c>
      <c r="G22" s="285" t="s">
        <v>238</v>
      </c>
      <c r="H22" s="285" t="s">
        <v>239</v>
      </c>
      <c r="I22" s="68" t="s">
        <v>211</v>
      </c>
      <c r="J22" s="316">
        <v>16.2</v>
      </c>
      <c r="K22" s="317">
        <f t="shared" si="1"/>
        <v>200</v>
      </c>
      <c r="L22" s="233">
        <v>200</v>
      </c>
      <c r="M22" s="233"/>
      <c r="N22" s="232" t="e">
        <f>IF(L22="nio",0,IF(L22&gt;0,L22*J22/P22,0))*VLOOKUP(B22,'2-Kosten per locatie'!$A$14:$C$22,3,FALSE)</f>
        <v>#DIV/0!</v>
      </c>
      <c r="O22" s="232">
        <f>IF(M22&gt;0,M22*J22/Q22,0)*VLOOKUP(B22,'2-Kosten per locatie'!$A$15:$C$22,3,FALSE)</f>
        <v>0</v>
      </c>
      <c r="P22" s="318">
        <f>IF(L22="nio",0,IF(L22&gt;0,VLOOKUP(H22,'3-Productie normen'!A:J,VLOOKUP(L22,'3-Productie normen'!$B$32:$C$34,2,FALSE),FALSE)))</f>
        <v>0</v>
      </c>
      <c r="Q22" s="318">
        <f t="shared" si="2"/>
        <v>0</v>
      </c>
      <c r="R22" s="319" t="str">
        <f>VLOOKUP(H22,'3-Productie normen'!A:L,9,FALSE)</f>
        <v>V</v>
      </c>
      <c r="S22" s="319"/>
      <c r="U22" s="320">
        <f t="shared" si="0"/>
        <v>3240</v>
      </c>
    </row>
    <row r="23" spans="1:21" ht="14.1" customHeight="1">
      <c r="A23" s="478">
        <v>23</v>
      </c>
      <c r="B23" s="285" t="s">
        <v>201</v>
      </c>
      <c r="C23" s="285" t="s">
        <v>202</v>
      </c>
      <c r="D23" s="285" t="s">
        <v>207</v>
      </c>
      <c r="E23" s="314" t="s">
        <v>204</v>
      </c>
      <c r="F23" s="315" t="s">
        <v>240</v>
      </c>
      <c r="G23" s="68" t="s">
        <v>233</v>
      </c>
      <c r="H23" s="68" t="s">
        <v>228</v>
      </c>
      <c r="I23" s="68" t="s">
        <v>211</v>
      </c>
      <c r="J23" s="316">
        <v>58.4</v>
      </c>
      <c r="K23" s="317">
        <f t="shared" si="1"/>
        <v>200</v>
      </c>
      <c r="L23" s="233">
        <v>200</v>
      </c>
      <c r="M23" s="233"/>
      <c r="N23" s="232" t="e">
        <f>IF(L23="nio",0,IF(L23&gt;0,L23*J23/P23,0))*VLOOKUP(B23,'2-Kosten per locatie'!$A$14:$C$22,3,FALSE)</f>
        <v>#DIV/0!</v>
      </c>
      <c r="O23" s="232">
        <f>IF(M23&gt;0,M23*J23/Q23,0)*VLOOKUP(B23,'2-Kosten per locatie'!$A$15:$C$22,3,FALSE)</f>
        <v>0</v>
      </c>
      <c r="P23" s="318">
        <f>IF(L23="nio",0,IF(L23&gt;0,VLOOKUP(H23,'3-Productie normen'!A:J,VLOOKUP(L23,'3-Productie normen'!$B$32:$C$34,2,FALSE),FALSE)))</f>
        <v>0</v>
      </c>
      <c r="Q23" s="318">
        <f t="shared" si="2"/>
        <v>0</v>
      </c>
      <c r="R23" s="319" t="str">
        <f>VLOOKUP(H23,'3-Productie normen'!A:L,9,FALSE)</f>
        <v>L</v>
      </c>
      <c r="S23" s="319"/>
      <c r="U23" s="320">
        <f t="shared" si="0"/>
        <v>11680</v>
      </c>
    </row>
    <row r="24" spans="1:21" ht="14.1" customHeight="1">
      <c r="A24" s="478">
        <v>24</v>
      </c>
      <c r="B24" s="285" t="s">
        <v>201</v>
      </c>
      <c r="C24" s="285" t="s">
        <v>202</v>
      </c>
      <c r="D24" s="285" t="s">
        <v>207</v>
      </c>
      <c r="E24" s="314" t="s">
        <v>204</v>
      </c>
      <c r="F24" s="230" t="s">
        <v>241</v>
      </c>
      <c r="G24" s="79" t="s">
        <v>233</v>
      </c>
      <c r="H24" s="297" t="s">
        <v>228</v>
      </c>
      <c r="I24" s="68" t="s">
        <v>211</v>
      </c>
      <c r="J24" s="316">
        <v>58.6</v>
      </c>
      <c r="K24" s="317">
        <f t="shared" si="1"/>
        <v>200</v>
      </c>
      <c r="L24" s="233">
        <v>200</v>
      </c>
      <c r="M24" s="233"/>
      <c r="N24" s="232" t="e">
        <f>IF(L24="nio",0,IF(L24&gt;0,L24*J24/P24,0))*VLOOKUP(B24,'2-Kosten per locatie'!$A$14:$C$22,3,FALSE)</f>
        <v>#DIV/0!</v>
      </c>
      <c r="O24" s="232">
        <f>IF(M24&gt;0,M24*J24/Q24,0)*VLOOKUP(B24,'2-Kosten per locatie'!$A$15:$C$22,3,FALSE)</f>
        <v>0</v>
      </c>
      <c r="P24" s="318">
        <f>IF(L24="nio",0,IF(L24&gt;0,VLOOKUP(H24,'3-Productie normen'!A:J,VLOOKUP(L24,'3-Productie normen'!$B$32:$C$34,2,FALSE),FALSE)))</f>
        <v>0</v>
      </c>
      <c r="Q24" s="318">
        <f t="shared" si="2"/>
        <v>0</v>
      </c>
      <c r="R24" s="319" t="str">
        <f>VLOOKUP(H24,'3-Productie normen'!A:L,9,FALSE)</f>
        <v>L</v>
      </c>
      <c r="S24" s="319"/>
      <c r="U24" s="320">
        <f t="shared" si="0"/>
        <v>11720</v>
      </c>
    </row>
    <row r="25" spans="1:21" ht="14.1" customHeight="1">
      <c r="A25" s="478">
        <v>25</v>
      </c>
      <c r="B25" s="285" t="s">
        <v>201</v>
      </c>
      <c r="C25" s="285" t="s">
        <v>202</v>
      </c>
      <c r="D25" s="285" t="s">
        <v>203</v>
      </c>
      <c r="E25" s="314" t="s">
        <v>204</v>
      </c>
      <c r="F25" s="315" t="s">
        <v>242</v>
      </c>
      <c r="G25" s="285" t="s">
        <v>206</v>
      </c>
      <c r="H25" s="285" t="s">
        <v>206</v>
      </c>
      <c r="I25" s="68" t="s">
        <v>184</v>
      </c>
      <c r="J25" s="316">
        <v>5.0999999999999996</v>
      </c>
      <c r="K25" s="317">
        <f t="shared" si="1"/>
        <v>200</v>
      </c>
      <c r="L25" s="233">
        <v>200</v>
      </c>
      <c r="M25" s="233"/>
      <c r="N25" s="232" t="e">
        <f>IF(L25="nio",0,IF(L25&gt;0,L25*J25/P25,0))*VLOOKUP(B25,'2-Kosten per locatie'!$A$14:$C$22,3,FALSE)</f>
        <v>#DIV/0!</v>
      </c>
      <c r="O25" s="232">
        <f>IF(M25&gt;0,M25*J25/Q25,0)*VLOOKUP(B25,'2-Kosten per locatie'!$A$15:$C$22,3,FALSE)</f>
        <v>0</v>
      </c>
      <c r="P25" s="318">
        <f>IF(L25="nio",0,IF(L25&gt;0,VLOOKUP(H25,'3-Productie normen'!A:J,VLOOKUP(L25,'3-Productie normen'!$B$32:$C$34,2,FALSE),FALSE)))</f>
        <v>0</v>
      </c>
      <c r="Q25" s="318">
        <f t="shared" si="2"/>
        <v>0</v>
      </c>
      <c r="R25" s="319" t="str">
        <f>VLOOKUP(H25,'3-Productie normen'!A:L,9,FALSE)</f>
        <v>V</v>
      </c>
      <c r="S25" s="319"/>
      <c r="U25" s="320">
        <f t="shared" si="0"/>
        <v>1019.9999999999999</v>
      </c>
    </row>
    <row r="26" spans="1:21" ht="14.1" customHeight="1">
      <c r="A26" s="478">
        <v>26</v>
      </c>
      <c r="B26" s="285" t="s">
        <v>201</v>
      </c>
      <c r="C26" s="285" t="s">
        <v>202</v>
      </c>
      <c r="D26" s="285" t="s">
        <v>221</v>
      </c>
      <c r="E26" s="314" t="s">
        <v>204</v>
      </c>
      <c r="F26" s="315" t="s">
        <v>243</v>
      </c>
      <c r="G26" s="285" t="s">
        <v>216</v>
      </c>
      <c r="H26" s="285" t="s">
        <v>217</v>
      </c>
      <c r="I26" s="68" t="s">
        <v>244</v>
      </c>
      <c r="J26" s="316">
        <v>10.4</v>
      </c>
      <c r="K26" s="317">
        <f t="shared" si="1"/>
        <v>200</v>
      </c>
      <c r="L26" s="233">
        <v>200</v>
      </c>
      <c r="M26" s="233"/>
      <c r="N26" s="232" t="e">
        <f>IF(L26="nio",0,IF(L26&gt;0,L26*J26/P26,0))*VLOOKUP(B26,'2-Kosten per locatie'!$A$14:$C$22,3,FALSE)</f>
        <v>#DIV/0!</v>
      </c>
      <c r="O26" s="232">
        <f>IF(M26&gt;0,M26*J26/Q26,0)*VLOOKUP(B26,'2-Kosten per locatie'!$A$15:$C$22,3,FALSE)</f>
        <v>0</v>
      </c>
      <c r="P26" s="318">
        <f>IF(L26="nio",0,IF(L26&gt;0,VLOOKUP(H26,'3-Productie normen'!A:J,VLOOKUP(L26,'3-Productie normen'!$B$32:$C$34,2,FALSE),FALSE)))</f>
        <v>0</v>
      </c>
      <c r="Q26" s="318">
        <f t="shared" si="2"/>
        <v>0</v>
      </c>
      <c r="R26" s="319" t="str">
        <f>VLOOKUP(H26,'3-Productie normen'!A:L,9,FALSE)</f>
        <v>S</v>
      </c>
      <c r="S26" s="319"/>
      <c r="U26" s="320">
        <f t="shared" si="0"/>
        <v>2080</v>
      </c>
    </row>
    <row r="27" spans="1:21" ht="14.1" customHeight="1">
      <c r="A27" s="478">
        <v>27</v>
      </c>
      <c r="B27" s="285" t="s">
        <v>201</v>
      </c>
      <c r="C27" s="285" t="s">
        <v>202</v>
      </c>
      <c r="D27" s="285" t="s">
        <v>221</v>
      </c>
      <c r="E27" s="314" t="s">
        <v>204</v>
      </c>
      <c r="F27" s="315" t="s">
        <v>245</v>
      </c>
      <c r="G27" s="285" t="s">
        <v>246</v>
      </c>
      <c r="H27" s="285" t="s">
        <v>228</v>
      </c>
      <c r="I27" s="68" t="s">
        <v>211</v>
      </c>
      <c r="J27" s="316">
        <v>48.9</v>
      </c>
      <c r="K27" s="317">
        <f t="shared" si="1"/>
        <v>200</v>
      </c>
      <c r="L27" s="233">
        <v>200</v>
      </c>
      <c r="M27" s="233"/>
      <c r="N27" s="232" t="e">
        <f>IF(L27="nio",0,IF(L27&gt;0,L27*J27/P27,0))*VLOOKUP(B27,'2-Kosten per locatie'!$A$14:$C$22,3,FALSE)</f>
        <v>#DIV/0!</v>
      </c>
      <c r="O27" s="232">
        <f>IF(M27&gt;0,M27*J27/Q27,0)*VLOOKUP(B27,'2-Kosten per locatie'!$A$15:$C$22,3,FALSE)</f>
        <v>0</v>
      </c>
      <c r="P27" s="318">
        <f>IF(L27="nio",0,IF(L27&gt;0,VLOOKUP(H27,'3-Productie normen'!A:J,VLOOKUP(L27,'3-Productie normen'!$B$32:$C$34,2,FALSE),FALSE)))</f>
        <v>0</v>
      </c>
      <c r="Q27" s="318">
        <f t="shared" si="2"/>
        <v>0</v>
      </c>
      <c r="R27" s="319" t="str">
        <f>VLOOKUP(H27,'3-Productie normen'!A:L,9,FALSE)</f>
        <v>L</v>
      </c>
      <c r="S27" s="319"/>
      <c r="U27" s="320">
        <f t="shared" si="0"/>
        <v>9780</v>
      </c>
    </row>
    <row r="28" spans="1:21" ht="14.1" customHeight="1">
      <c r="A28" s="478">
        <v>28</v>
      </c>
      <c r="B28" s="285" t="s">
        <v>201</v>
      </c>
      <c r="C28" s="285" t="s">
        <v>202</v>
      </c>
      <c r="D28" s="285" t="s">
        <v>221</v>
      </c>
      <c r="E28" s="314" t="s">
        <v>204</v>
      </c>
      <c r="F28" s="315" t="s">
        <v>247</v>
      </c>
      <c r="G28" s="68" t="s">
        <v>248</v>
      </c>
      <c r="H28" s="68" t="s">
        <v>249</v>
      </c>
      <c r="I28" s="68" t="s">
        <v>211</v>
      </c>
      <c r="J28" s="316">
        <v>8</v>
      </c>
      <c r="K28" s="317">
        <f t="shared" si="1"/>
        <v>200</v>
      </c>
      <c r="L28" s="233">
        <v>200</v>
      </c>
      <c r="M28" s="233"/>
      <c r="N28" s="232" t="e">
        <f>IF(L28="nio",0,IF(L28&gt;0,L28*J28/P28,0))*VLOOKUP(B28,'2-Kosten per locatie'!$A$14:$C$22,3,FALSE)</f>
        <v>#DIV/0!</v>
      </c>
      <c r="O28" s="232">
        <f>IF(M28&gt;0,M28*J28/Q28,0)*VLOOKUP(B28,'2-Kosten per locatie'!$A$15:$C$22,3,FALSE)</f>
        <v>0</v>
      </c>
      <c r="P28" s="318">
        <f>IF(L28="nio",0,IF(L28&gt;0,VLOOKUP(H28,'3-Productie normen'!A:J,VLOOKUP(L28,'3-Productie normen'!$B$32:$C$34,2,FALSE),FALSE)))</f>
        <v>0</v>
      </c>
      <c r="Q28" s="318">
        <f t="shared" si="2"/>
        <v>0</v>
      </c>
      <c r="R28" s="319" t="str">
        <f>VLOOKUP(H28,'3-Productie normen'!A:L,9,FALSE)</f>
        <v>V</v>
      </c>
      <c r="S28" s="319"/>
      <c r="U28" s="320">
        <f t="shared" si="0"/>
        <v>1600</v>
      </c>
    </row>
    <row r="29" spans="1:21" ht="14.1" customHeight="1">
      <c r="A29" s="478">
        <v>29</v>
      </c>
      <c r="B29" s="285" t="s">
        <v>201</v>
      </c>
      <c r="C29" s="285" t="s">
        <v>202</v>
      </c>
      <c r="D29" s="285" t="s">
        <v>221</v>
      </c>
      <c r="E29" s="314" t="s">
        <v>204</v>
      </c>
      <c r="F29" s="230" t="s">
        <v>250</v>
      </c>
      <c r="G29" s="79" t="s">
        <v>248</v>
      </c>
      <c r="H29" s="79" t="s">
        <v>249</v>
      </c>
      <c r="I29" s="68" t="s">
        <v>211</v>
      </c>
      <c r="J29" s="316">
        <v>4.7</v>
      </c>
      <c r="K29" s="317">
        <f t="shared" si="1"/>
        <v>200</v>
      </c>
      <c r="L29" s="233">
        <v>200</v>
      </c>
      <c r="M29" s="233"/>
      <c r="N29" s="232" t="e">
        <f>IF(L29="nio",0,IF(L29&gt;0,L29*J29/P29,0))*VLOOKUP(B29,'2-Kosten per locatie'!$A$14:$C$22,3,FALSE)</f>
        <v>#DIV/0!</v>
      </c>
      <c r="O29" s="232">
        <f>IF(M29&gt;0,M29*J29/Q29,0)*VLOOKUP(B29,'2-Kosten per locatie'!$A$15:$C$22,3,FALSE)</f>
        <v>0</v>
      </c>
      <c r="P29" s="318">
        <f>IF(L29="nio",0,IF(L29&gt;0,VLOOKUP(H29,'3-Productie normen'!A:J,VLOOKUP(L29,'3-Productie normen'!$B$32:$C$34,2,FALSE),FALSE)))</f>
        <v>0</v>
      </c>
      <c r="Q29" s="318">
        <f t="shared" si="2"/>
        <v>0</v>
      </c>
      <c r="R29" s="319" t="str">
        <f>VLOOKUP(H29,'3-Productie normen'!A:L,9,FALSE)</f>
        <v>V</v>
      </c>
      <c r="S29" s="319"/>
      <c r="U29" s="320">
        <f t="shared" si="0"/>
        <v>940</v>
      </c>
    </row>
    <row r="30" spans="1:21" ht="14.1" customHeight="1">
      <c r="A30" s="478">
        <v>30</v>
      </c>
      <c r="B30" s="285" t="s">
        <v>201</v>
      </c>
      <c r="C30" s="285" t="s">
        <v>202</v>
      </c>
      <c r="D30" s="285" t="s">
        <v>221</v>
      </c>
      <c r="E30" s="314" t="s">
        <v>204</v>
      </c>
      <c r="F30" s="315" t="s">
        <v>251</v>
      </c>
      <c r="G30" s="68" t="s">
        <v>246</v>
      </c>
      <c r="H30" s="68" t="s">
        <v>228</v>
      </c>
      <c r="I30" s="321" t="s">
        <v>211</v>
      </c>
      <c r="J30" s="322">
        <v>58.6</v>
      </c>
      <c r="K30" s="317">
        <f t="shared" si="1"/>
        <v>200</v>
      </c>
      <c r="L30" s="233">
        <v>200</v>
      </c>
      <c r="M30" s="233"/>
      <c r="N30" s="232" t="e">
        <f>IF(L30="nio",0,IF(L30&gt;0,L30*J30/P30,0))*VLOOKUP(B30,'2-Kosten per locatie'!$A$14:$C$22,3,FALSE)</f>
        <v>#DIV/0!</v>
      </c>
      <c r="O30" s="232">
        <f>IF(M30&gt;0,M30*J30/Q30,0)*VLOOKUP(B30,'2-Kosten per locatie'!$A$15:$C$22,3,FALSE)</f>
        <v>0</v>
      </c>
      <c r="P30" s="318">
        <f>IF(L30="nio",0,IF(L30&gt;0,VLOOKUP(H30,'3-Productie normen'!A:J,VLOOKUP(L30,'3-Productie normen'!$B$32:$C$34,2,FALSE),FALSE)))</f>
        <v>0</v>
      </c>
      <c r="Q30" s="318">
        <f t="shared" si="2"/>
        <v>0</v>
      </c>
      <c r="R30" s="319" t="str">
        <f>VLOOKUP(H30,'3-Productie normen'!A:L,9,FALSE)</f>
        <v>L</v>
      </c>
      <c r="S30" s="319"/>
      <c r="U30" s="320">
        <f t="shared" si="0"/>
        <v>11720</v>
      </c>
    </row>
    <row r="31" spans="1:21" ht="14.1" customHeight="1">
      <c r="A31" s="478">
        <v>31</v>
      </c>
      <c r="B31" s="285" t="s">
        <v>201</v>
      </c>
      <c r="C31" s="285" t="s">
        <v>202</v>
      </c>
      <c r="D31" s="460" t="s">
        <v>221</v>
      </c>
      <c r="E31" s="80" t="s">
        <v>204</v>
      </c>
      <c r="F31" s="230" t="s">
        <v>252</v>
      </c>
      <c r="G31" s="79" t="s">
        <v>248</v>
      </c>
      <c r="H31" s="79" t="s">
        <v>249</v>
      </c>
      <c r="I31" s="68" t="s">
        <v>211</v>
      </c>
      <c r="J31" s="322">
        <v>11.9</v>
      </c>
      <c r="K31" s="317">
        <f t="shared" si="1"/>
        <v>200</v>
      </c>
      <c r="L31" s="233">
        <v>200</v>
      </c>
      <c r="M31" s="233"/>
      <c r="N31" s="232" t="e">
        <f>IF(L31="nio",0,IF(L31&gt;0,L31*J31/P31,0))*VLOOKUP(B31,'2-Kosten per locatie'!$A$14:$C$22,3,FALSE)</f>
        <v>#DIV/0!</v>
      </c>
      <c r="O31" s="232">
        <f>IF(M31&gt;0,M31*J31/Q31,0)*VLOOKUP(B31,'2-Kosten per locatie'!$A$15:$C$22,3,FALSE)</f>
        <v>0</v>
      </c>
      <c r="P31" s="318">
        <f>IF(L31="nio",0,IF(L31&gt;0,VLOOKUP(H31,'3-Productie normen'!A:J,VLOOKUP(L31,'3-Productie normen'!$B$32:$C$34,2,FALSE),FALSE)))</f>
        <v>0</v>
      </c>
      <c r="Q31" s="318">
        <f t="shared" si="2"/>
        <v>0</v>
      </c>
      <c r="R31" s="319" t="str">
        <f>VLOOKUP(H31,'3-Productie normen'!A:L,9,FALSE)</f>
        <v>V</v>
      </c>
      <c r="S31" s="319"/>
      <c r="U31" s="320">
        <f t="shared" si="0"/>
        <v>2380</v>
      </c>
    </row>
    <row r="32" spans="1:21" ht="14.1" customHeight="1">
      <c r="A32" s="478">
        <v>32</v>
      </c>
      <c r="B32" s="285" t="s">
        <v>201</v>
      </c>
      <c r="C32" s="285" t="s">
        <v>202</v>
      </c>
      <c r="D32" s="285" t="s">
        <v>203</v>
      </c>
      <c r="E32" s="314" t="s">
        <v>204</v>
      </c>
      <c r="F32" s="315" t="s">
        <v>253</v>
      </c>
      <c r="G32" s="68" t="s">
        <v>206</v>
      </c>
      <c r="H32" s="68" t="s">
        <v>206</v>
      </c>
      <c r="I32" s="68" t="s">
        <v>184</v>
      </c>
      <c r="J32" s="322">
        <v>5.0999999999999996</v>
      </c>
      <c r="K32" s="317">
        <f t="shared" si="1"/>
        <v>200</v>
      </c>
      <c r="L32" s="233">
        <v>200</v>
      </c>
      <c r="M32" s="233"/>
      <c r="N32" s="232" t="e">
        <f>IF(L32="nio",0,IF(L32&gt;0,L32*J32/P32,0))*VLOOKUP(B32,'2-Kosten per locatie'!$A$14:$C$22,3,FALSE)</f>
        <v>#DIV/0!</v>
      </c>
      <c r="O32" s="232">
        <f>IF(M32&gt;0,M32*J32/Q32,0)*VLOOKUP(B32,'2-Kosten per locatie'!$A$15:$C$22,3,FALSE)</f>
        <v>0</v>
      </c>
      <c r="P32" s="318">
        <f>IF(L32="nio",0,IF(L32&gt;0,VLOOKUP(H32,'3-Productie normen'!A:J,VLOOKUP(L32,'3-Productie normen'!$B$32:$C$34,2,FALSE),FALSE)))</f>
        <v>0</v>
      </c>
      <c r="Q32" s="318">
        <f t="shared" si="2"/>
        <v>0</v>
      </c>
      <c r="R32" s="319" t="str">
        <f>VLOOKUP(H32,'3-Productie normen'!A:L,9,FALSE)</f>
        <v>V</v>
      </c>
      <c r="S32" s="319"/>
      <c r="U32" s="320">
        <f t="shared" si="0"/>
        <v>1019.9999999999999</v>
      </c>
    </row>
    <row r="33" spans="1:21" ht="14.1" customHeight="1">
      <c r="A33" s="478">
        <v>33</v>
      </c>
      <c r="B33" s="285" t="s">
        <v>201</v>
      </c>
      <c r="C33" s="285" t="s">
        <v>202</v>
      </c>
      <c r="D33" s="285" t="s">
        <v>254</v>
      </c>
      <c r="E33" s="314" t="s">
        <v>204</v>
      </c>
      <c r="F33" s="315" t="s">
        <v>255</v>
      </c>
      <c r="G33" s="68" t="s">
        <v>233</v>
      </c>
      <c r="H33" s="68" t="s">
        <v>228</v>
      </c>
      <c r="I33" s="68" t="s">
        <v>211</v>
      </c>
      <c r="J33" s="322">
        <v>56.8</v>
      </c>
      <c r="K33" s="317">
        <f t="shared" si="1"/>
        <v>200</v>
      </c>
      <c r="L33" s="233">
        <v>200</v>
      </c>
      <c r="M33" s="233"/>
      <c r="N33" s="232" t="e">
        <f>IF(L33="nio",0,IF(L33&gt;0,L33*J33/P33,0))*VLOOKUP(B33,'2-Kosten per locatie'!$A$14:$C$22,3,FALSE)</f>
        <v>#DIV/0!</v>
      </c>
      <c r="O33" s="232">
        <f>IF(M33&gt;0,M33*J33/Q33,0)*VLOOKUP(B33,'2-Kosten per locatie'!$A$15:$C$22,3,FALSE)</f>
        <v>0</v>
      </c>
      <c r="P33" s="318">
        <f>IF(L33="nio",0,IF(L33&gt;0,VLOOKUP(H33,'3-Productie normen'!A:J,VLOOKUP(L33,'3-Productie normen'!$B$32:$C$34,2,FALSE),FALSE)))</f>
        <v>0</v>
      </c>
      <c r="Q33" s="318">
        <f t="shared" si="2"/>
        <v>0</v>
      </c>
      <c r="R33" s="319" t="str">
        <f>VLOOKUP(H33,'3-Productie normen'!A:L,9,FALSE)</f>
        <v>L</v>
      </c>
      <c r="S33" s="319"/>
      <c r="U33" s="320">
        <f t="shared" si="0"/>
        <v>11360</v>
      </c>
    </row>
    <row r="34" spans="1:21" ht="14.1" customHeight="1">
      <c r="A34" s="478">
        <v>34</v>
      </c>
      <c r="B34" s="285" t="s">
        <v>201</v>
      </c>
      <c r="C34" s="285" t="s">
        <v>202</v>
      </c>
      <c r="D34" s="285" t="s">
        <v>254</v>
      </c>
      <c r="E34" s="314" t="s">
        <v>204</v>
      </c>
      <c r="F34" s="315" t="s">
        <v>256</v>
      </c>
      <c r="G34" s="68" t="s">
        <v>257</v>
      </c>
      <c r="H34" s="68" t="s">
        <v>210</v>
      </c>
      <c r="I34" s="68" t="s">
        <v>211</v>
      </c>
      <c r="J34" s="322">
        <v>16.2</v>
      </c>
      <c r="K34" s="317">
        <f t="shared" si="1"/>
        <v>200</v>
      </c>
      <c r="L34" s="233">
        <v>200</v>
      </c>
      <c r="M34" s="233"/>
      <c r="N34" s="232" t="e">
        <f>IF(L34="nio",0,IF(L34&gt;0,L34*J34/P34,0))*VLOOKUP(B34,'2-Kosten per locatie'!$A$14:$C$22,3,FALSE)</f>
        <v>#DIV/0!</v>
      </c>
      <c r="O34" s="232">
        <f>IF(M34&gt;0,M34*J34/Q34,0)*VLOOKUP(B34,'2-Kosten per locatie'!$A$15:$C$22,3,FALSE)</f>
        <v>0</v>
      </c>
      <c r="P34" s="318">
        <f>IF(L34="nio",0,IF(L34&gt;0,VLOOKUP(H34,'3-Productie normen'!A:J,VLOOKUP(L34,'3-Productie normen'!$B$32:$C$34,2,FALSE),FALSE)))</f>
        <v>0</v>
      </c>
      <c r="Q34" s="318">
        <f t="shared" si="2"/>
        <v>0</v>
      </c>
      <c r="R34" s="319" t="str">
        <f>VLOOKUP(H34,'3-Productie normen'!A:L,9,FALSE)</f>
        <v>B</v>
      </c>
      <c r="S34" s="319"/>
      <c r="U34" s="320">
        <f t="shared" si="0"/>
        <v>3240</v>
      </c>
    </row>
    <row r="35" spans="1:21" ht="14.1" customHeight="1">
      <c r="A35" s="478">
        <v>35</v>
      </c>
      <c r="B35" s="285" t="s">
        <v>201</v>
      </c>
      <c r="C35" s="285" t="s">
        <v>202</v>
      </c>
      <c r="D35" s="285" t="s">
        <v>258</v>
      </c>
      <c r="E35" s="314" t="s">
        <v>204</v>
      </c>
      <c r="F35" s="315" t="s">
        <v>259</v>
      </c>
      <c r="G35" s="68" t="s">
        <v>260</v>
      </c>
      <c r="H35" s="68" t="s">
        <v>214</v>
      </c>
      <c r="I35" s="68" t="s">
        <v>211</v>
      </c>
      <c r="J35" s="322">
        <v>16.2</v>
      </c>
      <c r="K35" s="317">
        <f t="shared" si="1"/>
        <v>200</v>
      </c>
      <c r="L35" s="233">
        <v>200</v>
      </c>
      <c r="M35" s="233"/>
      <c r="N35" s="232" t="e">
        <f>IF(L35="nio",0,IF(L35&gt;0,L35*J35/P35,0))*VLOOKUP(B35,'2-Kosten per locatie'!$A$14:$C$22,3,FALSE)</f>
        <v>#DIV/0!</v>
      </c>
      <c r="O35" s="232">
        <f>IF(M35&gt;0,M35*J35/Q35,0)*VLOOKUP(B35,'2-Kosten per locatie'!$A$15:$C$22,3,FALSE)</f>
        <v>0</v>
      </c>
      <c r="P35" s="318">
        <f>IF(L35="nio",0,IF(L35&gt;0,VLOOKUP(H35,'3-Productie normen'!A:J,VLOOKUP(L35,'3-Productie normen'!$B$32:$C$34,2,FALSE),FALSE)))</f>
        <v>0</v>
      </c>
      <c r="Q35" s="318">
        <f t="shared" si="2"/>
        <v>0</v>
      </c>
      <c r="R35" s="319" t="str">
        <f>VLOOKUP(H35,'3-Productie normen'!A:L,9,FALSE)</f>
        <v>B</v>
      </c>
      <c r="S35" s="319"/>
      <c r="U35" s="320">
        <f t="shared" si="0"/>
        <v>3240</v>
      </c>
    </row>
    <row r="36" spans="1:21" ht="14.1" customHeight="1">
      <c r="A36" s="478">
        <v>36</v>
      </c>
      <c r="B36" s="285" t="s">
        <v>201</v>
      </c>
      <c r="C36" s="285" t="s">
        <v>202</v>
      </c>
      <c r="D36" s="285" t="s">
        <v>203</v>
      </c>
      <c r="E36" s="314" t="s">
        <v>204</v>
      </c>
      <c r="F36" s="315" t="s">
        <v>261</v>
      </c>
      <c r="G36" s="68" t="s">
        <v>216</v>
      </c>
      <c r="H36" s="68" t="s">
        <v>217</v>
      </c>
      <c r="I36" s="68" t="s">
        <v>262</v>
      </c>
      <c r="J36" s="322">
        <v>2.6</v>
      </c>
      <c r="K36" s="317">
        <f t="shared" si="1"/>
        <v>200</v>
      </c>
      <c r="L36" s="233">
        <v>200</v>
      </c>
      <c r="M36" s="233"/>
      <c r="N36" s="232" t="e">
        <f>IF(L36="nio",0,IF(L36&gt;0,L36*J36/P36,0))*VLOOKUP(B36,'2-Kosten per locatie'!$A$14:$C$22,3,FALSE)</f>
        <v>#DIV/0!</v>
      </c>
      <c r="O36" s="232">
        <f>IF(M36&gt;0,M36*J36/Q36,0)*VLOOKUP(B36,'2-Kosten per locatie'!$A$15:$C$22,3,FALSE)</f>
        <v>0</v>
      </c>
      <c r="P36" s="318">
        <f>IF(L36="nio",0,IF(L36&gt;0,VLOOKUP(H36,'3-Productie normen'!A:J,VLOOKUP(L36,'3-Productie normen'!$B$32:$C$34,2,FALSE),FALSE)))</f>
        <v>0</v>
      </c>
      <c r="Q36" s="318">
        <f t="shared" si="2"/>
        <v>0</v>
      </c>
      <c r="R36" s="319" t="str">
        <f>VLOOKUP(H36,'3-Productie normen'!A:L,9,FALSE)</f>
        <v>S</v>
      </c>
      <c r="S36" s="319"/>
      <c r="U36" s="320">
        <f t="shared" si="0"/>
        <v>520</v>
      </c>
    </row>
    <row r="37" spans="1:21" ht="14.1" customHeight="1">
      <c r="A37" s="478">
        <v>37</v>
      </c>
      <c r="B37" s="285" t="s">
        <v>201</v>
      </c>
      <c r="C37" s="285" t="s">
        <v>202</v>
      </c>
      <c r="D37" s="285" t="s">
        <v>203</v>
      </c>
      <c r="E37" s="314" t="s">
        <v>204</v>
      </c>
      <c r="F37" s="315" t="s">
        <v>263</v>
      </c>
      <c r="G37" s="68" t="s">
        <v>264</v>
      </c>
      <c r="H37" s="68" t="s">
        <v>220</v>
      </c>
      <c r="I37" s="68" t="s">
        <v>211</v>
      </c>
      <c r="J37" s="322">
        <v>111.5</v>
      </c>
      <c r="K37" s="317">
        <f t="shared" si="1"/>
        <v>200</v>
      </c>
      <c r="L37" s="233">
        <v>200</v>
      </c>
      <c r="M37" s="233"/>
      <c r="N37" s="232" t="e">
        <f>IF(L37="nio",0,IF(L37&gt;0,L37*J37/P37,0))*VLOOKUP(B37,'2-Kosten per locatie'!$A$14:$C$22,3,FALSE)</f>
        <v>#DIV/0!</v>
      </c>
      <c r="O37" s="232">
        <f>IF(M37&gt;0,M37*J37/Q37,0)*VLOOKUP(B37,'2-Kosten per locatie'!$A$15:$C$22,3,FALSE)</f>
        <v>0</v>
      </c>
      <c r="P37" s="318">
        <f>IF(L37="nio",0,IF(L37&gt;0,VLOOKUP(H37,'3-Productie normen'!A:J,VLOOKUP(L37,'3-Productie normen'!$B$32:$C$34,2,FALSE),FALSE)))</f>
        <v>0</v>
      </c>
      <c r="Q37" s="318">
        <f t="shared" si="2"/>
        <v>0</v>
      </c>
      <c r="R37" s="319" t="str">
        <f>VLOOKUP(H37,'3-Productie normen'!A:L,9,FALSE)</f>
        <v>V</v>
      </c>
      <c r="S37" s="319"/>
      <c r="U37" s="320">
        <f t="shared" si="0"/>
        <v>22300</v>
      </c>
    </row>
    <row r="38" spans="1:21" ht="14.1" customHeight="1">
      <c r="A38" s="478">
        <v>38</v>
      </c>
      <c r="B38" s="285" t="s">
        <v>201</v>
      </c>
      <c r="C38" s="285" t="s">
        <v>202</v>
      </c>
      <c r="D38" s="285" t="s">
        <v>203</v>
      </c>
      <c r="E38" s="314" t="s">
        <v>204</v>
      </c>
      <c r="F38" s="315" t="s">
        <v>265</v>
      </c>
      <c r="G38" s="68" t="s">
        <v>225</v>
      </c>
      <c r="H38" s="68" t="s">
        <v>217</v>
      </c>
      <c r="I38" s="68" t="s">
        <v>266</v>
      </c>
      <c r="J38" s="322">
        <v>5.6</v>
      </c>
      <c r="K38" s="317">
        <f t="shared" si="1"/>
        <v>200</v>
      </c>
      <c r="L38" s="233">
        <v>200</v>
      </c>
      <c r="M38" s="233"/>
      <c r="N38" s="232" t="e">
        <f>IF(L38="nio",0,IF(L38&gt;0,L38*J38/P38,0))*VLOOKUP(B38,'2-Kosten per locatie'!$A$14:$C$22,3,FALSE)</f>
        <v>#DIV/0!</v>
      </c>
      <c r="O38" s="232">
        <f>IF(M38&gt;0,M38*J38/Q38,0)*VLOOKUP(B38,'2-Kosten per locatie'!$A$15:$C$22,3,FALSE)</f>
        <v>0</v>
      </c>
      <c r="P38" s="318">
        <f>IF(L38="nio",0,IF(L38&gt;0,VLOOKUP(H38,'3-Productie normen'!A:J,VLOOKUP(L38,'3-Productie normen'!$B$32:$C$34,2,FALSE),FALSE)))</f>
        <v>0</v>
      </c>
      <c r="Q38" s="318">
        <f t="shared" si="2"/>
        <v>0</v>
      </c>
      <c r="R38" s="319" t="str">
        <f>VLOOKUP(H38,'3-Productie normen'!A:L,9,FALSE)</f>
        <v>S</v>
      </c>
      <c r="S38" s="319"/>
      <c r="U38" s="320">
        <f t="shared" si="0"/>
        <v>1120</v>
      </c>
    </row>
    <row r="39" spans="1:21" ht="14.1" customHeight="1">
      <c r="A39" s="478">
        <v>39</v>
      </c>
      <c r="B39" s="285" t="s">
        <v>201</v>
      </c>
      <c r="C39" s="285" t="s">
        <v>202</v>
      </c>
      <c r="D39" s="285" t="s">
        <v>254</v>
      </c>
      <c r="E39" s="314" t="s">
        <v>204</v>
      </c>
      <c r="F39" s="315" t="s">
        <v>267</v>
      </c>
      <c r="G39" s="68" t="s">
        <v>227</v>
      </c>
      <c r="H39" s="68" t="s">
        <v>227</v>
      </c>
      <c r="I39" s="68" t="s">
        <v>268</v>
      </c>
      <c r="J39" s="322">
        <v>74.56</v>
      </c>
      <c r="K39" s="317">
        <f t="shared" si="1"/>
        <v>200</v>
      </c>
      <c r="L39" s="233">
        <v>200</v>
      </c>
      <c r="M39" s="233"/>
      <c r="N39" s="232" t="e">
        <f>IF(L39="nio",0,IF(L39&gt;0,L39*J39/P39,0))*VLOOKUP(B39,'2-Kosten per locatie'!$A$14:$C$22,3,FALSE)</f>
        <v>#DIV/0!</v>
      </c>
      <c r="O39" s="232">
        <f>IF(M39&gt;0,M39*J39/Q39,0)*VLOOKUP(B39,'2-Kosten per locatie'!$A$15:$C$22,3,FALSE)</f>
        <v>0</v>
      </c>
      <c r="P39" s="318">
        <f>IF(L39="nio",0,IF(L39&gt;0,VLOOKUP(H39,'3-Productie normen'!A:J,VLOOKUP(L39,'3-Productie normen'!$B$32:$C$34,2,FALSE),FALSE)))</f>
        <v>0</v>
      </c>
      <c r="Q39" s="318">
        <f t="shared" si="2"/>
        <v>0</v>
      </c>
      <c r="R39" s="319" t="str">
        <f>VLOOKUP(H39,'3-Productie normen'!A:L,9,FALSE)</f>
        <v>V</v>
      </c>
      <c r="S39" s="319"/>
      <c r="U39" s="320">
        <f t="shared" si="0"/>
        <v>14912</v>
      </c>
    </row>
    <row r="40" spans="1:21" ht="14.1" customHeight="1">
      <c r="A40" s="478">
        <v>40</v>
      </c>
      <c r="B40" s="285" t="s">
        <v>201</v>
      </c>
      <c r="C40" s="285" t="s">
        <v>202</v>
      </c>
      <c r="D40" s="285" t="s">
        <v>254</v>
      </c>
      <c r="E40" s="314" t="s">
        <v>204</v>
      </c>
      <c r="F40" s="315" t="s">
        <v>267</v>
      </c>
      <c r="G40" s="68" t="s">
        <v>227</v>
      </c>
      <c r="H40" s="68" t="s">
        <v>227</v>
      </c>
      <c r="I40" s="68" t="s">
        <v>268</v>
      </c>
      <c r="J40" s="322">
        <v>18.739999999999998</v>
      </c>
      <c r="K40" s="317">
        <f t="shared" si="1"/>
        <v>200</v>
      </c>
      <c r="L40" s="233">
        <v>200</v>
      </c>
      <c r="M40" s="233"/>
      <c r="N40" s="232" t="e">
        <f>IF(L40="nio",0,IF(L40&gt;0,L40*J40/P40,0))*VLOOKUP(B40,'2-Kosten per locatie'!$A$14:$C$22,3,FALSE)</f>
        <v>#DIV/0!</v>
      </c>
      <c r="O40" s="232">
        <f>IF(M40&gt;0,M40*J40/Q40,0)*VLOOKUP(B40,'2-Kosten per locatie'!$A$15:$C$22,3,FALSE)</f>
        <v>0</v>
      </c>
      <c r="P40" s="318">
        <f>IF(L40="nio",0,IF(L40&gt;0,VLOOKUP(H40,'3-Productie normen'!A:J,VLOOKUP(L40,'3-Productie normen'!$B$32:$C$34,2,FALSE),FALSE)))</f>
        <v>0</v>
      </c>
      <c r="Q40" s="318">
        <f t="shared" si="2"/>
        <v>0</v>
      </c>
      <c r="R40" s="319" t="str">
        <f>VLOOKUP(H40,'3-Productie normen'!A:L,9,FALSE)</f>
        <v>V</v>
      </c>
      <c r="S40" s="319"/>
      <c r="U40" s="320">
        <f t="shared" si="0"/>
        <v>3747.9999999999995</v>
      </c>
    </row>
    <row r="41" spans="1:21" ht="14.1" customHeight="1">
      <c r="A41" s="478">
        <v>41</v>
      </c>
      <c r="B41" s="285" t="s">
        <v>201</v>
      </c>
      <c r="C41" s="285" t="s">
        <v>202</v>
      </c>
      <c r="D41" s="285" t="s">
        <v>269</v>
      </c>
      <c r="E41" s="314" t="s">
        <v>204</v>
      </c>
      <c r="F41" s="315" t="s">
        <v>270</v>
      </c>
      <c r="G41" s="68" t="s">
        <v>231</v>
      </c>
      <c r="H41" s="68" t="s">
        <v>228</v>
      </c>
      <c r="I41" s="68" t="s">
        <v>211</v>
      </c>
      <c r="J41" s="322">
        <v>90</v>
      </c>
      <c r="K41" s="317">
        <f t="shared" si="1"/>
        <v>200</v>
      </c>
      <c r="L41" s="233">
        <v>200</v>
      </c>
      <c r="M41" s="233"/>
      <c r="N41" s="232" t="e">
        <f>IF(L41="nio",0,IF(L41&gt;0,L41*J41/P41,0))*VLOOKUP(B41,'2-Kosten per locatie'!$A$14:$C$22,3,FALSE)</f>
        <v>#DIV/0!</v>
      </c>
      <c r="O41" s="232">
        <f>IF(M41&gt;0,M41*J41/Q41,0)*VLOOKUP(B41,'2-Kosten per locatie'!$A$15:$C$22,3,FALSE)</f>
        <v>0</v>
      </c>
      <c r="P41" s="318">
        <f>IF(L41="nio",0,IF(L41&gt;0,VLOOKUP(H41,'3-Productie normen'!A:J,VLOOKUP(L41,'3-Productie normen'!$B$32:$C$34,2,FALSE),FALSE)))</f>
        <v>0</v>
      </c>
      <c r="Q41" s="318">
        <f t="shared" si="2"/>
        <v>0</v>
      </c>
      <c r="R41" s="319" t="str">
        <f>VLOOKUP(H41,'3-Productie normen'!A:L,9,FALSE)</f>
        <v>L</v>
      </c>
      <c r="S41" s="319"/>
      <c r="U41" s="320">
        <f t="shared" si="0"/>
        <v>18000</v>
      </c>
    </row>
    <row r="42" spans="1:21" ht="14.1" customHeight="1">
      <c r="A42" s="478">
        <v>42</v>
      </c>
      <c r="B42" s="285" t="s">
        <v>201</v>
      </c>
      <c r="C42" s="285" t="s">
        <v>202</v>
      </c>
      <c r="D42" s="285" t="s">
        <v>254</v>
      </c>
      <c r="E42" s="314" t="s">
        <v>204</v>
      </c>
      <c r="F42" s="315" t="s">
        <v>271</v>
      </c>
      <c r="G42" s="68" t="s">
        <v>213</v>
      </c>
      <c r="H42" s="68" t="s">
        <v>214</v>
      </c>
      <c r="I42" s="68" t="s">
        <v>211</v>
      </c>
      <c r="J42" s="322">
        <v>50</v>
      </c>
      <c r="K42" s="317">
        <f t="shared" si="1"/>
        <v>200</v>
      </c>
      <c r="L42" s="233">
        <v>200</v>
      </c>
      <c r="M42" s="233"/>
      <c r="N42" s="232" t="e">
        <f>IF(L42="nio",0,IF(L42&gt;0,L42*J42/P42,0))*VLOOKUP(B42,'2-Kosten per locatie'!$A$14:$C$22,3,FALSE)</f>
        <v>#DIV/0!</v>
      </c>
      <c r="O42" s="232">
        <f>IF(M42&gt;0,M42*J42/Q42,0)*VLOOKUP(B42,'2-Kosten per locatie'!$A$15:$C$22,3,FALSE)</f>
        <v>0</v>
      </c>
      <c r="P42" s="318">
        <f>IF(L42="nio",0,IF(L42&gt;0,VLOOKUP(H42,'3-Productie normen'!A:J,VLOOKUP(L42,'3-Productie normen'!$B$32:$C$34,2,FALSE),FALSE)))</f>
        <v>0</v>
      </c>
      <c r="Q42" s="318">
        <f t="shared" si="2"/>
        <v>0</v>
      </c>
      <c r="R42" s="319" t="str">
        <f>VLOOKUP(H42,'3-Productie normen'!A:L,9,FALSE)</f>
        <v>B</v>
      </c>
      <c r="S42" s="319"/>
      <c r="U42" s="320">
        <f t="shared" ref="U42:U73" si="3">K42*J42</f>
        <v>10000</v>
      </c>
    </row>
    <row r="43" spans="1:21" ht="14.1" customHeight="1">
      <c r="A43" s="478">
        <v>43</v>
      </c>
      <c r="B43" s="285" t="s">
        <v>201</v>
      </c>
      <c r="C43" s="285" t="s">
        <v>202</v>
      </c>
      <c r="D43" s="285" t="s">
        <v>203</v>
      </c>
      <c r="E43" s="314" t="s">
        <v>204</v>
      </c>
      <c r="F43" s="315" t="s">
        <v>272</v>
      </c>
      <c r="G43" s="68" t="s">
        <v>40</v>
      </c>
      <c r="H43" s="68" t="s">
        <v>235</v>
      </c>
      <c r="I43" s="68" t="s">
        <v>211</v>
      </c>
      <c r="J43" s="322">
        <v>16.2</v>
      </c>
      <c r="K43" s="317">
        <f t="shared" si="1"/>
        <v>200</v>
      </c>
      <c r="L43" s="233">
        <v>200</v>
      </c>
      <c r="M43" s="233"/>
      <c r="N43" s="232" t="e">
        <f>IF(L43="nio",0,IF(L43&gt;0,L43*J43/P43,0))*VLOOKUP(B43,'2-Kosten per locatie'!$A$14:$C$22,3,FALSE)</f>
        <v>#DIV/0!</v>
      </c>
      <c r="O43" s="232">
        <f>IF(M43&gt;0,M43*J43/Q43,0)*VLOOKUP(B43,'2-Kosten per locatie'!$A$15:$C$22,3,FALSE)</f>
        <v>0</v>
      </c>
      <c r="P43" s="318">
        <f>IF(L43="nio",0,IF(L43&gt;0,VLOOKUP(H43,'3-Productie normen'!A:J,VLOOKUP(L43,'3-Productie normen'!$B$32:$C$34,2,FALSE),FALSE)))</f>
        <v>0</v>
      </c>
      <c r="Q43" s="318">
        <f t="shared" si="2"/>
        <v>0</v>
      </c>
      <c r="R43" s="319" t="str">
        <f>VLOOKUP(H43,'3-Productie normen'!A:L,9,FALSE)</f>
        <v>V</v>
      </c>
      <c r="S43" s="319"/>
      <c r="U43" s="320">
        <f t="shared" si="3"/>
        <v>3240</v>
      </c>
    </row>
    <row r="44" spans="1:21" ht="14.1" customHeight="1">
      <c r="A44" s="478">
        <v>44</v>
      </c>
      <c r="B44" s="285" t="s">
        <v>201</v>
      </c>
      <c r="C44" s="285" t="s">
        <v>202</v>
      </c>
      <c r="D44" s="285" t="s">
        <v>258</v>
      </c>
      <c r="E44" s="314" t="s">
        <v>204</v>
      </c>
      <c r="F44" s="315" t="s">
        <v>273</v>
      </c>
      <c r="G44" s="68" t="s">
        <v>213</v>
      </c>
      <c r="H44" s="68" t="s">
        <v>214</v>
      </c>
      <c r="I44" s="68" t="s">
        <v>211</v>
      </c>
      <c r="J44" s="322">
        <v>24.5</v>
      </c>
      <c r="K44" s="317">
        <f t="shared" si="1"/>
        <v>200</v>
      </c>
      <c r="L44" s="233">
        <v>200</v>
      </c>
      <c r="M44" s="233"/>
      <c r="N44" s="232" t="e">
        <f>IF(L44="nio",0,IF(L44&gt;0,L44*J44/P44,0))*VLOOKUP(B44,'2-Kosten per locatie'!$A$14:$C$22,3,FALSE)</f>
        <v>#DIV/0!</v>
      </c>
      <c r="O44" s="232">
        <f>IF(M44&gt;0,M44*J44/Q44,0)*VLOOKUP(B44,'2-Kosten per locatie'!$A$15:$C$22,3,FALSE)</f>
        <v>0</v>
      </c>
      <c r="P44" s="318">
        <f>IF(L44="nio",0,IF(L44&gt;0,VLOOKUP(H44,'3-Productie normen'!A:J,VLOOKUP(L44,'3-Productie normen'!$B$32:$C$34,2,FALSE),FALSE)))</f>
        <v>0</v>
      </c>
      <c r="Q44" s="318">
        <f t="shared" si="2"/>
        <v>0</v>
      </c>
      <c r="R44" s="319" t="str">
        <f>VLOOKUP(H44,'3-Productie normen'!A:L,9,FALSE)</f>
        <v>B</v>
      </c>
      <c r="S44" s="319"/>
      <c r="U44" s="320">
        <f t="shared" si="3"/>
        <v>4900</v>
      </c>
    </row>
    <row r="45" spans="1:21" ht="14.1" customHeight="1">
      <c r="A45" s="478">
        <v>45</v>
      </c>
      <c r="B45" s="285" t="s">
        <v>201</v>
      </c>
      <c r="C45" s="285" t="s">
        <v>202</v>
      </c>
      <c r="D45" s="285" t="s">
        <v>203</v>
      </c>
      <c r="E45" s="314" t="s">
        <v>204</v>
      </c>
      <c r="F45" s="315" t="s">
        <v>274</v>
      </c>
      <c r="G45" s="285" t="s">
        <v>238</v>
      </c>
      <c r="H45" s="285" t="s">
        <v>239</v>
      </c>
      <c r="I45" s="68" t="s">
        <v>211</v>
      </c>
      <c r="J45" s="316">
        <v>16.2</v>
      </c>
      <c r="K45" s="317">
        <f t="shared" si="1"/>
        <v>200</v>
      </c>
      <c r="L45" s="233">
        <v>200</v>
      </c>
      <c r="M45" s="233"/>
      <c r="N45" s="232" t="e">
        <f>IF(L45="nio",0,IF(L45&gt;0,L45*J45/P45,0))*VLOOKUP(B45,'2-Kosten per locatie'!$A$14:$C$22,3,FALSE)</f>
        <v>#DIV/0!</v>
      </c>
      <c r="O45" s="232">
        <f>IF(M45&gt;0,M45*J45/Q45,0)*VLOOKUP(B45,'2-Kosten per locatie'!$A$15:$C$22,3,FALSE)</f>
        <v>0</v>
      </c>
      <c r="P45" s="318">
        <f>IF(L45="nio",0,IF(L45&gt;0,VLOOKUP(H45,'3-Productie normen'!A:J,VLOOKUP(L45,'3-Productie normen'!$B$32:$C$34,2,FALSE),FALSE)))</f>
        <v>0</v>
      </c>
      <c r="Q45" s="318">
        <f t="shared" si="2"/>
        <v>0</v>
      </c>
      <c r="R45" s="319" t="str">
        <f>VLOOKUP(H45,'3-Productie normen'!A:L,9,FALSE)</f>
        <v>V</v>
      </c>
      <c r="S45" s="319"/>
      <c r="U45" s="320">
        <f t="shared" si="3"/>
        <v>3240</v>
      </c>
    </row>
    <row r="46" spans="1:21" ht="14.1" customHeight="1">
      <c r="A46" s="478">
        <v>46</v>
      </c>
      <c r="B46" s="285" t="s">
        <v>201</v>
      </c>
      <c r="C46" s="285" t="s">
        <v>202</v>
      </c>
      <c r="D46" s="285" t="s">
        <v>207</v>
      </c>
      <c r="E46" s="314" t="s">
        <v>204</v>
      </c>
      <c r="F46" s="315" t="s">
        <v>275</v>
      </c>
      <c r="G46" s="285" t="s">
        <v>233</v>
      </c>
      <c r="H46" s="285" t="s">
        <v>228</v>
      </c>
      <c r="I46" s="68" t="s">
        <v>211</v>
      </c>
      <c r="J46" s="316">
        <v>58.4</v>
      </c>
      <c r="K46" s="317">
        <f t="shared" si="1"/>
        <v>200</v>
      </c>
      <c r="L46" s="233">
        <v>200</v>
      </c>
      <c r="M46" s="233"/>
      <c r="N46" s="232" t="e">
        <f>IF(L46="nio",0,IF(L46&gt;0,L46*J46/P46,0))*VLOOKUP(B46,'2-Kosten per locatie'!$A$14:$C$22,3,FALSE)</f>
        <v>#DIV/0!</v>
      </c>
      <c r="O46" s="232">
        <f>IF(M46&gt;0,M46*J46/Q46,0)*VLOOKUP(B46,'2-Kosten per locatie'!$A$15:$C$22,3,FALSE)</f>
        <v>0</v>
      </c>
      <c r="P46" s="318">
        <f>IF(L46="nio",0,IF(L46&gt;0,VLOOKUP(H46,'3-Productie normen'!A:J,VLOOKUP(L46,'3-Productie normen'!$B$32:$C$34,2,FALSE),FALSE)))</f>
        <v>0</v>
      </c>
      <c r="Q46" s="318">
        <f t="shared" si="2"/>
        <v>0</v>
      </c>
      <c r="R46" s="319" t="str">
        <f>VLOOKUP(H46,'3-Productie normen'!A:L,9,FALSE)</f>
        <v>L</v>
      </c>
      <c r="S46" s="319"/>
      <c r="U46" s="320">
        <f t="shared" si="3"/>
        <v>11680</v>
      </c>
    </row>
    <row r="47" spans="1:21" ht="14.1" customHeight="1">
      <c r="A47" s="478">
        <v>47</v>
      </c>
      <c r="B47" s="285" t="s">
        <v>201</v>
      </c>
      <c r="C47" s="285" t="s">
        <v>202</v>
      </c>
      <c r="D47" s="285" t="s">
        <v>258</v>
      </c>
      <c r="E47" s="314" t="s">
        <v>204</v>
      </c>
      <c r="F47" s="315" t="s">
        <v>276</v>
      </c>
      <c r="G47" s="285" t="s">
        <v>233</v>
      </c>
      <c r="H47" s="285" t="s">
        <v>228</v>
      </c>
      <c r="I47" s="68" t="s">
        <v>277</v>
      </c>
      <c r="J47" s="316">
        <v>60.7</v>
      </c>
      <c r="K47" s="317">
        <f t="shared" si="1"/>
        <v>200</v>
      </c>
      <c r="L47" s="233">
        <v>200</v>
      </c>
      <c r="M47" s="233"/>
      <c r="N47" s="232" t="e">
        <f>IF(L47="nio",0,IF(L47&gt;0,L47*J47/P47,0))*VLOOKUP(B47,'2-Kosten per locatie'!$A$14:$C$22,3,FALSE)</f>
        <v>#DIV/0!</v>
      </c>
      <c r="O47" s="232">
        <f>IF(M47&gt;0,M47*J47/Q47,0)*VLOOKUP(B47,'2-Kosten per locatie'!$A$15:$C$22,3,FALSE)</f>
        <v>0</v>
      </c>
      <c r="P47" s="318">
        <f>IF(L47="nio",0,IF(L47&gt;0,VLOOKUP(H47,'3-Productie normen'!A:J,VLOOKUP(L47,'3-Productie normen'!$B$32:$C$34,2,FALSE),FALSE)))</f>
        <v>0</v>
      </c>
      <c r="Q47" s="318">
        <f t="shared" si="2"/>
        <v>0</v>
      </c>
      <c r="R47" s="319" t="str">
        <f>VLOOKUP(H47,'3-Productie normen'!A:L,9,FALSE)</f>
        <v>L</v>
      </c>
      <c r="S47" s="319"/>
      <c r="U47" s="320">
        <f t="shared" si="3"/>
        <v>12140</v>
      </c>
    </row>
    <row r="48" spans="1:21" ht="14.1" customHeight="1">
      <c r="A48" s="478">
        <v>48</v>
      </c>
      <c r="B48" s="285" t="s">
        <v>201</v>
      </c>
      <c r="C48" s="285" t="s">
        <v>202</v>
      </c>
      <c r="D48" s="285" t="s">
        <v>203</v>
      </c>
      <c r="E48" s="314" t="s">
        <v>204</v>
      </c>
      <c r="F48" s="315" t="s">
        <v>278</v>
      </c>
      <c r="G48" s="68" t="s">
        <v>39</v>
      </c>
      <c r="H48" s="68" t="s">
        <v>206</v>
      </c>
      <c r="I48" s="68" t="s">
        <v>184</v>
      </c>
      <c r="J48" s="316">
        <v>5.0999999999999996</v>
      </c>
      <c r="K48" s="317">
        <f t="shared" si="1"/>
        <v>200</v>
      </c>
      <c r="L48" s="233">
        <v>200</v>
      </c>
      <c r="M48" s="233"/>
      <c r="N48" s="232" t="e">
        <f>IF(L48="nio",0,IF(L48&gt;0,L48*J48/P48,0))*VLOOKUP(B48,'2-Kosten per locatie'!$A$14:$C$22,3,FALSE)</f>
        <v>#DIV/0!</v>
      </c>
      <c r="O48" s="232">
        <f>IF(M48&gt;0,M48*J48/Q48,0)*VLOOKUP(B48,'2-Kosten per locatie'!$A$15:$C$22,3,FALSE)</f>
        <v>0</v>
      </c>
      <c r="P48" s="318">
        <f>IF(L48="nio",0,IF(L48&gt;0,VLOOKUP(H48,'3-Productie normen'!A:J,VLOOKUP(L48,'3-Productie normen'!$B$32:$C$34,2,FALSE),FALSE)))</f>
        <v>0</v>
      </c>
      <c r="Q48" s="318">
        <f t="shared" si="2"/>
        <v>0</v>
      </c>
      <c r="R48" s="319" t="str">
        <f>VLOOKUP(H48,'3-Productie normen'!A:L,9,FALSE)</f>
        <v>V</v>
      </c>
      <c r="S48" s="319"/>
      <c r="U48" s="320">
        <f t="shared" si="3"/>
        <v>1019.9999999999999</v>
      </c>
    </row>
    <row r="49" spans="1:21" ht="14.1" customHeight="1">
      <c r="A49" s="478">
        <v>49</v>
      </c>
      <c r="B49" s="285" t="s">
        <v>201</v>
      </c>
      <c r="C49" s="285" t="s">
        <v>202</v>
      </c>
      <c r="D49" s="285" t="s">
        <v>258</v>
      </c>
      <c r="E49" s="314" t="s">
        <v>204</v>
      </c>
      <c r="F49" s="315" t="s">
        <v>279</v>
      </c>
      <c r="G49" s="68" t="s">
        <v>280</v>
      </c>
      <c r="H49" s="68" t="s">
        <v>217</v>
      </c>
      <c r="I49" s="68" t="s">
        <v>262</v>
      </c>
      <c r="J49" s="316">
        <v>10.9</v>
      </c>
      <c r="K49" s="317">
        <f t="shared" si="1"/>
        <v>200</v>
      </c>
      <c r="L49" s="233">
        <v>200</v>
      </c>
      <c r="M49" s="233"/>
      <c r="N49" s="232" t="e">
        <f>IF(L49="nio",0,IF(L49&gt;0,L49*J49/P49,0))*VLOOKUP(B49,'2-Kosten per locatie'!$A$14:$C$22,3,FALSE)</f>
        <v>#DIV/0!</v>
      </c>
      <c r="O49" s="232">
        <f>IF(M49&gt;0,M49*J49/Q49,0)*VLOOKUP(B49,'2-Kosten per locatie'!$A$15:$C$22,3,FALSE)</f>
        <v>0</v>
      </c>
      <c r="P49" s="318">
        <f>IF(L49="nio",0,IF(L49&gt;0,VLOOKUP(H49,'3-Productie normen'!A:J,VLOOKUP(L49,'3-Productie normen'!$B$32:$C$34,2,FALSE),FALSE)))</f>
        <v>0</v>
      </c>
      <c r="Q49" s="318">
        <f t="shared" si="2"/>
        <v>0</v>
      </c>
      <c r="R49" s="319" t="str">
        <f>VLOOKUP(H49,'3-Productie normen'!A:L,9,FALSE)</f>
        <v>S</v>
      </c>
      <c r="S49" s="319"/>
      <c r="U49" s="320">
        <f t="shared" si="3"/>
        <v>2180</v>
      </c>
    </row>
    <row r="50" spans="1:21" ht="14.1" customHeight="1">
      <c r="A50" s="478">
        <v>50</v>
      </c>
      <c r="B50" s="285" t="s">
        <v>201</v>
      </c>
      <c r="C50" s="285" t="s">
        <v>202</v>
      </c>
      <c r="D50" s="285" t="s">
        <v>281</v>
      </c>
      <c r="E50" s="314" t="s">
        <v>204</v>
      </c>
      <c r="F50" s="315" t="s">
        <v>282</v>
      </c>
      <c r="G50" s="68" t="s">
        <v>283</v>
      </c>
      <c r="H50" s="68" t="s">
        <v>206</v>
      </c>
      <c r="I50" s="68" t="s">
        <v>284</v>
      </c>
      <c r="J50" s="316">
        <v>2.6</v>
      </c>
      <c r="K50" s="317">
        <f t="shared" si="1"/>
        <v>200</v>
      </c>
      <c r="L50" s="233">
        <v>200</v>
      </c>
      <c r="M50" s="233"/>
      <c r="N50" s="232" t="e">
        <f>IF(L50="nio",0,IF(L50&gt;0,L50*J50/P50,0))*VLOOKUP(B50,'2-Kosten per locatie'!$A$14:$C$22,3,FALSE)</f>
        <v>#DIV/0!</v>
      </c>
      <c r="O50" s="232">
        <f>IF(M50&gt;0,M50*J50/Q50,0)*VLOOKUP(B50,'2-Kosten per locatie'!$A$15:$C$22,3,FALSE)</f>
        <v>0</v>
      </c>
      <c r="P50" s="318">
        <f>IF(L50="nio",0,IF(L50&gt;0,VLOOKUP(H50,'3-Productie normen'!A:J,VLOOKUP(L50,'3-Productie normen'!$B$32:$C$34,2,FALSE),FALSE)))</f>
        <v>0</v>
      </c>
      <c r="Q50" s="318">
        <f t="shared" si="2"/>
        <v>0</v>
      </c>
      <c r="R50" s="319" t="str">
        <f>VLOOKUP(H50,'3-Productie normen'!A:L,9,FALSE)</f>
        <v>V</v>
      </c>
      <c r="S50" s="319"/>
      <c r="U50" s="320">
        <f t="shared" si="3"/>
        <v>520</v>
      </c>
    </row>
    <row r="51" spans="1:21" ht="14.1" customHeight="1">
      <c r="A51" s="478">
        <v>51</v>
      </c>
      <c r="B51" s="285" t="s">
        <v>201</v>
      </c>
      <c r="C51" s="285" t="s">
        <v>202</v>
      </c>
      <c r="D51" s="285" t="s">
        <v>203</v>
      </c>
      <c r="E51" s="314" t="s">
        <v>204</v>
      </c>
      <c r="F51" s="315" t="s">
        <v>285</v>
      </c>
      <c r="G51" s="68" t="s">
        <v>216</v>
      </c>
      <c r="H51" s="68" t="s">
        <v>217</v>
      </c>
      <c r="I51" s="68" t="s">
        <v>266</v>
      </c>
      <c r="J51" s="316">
        <v>4.7</v>
      </c>
      <c r="K51" s="317">
        <f t="shared" si="1"/>
        <v>200</v>
      </c>
      <c r="L51" s="233">
        <v>200</v>
      </c>
      <c r="M51" s="233"/>
      <c r="N51" s="232" t="e">
        <f>IF(L51="nio",0,IF(L51&gt;0,L51*J51/P51,0))*VLOOKUP(B51,'2-Kosten per locatie'!$A$14:$C$22,3,FALSE)</f>
        <v>#DIV/0!</v>
      </c>
      <c r="O51" s="232">
        <f>IF(M51&gt;0,M51*J51/Q51,0)*VLOOKUP(B51,'2-Kosten per locatie'!$A$15:$C$22,3,FALSE)</f>
        <v>0</v>
      </c>
      <c r="P51" s="318">
        <f>IF(L51="nio",0,IF(L51&gt;0,VLOOKUP(H51,'3-Productie normen'!A:J,VLOOKUP(L51,'3-Productie normen'!$B$32:$C$34,2,FALSE),FALSE)))</f>
        <v>0</v>
      </c>
      <c r="Q51" s="318">
        <f t="shared" si="2"/>
        <v>0</v>
      </c>
      <c r="R51" s="319" t="str">
        <f>VLOOKUP(H51,'3-Productie normen'!A:L,9,FALSE)</f>
        <v>S</v>
      </c>
      <c r="S51" s="319"/>
      <c r="U51" s="320">
        <f t="shared" si="3"/>
        <v>940</v>
      </c>
    </row>
    <row r="52" spans="1:21" ht="14.1" customHeight="1">
      <c r="A52" s="478">
        <v>52</v>
      </c>
      <c r="B52" s="285" t="s">
        <v>201</v>
      </c>
      <c r="C52" s="285" t="s">
        <v>202</v>
      </c>
      <c r="D52" s="285" t="s">
        <v>207</v>
      </c>
      <c r="E52" s="314" t="s">
        <v>286</v>
      </c>
      <c r="F52" s="315" t="s">
        <v>287</v>
      </c>
      <c r="G52" s="323" t="s">
        <v>233</v>
      </c>
      <c r="H52" s="323" t="s">
        <v>228</v>
      </c>
      <c r="I52" s="68" t="s">
        <v>211</v>
      </c>
      <c r="J52" s="316">
        <v>54.1</v>
      </c>
      <c r="K52" s="317">
        <f t="shared" si="1"/>
        <v>200</v>
      </c>
      <c r="L52" s="233">
        <v>200</v>
      </c>
      <c r="M52" s="233"/>
      <c r="N52" s="232" t="e">
        <f>IF(L52="nio",0,IF(L52&gt;0,L52*J52/P52,0))*VLOOKUP(B52,'2-Kosten per locatie'!$A$14:$C$22,3,FALSE)</f>
        <v>#DIV/0!</v>
      </c>
      <c r="O52" s="232">
        <f>IF(M52&gt;0,M52*J52/Q52,0)*VLOOKUP(B52,'2-Kosten per locatie'!$A$15:$C$22,3,FALSE)</f>
        <v>0</v>
      </c>
      <c r="P52" s="318">
        <f>IF(L52="nio",0,IF(L52&gt;0,VLOOKUP(H52,'3-Productie normen'!A:J,VLOOKUP(L52,'3-Productie normen'!$B$32:$C$34,2,FALSE),FALSE)))</f>
        <v>0</v>
      </c>
      <c r="Q52" s="318">
        <f t="shared" si="2"/>
        <v>0</v>
      </c>
      <c r="R52" s="319" t="str">
        <f>VLOOKUP(H52,'3-Productie normen'!A:L,9,FALSE)</f>
        <v>L</v>
      </c>
      <c r="S52" s="319"/>
      <c r="U52" s="320">
        <f t="shared" si="3"/>
        <v>10820</v>
      </c>
    </row>
    <row r="53" spans="1:21" ht="14.1" customHeight="1">
      <c r="A53" s="478">
        <v>53</v>
      </c>
      <c r="B53" s="285" t="s">
        <v>201</v>
      </c>
      <c r="C53" s="285" t="s">
        <v>202</v>
      </c>
      <c r="D53" s="285" t="s">
        <v>207</v>
      </c>
      <c r="E53" s="314" t="s">
        <v>286</v>
      </c>
      <c r="F53" s="315" t="s">
        <v>288</v>
      </c>
      <c r="G53" s="68" t="s">
        <v>233</v>
      </c>
      <c r="H53" s="68" t="s">
        <v>228</v>
      </c>
      <c r="I53" s="321" t="s">
        <v>211</v>
      </c>
      <c r="J53" s="316">
        <v>54.1</v>
      </c>
      <c r="K53" s="317">
        <f t="shared" si="1"/>
        <v>200</v>
      </c>
      <c r="L53" s="233">
        <v>200</v>
      </c>
      <c r="M53" s="233"/>
      <c r="N53" s="232" t="e">
        <f>IF(L53="nio",0,IF(L53&gt;0,L53*J53/P53,0))*VLOOKUP(B53,'2-Kosten per locatie'!$A$14:$C$22,3,FALSE)</f>
        <v>#DIV/0!</v>
      </c>
      <c r="O53" s="232">
        <f>IF(M53&gt;0,M53*J53/Q53,0)*VLOOKUP(B53,'2-Kosten per locatie'!$A$15:$C$22,3,FALSE)</f>
        <v>0</v>
      </c>
      <c r="P53" s="318">
        <f>IF(L53="nio",0,IF(L53&gt;0,VLOOKUP(H53,'3-Productie normen'!A:J,VLOOKUP(L53,'3-Productie normen'!$B$32:$C$34,2,FALSE),FALSE)))</f>
        <v>0</v>
      </c>
      <c r="Q53" s="318">
        <f t="shared" si="2"/>
        <v>0</v>
      </c>
      <c r="R53" s="319" t="str">
        <f>VLOOKUP(H53,'3-Productie normen'!A:L,9,FALSE)</f>
        <v>L</v>
      </c>
      <c r="S53" s="319"/>
      <c r="U53" s="320">
        <f t="shared" si="3"/>
        <v>10820</v>
      </c>
    </row>
    <row r="54" spans="1:21" ht="14.1" customHeight="1">
      <c r="A54" s="478">
        <v>54</v>
      </c>
      <c r="B54" s="285" t="s">
        <v>201</v>
      </c>
      <c r="C54" s="285" t="s">
        <v>202</v>
      </c>
      <c r="D54" s="460" t="s">
        <v>207</v>
      </c>
      <c r="E54" s="80" t="s">
        <v>286</v>
      </c>
      <c r="F54" s="230" t="s">
        <v>289</v>
      </c>
      <c r="G54" s="79" t="s">
        <v>216</v>
      </c>
      <c r="H54" s="79" t="s">
        <v>217</v>
      </c>
      <c r="I54" s="68" t="s">
        <v>290</v>
      </c>
      <c r="J54" s="316">
        <v>7.9</v>
      </c>
      <c r="K54" s="317">
        <f t="shared" si="1"/>
        <v>200</v>
      </c>
      <c r="L54" s="233">
        <v>200</v>
      </c>
      <c r="M54" s="233"/>
      <c r="N54" s="232" t="e">
        <f>IF(L54="nio",0,IF(L54&gt;0,L54*J54/P54,0))*VLOOKUP(B54,'2-Kosten per locatie'!$A$14:$C$22,3,FALSE)</f>
        <v>#DIV/0!</v>
      </c>
      <c r="O54" s="232">
        <f>IF(M54&gt;0,M54*J54/Q54,0)*VLOOKUP(B54,'2-Kosten per locatie'!$A$15:$C$22,3,FALSE)</f>
        <v>0</v>
      </c>
      <c r="P54" s="318">
        <f>IF(L54="nio",0,IF(L54&gt;0,VLOOKUP(H54,'3-Productie normen'!A:J,VLOOKUP(L54,'3-Productie normen'!$B$32:$C$34,2,FALSE),FALSE)))</f>
        <v>0</v>
      </c>
      <c r="Q54" s="318">
        <f t="shared" si="2"/>
        <v>0</v>
      </c>
      <c r="R54" s="319" t="str">
        <f>VLOOKUP(H54,'3-Productie normen'!A:L,9,FALSE)</f>
        <v>S</v>
      </c>
      <c r="S54" s="319"/>
      <c r="U54" s="320">
        <f t="shared" si="3"/>
        <v>1580</v>
      </c>
    </row>
    <row r="55" spans="1:21" ht="14.1" customHeight="1">
      <c r="A55" s="478">
        <v>55</v>
      </c>
      <c r="B55" s="285" t="s">
        <v>201</v>
      </c>
      <c r="C55" s="285" t="s">
        <v>202</v>
      </c>
      <c r="D55" s="285" t="s">
        <v>207</v>
      </c>
      <c r="E55" s="314" t="s">
        <v>286</v>
      </c>
      <c r="F55" s="315" t="s">
        <v>291</v>
      </c>
      <c r="G55" s="68" t="s">
        <v>216</v>
      </c>
      <c r="H55" s="68" t="s">
        <v>217</v>
      </c>
      <c r="I55" s="68" t="s">
        <v>290</v>
      </c>
      <c r="J55" s="316">
        <v>7.9</v>
      </c>
      <c r="K55" s="317">
        <f t="shared" si="1"/>
        <v>200</v>
      </c>
      <c r="L55" s="233">
        <v>200</v>
      </c>
      <c r="M55" s="233"/>
      <c r="N55" s="232" t="e">
        <f>IF(L55="nio",0,IF(L55&gt;0,L55*J55/P55,0))*VLOOKUP(B55,'2-Kosten per locatie'!$A$14:$C$22,3,FALSE)</f>
        <v>#DIV/0!</v>
      </c>
      <c r="O55" s="232">
        <f>IF(M55&gt;0,M55*J55/Q55,0)*VLOOKUP(B55,'2-Kosten per locatie'!$A$15:$C$22,3,FALSE)</f>
        <v>0</v>
      </c>
      <c r="P55" s="318">
        <f>IF(L55="nio",0,IF(L55&gt;0,VLOOKUP(H55,'3-Productie normen'!A:J,VLOOKUP(L55,'3-Productie normen'!$B$32:$C$34,2,FALSE),FALSE)))</f>
        <v>0</v>
      </c>
      <c r="Q55" s="318">
        <f t="shared" si="2"/>
        <v>0</v>
      </c>
      <c r="R55" s="319" t="str">
        <f>VLOOKUP(H55,'3-Productie normen'!A:L,9,FALSE)</f>
        <v>S</v>
      </c>
      <c r="S55" s="319"/>
      <c r="U55" s="320">
        <f t="shared" si="3"/>
        <v>1580</v>
      </c>
    </row>
    <row r="56" spans="1:21" ht="14.1" customHeight="1">
      <c r="A56" s="478">
        <v>56</v>
      </c>
      <c r="B56" s="285" t="s">
        <v>201</v>
      </c>
      <c r="C56" s="285" t="s">
        <v>202</v>
      </c>
      <c r="D56" s="285" t="s">
        <v>203</v>
      </c>
      <c r="E56" s="314" t="s">
        <v>286</v>
      </c>
      <c r="F56" s="315" t="s">
        <v>292</v>
      </c>
      <c r="G56" s="68" t="s">
        <v>264</v>
      </c>
      <c r="H56" s="68" t="s">
        <v>220</v>
      </c>
      <c r="I56" s="68" t="s">
        <v>211</v>
      </c>
      <c r="J56" s="316">
        <v>48.7</v>
      </c>
      <c r="K56" s="317">
        <f t="shared" si="1"/>
        <v>200</v>
      </c>
      <c r="L56" s="233">
        <v>200</v>
      </c>
      <c r="M56" s="233"/>
      <c r="N56" s="232" t="e">
        <f>IF(L56="nio",0,IF(L56&gt;0,L56*J56/P56,0))*VLOOKUP(B56,'2-Kosten per locatie'!$A$14:$C$22,3,FALSE)</f>
        <v>#DIV/0!</v>
      </c>
      <c r="O56" s="232">
        <f>IF(M56&gt;0,M56*J56/Q56,0)*VLOOKUP(B56,'2-Kosten per locatie'!$A$15:$C$22,3,FALSE)</f>
        <v>0</v>
      </c>
      <c r="P56" s="318">
        <f>IF(L56="nio",0,IF(L56&gt;0,VLOOKUP(H56,'3-Productie normen'!A:J,VLOOKUP(L56,'3-Productie normen'!$B$32:$C$34,2,FALSE),FALSE)))</f>
        <v>0</v>
      </c>
      <c r="Q56" s="318">
        <f t="shared" si="2"/>
        <v>0</v>
      </c>
      <c r="R56" s="319" t="str">
        <f>VLOOKUP(H56,'3-Productie normen'!A:L,9,FALSE)</f>
        <v>V</v>
      </c>
      <c r="S56" s="319"/>
      <c r="U56" s="320">
        <f t="shared" si="3"/>
        <v>9740</v>
      </c>
    </row>
    <row r="57" spans="1:21" ht="14.1" customHeight="1">
      <c r="A57" s="478">
        <v>57</v>
      </c>
      <c r="B57" s="285" t="s">
        <v>201</v>
      </c>
      <c r="C57" s="285" t="s">
        <v>202</v>
      </c>
      <c r="D57" s="285" t="s">
        <v>207</v>
      </c>
      <c r="E57" s="314" t="s">
        <v>286</v>
      </c>
      <c r="F57" s="315" t="s">
        <v>293</v>
      </c>
      <c r="G57" s="68" t="s">
        <v>233</v>
      </c>
      <c r="H57" s="68" t="s">
        <v>228</v>
      </c>
      <c r="I57" s="68" t="s">
        <v>211</v>
      </c>
      <c r="J57" s="316">
        <v>49.9</v>
      </c>
      <c r="K57" s="317">
        <f t="shared" si="1"/>
        <v>200</v>
      </c>
      <c r="L57" s="233">
        <v>200</v>
      </c>
      <c r="M57" s="233"/>
      <c r="N57" s="232" t="e">
        <f>IF(L57="nio",0,IF(L57&gt;0,L57*J57/P57,0))*VLOOKUP(B57,'2-Kosten per locatie'!$A$14:$C$22,3,FALSE)</f>
        <v>#DIV/0!</v>
      </c>
      <c r="O57" s="232">
        <f>IF(M57&gt;0,M57*J57/Q57,0)*VLOOKUP(B57,'2-Kosten per locatie'!$A$15:$C$22,3,FALSE)</f>
        <v>0</v>
      </c>
      <c r="P57" s="318">
        <f>IF(L57="nio",0,IF(L57&gt;0,VLOOKUP(H57,'3-Productie normen'!A:J,VLOOKUP(L57,'3-Productie normen'!$B$32:$C$34,2,FALSE),FALSE)))</f>
        <v>0</v>
      </c>
      <c r="Q57" s="318">
        <f t="shared" si="2"/>
        <v>0</v>
      </c>
      <c r="R57" s="319" t="str">
        <f>VLOOKUP(H57,'3-Productie normen'!A:L,9,FALSE)</f>
        <v>L</v>
      </c>
      <c r="S57" s="319"/>
      <c r="U57" s="320">
        <f t="shared" si="3"/>
        <v>9980</v>
      </c>
    </row>
    <row r="58" spans="1:21" ht="14.1" customHeight="1">
      <c r="A58" s="478">
        <v>58</v>
      </c>
      <c r="B58" s="285" t="s">
        <v>201</v>
      </c>
      <c r="C58" s="285" t="s">
        <v>202</v>
      </c>
      <c r="D58" s="285" t="s">
        <v>203</v>
      </c>
      <c r="E58" s="314" t="s">
        <v>286</v>
      </c>
      <c r="F58" s="315" t="s">
        <v>294</v>
      </c>
      <c r="G58" s="68" t="s">
        <v>40</v>
      </c>
      <c r="H58" s="68" t="s">
        <v>235</v>
      </c>
      <c r="I58" s="68" t="s">
        <v>211</v>
      </c>
      <c r="J58" s="316">
        <v>16.2</v>
      </c>
      <c r="K58" s="317">
        <f t="shared" si="1"/>
        <v>200</v>
      </c>
      <c r="L58" s="233">
        <v>200</v>
      </c>
      <c r="M58" s="233"/>
      <c r="N58" s="232" t="e">
        <f>IF(L58="nio",0,IF(L58&gt;0,L58*J58/P58,0))*VLOOKUP(B58,'2-Kosten per locatie'!$A$14:$C$22,3,FALSE)</f>
        <v>#DIV/0!</v>
      </c>
      <c r="O58" s="232">
        <f>IF(M58&gt;0,M58*J58/Q58,0)*VLOOKUP(B58,'2-Kosten per locatie'!$A$15:$C$22,3,FALSE)</f>
        <v>0</v>
      </c>
      <c r="P58" s="318">
        <f>IF(L58="nio",0,IF(L58&gt;0,VLOOKUP(H58,'3-Productie normen'!A:J,VLOOKUP(L58,'3-Productie normen'!$B$32:$C$34,2,FALSE),FALSE)))</f>
        <v>0</v>
      </c>
      <c r="Q58" s="318">
        <f t="shared" si="2"/>
        <v>0</v>
      </c>
      <c r="R58" s="319" t="str">
        <f>VLOOKUP(H58,'3-Productie normen'!A:L,9,FALSE)</f>
        <v>V</v>
      </c>
      <c r="S58" s="319"/>
      <c r="U58" s="320">
        <f t="shared" si="3"/>
        <v>3240</v>
      </c>
    </row>
    <row r="59" spans="1:21" ht="14.1" customHeight="1">
      <c r="A59" s="478">
        <v>59</v>
      </c>
      <c r="B59" s="285" t="s">
        <v>201</v>
      </c>
      <c r="C59" s="285" t="s">
        <v>202</v>
      </c>
      <c r="D59" s="285" t="s">
        <v>207</v>
      </c>
      <c r="E59" s="314" t="s">
        <v>286</v>
      </c>
      <c r="F59" s="315" t="s">
        <v>295</v>
      </c>
      <c r="G59" s="68" t="s">
        <v>213</v>
      </c>
      <c r="H59" s="68" t="s">
        <v>214</v>
      </c>
      <c r="I59" s="68" t="s">
        <v>211</v>
      </c>
      <c r="J59" s="316">
        <v>24.2</v>
      </c>
      <c r="K59" s="317">
        <f t="shared" si="1"/>
        <v>200</v>
      </c>
      <c r="L59" s="233">
        <v>200</v>
      </c>
      <c r="M59" s="233"/>
      <c r="N59" s="232" t="e">
        <f>IF(L59="nio",0,IF(L59&gt;0,L59*J59/P59,0))*VLOOKUP(B59,'2-Kosten per locatie'!$A$14:$C$22,3,FALSE)</f>
        <v>#DIV/0!</v>
      </c>
      <c r="O59" s="232">
        <f>IF(M59&gt;0,M59*J59/Q59,0)*VLOOKUP(B59,'2-Kosten per locatie'!$A$15:$C$22,3,FALSE)</f>
        <v>0</v>
      </c>
      <c r="P59" s="318">
        <f>IF(L59="nio",0,IF(L59&gt;0,VLOOKUP(H59,'3-Productie normen'!A:J,VLOOKUP(L59,'3-Productie normen'!$B$32:$C$34,2,FALSE),FALSE)))</f>
        <v>0</v>
      </c>
      <c r="Q59" s="318">
        <f t="shared" si="2"/>
        <v>0</v>
      </c>
      <c r="R59" s="319" t="str">
        <f>VLOOKUP(H59,'3-Productie normen'!A:L,9,FALSE)</f>
        <v>B</v>
      </c>
      <c r="S59" s="319"/>
      <c r="U59" s="320">
        <f t="shared" si="3"/>
        <v>4840</v>
      </c>
    </row>
    <row r="60" spans="1:21" ht="14.1" customHeight="1">
      <c r="A60" s="478">
        <v>60</v>
      </c>
      <c r="B60" s="285" t="s">
        <v>201</v>
      </c>
      <c r="C60" s="285" t="s">
        <v>202</v>
      </c>
      <c r="D60" s="285" t="s">
        <v>207</v>
      </c>
      <c r="E60" s="314" t="s">
        <v>286</v>
      </c>
      <c r="F60" s="315" t="s">
        <v>296</v>
      </c>
      <c r="G60" s="68" t="s">
        <v>216</v>
      </c>
      <c r="H60" s="68" t="s">
        <v>217</v>
      </c>
      <c r="I60" s="68" t="s">
        <v>290</v>
      </c>
      <c r="J60" s="316">
        <v>1.5</v>
      </c>
      <c r="K60" s="317">
        <f t="shared" si="1"/>
        <v>200</v>
      </c>
      <c r="L60" s="233">
        <v>200</v>
      </c>
      <c r="M60" s="233"/>
      <c r="N60" s="232" t="e">
        <f>IF(L60="nio",0,IF(L60&gt;0,L60*J60/P60,0))*VLOOKUP(B60,'2-Kosten per locatie'!$A$14:$C$22,3,FALSE)</f>
        <v>#DIV/0!</v>
      </c>
      <c r="O60" s="232">
        <f>IF(M60&gt;0,M60*J60/Q60,0)*VLOOKUP(B60,'2-Kosten per locatie'!$A$15:$C$22,3,FALSE)</f>
        <v>0</v>
      </c>
      <c r="P60" s="318">
        <f>IF(L60="nio",0,IF(L60&gt;0,VLOOKUP(H60,'3-Productie normen'!A:J,VLOOKUP(L60,'3-Productie normen'!$B$32:$C$34,2,FALSE),FALSE)))</f>
        <v>0</v>
      </c>
      <c r="Q60" s="318">
        <f t="shared" si="2"/>
        <v>0</v>
      </c>
      <c r="R60" s="319" t="str">
        <f>VLOOKUP(H60,'3-Productie normen'!A:L,9,FALSE)</f>
        <v>S</v>
      </c>
      <c r="S60" s="319"/>
      <c r="U60" s="320">
        <f t="shared" si="3"/>
        <v>300</v>
      </c>
    </row>
    <row r="61" spans="1:21" ht="14.1" customHeight="1">
      <c r="A61" s="478">
        <v>61</v>
      </c>
      <c r="B61" s="285" t="s">
        <v>201</v>
      </c>
      <c r="C61" s="285" t="s">
        <v>202</v>
      </c>
      <c r="D61" s="285" t="s">
        <v>207</v>
      </c>
      <c r="E61" s="314" t="s">
        <v>286</v>
      </c>
      <c r="F61" s="315" t="s">
        <v>297</v>
      </c>
      <c r="G61" s="68" t="s">
        <v>233</v>
      </c>
      <c r="H61" s="68" t="s">
        <v>228</v>
      </c>
      <c r="I61" s="68" t="s">
        <v>211</v>
      </c>
      <c r="J61" s="316">
        <v>50</v>
      </c>
      <c r="K61" s="317">
        <f t="shared" si="1"/>
        <v>200</v>
      </c>
      <c r="L61" s="233">
        <v>200</v>
      </c>
      <c r="M61" s="233"/>
      <c r="N61" s="232" t="e">
        <f>IF(L61="nio",0,IF(L61&gt;0,L61*J61/P61,0))*VLOOKUP(B61,'2-Kosten per locatie'!$A$14:$C$22,3,FALSE)</f>
        <v>#DIV/0!</v>
      </c>
      <c r="O61" s="232">
        <f>IF(M61&gt;0,M61*J61/Q61,0)*VLOOKUP(B61,'2-Kosten per locatie'!$A$15:$C$22,3,FALSE)</f>
        <v>0</v>
      </c>
      <c r="P61" s="318">
        <f>IF(L61="nio",0,IF(L61&gt;0,VLOOKUP(H61,'3-Productie normen'!A:J,VLOOKUP(L61,'3-Productie normen'!$B$32:$C$34,2,FALSE),FALSE)))</f>
        <v>0</v>
      </c>
      <c r="Q61" s="318">
        <f t="shared" si="2"/>
        <v>0</v>
      </c>
      <c r="R61" s="319" t="str">
        <f>VLOOKUP(H61,'3-Productie normen'!A:L,9,FALSE)</f>
        <v>L</v>
      </c>
      <c r="S61" s="319"/>
      <c r="U61" s="320">
        <f t="shared" si="3"/>
        <v>10000</v>
      </c>
    </row>
    <row r="62" spans="1:21" ht="14.1" customHeight="1">
      <c r="A62" s="478">
        <v>62</v>
      </c>
      <c r="B62" s="285" t="s">
        <v>201</v>
      </c>
      <c r="C62" s="285" t="s">
        <v>202</v>
      </c>
      <c r="D62" s="285" t="s">
        <v>207</v>
      </c>
      <c r="E62" s="314" t="s">
        <v>286</v>
      </c>
      <c r="F62" s="315" t="s">
        <v>298</v>
      </c>
      <c r="G62" s="68" t="s">
        <v>299</v>
      </c>
      <c r="H62" s="68" t="s">
        <v>228</v>
      </c>
      <c r="I62" s="68" t="s">
        <v>211</v>
      </c>
      <c r="J62" s="316">
        <v>41.5</v>
      </c>
      <c r="K62" s="317">
        <f t="shared" si="1"/>
        <v>200</v>
      </c>
      <c r="L62" s="233">
        <v>200</v>
      </c>
      <c r="M62" s="233"/>
      <c r="N62" s="232" t="e">
        <f>IF(L62="nio",0,IF(L62&gt;0,L62*J62/P62,0))*VLOOKUP(B62,'2-Kosten per locatie'!$A$14:$C$22,3,FALSE)</f>
        <v>#DIV/0!</v>
      </c>
      <c r="O62" s="232">
        <f>IF(M62&gt;0,M62*J62/Q62,0)*VLOOKUP(B62,'2-Kosten per locatie'!$A$15:$C$22,3,FALSE)</f>
        <v>0</v>
      </c>
      <c r="P62" s="318">
        <f>IF(L62="nio",0,IF(L62&gt;0,VLOOKUP(H62,'3-Productie normen'!A:J,VLOOKUP(L62,'3-Productie normen'!$B$32:$C$34,2,FALSE),FALSE)))</f>
        <v>0</v>
      </c>
      <c r="Q62" s="318">
        <f t="shared" si="2"/>
        <v>0</v>
      </c>
      <c r="R62" s="319" t="str">
        <f>VLOOKUP(H62,'3-Productie normen'!A:L,9,FALSE)</f>
        <v>L</v>
      </c>
      <c r="S62" s="319"/>
      <c r="U62" s="320">
        <f t="shared" si="3"/>
        <v>8300</v>
      </c>
    </row>
    <row r="63" spans="1:21" ht="14.1" customHeight="1">
      <c r="A63" s="478">
        <v>63</v>
      </c>
      <c r="B63" s="285" t="s">
        <v>201</v>
      </c>
      <c r="C63" s="285" t="s">
        <v>202</v>
      </c>
      <c r="D63" s="285" t="s">
        <v>254</v>
      </c>
      <c r="E63" s="314" t="s">
        <v>286</v>
      </c>
      <c r="F63" s="315" t="s">
        <v>300</v>
      </c>
      <c r="G63" s="68" t="s">
        <v>233</v>
      </c>
      <c r="H63" s="68" t="s">
        <v>228</v>
      </c>
      <c r="I63" s="68" t="s">
        <v>211</v>
      </c>
      <c r="J63" s="316">
        <v>54.1</v>
      </c>
      <c r="K63" s="317">
        <f t="shared" si="1"/>
        <v>200</v>
      </c>
      <c r="L63" s="233">
        <v>200</v>
      </c>
      <c r="M63" s="233"/>
      <c r="N63" s="232" t="e">
        <f>IF(L63="nio",0,IF(L63&gt;0,L63*J63/P63,0))*VLOOKUP(B63,'2-Kosten per locatie'!$A$14:$C$22,3,FALSE)</f>
        <v>#DIV/0!</v>
      </c>
      <c r="O63" s="232">
        <f>IF(M63&gt;0,M63*J63/Q63,0)*VLOOKUP(B63,'2-Kosten per locatie'!$A$15:$C$22,3,FALSE)</f>
        <v>0</v>
      </c>
      <c r="P63" s="318">
        <f>IF(L63="nio",0,IF(L63&gt;0,VLOOKUP(H63,'3-Productie normen'!A:J,VLOOKUP(L63,'3-Productie normen'!$B$32:$C$34,2,FALSE),FALSE)))</f>
        <v>0</v>
      </c>
      <c r="Q63" s="318">
        <f t="shared" si="2"/>
        <v>0</v>
      </c>
      <c r="R63" s="319" t="str">
        <f>VLOOKUP(H63,'3-Productie normen'!A:L,9,FALSE)</f>
        <v>L</v>
      </c>
      <c r="S63" s="319"/>
      <c r="U63" s="320">
        <f t="shared" si="3"/>
        <v>10820</v>
      </c>
    </row>
    <row r="64" spans="1:21" ht="14.1" customHeight="1">
      <c r="A64" s="478">
        <v>64</v>
      </c>
      <c r="B64" s="285" t="s">
        <v>201</v>
      </c>
      <c r="C64" s="285" t="s">
        <v>202</v>
      </c>
      <c r="D64" s="285" t="s">
        <v>207</v>
      </c>
      <c r="E64" s="314" t="s">
        <v>286</v>
      </c>
      <c r="F64" s="315" t="s">
        <v>301</v>
      </c>
      <c r="G64" s="68" t="s">
        <v>233</v>
      </c>
      <c r="H64" s="68" t="s">
        <v>228</v>
      </c>
      <c r="I64" s="68" t="s">
        <v>211</v>
      </c>
      <c r="J64" s="316">
        <v>54.1</v>
      </c>
      <c r="K64" s="317">
        <f t="shared" si="1"/>
        <v>200</v>
      </c>
      <c r="L64" s="233">
        <v>200</v>
      </c>
      <c r="M64" s="233"/>
      <c r="N64" s="232" t="e">
        <f>IF(L64="nio",0,IF(L64&gt;0,L64*J64/P64,0))*VLOOKUP(B64,'2-Kosten per locatie'!$A$14:$C$22,3,FALSE)</f>
        <v>#DIV/0!</v>
      </c>
      <c r="O64" s="232">
        <f>IF(M64&gt;0,M64*J64/Q64,0)*VLOOKUP(B64,'2-Kosten per locatie'!$A$15:$C$22,3,FALSE)</f>
        <v>0</v>
      </c>
      <c r="P64" s="318">
        <f>IF(L64="nio",0,IF(L64&gt;0,VLOOKUP(H64,'3-Productie normen'!A:J,VLOOKUP(L64,'3-Productie normen'!$B$32:$C$34,2,FALSE),FALSE)))</f>
        <v>0</v>
      </c>
      <c r="Q64" s="318">
        <f t="shared" si="2"/>
        <v>0</v>
      </c>
      <c r="R64" s="319" t="str">
        <f>VLOOKUP(H64,'3-Productie normen'!A:L,9,FALSE)</f>
        <v>L</v>
      </c>
      <c r="S64" s="319"/>
      <c r="U64" s="320">
        <f t="shared" si="3"/>
        <v>10820</v>
      </c>
    </row>
    <row r="65" spans="1:21" ht="14.1" customHeight="1">
      <c r="A65" s="478">
        <v>65</v>
      </c>
      <c r="B65" s="285" t="s">
        <v>201</v>
      </c>
      <c r="C65" s="285" t="s">
        <v>202</v>
      </c>
      <c r="D65" s="285" t="s">
        <v>254</v>
      </c>
      <c r="E65" s="314" t="s">
        <v>286</v>
      </c>
      <c r="F65" s="315" t="s">
        <v>302</v>
      </c>
      <c r="G65" s="68" t="s">
        <v>216</v>
      </c>
      <c r="H65" s="68" t="s">
        <v>217</v>
      </c>
      <c r="I65" s="68" t="s">
        <v>290</v>
      </c>
      <c r="J65" s="316">
        <v>7.9</v>
      </c>
      <c r="K65" s="317">
        <f t="shared" si="1"/>
        <v>200</v>
      </c>
      <c r="L65" s="233">
        <v>200</v>
      </c>
      <c r="M65" s="233"/>
      <c r="N65" s="232" t="e">
        <f>IF(L65="nio",0,IF(L65&gt;0,L65*J65/P65,0))*VLOOKUP(B65,'2-Kosten per locatie'!$A$14:$C$22,3,FALSE)</f>
        <v>#DIV/0!</v>
      </c>
      <c r="O65" s="232">
        <f>IF(M65&gt;0,M65*J65/Q65,0)*VLOOKUP(B65,'2-Kosten per locatie'!$A$15:$C$22,3,FALSE)</f>
        <v>0</v>
      </c>
      <c r="P65" s="318">
        <f>IF(L65="nio",0,IF(L65&gt;0,VLOOKUP(H65,'3-Productie normen'!A:J,VLOOKUP(L65,'3-Productie normen'!$B$32:$C$34,2,FALSE),FALSE)))</f>
        <v>0</v>
      </c>
      <c r="Q65" s="318">
        <f t="shared" si="2"/>
        <v>0</v>
      </c>
      <c r="R65" s="319" t="str">
        <f>VLOOKUP(H65,'3-Productie normen'!A:L,9,FALSE)</f>
        <v>S</v>
      </c>
      <c r="S65" s="319"/>
      <c r="U65" s="320">
        <f t="shared" si="3"/>
        <v>1580</v>
      </c>
    </row>
    <row r="66" spans="1:21" ht="14.1" customHeight="1">
      <c r="A66" s="478">
        <v>66</v>
      </c>
      <c r="B66" s="285" t="s">
        <v>201</v>
      </c>
      <c r="C66" s="285" t="s">
        <v>202</v>
      </c>
      <c r="D66" s="285" t="s">
        <v>254</v>
      </c>
      <c r="E66" s="314" t="s">
        <v>286</v>
      </c>
      <c r="F66" s="315" t="s">
        <v>303</v>
      </c>
      <c r="G66" s="68" t="s">
        <v>216</v>
      </c>
      <c r="H66" s="68" t="s">
        <v>217</v>
      </c>
      <c r="I66" s="68" t="s">
        <v>290</v>
      </c>
      <c r="J66" s="316">
        <v>7.9</v>
      </c>
      <c r="K66" s="317">
        <f t="shared" si="1"/>
        <v>200</v>
      </c>
      <c r="L66" s="233">
        <v>200</v>
      </c>
      <c r="M66" s="233"/>
      <c r="N66" s="232" t="e">
        <f>IF(L66="nio",0,IF(L66&gt;0,L66*J66/P66,0))*VLOOKUP(B66,'2-Kosten per locatie'!$A$14:$C$22,3,FALSE)</f>
        <v>#DIV/0!</v>
      </c>
      <c r="O66" s="232">
        <f>IF(M66&gt;0,M66*J66/Q66,0)*VLOOKUP(B66,'2-Kosten per locatie'!$A$15:$C$22,3,FALSE)</f>
        <v>0</v>
      </c>
      <c r="P66" s="318">
        <f>IF(L66="nio",0,IF(L66&gt;0,VLOOKUP(H66,'3-Productie normen'!A:J,VLOOKUP(L66,'3-Productie normen'!$B$32:$C$34,2,FALSE),FALSE)))</f>
        <v>0</v>
      </c>
      <c r="Q66" s="318">
        <f t="shared" si="2"/>
        <v>0</v>
      </c>
      <c r="R66" s="319" t="str">
        <f>VLOOKUP(H66,'3-Productie normen'!A:L,9,FALSE)</f>
        <v>S</v>
      </c>
      <c r="S66" s="319"/>
      <c r="U66" s="320">
        <f t="shared" si="3"/>
        <v>1580</v>
      </c>
    </row>
    <row r="67" spans="1:21" ht="14.1" customHeight="1">
      <c r="A67" s="478">
        <v>67</v>
      </c>
      <c r="B67" s="285" t="s">
        <v>201</v>
      </c>
      <c r="C67" s="285" t="s">
        <v>202</v>
      </c>
      <c r="D67" s="285" t="s">
        <v>254</v>
      </c>
      <c r="E67" s="314" t="s">
        <v>286</v>
      </c>
      <c r="F67" s="315" t="s">
        <v>304</v>
      </c>
      <c r="G67" s="68" t="s">
        <v>264</v>
      </c>
      <c r="H67" s="68" t="s">
        <v>220</v>
      </c>
      <c r="I67" s="68" t="s">
        <v>211</v>
      </c>
      <c r="J67" s="316">
        <v>48.7</v>
      </c>
      <c r="K67" s="317">
        <f t="shared" si="1"/>
        <v>200</v>
      </c>
      <c r="L67" s="233">
        <v>200</v>
      </c>
      <c r="M67" s="233"/>
      <c r="N67" s="232" t="e">
        <f>IF(L67="nio",0,IF(L67&gt;0,L67*J67/P67,0))*VLOOKUP(B67,'2-Kosten per locatie'!$A$14:$C$22,3,FALSE)</f>
        <v>#DIV/0!</v>
      </c>
      <c r="O67" s="232">
        <f>IF(M67&gt;0,M67*J67/Q67,0)*VLOOKUP(B67,'2-Kosten per locatie'!$A$15:$C$22,3,FALSE)</f>
        <v>0</v>
      </c>
      <c r="P67" s="318">
        <f>IF(L67="nio",0,IF(L67&gt;0,VLOOKUP(H67,'3-Productie normen'!A:J,VLOOKUP(L67,'3-Productie normen'!$B$32:$C$34,2,FALSE),FALSE)))</f>
        <v>0</v>
      </c>
      <c r="Q67" s="318">
        <f t="shared" si="2"/>
        <v>0</v>
      </c>
      <c r="R67" s="319" t="str">
        <f>VLOOKUP(H67,'3-Productie normen'!A:L,9,FALSE)</f>
        <v>V</v>
      </c>
      <c r="S67" s="319"/>
      <c r="U67" s="320">
        <f t="shared" si="3"/>
        <v>9740</v>
      </c>
    </row>
    <row r="68" spans="1:21" ht="14.1" customHeight="1">
      <c r="A68" s="478">
        <v>68</v>
      </c>
      <c r="B68" s="285" t="s">
        <v>201</v>
      </c>
      <c r="C68" s="285" t="s">
        <v>202</v>
      </c>
      <c r="D68" s="285" t="s">
        <v>254</v>
      </c>
      <c r="E68" s="314" t="s">
        <v>286</v>
      </c>
      <c r="F68" s="315" t="s">
        <v>305</v>
      </c>
      <c r="G68" s="68" t="s">
        <v>233</v>
      </c>
      <c r="H68" s="68" t="s">
        <v>228</v>
      </c>
      <c r="I68" s="68" t="s">
        <v>211</v>
      </c>
      <c r="J68" s="316">
        <v>49.9</v>
      </c>
      <c r="K68" s="317">
        <f t="shared" si="1"/>
        <v>200</v>
      </c>
      <c r="L68" s="233">
        <v>200</v>
      </c>
      <c r="M68" s="233"/>
      <c r="N68" s="232" t="e">
        <f>IF(L68="nio",0,IF(L68&gt;0,L68*J68/P68,0))*VLOOKUP(B68,'2-Kosten per locatie'!$A$14:$C$22,3,FALSE)</f>
        <v>#DIV/0!</v>
      </c>
      <c r="O68" s="232">
        <f>IF(M68&gt;0,M68*J68/Q68,0)*VLOOKUP(B68,'2-Kosten per locatie'!$A$15:$C$22,3,FALSE)</f>
        <v>0</v>
      </c>
      <c r="P68" s="318">
        <f>IF(L68="nio",0,IF(L68&gt;0,VLOOKUP(H68,'3-Productie normen'!A:J,VLOOKUP(L68,'3-Productie normen'!$B$32:$C$34,2,FALSE),FALSE)))</f>
        <v>0</v>
      </c>
      <c r="Q68" s="318">
        <f t="shared" si="2"/>
        <v>0</v>
      </c>
      <c r="R68" s="319" t="str">
        <f>VLOOKUP(H68,'3-Productie normen'!A:L,9,FALSE)</f>
        <v>L</v>
      </c>
      <c r="S68" s="319"/>
      <c r="U68" s="320">
        <f t="shared" si="3"/>
        <v>9980</v>
      </c>
    </row>
    <row r="69" spans="1:21" ht="14.1" customHeight="1">
      <c r="A69" s="478">
        <v>69</v>
      </c>
      <c r="B69" s="285" t="s">
        <v>201</v>
      </c>
      <c r="C69" s="285" t="s">
        <v>202</v>
      </c>
      <c r="D69" s="285" t="s">
        <v>203</v>
      </c>
      <c r="E69" s="314" t="s">
        <v>286</v>
      </c>
      <c r="F69" s="315" t="s">
        <v>306</v>
      </c>
      <c r="G69" s="68" t="s">
        <v>40</v>
      </c>
      <c r="H69" s="68" t="s">
        <v>235</v>
      </c>
      <c r="I69" s="68" t="s">
        <v>211</v>
      </c>
      <c r="J69" s="316">
        <v>16.2</v>
      </c>
      <c r="K69" s="317">
        <f t="shared" si="1"/>
        <v>200</v>
      </c>
      <c r="L69" s="233">
        <v>200</v>
      </c>
      <c r="M69" s="233"/>
      <c r="N69" s="232" t="e">
        <f>IF(L69="nio",0,IF(L69&gt;0,L69*J69/P69,0))*VLOOKUP(B69,'2-Kosten per locatie'!$A$14:$C$22,3,FALSE)</f>
        <v>#DIV/0!</v>
      </c>
      <c r="O69" s="232">
        <f>IF(M69&gt;0,M69*J69/Q69,0)*VLOOKUP(B69,'2-Kosten per locatie'!$A$15:$C$22,3,FALSE)</f>
        <v>0</v>
      </c>
      <c r="P69" s="318">
        <f>IF(L69="nio",0,IF(L69&gt;0,VLOOKUP(H69,'3-Productie normen'!A:J,VLOOKUP(L69,'3-Productie normen'!$B$32:$C$34,2,FALSE),FALSE)))</f>
        <v>0</v>
      </c>
      <c r="Q69" s="318">
        <f t="shared" si="2"/>
        <v>0</v>
      </c>
      <c r="R69" s="319" t="str">
        <f>VLOOKUP(H69,'3-Productie normen'!A:L,9,FALSE)</f>
        <v>V</v>
      </c>
      <c r="S69" s="319"/>
      <c r="U69" s="320">
        <f t="shared" si="3"/>
        <v>3240</v>
      </c>
    </row>
    <row r="70" spans="1:21" ht="14.1" customHeight="1">
      <c r="A70" s="478">
        <v>70</v>
      </c>
      <c r="B70" s="285" t="s">
        <v>201</v>
      </c>
      <c r="C70" s="285" t="s">
        <v>202</v>
      </c>
      <c r="D70" s="285" t="s">
        <v>254</v>
      </c>
      <c r="E70" s="314" t="s">
        <v>286</v>
      </c>
      <c r="F70" s="315" t="s">
        <v>307</v>
      </c>
      <c r="G70" s="68" t="s">
        <v>216</v>
      </c>
      <c r="H70" s="68" t="s">
        <v>217</v>
      </c>
      <c r="I70" s="68" t="s">
        <v>290</v>
      </c>
      <c r="J70" s="316">
        <v>1.5</v>
      </c>
      <c r="K70" s="317">
        <f t="shared" si="1"/>
        <v>200</v>
      </c>
      <c r="L70" s="233">
        <v>200</v>
      </c>
      <c r="M70" s="233"/>
      <c r="N70" s="232" t="e">
        <f>IF(L70="nio",0,IF(L70&gt;0,L70*J70/P70,0))*VLOOKUP(B70,'2-Kosten per locatie'!$A$14:$C$22,3,FALSE)</f>
        <v>#DIV/0!</v>
      </c>
      <c r="O70" s="232">
        <f>IF(M70&gt;0,M70*J70/Q70,0)*VLOOKUP(B70,'2-Kosten per locatie'!$A$15:$C$22,3,FALSE)</f>
        <v>0</v>
      </c>
      <c r="P70" s="318">
        <f>IF(L70="nio",0,IF(L70&gt;0,VLOOKUP(H70,'3-Productie normen'!A:J,VLOOKUP(L70,'3-Productie normen'!$B$32:$C$34,2,FALSE),FALSE)))</f>
        <v>0</v>
      </c>
      <c r="Q70" s="318">
        <f t="shared" si="2"/>
        <v>0</v>
      </c>
      <c r="R70" s="319" t="str">
        <f>VLOOKUP(H70,'3-Productie normen'!A:L,9,FALSE)</f>
        <v>S</v>
      </c>
      <c r="S70" s="319"/>
      <c r="U70" s="320">
        <f t="shared" si="3"/>
        <v>300</v>
      </c>
    </row>
    <row r="71" spans="1:21" ht="14.1" customHeight="1">
      <c r="A71" s="478">
        <v>71</v>
      </c>
      <c r="B71" s="285" t="s">
        <v>201</v>
      </c>
      <c r="C71" s="285" t="s">
        <v>202</v>
      </c>
      <c r="D71" s="285" t="s">
        <v>207</v>
      </c>
      <c r="E71" s="314" t="s">
        <v>286</v>
      </c>
      <c r="F71" s="315" t="s">
        <v>308</v>
      </c>
      <c r="G71" s="68" t="s">
        <v>309</v>
      </c>
      <c r="H71" s="68" t="s">
        <v>228</v>
      </c>
      <c r="I71" s="68" t="s">
        <v>211</v>
      </c>
      <c r="J71" s="316">
        <v>49.9</v>
      </c>
      <c r="K71" s="317">
        <f t="shared" si="1"/>
        <v>200</v>
      </c>
      <c r="L71" s="233">
        <v>200</v>
      </c>
      <c r="M71" s="233"/>
      <c r="N71" s="232" t="e">
        <f>IF(L71="nio",0,IF(L71&gt;0,L71*J71/P71,0))*VLOOKUP(B71,'2-Kosten per locatie'!$A$14:$C$22,3,FALSE)</f>
        <v>#DIV/0!</v>
      </c>
      <c r="O71" s="232">
        <f>IF(M71&gt;0,M71*J71/Q71,0)*VLOOKUP(B71,'2-Kosten per locatie'!$A$15:$C$22,3,FALSE)</f>
        <v>0</v>
      </c>
      <c r="P71" s="318">
        <f>IF(L71="nio",0,IF(L71&gt;0,VLOOKUP(H71,'3-Productie normen'!A:J,VLOOKUP(L71,'3-Productie normen'!$B$32:$C$34,2,FALSE),FALSE)))</f>
        <v>0</v>
      </c>
      <c r="Q71" s="318">
        <f t="shared" si="2"/>
        <v>0</v>
      </c>
      <c r="R71" s="319" t="str">
        <f>VLOOKUP(H71,'3-Productie normen'!A:L,9,FALSE)</f>
        <v>L</v>
      </c>
      <c r="S71" s="319"/>
      <c r="U71" s="320">
        <f t="shared" si="3"/>
        <v>9980</v>
      </c>
    </row>
    <row r="72" spans="1:21" ht="14.1" customHeight="1">
      <c r="A72" s="478">
        <v>72</v>
      </c>
      <c r="B72" s="285" t="s">
        <v>201</v>
      </c>
      <c r="C72" s="285" t="s">
        <v>202</v>
      </c>
      <c r="D72" s="285" t="s">
        <v>207</v>
      </c>
      <c r="E72" s="314" t="s">
        <v>286</v>
      </c>
      <c r="F72" s="315" t="s">
        <v>310</v>
      </c>
      <c r="G72" s="68" t="s">
        <v>311</v>
      </c>
      <c r="H72" s="68" t="s">
        <v>228</v>
      </c>
      <c r="I72" s="68" t="s">
        <v>211</v>
      </c>
      <c r="J72" s="316">
        <v>41.4</v>
      </c>
      <c r="K72" s="317">
        <f t="shared" si="1"/>
        <v>200</v>
      </c>
      <c r="L72" s="233">
        <v>200</v>
      </c>
      <c r="M72" s="233"/>
      <c r="N72" s="232" t="e">
        <f>IF(L72="nio",0,IF(L72&gt;0,L72*J72/P72,0))*VLOOKUP(B72,'2-Kosten per locatie'!$A$14:$C$22,3,FALSE)</f>
        <v>#DIV/0!</v>
      </c>
      <c r="O72" s="232">
        <f>IF(M72&gt;0,M72*J72/Q72,0)*VLOOKUP(B72,'2-Kosten per locatie'!$A$15:$C$22,3,FALSE)</f>
        <v>0</v>
      </c>
      <c r="P72" s="318">
        <f>IF(L72="nio",0,IF(L72&gt;0,VLOOKUP(H72,'3-Productie normen'!A:J,VLOOKUP(L72,'3-Productie normen'!$B$32:$C$34,2,FALSE),FALSE)))</f>
        <v>0</v>
      </c>
      <c r="Q72" s="318">
        <f t="shared" si="2"/>
        <v>0</v>
      </c>
      <c r="R72" s="319" t="str">
        <f>VLOOKUP(H72,'3-Productie normen'!A:L,9,FALSE)</f>
        <v>L</v>
      </c>
      <c r="S72" s="319"/>
      <c r="U72" s="320">
        <f t="shared" si="3"/>
        <v>8280</v>
      </c>
    </row>
    <row r="73" spans="1:21" ht="14.1" customHeight="1">
      <c r="A73" s="478">
        <v>73</v>
      </c>
      <c r="B73" s="285" t="s">
        <v>312</v>
      </c>
      <c r="C73" s="285" t="s">
        <v>313</v>
      </c>
      <c r="D73" s="285" t="s">
        <v>314</v>
      </c>
      <c r="E73" s="314" t="s">
        <v>204</v>
      </c>
      <c r="F73" s="315" t="s">
        <v>315</v>
      </c>
      <c r="G73" s="68" t="s">
        <v>206</v>
      </c>
      <c r="H73" s="68" t="s">
        <v>206</v>
      </c>
      <c r="I73" s="68" t="s">
        <v>184</v>
      </c>
      <c r="J73" s="316">
        <v>12</v>
      </c>
      <c r="K73" s="317">
        <f t="shared" si="1"/>
        <v>200</v>
      </c>
      <c r="L73" s="233">
        <v>200</v>
      </c>
      <c r="M73" s="233"/>
      <c r="N73" s="232" t="e">
        <f>IF(L73="nio",0,IF(L73&gt;0,L73*J73/P73,0))*VLOOKUP(B73,'2-Kosten per locatie'!$A$14:$C$22,3,FALSE)</f>
        <v>#DIV/0!</v>
      </c>
      <c r="O73" s="232">
        <f>IF(M73&gt;0,M73*J73/Q73,0)*VLOOKUP(B73,'2-Kosten per locatie'!$A$15:$C$22,3,FALSE)</f>
        <v>0</v>
      </c>
      <c r="P73" s="318">
        <f>IF(L73="nio",0,IF(L73&gt;0,VLOOKUP(H73,'3-Productie normen'!A:J,VLOOKUP(L73,'3-Productie normen'!$B$32:$C$34,2,FALSE),FALSE)))</f>
        <v>0</v>
      </c>
      <c r="Q73" s="318">
        <f t="shared" si="2"/>
        <v>0</v>
      </c>
      <c r="R73" s="319" t="str">
        <f>VLOOKUP(H73,'3-Productie normen'!A:L,9,FALSE)</f>
        <v>V</v>
      </c>
      <c r="S73" s="319"/>
      <c r="U73" s="320">
        <f t="shared" si="3"/>
        <v>2400</v>
      </c>
    </row>
    <row r="74" spans="1:21" ht="14.1" customHeight="1">
      <c r="A74" s="478">
        <v>74</v>
      </c>
      <c r="B74" s="285" t="s">
        <v>312</v>
      </c>
      <c r="C74" s="285" t="s">
        <v>313</v>
      </c>
      <c r="D74" s="285" t="s">
        <v>314</v>
      </c>
      <c r="E74" s="314" t="s">
        <v>204</v>
      </c>
      <c r="F74" s="315" t="s">
        <v>316</v>
      </c>
      <c r="G74" s="68" t="s">
        <v>317</v>
      </c>
      <c r="H74" s="285" t="s">
        <v>59</v>
      </c>
      <c r="I74" s="68" t="s">
        <v>318</v>
      </c>
      <c r="J74" s="316">
        <v>32.6</v>
      </c>
      <c r="K74" s="317">
        <f t="shared" si="1"/>
        <v>200</v>
      </c>
      <c r="L74" s="233">
        <v>200</v>
      </c>
      <c r="M74" s="233"/>
      <c r="N74" s="232" t="e">
        <f>IF(L74="nio",0,IF(L74&gt;0,L74*J74/P74,0))*VLOOKUP(B74,'2-Kosten per locatie'!$A$14:$C$22,3,FALSE)</f>
        <v>#DIV/0!</v>
      </c>
      <c r="O74" s="232">
        <f>IF(M74&gt;0,M74*J74/Q74,0)*VLOOKUP(B74,'2-Kosten per locatie'!$A$15:$C$22,3,FALSE)</f>
        <v>0</v>
      </c>
      <c r="P74" s="318">
        <f>IF(L74="nio",0,IF(L74&gt;0,VLOOKUP(H74,'3-Productie normen'!A:J,VLOOKUP(L74,'3-Productie normen'!$B$32:$C$34,2,FALSE),FALSE)))</f>
        <v>0</v>
      </c>
      <c r="Q74" s="318">
        <f t="shared" si="2"/>
        <v>0</v>
      </c>
      <c r="R74" s="319" t="str">
        <f>VLOOKUP(H74,'3-Productie normen'!A:L,9,FALSE)</f>
        <v>V</v>
      </c>
      <c r="S74" s="319"/>
      <c r="U74" s="320">
        <f t="shared" ref="U74:U105" si="4">K74*J74</f>
        <v>6520</v>
      </c>
    </row>
    <row r="75" spans="1:21" ht="14.1" customHeight="1">
      <c r="A75" s="478">
        <v>75</v>
      </c>
      <c r="B75" s="285" t="s">
        <v>312</v>
      </c>
      <c r="C75" s="285" t="s">
        <v>313</v>
      </c>
      <c r="D75" s="285" t="s">
        <v>314</v>
      </c>
      <c r="E75" s="314" t="s">
        <v>204</v>
      </c>
      <c r="F75" s="315" t="s">
        <v>319</v>
      </c>
      <c r="G75" s="68" t="s">
        <v>216</v>
      </c>
      <c r="H75" s="68" t="s">
        <v>217</v>
      </c>
      <c r="I75" s="68" t="s">
        <v>318</v>
      </c>
      <c r="J75" s="316">
        <v>1.1000000000000001</v>
      </c>
      <c r="K75" s="317">
        <f t="shared" ref="K75:K138" si="5">SUM(L75:M75)</f>
        <v>200</v>
      </c>
      <c r="L75" s="233">
        <v>200</v>
      </c>
      <c r="M75" s="233"/>
      <c r="N75" s="232" t="e">
        <f>IF(L75="nio",0,IF(L75&gt;0,L75*J75/P75,0))*VLOOKUP(B75,'2-Kosten per locatie'!$A$14:$C$22,3,FALSE)</f>
        <v>#DIV/0!</v>
      </c>
      <c r="O75" s="232">
        <f>IF(M75&gt;0,M75*J75/Q75,0)*VLOOKUP(B75,'2-Kosten per locatie'!$A$15:$C$22,3,FALSE)</f>
        <v>0</v>
      </c>
      <c r="P75" s="318">
        <f>IF(L75="nio",0,IF(L75&gt;0,VLOOKUP(H75,'3-Productie normen'!A:J,VLOOKUP(L75,'3-Productie normen'!$B$32:$C$34,2,FALSE),FALSE)))</f>
        <v>0</v>
      </c>
      <c r="Q75" s="318">
        <f t="shared" ref="Q75:Q138" si="6">IF(L75&gt;0,P75*$Q$8,0)</f>
        <v>0</v>
      </c>
      <c r="R75" s="319" t="str">
        <f>VLOOKUP(H75,'3-Productie normen'!A:L,9,FALSE)</f>
        <v>S</v>
      </c>
      <c r="S75" s="319"/>
      <c r="U75" s="320">
        <f t="shared" si="4"/>
        <v>220.00000000000003</v>
      </c>
    </row>
    <row r="76" spans="1:21" ht="14.1" customHeight="1">
      <c r="A76" s="478">
        <v>76</v>
      </c>
      <c r="B76" s="285" t="s">
        <v>312</v>
      </c>
      <c r="C76" s="285" t="s">
        <v>313</v>
      </c>
      <c r="D76" s="285" t="s">
        <v>314</v>
      </c>
      <c r="E76" s="314" t="s">
        <v>204</v>
      </c>
      <c r="F76" s="315" t="s">
        <v>320</v>
      </c>
      <c r="G76" s="68" t="s">
        <v>321</v>
      </c>
      <c r="H76" s="68" t="s">
        <v>217</v>
      </c>
      <c r="I76" s="68" t="s">
        <v>318</v>
      </c>
      <c r="J76" s="316">
        <v>16.399999999999999</v>
      </c>
      <c r="K76" s="317">
        <f t="shared" si="5"/>
        <v>200</v>
      </c>
      <c r="L76" s="233">
        <v>200</v>
      </c>
      <c r="M76" s="233"/>
      <c r="N76" s="232" t="e">
        <f>IF(L76="nio",0,IF(L76&gt;0,L76*J76/P76,0))*VLOOKUP(B76,'2-Kosten per locatie'!$A$14:$C$22,3,FALSE)</f>
        <v>#DIV/0!</v>
      </c>
      <c r="O76" s="232">
        <f>IF(M76&gt;0,M76*J76/Q76,0)*VLOOKUP(B76,'2-Kosten per locatie'!$A$15:$C$22,3,FALSE)</f>
        <v>0</v>
      </c>
      <c r="P76" s="318">
        <f>IF(L76="nio",0,IF(L76&gt;0,VLOOKUP(H76,'3-Productie normen'!A:J,VLOOKUP(L76,'3-Productie normen'!$B$32:$C$34,2,FALSE),FALSE)))</f>
        <v>0</v>
      </c>
      <c r="Q76" s="318">
        <f t="shared" si="6"/>
        <v>0</v>
      </c>
      <c r="R76" s="319" t="str">
        <f>VLOOKUP(H76,'3-Productie normen'!A:L,9,FALSE)</f>
        <v>S</v>
      </c>
      <c r="S76" s="319"/>
      <c r="U76" s="320">
        <f t="shared" si="4"/>
        <v>3279.9999999999995</v>
      </c>
    </row>
    <row r="77" spans="1:21" ht="14.1" customHeight="1">
      <c r="A77" s="478">
        <v>77</v>
      </c>
      <c r="B77" s="285" t="s">
        <v>312</v>
      </c>
      <c r="C77" s="285" t="s">
        <v>313</v>
      </c>
      <c r="D77" s="285" t="s">
        <v>314</v>
      </c>
      <c r="E77" s="314" t="s">
        <v>204</v>
      </c>
      <c r="F77" s="315" t="s">
        <v>322</v>
      </c>
      <c r="G77" s="68" t="s">
        <v>323</v>
      </c>
      <c r="H77" s="285" t="s">
        <v>59</v>
      </c>
      <c r="I77" s="68" t="s">
        <v>318</v>
      </c>
      <c r="J77" s="316">
        <v>34.9</v>
      </c>
      <c r="K77" s="317">
        <f t="shared" si="5"/>
        <v>200</v>
      </c>
      <c r="L77" s="233">
        <v>200</v>
      </c>
      <c r="M77" s="233"/>
      <c r="N77" s="232" t="e">
        <f>IF(L77="nio",0,IF(L77&gt;0,L77*J77/P77,0))*VLOOKUP(B77,'2-Kosten per locatie'!$A$14:$C$22,3,FALSE)</f>
        <v>#DIV/0!</v>
      </c>
      <c r="O77" s="232">
        <f>IF(M77&gt;0,M77*J77/Q77,0)*VLOOKUP(B77,'2-Kosten per locatie'!$A$15:$C$22,3,FALSE)</f>
        <v>0</v>
      </c>
      <c r="P77" s="318">
        <f>IF(L77="nio",0,IF(L77&gt;0,VLOOKUP(H77,'3-Productie normen'!A:J,VLOOKUP(L77,'3-Productie normen'!$B$32:$C$34,2,FALSE),FALSE)))</f>
        <v>0</v>
      </c>
      <c r="Q77" s="318">
        <f t="shared" si="6"/>
        <v>0</v>
      </c>
      <c r="R77" s="319" t="str">
        <f>VLOOKUP(H77,'3-Productie normen'!A:L,9,FALSE)</f>
        <v>V</v>
      </c>
      <c r="S77" s="319"/>
      <c r="U77" s="320">
        <f t="shared" si="4"/>
        <v>6980</v>
      </c>
    </row>
    <row r="78" spans="1:21" ht="14.1" customHeight="1">
      <c r="A78" s="478">
        <v>78</v>
      </c>
      <c r="B78" s="285" t="s">
        <v>312</v>
      </c>
      <c r="C78" s="285" t="s">
        <v>313</v>
      </c>
      <c r="D78" s="285" t="s">
        <v>314</v>
      </c>
      <c r="E78" s="314" t="s">
        <v>204</v>
      </c>
      <c r="F78" s="315" t="s">
        <v>324</v>
      </c>
      <c r="G78" s="68" t="s">
        <v>216</v>
      </c>
      <c r="H78" s="68" t="s">
        <v>217</v>
      </c>
      <c r="I78" s="68" t="s">
        <v>318</v>
      </c>
      <c r="J78" s="316">
        <v>1.1000000000000001</v>
      </c>
      <c r="K78" s="317">
        <f t="shared" si="5"/>
        <v>200</v>
      </c>
      <c r="L78" s="233">
        <v>200</v>
      </c>
      <c r="M78" s="233"/>
      <c r="N78" s="232" t="e">
        <f>IF(L78="nio",0,IF(L78&gt;0,L78*J78/P78,0))*VLOOKUP(B78,'2-Kosten per locatie'!$A$14:$C$22,3,FALSE)</f>
        <v>#DIV/0!</v>
      </c>
      <c r="O78" s="232">
        <f>IF(M78&gt;0,M78*J78/Q78,0)*VLOOKUP(B78,'2-Kosten per locatie'!$A$15:$C$22,3,FALSE)</f>
        <v>0</v>
      </c>
      <c r="P78" s="318">
        <f>IF(L78="nio",0,IF(L78&gt;0,VLOOKUP(H78,'3-Productie normen'!A:J,VLOOKUP(L78,'3-Productie normen'!$B$32:$C$34,2,FALSE),FALSE)))</f>
        <v>0</v>
      </c>
      <c r="Q78" s="318">
        <f t="shared" si="6"/>
        <v>0</v>
      </c>
      <c r="R78" s="319" t="str">
        <f>VLOOKUP(H78,'3-Productie normen'!A:L,9,FALSE)</f>
        <v>S</v>
      </c>
      <c r="S78" s="319"/>
      <c r="U78" s="320">
        <f t="shared" si="4"/>
        <v>220.00000000000003</v>
      </c>
    </row>
    <row r="79" spans="1:21" ht="14.1" customHeight="1">
      <c r="A79" s="478">
        <v>79</v>
      </c>
      <c r="B79" s="285" t="s">
        <v>312</v>
      </c>
      <c r="C79" s="285" t="s">
        <v>313</v>
      </c>
      <c r="D79" s="285" t="s">
        <v>314</v>
      </c>
      <c r="E79" s="314" t="s">
        <v>204</v>
      </c>
      <c r="F79" s="315" t="s">
        <v>325</v>
      </c>
      <c r="G79" s="68" t="s">
        <v>321</v>
      </c>
      <c r="H79" s="68" t="s">
        <v>217</v>
      </c>
      <c r="I79" s="68" t="s">
        <v>318</v>
      </c>
      <c r="J79" s="316">
        <v>16.399999999999999</v>
      </c>
      <c r="K79" s="317">
        <f t="shared" si="5"/>
        <v>200</v>
      </c>
      <c r="L79" s="233">
        <v>200</v>
      </c>
      <c r="M79" s="233"/>
      <c r="N79" s="232" t="e">
        <f>IF(L79="nio",0,IF(L79&gt;0,L79*J79/P79,0))*VLOOKUP(B79,'2-Kosten per locatie'!$A$14:$C$22,3,FALSE)</f>
        <v>#DIV/0!</v>
      </c>
      <c r="O79" s="232">
        <f>IF(M79&gt;0,M79*J79/Q79,0)*VLOOKUP(B79,'2-Kosten per locatie'!$A$15:$C$22,3,FALSE)</f>
        <v>0</v>
      </c>
      <c r="P79" s="318">
        <f>IF(L79="nio",0,IF(L79&gt;0,VLOOKUP(H79,'3-Productie normen'!A:J,VLOOKUP(L79,'3-Productie normen'!$B$32:$C$34,2,FALSE),FALSE)))</f>
        <v>0</v>
      </c>
      <c r="Q79" s="318">
        <f t="shared" si="6"/>
        <v>0</v>
      </c>
      <c r="R79" s="319" t="str">
        <f>VLOOKUP(H79,'3-Productie normen'!A:L,9,FALSE)</f>
        <v>S</v>
      </c>
      <c r="S79" s="319"/>
      <c r="U79" s="320">
        <f t="shared" si="4"/>
        <v>3279.9999999999995</v>
      </c>
    </row>
    <row r="80" spans="1:21" ht="14.1" customHeight="1">
      <c r="A80" s="478">
        <v>80</v>
      </c>
      <c r="B80" s="285" t="s">
        <v>312</v>
      </c>
      <c r="C80" s="285" t="s">
        <v>313</v>
      </c>
      <c r="D80" s="285" t="s">
        <v>314</v>
      </c>
      <c r="E80" s="314" t="s">
        <v>204</v>
      </c>
      <c r="F80" s="315" t="s">
        <v>326</v>
      </c>
      <c r="G80" s="68" t="s">
        <v>327</v>
      </c>
      <c r="H80" s="68" t="s">
        <v>217</v>
      </c>
      <c r="I80" s="68" t="s">
        <v>318</v>
      </c>
      <c r="J80" s="316">
        <v>4.4000000000000004</v>
      </c>
      <c r="K80" s="317">
        <f t="shared" si="5"/>
        <v>200</v>
      </c>
      <c r="L80" s="233">
        <v>200</v>
      </c>
      <c r="M80" s="233"/>
      <c r="N80" s="232" t="e">
        <f>IF(L80="nio",0,IF(L80&gt;0,L80*J80/P80,0))*VLOOKUP(B80,'2-Kosten per locatie'!$A$14:$C$22,3,FALSE)</f>
        <v>#DIV/0!</v>
      </c>
      <c r="O80" s="232">
        <f>IF(M80&gt;0,M80*J80/Q80,0)*VLOOKUP(B80,'2-Kosten per locatie'!$A$15:$C$22,3,FALSE)</f>
        <v>0</v>
      </c>
      <c r="P80" s="318">
        <f>IF(L80="nio",0,IF(L80&gt;0,VLOOKUP(H80,'3-Productie normen'!A:J,VLOOKUP(L80,'3-Productie normen'!$B$32:$C$34,2,FALSE),FALSE)))</f>
        <v>0</v>
      </c>
      <c r="Q80" s="318">
        <f t="shared" si="6"/>
        <v>0</v>
      </c>
      <c r="R80" s="319" t="str">
        <f>VLOOKUP(H80,'3-Productie normen'!A:L,9,FALSE)</f>
        <v>S</v>
      </c>
      <c r="S80" s="319"/>
      <c r="U80" s="320">
        <f t="shared" si="4"/>
        <v>880.00000000000011</v>
      </c>
    </row>
    <row r="81" spans="1:21" ht="14.1" customHeight="1">
      <c r="A81" s="478">
        <v>81</v>
      </c>
      <c r="B81" s="285" t="s">
        <v>312</v>
      </c>
      <c r="C81" s="285" t="s">
        <v>313</v>
      </c>
      <c r="D81" s="285" t="s">
        <v>314</v>
      </c>
      <c r="E81" s="314" t="s">
        <v>204</v>
      </c>
      <c r="F81" s="315" t="s">
        <v>328</v>
      </c>
      <c r="G81" s="68" t="s">
        <v>329</v>
      </c>
      <c r="H81" s="68" t="s">
        <v>330</v>
      </c>
      <c r="I81" s="68" t="s">
        <v>268</v>
      </c>
      <c r="J81" s="316">
        <v>252</v>
      </c>
      <c r="K81" s="317">
        <f t="shared" si="5"/>
        <v>200</v>
      </c>
      <c r="L81" s="233">
        <v>200</v>
      </c>
      <c r="M81" s="233"/>
      <c r="N81" s="232" t="e">
        <f>IF(L81="nio",0,IF(L81&gt;0,L81*J81/P81,0))*VLOOKUP(B81,'2-Kosten per locatie'!$A$14:$C$22,3,FALSE)</f>
        <v>#DIV/0!</v>
      </c>
      <c r="O81" s="232">
        <f>IF(M81&gt;0,M81*J81/Q81,0)*VLOOKUP(B81,'2-Kosten per locatie'!$A$15:$C$22,3,FALSE)</f>
        <v>0</v>
      </c>
      <c r="P81" s="318">
        <f>IF(L81="nio",0,IF(L81&gt;0,VLOOKUP(H81,'3-Productie normen'!A:J,VLOOKUP(L81,'3-Productie normen'!$B$32:$C$34,2,FALSE),FALSE)))</f>
        <v>0</v>
      </c>
      <c r="Q81" s="318">
        <f t="shared" si="6"/>
        <v>0</v>
      </c>
      <c r="R81" s="319" t="str">
        <f>VLOOKUP(H81,'3-Productie normen'!A:L,9,FALSE)</f>
        <v>V</v>
      </c>
      <c r="S81" s="319"/>
      <c r="U81" s="320">
        <f t="shared" si="4"/>
        <v>50400</v>
      </c>
    </row>
    <row r="82" spans="1:21" ht="14.1" customHeight="1">
      <c r="A82" s="478">
        <v>82</v>
      </c>
      <c r="B82" s="285" t="s">
        <v>312</v>
      </c>
      <c r="C82" s="285" t="s">
        <v>313</v>
      </c>
      <c r="D82" s="285" t="s">
        <v>314</v>
      </c>
      <c r="E82" s="314" t="s">
        <v>204</v>
      </c>
      <c r="F82" s="315" t="s">
        <v>224</v>
      </c>
      <c r="G82" s="68" t="s">
        <v>331</v>
      </c>
      <c r="H82" s="285" t="s">
        <v>59</v>
      </c>
      <c r="I82" s="68" t="s">
        <v>318</v>
      </c>
      <c r="J82" s="316">
        <v>4.8</v>
      </c>
      <c r="K82" s="317">
        <f t="shared" si="5"/>
        <v>200</v>
      </c>
      <c r="L82" s="233">
        <v>200</v>
      </c>
      <c r="M82" s="233"/>
      <c r="N82" s="232" t="e">
        <f>IF(L82="nio",0,IF(L82&gt;0,L82*J82/P82,0))*VLOOKUP(B82,'2-Kosten per locatie'!$A$14:$C$22,3,FALSE)</f>
        <v>#DIV/0!</v>
      </c>
      <c r="O82" s="232">
        <f>IF(M82&gt;0,M82*J82/Q82,0)*VLOOKUP(B82,'2-Kosten per locatie'!$A$15:$C$22,3,FALSE)</f>
        <v>0</v>
      </c>
      <c r="P82" s="318">
        <f>IF(L82="nio",0,IF(L82&gt;0,VLOOKUP(H82,'3-Productie normen'!A:J,VLOOKUP(L82,'3-Productie normen'!$B$32:$C$34,2,FALSE),FALSE)))</f>
        <v>0</v>
      </c>
      <c r="Q82" s="318">
        <f t="shared" si="6"/>
        <v>0</v>
      </c>
      <c r="R82" s="319" t="str">
        <f>VLOOKUP(H82,'3-Productie normen'!A:L,9,FALSE)</f>
        <v>V</v>
      </c>
      <c r="S82" s="319"/>
      <c r="U82" s="320">
        <f t="shared" si="4"/>
        <v>960</v>
      </c>
    </row>
    <row r="83" spans="1:21" ht="14.1" customHeight="1">
      <c r="A83" s="478">
        <v>83</v>
      </c>
      <c r="B83" s="285" t="s">
        <v>312</v>
      </c>
      <c r="C83" s="285" t="s">
        <v>313</v>
      </c>
      <c r="D83" s="285" t="s">
        <v>314</v>
      </c>
      <c r="E83" s="314" t="s">
        <v>204</v>
      </c>
      <c r="F83" s="315" t="s">
        <v>332</v>
      </c>
      <c r="G83" s="68" t="s">
        <v>333</v>
      </c>
      <c r="H83" s="68" t="s">
        <v>217</v>
      </c>
      <c r="I83" s="68" t="s">
        <v>318</v>
      </c>
      <c r="J83" s="316">
        <v>2.4</v>
      </c>
      <c r="K83" s="317">
        <f t="shared" si="5"/>
        <v>200</v>
      </c>
      <c r="L83" s="233">
        <v>200</v>
      </c>
      <c r="M83" s="233"/>
      <c r="N83" s="232" t="e">
        <f>IF(L83="nio",0,IF(L83&gt;0,L83*J83/P83,0))*VLOOKUP(B83,'2-Kosten per locatie'!$A$14:$C$22,3,FALSE)</f>
        <v>#DIV/0!</v>
      </c>
      <c r="O83" s="232">
        <f>IF(M83&gt;0,M83*J83/Q83,0)*VLOOKUP(B83,'2-Kosten per locatie'!$A$15:$C$22,3,FALSE)</f>
        <v>0</v>
      </c>
      <c r="P83" s="318">
        <f>IF(L83="nio",0,IF(L83&gt;0,VLOOKUP(H83,'3-Productie normen'!A:J,VLOOKUP(L83,'3-Productie normen'!$B$32:$C$34,2,FALSE),FALSE)))</f>
        <v>0</v>
      </c>
      <c r="Q83" s="318">
        <f t="shared" si="6"/>
        <v>0</v>
      </c>
      <c r="R83" s="319" t="str">
        <f>VLOOKUP(H83,'3-Productie normen'!A:L,9,FALSE)</f>
        <v>S</v>
      </c>
      <c r="S83" s="319"/>
      <c r="U83" s="320">
        <f t="shared" si="4"/>
        <v>480</v>
      </c>
    </row>
    <row r="84" spans="1:21" ht="14.1" customHeight="1">
      <c r="A84" s="478">
        <v>84</v>
      </c>
      <c r="B84" s="285" t="s">
        <v>312</v>
      </c>
      <c r="C84" s="285" t="s">
        <v>313</v>
      </c>
      <c r="D84" s="285" t="s">
        <v>314</v>
      </c>
      <c r="E84" s="314" t="s">
        <v>204</v>
      </c>
      <c r="F84" s="315" t="s">
        <v>226</v>
      </c>
      <c r="G84" s="68" t="s">
        <v>219</v>
      </c>
      <c r="H84" s="68" t="s">
        <v>220</v>
      </c>
      <c r="I84" s="68" t="s">
        <v>184</v>
      </c>
      <c r="J84" s="316">
        <v>2.2999999999999998</v>
      </c>
      <c r="K84" s="317">
        <f t="shared" si="5"/>
        <v>200</v>
      </c>
      <c r="L84" s="233">
        <v>200</v>
      </c>
      <c r="M84" s="233"/>
      <c r="N84" s="232" t="e">
        <f>IF(L84="nio",0,IF(L84&gt;0,L84*J84/P84,0))*VLOOKUP(B84,'2-Kosten per locatie'!$A$14:$C$22,3,FALSE)</f>
        <v>#DIV/0!</v>
      </c>
      <c r="O84" s="232">
        <f>IF(M84&gt;0,M84*J84/Q84,0)*VLOOKUP(B84,'2-Kosten per locatie'!$A$15:$C$22,3,FALSE)</f>
        <v>0</v>
      </c>
      <c r="P84" s="318">
        <f>IF(L84="nio",0,IF(L84&gt;0,VLOOKUP(H84,'3-Productie normen'!A:J,VLOOKUP(L84,'3-Productie normen'!$B$32:$C$34,2,FALSE),FALSE)))</f>
        <v>0</v>
      </c>
      <c r="Q84" s="318">
        <f t="shared" si="6"/>
        <v>0</v>
      </c>
      <c r="R84" s="319" t="str">
        <f>VLOOKUP(H84,'3-Productie normen'!A:L,9,FALSE)</f>
        <v>V</v>
      </c>
      <c r="S84" s="319"/>
      <c r="U84" s="320">
        <f t="shared" si="4"/>
        <v>459.99999999999994</v>
      </c>
    </row>
    <row r="85" spans="1:21" ht="14.1" customHeight="1">
      <c r="A85" s="478">
        <v>85</v>
      </c>
      <c r="B85" s="285" t="s">
        <v>312</v>
      </c>
      <c r="C85" s="285" t="s">
        <v>313</v>
      </c>
      <c r="D85" s="285" t="s">
        <v>314</v>
      </c>
      <c r="E85" s="314" t="s">
        <v>204</v>
      </c>
      <c r="F85" s="315" t="s">
        <v>334</v>
      </c>
      <c r="G85" s="68" t="s">
        <v>335</v>
      </c>
      <c r="H85" s="68" t="s">
        <v>335</v>
      </c>
      <c r="I85" s="68" t="s">
        <v>268</v>
      </c>
      <c r="J85" s="316">
        <v>42.3</v>
      </c>
      <c r="K85" s="317">
        <f t="shared" si="5"/>
        <v>40</v>
      </c>
      <c r="L85" s="233">
        <v>40</v>
      </c>
      <c r="M85" s="233"/>
      <c r="N85" s="232" t="e">
        <f>IF(L85="nio",0,IF(L85&gt;0,L85*J85/P85,0))*VLOOKUP(B85,'2-Kosten per locatie'!$A$14:$C$22,3,FALSE)</f>
        <v>#DIV/0!</v>
      </c>
      <c r="O85" s="232">
        <f>IF(M85&gt;0,M85*J85/Q85,0)*VLOOKUP(B85,'2-Kosten per locatie'!$A$15:$C$22,3,FALSE)</f>
        <v>0</v>
      </c>
      <c r="P85" s="318">
        <f>IF(L85="nio",0,IF(L85&gt;0,VLOOKUP(H85,'3-Productie normen'!A:J,VLOOKUP(L85,'3-Productie normen'!$B$32:$C$34,2,FALSE),FALSE)))</f>
        <v>0</v>
      </c>
      <c r="Q85" s="318">
        <f t="shared" si="6"/>
        <v>0</v>
      </c>
      <c r="R85" s="319" t="str">
        <f>VLOOKUP(H85,'3-Productie normen'!A:L,9,FALSE)</f>
        <v>V</v>
      </c>
      <c r="S85" s="319"/>
      <c r="U85" s="320">
        <f t="shared" si="4"/>
        <v>1692</v>
      </c>
    </row>
    <row r="86" spans="1:21" ht="14.1" customHeight="1">
      <c r="A86" s="478">
        <v>86</v>
      </c>
      <c r="B86" s="285" t="s">
        <v>336</v>
      </c>
      <c r="C86" s="285" t="s">
        <v>313</v>
      </c>
      <c r="D86" s="285" t="s">
        <v>314</v>
      </c>
      <c r="E86" s="314" t="s">
        <v>204</v>
      </c>
      <c r="F86" s="315" t="s">
        <v>337</v>
      </c>
      <c r="G86" s="68" t="s">
        <v>264</v>
      </c>
      <c r="H86" s="68" t="s">
        <v>220</v>
      </c>
      <c r="I86" s="68" t="s">
        <v>318</v>
      </c>
      <c r="J86" s="316">
        <v>43.7</v>
      </c>
      <c r="K86" s="317">
        <f t="shared" si="5"/>
        <v>200</v>
      </c>
      <c r="L86" s="233">
        <v>200</v>
      </c>
      <c r="M86" s="233"/>
      <c r="N86" s="232" t="e">
        <f>IF(L86="nio",0,IF(L86&gt;0,L86*J86/P86,0))*VLOOKUP(B86,'2-Kosten per locatie'!$A$14:$C$22,3,FALSE)</f>
        <v>#DIV/0!</v>
      </c>
      <c r="O86" s="232">
        <f>IF(M86&gt;0,M86*J86/Q86,0)*VLOOKUP(B86,'2-Kosten per locatie'!$A$15:$C$22,3,FALSE)</f>
        <v>0</v>
      </c>
      <c r="P86" s="318">
        <f>IF(L86="nio",0,IF(L86&gt;0,VLOOKUP(H86,'3-Productie normen'!A:J,VLOOKUP(L86,'3-Productie normen'!$B$32:$C$34,2,FALSE),FALSE)))</f>
        <v>0</v>
      </c>
      <c r="Q86" s="318">
        <f t="shared" si="6"/>
        <v>0</v>
      </c>
      <c r="R86" s="319" t="str">
        <f>VLOOKUP(H86,'3-Productie normen'!A:L,9,FALSE)</f>
        <v>V</v>
      </c>
      <c r="S86" s="319"/>
      <c r="U86" s="320">
        <f t="shared" si="4"/>
        <v>8740</v>
      </c>
    </row>
    <row r="87" spans="1:21" ht="14.1" customHeight="1">
      <c r="A87" s="478">
        <v>87</v>
      </c>
      <c r="B87" s="285" t="s">
        <v>336</v>
      </c>
      <c r="C87" s="285" t="s">
        <v>313</v>
      </c>
      <c r="D87" s="285" t="s">
        <v>314</v>
      </c>
      <c r="E87" s="314" t="s">
        <v>204</v>
      </c>
      <c r="F87" s="315" t="s">
        <v>338</v>
      </c>
      <c r="G87" s="68" t="s">
        <v>339</v>
      </c>
      <c r="H87" s="285" t="s">
        <v>59</v>
      </c>
      <c r="I87" s="68" t="s">
        <v>318</v>
      </c>
      <c r="J87" s="316">
        <v>40.6</v>
      </c>
      <c r="K87" s="317">
        <f t="shared" si="5"/>
        <v>200</v>
      </c>
      <c r="L87" s="233">
        <v>200</v>
      </c>
      <c r="M87" s="233"/>
      <c r="N87" s="232" t="e">
        <f>IF(L87="nio",0,IF(L87&gt;0,L87*J87/P87,0))*VLOOKUP(B87,'2-Kosten per locatie'!$A$14:$C$22,3,FALSE)</f>
        <v>#DIV/0!</v>
      </c>
      <c r="O87" s="232">
        <f>IF(M87&gt;0,M87*J87/Q87,0)*VLOOKUP(B87,'2-Kosten per locatie'!$A$15:$C$22,3,FALSE)</f>
        <v>0</v>
      </c>
      <c r="P87" s="318">
        <f>IF(L87="nio",0,IF(L87&gt;0,VLOOKUP(H87,'3-Productie normen'!A:J,VLOOKUP(L87,'3-Productie normen'!$B$32:$C$34,2,FALSE),FALSE)))</f>
        <v>0</v>
      </c>
      <c r="Q87" s="318">
        <f t="shared" si="6"/>
        <v>0</v>
      </c>
      <c r="R87" s="319" t="str">
        <f>VLOOKUP(H87,'3-Productie normen'!A:L,9,FALSE)</f>
        <v>V</v>
      </c>
      <c r="S87" s="319"/>
      <c r="U87" s="320">
        <f t="shared" si="4"/>
        <v>8120</v>
      </c>
    </row>
    <row r="88" spans="1:21" ht="14.1" customHeight="1">
      <c r="A88" s="478">
        <v>88</v>
      </c>
      <c r="B88" s="285" t="s">
        <v>336</v>
      </c>
      <c r="C88" s="285" t="s">
        <v>313</v>
      </c>
      <c r="D88" s="285" t="s">
        <v>314</v>
      </c>
      <c r="E88" s="314" t="s">
        <v>204</v>
      </c>
      <c r="F88" s="315" t="s">
        <v>340</v>
      </c>
      <c r="G88" s="68" t="s">
        <v>264</v>
      </c>
      <c r="H88" s="68" t="s">
        <v>220</v>
      </c>
      <c r="I88" s="68" t="s">
        <v>318</v>
      </c>
      <c r="J88" s="316">
        <v>20.8</v>
      </c>
      <c r="K88" s="317">
        <f t="shared" si="5"/>
        <v>200</v>
      </c>
      <c r="L88" s="233">
        <v>200</v>
      </c>
      <c r="M88" s="233"/>
      <c r="N88" s="232" t="e">
        <f>IF(L88="nio",0,IF(L88&gt;0,L88*J88/P88,0))*VLOOKUP(B88,'2-Kosten per locatie'!$A$14:$C$22,3,FALSE)</f>
        <v>#DIV/0!</v>
      </c>
      <c r="O88" s="232">
        <f>IF(M88&gt;0,M88*J88/Q88,0)*VLOOKUP(B88,'2-Kosten per locatie'!$A$15:$C$22,3,FALSE)</f>
        <v>0</v>
      </c>
      <c r="P88" s="318">
        <f>IF(L88="nio",0,IF(L88&gt;0,VLOOKUP(H88,'3-Productie normen'!A:J,VLOOKUP(L88,'3-Productie normen'!$B$32:$C$34,2,FALSE),FALSE)))</f>
        <v>0</v>
      </c>
      <c r="Q88" s="318">
        <f t="shared" si="6"/>
        <v>0</v>
      </c>
      <c r="R88" s="319" t="str">
        <f>VLOOKUP(H88,'3-Productie normen'!A:L,9,FALSE)</f>
        <v>V</v>
      </c>
      <c r="S88" s="319"/>
      <c r="U88" s="320">
        <f t="shared" si="4"/>
        <v>4160</v>
      </c>
    </row>
    <row r="89" spans="1:21" ht="14.1" customHeight="1">
      <c r="A89" s="478">
        <v>89</v>
      </c>
      <c r="B89" s="285" t="s">
        <v>336</v>
      </c>
      <c r="C89" s="285" t="s">
        <v>313</v>
      </c>
      <c r="D89" s="285" t="s">
        <v>314</v>
      </c>
      <c r="E89" s="314" t="s">
        <v>204</v>
      </c>
      <c r="F89" s="315" t="s">
        <v>341</v>
      </c>
      <c r="G89" s="68" t="s">
        <v>342</v>
      </c>
      <c r="H89" s="68" t="s">
        <v>399</v>
      </c>
      <c r="I89" s="68" t="s">
        <v>318</v>
      </c>
      <c r="J89" s="316">
        <v>37.200000000000003</v>
      </c>
      <c r="K89" s="317">
        <f t="shared" si="5"/>
        <v>200</v>
      </c>
      <c r="L89" s="233">
        <v>200</v>
      </c>
      <c r="M89" s="233"/>
      <c r="N89" s="232" t="e">
        <f>IF(L89="nio",0,IF(L89&gt;0,L89*J89/P89,0))*VLOOKUP(B89,'2-Kosten per locatie'!$A$14:$C$22,3,FALSE)</f>
        <v>#DIV/0!</v>
      </c>
      <c r="O89" s="232">
        <f>IF(M89&gt;0,M89*J89/Q89,0)*VLOOKUP(B89,'2-Kosten per locatie'!$A$15:$C$22,3,FALSE)</f>
        <v>0</v>
      </c>
      <c r="P89" s="318">
        <f>IF(L89="nio",0,IF(L89&gt;0,VLOOKUP(H89,'3-Productie normen'!A:J,VLOOKUP(L89,'3-Productie normen'!$B$32:$C$34,2,FALSE),FALSE)))</f>
        <v>0</v>
      </c>
      <c r="Q89" s="318">
        <f t="shared" si="6"/>
        <v>0</v>
      </c>
      <c r="R89" s="319" t="str">
        <f>VLOOKUP(H89,'3-Productie normen'!A:L,9,FALSE)</f>
        <v>S</v>
      </c>
      <c r="S89" s="319"/>
      <c r="U89" s="320">
        <f t="shared" si="4"/>
        <v>7440.0000000000009</v>
      </c>
    </row>
    <row r="90" spans="1:21" ht="14.1" customHeight="1">
      <c r="A90" s="478">
        <v>90</v>
      </c>
      <c r="B90" s="285" t="s">
        <v>336</v>
      </c>
      <c r="C90" s="285" t="s">
        <v>313</v>
      </c>
      <c r="D90" s="285" t="s">
        <v>314</v>
      </c>
      <c r="E90" s="314" t="s">
        <v>204</v>
      </c>
      <c r="F90" s="315" t="s">
        <v>343</v>
      </c>
      <c r="G90" s="68" t="s">
        <v>344</v>
      </c>
      <c r="H90" s="68" t="s">
        <v>399</v>
      </c>
      <c r="I90" s="68" t="s">
        <v>318</v>
      </c>
      <c r="J90" s="316">
        <v>37.4</v>
      </c>
      <c r="K90" s="317">
        <f t="shared" si="5"/>
        <v>200</v>
      </c>
      <c r="L90" s="233">
        <v>200</v>
      </c>
      <c r="M90" s="233"/>
      <c r="N90" s="232" t="e">
        <f>IF(L90="nio",0,IF(L90&gt;0,L90*J90/P90,0))*VLOOKUP(B90,'2-Kosten per locatie'!$A$14:$C$22,3,FALSE)</f>
        <v>#DIV/0!</v>
      </c>
      <c r="O90" s="232">
        <f>IF(M90&gt;0,M90*J90/Q90,0)*VLOOKUP(B90,'2-Kosten per locatie'!$A$15:$C$22,3,FALSE)</f>
        <v>0</v>
      </c>
      <c r="P90" s="318">
        <f>IF(L90="nio",0,IF(L90&gt;0,VLOOKUP(H90,'3-Productie normen'!A:J,VLOOKUP(L90,'3-Productie normen'!$B$32:$C$34,2,FALSE),FALSE)))</f>
        <v>0</v>
      </c>
      <c r="Q90" s="318">
        <f t="shared" si="6"/>
        <v>0</v>
      </c>
      <c r="R90" s="319" t="str">
        <f>VLOOKUP(H90,'3-Productie normen'!A:L,9,FALSE)</f>
        <v>S</v>
      </c>
      <c r="S90" s="319"/>
      <c r="U90" s="320">
        <f t="shared" si="4"/>
        <v>7480</v>
      </c>
    </row>
    <row r="91" spans="1:21" ht="14.1" customHeight="1">
      <c r="A91" s="478">
        <v>91</v>
      </c>
      <c r="B91" s="285" t="s">
        <v>336</v>
      </c>
      <c r="C91" s="285" t="s">
        <v>313</v>
      </c>
      <c r="D91" s="285" t="s">
        <v>314</v>
      </c>
      <c r="E91" s="314" t="s">
        <v>204</v>
      </c>
      <c r="F91" s="315" t="s">
        <v>345</v>
      </c>
      <c r="G91" s="68" t="s">
        <v>346</v>
      </c>
      <c r="H91" s="68" t="s">
        <v>399</v>
      </c>
      <c r="I91" s="68" t="s">
        <v>318</v>
      </c>
      <c r="J91" s="316">
        <v>37.5</v>
      </c>
      <c r="K91" s="317">
        <f t="shared" si="5"/>
        <v>200</v>
      </c>
      <c r="L91" s="233">
        <v>200</v>
      </c>
      <c r="M91" s="233"/>
      <c r="N91" s="232" t="e">
        <f>IF(L91="nio",0,IF(L91&gt;0,L91*J91/P91,0))*VLOOKUP(B91,'2-Kosten per locatie'!$A$14:$C$22,3,FALSE)</f>
        <v>#DIV/0!</v>
      </c>
      <c r="O91" s="232">
        <f>IF(M91&gt;0,M91*J91/Q91,0)*VLOOKUP(B91,'2-Kosten per locatie'!$A$15:$C$22,3,FALSE)</f>
        <v>0</v>
      </c>
      <c r="P91" s="318">
        <f>IF(L91="nio",0,IF(L91&gt;0,VLOOKUP(H91,'3-Productie normen'!A:J,VLOOKUP(L91,'3-Productie normen'!$B$32:$C$34,2,FALSE),FALSE)))</f>
        <v>0</v>
      </c>
      <c r="Q91" s="318">
        <f t="shared" si="6"/>
        <v>0</v>
      </c>
      <c r="R91" s="319" t="str">
        <f>VLOOKUP(H91,'3-Productie normen'!A:L,9,FALSE)</f>
        <v>S</v>
      </c>
      <c r="S91" s="319"/>
      <c r="U91" s="320">
        <f t="shared" si="4"/>
        <v>7500</v>
      </c>
    </row>
    <row r="92" spans="1:21" ht="14.1" customHeight="1">
      <c r="A92" s="478">
        <v>92</v>
      </c>
      <c r="B92" s="285" t="s">
        <v>336</v>
      </c>
      <c r="C92" s="285" t="s">
        <v>313</v>
      </c>
      <c r="D92" s="285" t="s">
        <v>314</v>
      </c>
      <c r="E92" s="314" t="s">
        <v>204</v>
      </c>
      <c r="F92" s="315" t="s">
        <v>347</v>
      </c>
      <c r="G92" s="68" t="s">
        <v>264</v>
      </c>
      <c r="H92" s="68" t="s">
        <v>220</v>
      </c>
      <c r="I92" s="68" t="s">
        <v>318</v>
      </c>
      <c r="J92" s="316">
        <v>18.3</v>
      </c>
      <c r="K92" s="317">
        <f t="shared" si="5"/>
        <v>200</v>
      </c>
      <c r="L92" s="233">
        <v>200</v>
      </c>
      <c r="M92" s="233"/>
      <c r="N92" s="232" t="e">
        <f>IF(L92="nio",0,IF(L92&gt;0,L92*J92/P92,0))*VLOOKUP(B92,'2-Kosten per locatie'!$A$14:$C$22,3,FALSE)</f>
        <v>#DIV/0!</v>
      </c>
      <c r="O92" s="232">
        <f>IF(M92&gt;0,M92*J92/Q92,0)*VLOOKUP(B92,'2-Kosten per locatie'!$A$15:$C$22,3,FALSE)</f>
        <v>0</v>
      </c>
      <c r="P92" s="318">
        <f>IF(L92="nio",0,IF(L92&gt;0,VLOOKUP(H92,'3-Productie normen'!A:J,VLOOKUP(L92,'3-Productie normen'!$B$32:$C$34,2,FALSE),FALSE)))</f>
        <v>0</v>
      </c>
      <c r="Q92" s="318">
        <f t="shared" si="6"/>
        <v>0</v>
      </c>
      <c r="R92" s="319" t="str">
        <f>VLOOKUP(H92,'3-Productie normen'!A:L,9,FALSE)</f>
        <v>V</v>
      </c>
      <c r="S92" s="319"/>
      <c r="U92" s="320">
        <f t="shared" si="4"/>
        <v>3660</v>
      </c>
    </row>
    <row r="93" spans="1:21" ht="14.1" customHeight="1">
      <c r="A93" s="478">
        <v>93</v>
      </c>
      <c r="B93" s="285" t="s">
        <v>336</v>
      </c>
      <c r="C93" s="285" t="s">
        <v>313</v>
      </c>
      <c r="D93" s="285" t="s">
        <v>314</v>
      </c>
      <c r="E93" s="314" t="s">
        <v>204</v>
      </c>
      <c r="F93" s="315" t="s">
        <v>348</v>
      </c>
      <c r="G93" s="68" t="s">
        <v>335</v>
      </c>
      <c r="H93" s="68" t="s">
        <v>335</v>
      </c>
      <c r="I93" s="68" t="s">
        <v>268</v>
      </c>
      <c r="J93" s="316">
        <v>11.2</v>
      </c>
      <c r="K93" s="317">
        <f t="shared" si="5"/>
        <v>40</v>
      </c>
      <c r="L93" s="233">
        <v>40</v>
      </c>
      <c r="M93" s="233"/>
      <c r="N93" s="232" t="e">
        <f>IF(L93="nio",0,IF(L93&gt;0,L93*J93/P93,0))*VLOOKUP(B93,'2-Kosten per locatie'!$A$14:$C$22,3,FALSE)</f>
        <v>#DIV/0!</v>
      </c>
      <c r="O93" s="232">
        <f>IF(M93&gt;0,M93*J93/Q93,0)*VLOOKUP(B93,'2-Kosten per locatie'!$A$15:$C$22,3,FALSE)</f>
        <v>0</v>
      </c>
      <c r="P93" s="318">
        <f>IF(L93="nio",0,IF(L93&gt;0,VLOOKUP(H93,'3-Productie normen'!A:J,VLOOKUP(L93,'3-Productie normen'!$B$32:$C$34,2,FALSE),FALSE)))</f>
        <v>0</v>
      </c>
      <c r="Q93" s="318">
        <f t="shared" si="6"/>
        <v>0</v>
      </c>
      <c r="R93" s="319" t="str">
        <f>VLOOKUP(H93,'3-Productie normen'!A:L,9,FALSE)</f>
        <v>V</v>
      </c>
      <c r="S93" s="319"/>
      <c r="U93" s="320">
        <f t="shared" si="4"/>
        <v>448</v>
      </c>
    </row>
    <row r="94" spans="1:21" ht="14.1" customHeight="1">
      <c r="A94" s="478">
        <v>94</v>
      </c>
      <c r="B94" s="285" t="s">
        <v>336</v>
      </c>
      <c r="C94" s="285" t="s">
        <v>313</v>
      </c>
      <c r="D94" s="285" t="s">
        <v>314</v>
      </c>
      <c r="E94" s="314" t="s">
        <v>204</v>
      </c>
      <c r="F94" s="315" t="s">
        <v>349</v>
      </c>
      <c r="G94" s="68" t="s">
        <v>335</v>
      </c>
      <c r="H94" s="68" t="s">
        <v>335</v>
      </c>
      <c r="I94" s="68" t="s">
        <v>268</v>
      </c>
      <c r="J94" s="316">
        <v>23.1</v>
      </c>
      <c r="K94" s="317">
        <f t="shared" si="5"/>
        <v>40</v>
      </c>
      <c r="L94" s="233">
        <v>40</v>
      </c>
      <c r="M94" s="233"/>
      <c r="N94" s="232" t="e">
        <f>IF(L94="nio",0,IF(L94&gt;0,L94*J94/P94,0))*VLOOKUP(B94,'2-Kosten per locatie'!$A$14:$C$22,3,FALSE)</f>
        <v>#DIV/0!</v>
      </c>
      <c r="O94" s="232">
        <f>IF(M94&gt;0,M94*J94/Q94,0)*VLOOKUP(B94,'2-Kosten per locatie'!$A$15:$C$22,3,FALSE)</f>
        <v>0</v>
      </c>
      <c r="P94" s="318">
        <f>IF(L94="nio",0,IF(L94&gt;0,VLOOKUP(H94,'3-Productie normen'!A:J,VLOOKUP(L94,'3-Productie normen'!$B$32:$C$34,2,FALSE),FALSE)))</f>
        <v>0</v>
      </c>
      <c r="Q94" s="318">
        <f t="shared" si="6"/>
        <v>0</v>
      </c>
      <c r="R94" s="319" t="str">
        <f>VLOOKUP(H94,'3-Productie normen'!A:L,9,FALSE)</f>
        <v>V</v>
      </c>
      <c r="S94" s="319"/>
      <c r="U94" s="320">
        <f t="shared" si="4"/>
        <v>924</v>
      </c>
    </row>
    <row r="95" spans="1:21" ht="14.1" customHeight="1">
      <c r="A95" s="478">
        <v>95</v>
      </c>
      <c r="B95" s="285" t="s">
        <v>336</v>
      </c>
      <c r="C95" s="285" t="s">
        <v>313</v>
      </c>
      <c r="D95" s="285" t="s">
        <v>314</v>
      </c>
      <c r="E95" s="314" t="s">
        <v>204</v>
      </c>
      <c r="F95" s="315" t="s">
        <v>350</v>
      </c>
      <c r="G95" s="68" t="s">
        <v>351</v>
      </c>
      <c r="H95" s="285" t="s">
        <v>59</v>
      </c>
      <c r="I95" s="68" t="s">
        <v>318</v>
      </c>
      <c r="J95" s="316">
        <v>5.9</v>
      </c>
      <c r="K95" s="317">
        <f t="shared" si="5"/>
        <v>200</v>
      </c>
      <c r="L95" s="233">
        <v>200</v>
      </c>
      <c r="M95" s="233"/>
      <c r="N95" s="232" t="e">
        <f>IF(L95="nio",0,IF(L95&gt;0,L95*J95/P95,0))*VLOOKUP(B95,'2-Kosten per locatie'!$A$14:$C$22,3,FALSE)</f>
        <v>#DIV/0!</v>
      </c>
      <c r="O95" s="232">
        <f>IF(M95&gt;0,M95*J95/Q95,0)*VLOOKUP(B95,'2-Kosten per locatie'!$A$15:$C$22,3,FALSE)</f>
        <v>0</v>
      </c>
      <c r="P95" s="318">
        <f>IF(L95="nio",0,IF(L95&gt;0,VLOOKUP(H95,'3-Productie normen'!A:J,VLOOKUP(L95,'3-Productie normen'!$B$32:$C$34,2,FALSE),FALSE)))</f>
        <v>0</v>
      </c>
      <c r="Q95" s="318">
        <f t="shared" si="6"/>
        <v>0</v>
      </c>
      <c r="R95" s="319" t="str">
        <f>VLOOKUP(H95,'3-Productie normen'!A:L,9,FALSE)</f>
        <v>V</v>
      </c>
      <c r="S95" s="319"/>
      <c r="U95" s="320">
        <f t="shared" si="4"/>
        <v>1180</v>
      </c>
    </row>
    <row r="96" spans="1:21" ht="14.1" customHeight="1">
      <c r="A96" s="478">
        <v>96</v>
      </c>
      <c r="B96" s="285" t="s">
        <v>336</v>
      </c>
      <c r="C96" s="285" t="s">
        <v>313</v>
      </c>
      <c r="D96" s="285" t="s">
        <v>314</v>
      </c>
      <c r="E96" s="314" t="s">
        <v>204</v>
      </c>
      <c r="F96" s="315" t="s">
        <v>352</v>
      </c>
      <c r="G96" s="68" t="s">
        <v>353</v>
      </c>
      <c r="H96" s="68" t="s">
        <v>217</v>
      </c>
      <c r="I96" s="68" t="s">
        <v>262</v>
      </c>
      <c r="J96" s="316">
        <v>2.4</v>
      </c>
      <c r="K96" s="317">
        <f t="shared" si="5"/>
        <v>200</v>
      </c>
      <c r="L96" s="233">
        <v>200</v>
      </c>
      <c r="M96" s="233"/>
      <c r="N96" s="232" t="e">
        <f>IF(L96="nio",0,IF(L96&gt;0,L96*J96/P96,0))*VLOOKUP(B96,'2-Kosten per locatie'!$A$14:$C$22,3,FALSE)</f>
        <v>#DIV/0!</v>
      </c>
      <c r="O96" s="232">
        <f>IF(M96&gt;0,M96*J96/Q96,0)*VLOOKUP(B96,'2-Kosten per locatie'!$A$15:$C$22,3,FALSE)</f>
        <v>0</v>
      </c>
      <c r="P96" s="318">
        <f>IF(L96="nio",0,IF(L96&gt;0,VLOOKUP(H96,'3-Productie normen'!A:J,VLOOKUP(L96,'3-Productie normen'!$B$32:$C$34,2,FALSE),FALSE)))</f>
        <v>0</v>
      </c>
      <c r="Q96" s="318">
        <f t="shared" si="6"/>
        <v>0</v>
      </c>
      <c r="R96" s="319" t="str">
        <f>VLOOKUP(H96,'3-Productie normen'!A:L,9,FALSE)</f>
        <v>S</v>
      </c>
      <c r="S96" s="319"/>
      <c r="U96" s="320">
        <f t="shared" si="4"/>
        <v>480</v>
      </c>
    </row>
    <row r="97" spans="1:21" ht="14.1" customHeight="1">
      <c r="A97" s="478">
        <v>97</v>
      </c>
      <c r="B97" s="285" t="s">
        <v>336</v>
      </c>
      <c r="C97" s="285" t="s">
        <v>313</v>
      </c>
      <c r="D97" s="285" t="s">
        <v>314</v>
      </c>
      <c r="E97" s="314" t="s">
        <v>204</v>
      </c>
      <c r="F97" s="315" t="s">
        <v>354</v>
      </c>
      <c r="G97" s="68" t="s">
        <v>353</v>
      </c>
      <c r="H97" s="68" t="s">
        <v>217</v>
      </c>
      <c r="I97" s="68" t="s">
        <v>262</v>
      </c>
      <c r="J97" s="316">
        <v>2.4</v>
      </c>
      <c r="K97" s="317">
        <f t="shared" si="5"/>
        <v>200</v>
      </c>
      <c r="L97" s="233">
        <v>200</v>
      </c>
      <c r="M97" s="233"/>
      <c r="N97" s="232" t="e">
        <f>IF(L97="nio",0,IF(L97&gt;0,L97*J97/P97,0))*VLOOKUP(B97,'2-Kosten per locatie'!$A$14:$C$22,3,FALSE)</f>
        <v>#DIV/0!</v>
      </c>
      <c r="O97" s="232">
        <f>IF(M97&gt;0,M97*J97/Q97,0)*VLOOKUP(B97,'2-Kosten per locatie'!$A$15:$C$22,3,FALSE)</f>
        <v>0</v>
      </c>
      <c r="P97" s="318">
        <f>IF(L97="nio",0,IF(L97&gt;0,VLOOKUP(H97,'3-Productie normen'!A:J,VLOOKUP(L97,'3-Productie normen'!$B$32:$C$34,2,FALSE),FALSE)))</f>
        <v>0</v>
      </c>
      <c r="Q97" s="318">
        <f t="shared" si="6"/>
        <v>0</v>
      </c>
      <c r="R97" s="319" t="str">
        <f>VLOOKUP(H97,'3-Productie normen'!A:L,9,FALSE)</f>
        <v>S</v>
      </c>
      <c r="S97" s="319"/>
      <c r="U97" s="320">
        <f t="shared" si="4"/>
        <v>480</v>
      </c>
    </row>
    <row r="98" spans="1:21" ht="14.1" customHeight="1">
      <c r="A98" s="478">
        <v>98</v>
      </c>
      <c r="B98" s="285" t="s">
        <v>336</v>
      </c>
      <c r="C98" s="285" t="s">
        <v>313</v>
      </c>
      <c r="D98" s="285" t="s">
        <v>314</v>
      </c>
      <c r="E98" s="314" t="s">
        <v>204</v>
      </c>
      <c r="F98" s="315" t="s">
        <v>355</v>
      </c>
      <c r="G98" s="68" t="s">
        <v>356</v>
      </c>
      <c r="H98" s="285" t="s">
        <v>59</v>
      </c>
      <c r="I98" s="68" t="s">
        <v>262</v>
      </c>
      <c r="J98" s="316">
        <v>5.9</v>
      </c>
      <c r="K98" s="317">
        <f t="shared" si="5"/>
        <v>200</v>
      </c>
      <c r="L98" s="233">
        <v>200</v>
      </c>
      <c r="M98" s="233"/>
      <c r="N98" s="232" t="e">
        <f>IF(L98="nio",0,IF(L98&gt;0,L98*J98/P98,0))*VLOOKUP(B98,'2-Kosten per locatie'!$A$14:$C$22,3,FALSE)</f>
        <v>#DIV/0!</v>
      </c>
      <c r="O98" s="232">
        <f>IF(M98&gt;0,M98*J98/Q98,0)*VLOOKUP(B98,'2-Kosten per locatie'!$A$15:$C$22,3,FALSE)</f>
        <v>0</v>
      </c>
      <c r="P98" s="318">
        <f>IF(L98="nio",0,IF(L98&gt;0,VLOOKUP(H98,'3-Productie normen'!A:J,VLOOKUP(L98,'3-Productie normen'!$B$32:$C$34,2,FALSE),FALSE)))</f>
        <v>0</v>
      </c>
      <c r="Q98" s="318">
        <f t="shared" si="6"/>
        <v>0</v>
      </c>
      <c r="R98" s="319" t="str">
        <f>VLOOKUP(H98,'3-Productie normen'!A:L,9,FALSE)</f>
        <v>V</v>
      </c>
      <c r="S98" s="319"/>
      <c r="U98" s="320">
        <f t="shared" si="4"/>
        <v>1180</v>
      </c>
    </row>
    <row r="99" spans="1:21" ht="14.1" customHeight="1">
      <c r="A99" s="478">
        <v>99</v>
      </c>
      <c r="B99" s="285" t="s">
        <v>336</v>
      </c>
      <c r="C99" s="285" t="s">
        <v>313</v>
      </c>
      <c r="D99" s="285" t="s">
        <v>314</v>
      </c>
      <c r="E99" s="314" t="s">
        <v>204</v>
      </c>
      <c r="F99" s="315" t="s">
        <v>357</v>
      </c>
      <c r="G99" s="68" t="s">
        <v>335</v>
      </c>
      <c r="H99" s="68" t="s">
        <v>335</v>
      </c>
      <c r="I99" s="68" t="s">
        <v>268</v>
      </c>
      <c r="J99" s="316">
        <v>22.9</v>
      </c>
      <c r="K99" s="317">
        <f t="shared" si="5"/>
        <v>40</v>
      </c>
      <c r="L99" s="233">
        <v>40</v>
      </c>
      <c r="M99" s="233"/>
      <c r="N99" s="232" t="e">
        <f>IF(L99="nio",0,IF(L99&gt;0,L99*J99/P99,0))*VLOOKUP(B99,'2-Kosten per locatie'!$A$14:$C$22,3,FALSE)</f>
        <v>#DIV/0!</v>
      </c>
      <c r="O99" s="232">
        <f>IF(M99&gt;0,M99*J99/Q99,0)*VLOOKUP(B99,'2-Kosten per locatie'!$A$15:$C$22,3,FALSE)</f>
        <v>0</v>
      </c>
      <c r="P99" s="318">
        <f>IF(L99="nio",0,IF(L99&gt;0,VLOOKUP(H99,'3-Productie normen'!A:J,VLOOKUP(L99,'3-Productie normen'!$B$32:$C$34,2,FALSE),FALSE)))</f>
        <v>0</v>
      </c>
      <c r="Q99" s="318">
        <f t="shared" si="6"/>
        <v>0</v>
      </c>
      <c r="R99" s="319" t="str">
        <f>VLOOKUP(H99,'3-Productie normen'!A:L,9,FALSE)</f>
        <v>V</v>
      </c>
      <c r="S99" s="319"/>
      <c r="U99" s="320">
        <f t="shared" si="4"/>
        <v>916</v>
      </c>
    </row>
    <row r="100" spans="1:21" ht="14.1" customHeight="1">
      <c r="A100" s="478">
        <v>100</v>
      </c>
      <c r="B100" s="285" t="s">
        <v>336</v>
      </c>
      <c r="C100" s="285" t="s">
        <v>313</v>
      </c>
      <c r="D100" s="285" t="s">
        <v>314</v>
      </c>
      <c r="E100" s="314" t="s">
        <v>204</v>
      </c>
      <c r="F100" s="315" t="s">
        <v>358</v>
      </c>
      <c r="G100" s="68" t="s">
        <v>335</v>
      </c>
      <c r="H100" s="68" t="s">
        <v>335</v>
      </c>
      <c r="I100" s="68" t="s">
        <v>268</v>
      </c>
      <c r="J100" s="316">
        <v>11</v>
      </c>
      <c r="K100" s="317">
        <f t="shared" si="5"/>
        <v>40</v>
      </c>
      <c r="L100" s="233">
        <v>40</v>
      </c>
      <c r="M100" s="233"/>
      <c r="N100" s="232" t="e">
        <f>IF(L100="nio",0,IF(L100&gt;0,L100*J100/P100,0))*VLOOKUP(B100,'2-Kosten per locatie'!$A$14:$C$22,3,FALSE)</f>
        <v>#DIV/0!</v>
      </c>
      <c r="O100" s="232">
        <f>IF(M100&gt;0,M100*J100/Q100,0)*VLOOKUP(B100,'2-Kosten per locatie'!$A$15:$C$22,3,FALSE)</f>
        <v>0</v>
      </c>
      <c r="P100" s="318">
        <f>IF(L100="nio",0,IF(L100&gt;0,VLOOKUP(H100,'3-Productie normen'!A:J,VLOOKUP(L100,'3-Productie normen'!$B$32:$C$34,2,FALSE),FALSE)))</f>
        <v>0</v>
      </c>
      <c r="Q100" s="318">
        <f t="shared" si="6"/>
        <v>0</v>
      </c>
      <c r="R100" s="319" t="str">
        <f>VLOOKUP(H100,'3-Productie normen'!A:L,9,FALSE)</f>
        <v>V</v>
      </c>
      <c r="S100" s="319"/>
      <c r="U100" s="320">
        <f t="shared" si="4"/>
        <v>440</v>
      </c>
    </row>
    <row r="101" spans="1:21" ht="14.1" customHeight="1">
      <c r="A101" s="478">
        <v>101</v>
      </c>
      <c r="B101" s="285" t="s">
        <v>336</v>
      </c>
      <c r="C101" s="285" t="s">
        <v>313</v>
      </c>
      <c r="D101" s="285" t="s">
        <v>314</v>
      </c>
      <c r="E101" s="314" t="s">
        <v>204</v>
      </c>
      <c r="F101" s="315" t="s">
        <v>359</v>
      </c>
      <c r="G101" s="68" t="s">
        <v>360</v>
      </c>
      <c r="H101" s="68" t="s">
        <v>330</v>
      </c>
      <c r="I101" s="68" t="s">
        <v>268</v>
      </c>
      <c r="J101" s="316">
        <v>617.20000000000005</v>
      </c>
      <c r="K101" s="317">
        <f t="shared" si="5"/>
        <v>200</v>
      </c>
      <c r="L101" s="233">
        <v>200</v>
      </c>
      <c r="M101" s="233"/>
      <c r="N101" s="232" t="e">
        <f>IF(L101="nio",0,IF(L101&gt;0,L101*J101/P101,0))*VLOOKUP(B101,'2-Kosten per locatie'!$A$14:$C$22,3,FALSE)</f>
        <v>#DIV/0!</v>
      </c>
      <c r="O101" s="232">
        <f>IF(M101&gt;0,M101*J101/Q101,0)*VLOOKUP(B101,'2-Kosten per locatie'!$A$15:$C$22,3,FALSE)</f>
        <v>0</v>
      </c>
      <c r="P101" s="318">
        <f>IF(L101="nio",0,IF(L101&gt;0,VLOOKUP(H101,'3-Productie normen'!A:J,VLOOKUP(L101,'3-Productie normen'!$B$32:$C$34,2,FALSE),FALSE)))</f>
        <v>0</v>
      </c>
      <c r="Q101" s="318">
        <f t="shared" si="6"/>
        <v>0</v>
      </c>
      <c r="R101" s="319" t="str">
        <f>VLOOKUP(H101,'3-Productie normen'!A:L,9,FALSE)</f>
        <v>V</v>
      </c>
      <c r="S101" s="319"/>
      <c r="U101" s="320">
        <f t="shared" si="4"/>
        <v>123440.00000000001</v>
      </c>
    </row>
    <row r="102" spans="1:21" ht="14.1" customHeight="1">
      <c r="A102" s="478">
        <v>102</v>
      </c>
      <c r="B102" s="285" t="s">
        <v>336</v>
      </c>
      <c r="C102" s="285" t="s">
        <v>313</v>
      </c>
      <c r="D102" s="285" t="s">
        <v>314</v>
      </c>
      <c r="E102" s="314" t="s">
        <v>286</v>
      </c>
      <c r="F102" s="315" t="s">
        <v>288</v>
      </c>
      <c r="G102" s="68" t="s">
        <v>361</v>
      </c>
      <c r="H102" s="68" t="s">
        <v>361</v>
      </c>
      <c r="I102" s="68" t="s">
        <v>211</v>
      </c>
      <c r="J102" s="316">
        <v>110.8</v>
      </c>
      <c r="K102" s="317">
        <f t="shared" si="5"/>
        <v>20</v>
      </c>
      <c r="L102" s="233">
        <v>20</v>
      </c>
      <c r="M102" s="233"/>
      <c r="N102" s="232" t="e">
        <f>IF(L102="nio",0,IF(L102&gt;0,L102*J102/P102,0))*VLOOKUP(B102,'2-Kosten per locatie'!$A$14:$C$22,3,FALSE)</f>
        <v>#DIV/0!</v>
      </c>
      <c r="O102" s="232">
        <f>IF(M102&gt;0,M102*J102/Q102,0)*VLOOKUP(B102,'2-Kosten per locatie'!$A$15:$C$22,3,FALSE)</f>
        <v>0</v>
      </c>
      <c r="P102" s="318">
        <f>IF(L102="nio",0,IF(L102&gt;0,VLOOKUP(H102,'3-Productie normen'!A:J,VLOOKUP(L102,'3-Productie normen'!$B$32:$C$34,2,FALSE),FALSE)))</f>
        <v>0</v>
      </c>
      <c r="Q102" s="318">
        <f t="shared" si="6"/>
        <v>0</v>
      </c>
      <c r="R102" s="319" t="str">
        <f>VLOOKUP(H102,'3-Productie normen'!A:L,9,FALSE)</f>
        <v>V</v>
      </c>
      <c r="S102" s="319"/>
      <c r="U102" s="320">
        <f t="shared" si="4"/>
        <v>2216</v>
      </c>
    </row>
    <row r="103" spans="1:21" ht="14.1" customHeight="1">
      <c r="A103" s="478">
        <v>103</v>
      </c>
      <c r="B103" s="285" t="s">
        <v>362</v>
      </c>
      <c r="C103" s="285" t="s">
        <v>313</v>
      </c>
      <c r="D103" s="285" t="s">
        <v>314</v>
      </c>
      <c r="E103" s="314" t="s">
        <v>204</v>
      </c>
      <c r="F103" s="315" t="s">
        <v>256</v>
      </c>
      <c r="G103" s="68" t="s">
        <v>264</v>
      </c>
      <c r="H103" s="68" t="s">
        <v>220</v>
      </c>
      <c r="I103" s="68" t="s">
        <v>363</v>
      </c>
      <c r="J103" s="316">
        <v>93.9</v>
      </c>
      <c r="K103" s="317">
        <f t="shared" si="5"/>
        <v>200</v>
      </c>
      <c r="L103" s="233">
        <v>200</v>
      </c>
      <c r="M103" s="233"/>
      <c r="N103" s="232" t="e">
        <f>IF(L103="nio",0,IF(L103&gt;0,L103*J103/P103,0))*VLOOKUP(B103,'2-Kosten per locatie'!$A$14:$C$22,3,FALSE)</f>
        <v>#DIV/0!</v>
      </c>
      <c r="O103" s="232">
        <f>IF(M103&gt;0,M103*J103/Q103,0)*VLOOKUP(B103,'2-Kosten per locatie'!$A$15:$C$22,3,FALSE)</f>
        <v>0</v>
      </c>
      <c r="P103" s="318">
        <f>IF(L103="nio",0,IF(L103&gt;0,VLOOKUP(H103,'3-Productie normen'!A:J,VLOOKUP(L103,'3-Productie normen'!$B$32:$C$34,2,FALSE),FALSE)))</f>
        <v>0</v>
      </c>
      <c r="Q103" s="318">
        <f t="shared" si="6"/>
        <v>0</v>
      </c>
      <c r="R103" s="319" t="str">
        <f>VLOOKUP(H103,'3-Productie normen'!A:L,9,FALSE)</f>
        <v>V</v>
      </c>
      <c r="S103" s="319"/>
      <c r="U103" s="320">
        <f t="shared" si="4"/>
        <v>18780</v>
      </c>
    </row>
    <row r="104" spans="1:21" ht="14.1" customHeight="1">
      <c r="A104" s="478">
        <v>104</v>
      </c>
      <c r="B104" s="285" t="s">
        <v>362</v>
      </c>
      <c r="C104" s="285" t="s">
        <v>313</v>
      </c>
      <c r="D104" s="285" t="s">
        <v>314</v>
      </c>
      <c r="E104" s="314" t="s">
        <v>204</v>
      </c>
      <c r="F104" s="315" t="s">
        <v>259</v>
      </c>
      <c r="G104" s="68" t="s">
        <v>40</v>
      </c>
      <c r="H104" s="68" t="s">
        <v>235</v>
      </c>
      <c r="I104" s="68" t="s">
        <v>364</v>
      </c>
      <c r="J104" s="316">
        <v>9.6</v>
      </c>
      <c r="K104" s="317">
        <f t="shared" si="5"/>
        <v>200</v>
      </c>
      <c r="L104" s="233">
        <v>200</v>
      </c>
      <c r="M104" s="233"/>
      <c r="N104" s="232" t="e">
        <f>IF(L104="nio",0,IF(L104&gt;0,L104*J104/P104,0))*VLOOKUP(B104,'2-Kosten per locatie'!$A$14:$C$22,3,FALSE)</f>
        <v>#DIV/0!</v>
      </c>
      <c r="O104" s="232">
        <f>IF(M104&gt;0,M104*J104/Q104,0)*VLOOKUP(B104,'2-Kosten per locatie'!$A$15:$C$22,3,FALSE)</f>
        <v>0</v>
      </c>
      <c r="P104" s="318">
        <f>IF(L104="nio",0,IF(L104&gt;0,VLOOKUP(H104,'3-Productie normen'!A:J,VLOOKUP(L104,'3-Productie normen'!$B$32:$C$34,2,FALSE),FALSE)))</f>
        <v>0</v>
      </c>
      <c r="Q104" s="318">
        <f t="shared" si="6"/>
        <v>0</v>
      </c>
      <c r="R104" s="319" t="str">
        <f>VLOOKUP(H104,'3-Productie normen'!A:L,9,FALSE)</f>
        <v>V</v>
      </c>
      <c r="S104" s="319"/>
      <c r="U104" s="320">
        <f t="shared" si="4"/>
        <v>1920</v>
      </c>
    </row>
    <row r="105" spans="1:21" ht="14.1" customHeight="1">
      <c r="A105" s="478">
        <v>105</v>
      </c>
      <c r="B105" s="285" t="s">
        <v>362</v>
      </c>
      <c r="C105" s="285" t="s">
        <v>313</v>
      </c>
      <c r="D105" s="285" t="s">
        <v>314</v>
      </c>
      <c r="E105" s="314" t="s">
        <v>204</v>
      </c>
      <c r="F105" s="315" t="s">
        <v>365</v>
      </c>
      <c r="G105" s="68" t="s">
        <v>351</v>
      </c>
      <c r="H105" s="285" t="s">
        <v>59</v>
      </c>
      <c r="I105" s="68" t="s">
        <v>318</v>
      </c>
      <c r="J105" s="316">
        <v>28.7</v>
      </c>
      <c r="K105" s="317">
        <f t="shared" si="5"/>
        <v>400</v>
      </c>
      <c r="L105" s="233">
        <v>200</v>
      </c>
      <c r="M105" s="233">
        <v>200</v>
      </c>
      <c r="N105" s="232" t="e">
        <f>IF(L105="nio",0,IF(L105&gt;0,L105*J105/P105,0))*VLOOKUP(B105,'2-Kosten per locatie'!$A$14:$C$22,3,FALSE)</f>
        <v>#DIV/0!</v>
      </c>
      <c r="O105" s="232" t="e">
        <f>IF(M105&gt;0,M105*J105/Q105,0)*VLOOKUP(B105,'2-Kosten per locatie'!$A$15:$C$22,3,FALSE)</f>
        <v>#DIV/0!</v>
      </c>
      <c r="P105" s="318">
        <f>IF(L105="nio",0,IF(L105&gt;0,VLOOKUP(H105,'3-Productie normen'!A:J,VLOOKUP(L105,'3-Productie normen'!$B$32:$C$34,2,FALSE),FALSE)))</f>
        <v>0</v>
      </c>
      <c r="Q105" s="318">
        <f t="shared" si="6"/>
        <v>0</v>
      </c>
      <c r="R105" s="319" t="str">
        <f>VLOOKUP(H105,'3-Productie normen'!A:L,9,FALSE)</f>
        <v>V</v>
      </c>
      <c r="S105" s="319"/>
      <c r="U105" s="320">
        <f t="shared" si="4"/>
        <v>11480</v>
      </c>
    </row>
    <row r="106" spans="1:21" ht="14.1" customHeight="1">
      <c r="A106" s="478">
        <v>106</v>
      </c>
      <c r="B106" s="285" t="s">
        <v>362</v>
      </c>
      <c r="C106" s="285" t="s">
        <v>313</v>
      </c>
      <c r="D106" s="285" t="s">
        <v>314</v>
      </c>
      <c r="E106" s="314" t="s">
        <v>204</v>
      </c>
      <c r="F106" s="315" t="s">
        <v>366</v>
      </c>
      <c r="G106" s="68" t="s">
        <v>321</v>
      </c>
      <c r="H106" s="68" t="s">
        <v>217</v>
      </c>
      <c r="I106" s="68" t="s">
        <v>367</v>
      </c>
      <c r="J106" s="316">
        <v>14.4</v>
      </c>
      <c r="K106" s="317">
        <f t="shared" si="5"/>
        <v>400</v>
      </c>
      <c r="L106" s="233">
        <v>200</v>
      </c>
      <c r="M106" s="233">
        <v>200</v>
      </c>
      <c r="N106" s="232" t="e">
        <f>IF(L106="nio",0,IF(L106&gt;0,L106*J106/P106,0))*VLOOKUP(B106,'2-Kosten per locatie'!$A$14:$C$22,3,FALSE)</f>
        <v>#DIV/0!</v>
      </c>
      <c r="O106" s="232" t="e">
        <f>IF(M106&gt;0,M106*J106/Q106,0)*VLOOKUP(B106,'2-Kosten per locatie'!$A$15:$C$22,3,FALSE)</f>
        <v>#DIV/0!</v>
      </c>
      <c r="P106" s="318">
        <f>IF(L106="nio",0,IF(L106&gt;0,VLOOKUP(H106,'3-Productie normen'!A:J,VLOOKUP(L106,'3-Productie normen'!$B$32:$C$34,2,FALSE),FALSE)))</f>
        <v>0</v>
      </c>
      <c r="Q106" s="318">
        <f t="shared" si="6"/>
        <v>0</v>
      </c>
      <c r="R106" s="319" t="str">
        <f>VLOOKUP(H106,'3-Productie normen'!A:L,9,FALSE)</f>
        <v>S</v>
      </c>
      <c r="S106" s="319"/>
      <c r="U106" s="320">
        <f t="shared" ref="U106:U137" si="7">K106*J106</f>
        <v>5760</v>
      </c>
    </row>
    <row r="107" spans="1:21" ht="14.1" customHeight="1">
      <c r="A107" s="478">
        <v>107</v>
      </c>
      <c r="B107" s="285" t="s">
        <v>362</v>
      </c>
      <c r="C107" s="285" t="s">
        <v>313</v>
      </c>
      <c r="D107" s="285" t="s">
        <v>314</v>
      </c>
      <c r="E107" s="314" t="s">
        <v>204</v>
      </c>
      <c r="F107" s="315" t="s">
        <v>368</v>
      </c>
      <c r="G107" s="68" t="s">
        <v>216</v>
      </c>
      <c r="H107" s="68" t="s">
        <v>217</v>
      </c>
      <c r="I107" s="68" t="s">
        <v>318</v>
      </c>
      <c r="J107" s="316">
        <v>1.8</v>
      </c>
      <c r="K107" s="317">
        <f t="shared" si="5"/>
        <v>400</v>
      </c>
      <c r="L107" s="233">
        <v>200</v>
      </c>
      <c r="M107" s="233">
        <v>200</v>
      </c>
      <c r="N107" s="232" t="e">
        <f>IF(L107="nio",0,IF(L107&gt;0,L107*J107/P107,0))*VLOOKUP(B107,'2-Kosten per locatie'!$A$14:$C$22,3,FALSE)</f>
        <v>#DIV/0!</v>
      </c>
      <c r="O107" s="232" t="e">
        <f>IF(M107&gt;0,M107*J107/Q107,0)*VLOOKUP(B107,'2-Kosten per locatie'!$A$15:$C$22,3,FALSE)</f>
        <v>#DIV/0!</v>
      </c>
      <c r="P107" s="318">
        <f>IF(L107="nio",0,IF(L107&gt;0,VLOOKUP(H107,'3-Productie normen'!A:J,VLOOKUP(L107,'3-Productie normen'!$B$32:$C$34,2,FALSE),FALSE)))</f>
        <v>0</v>
      </c>
      <c r="Q107" s="318">
        <f t="shared" si="6"/>
        <v>0</v>
      </c>
      <c r="R107" s="319" t="str">
        <f>VLOOKUP(H107,'3-Productie normen'!A:L,9,FALSE)</f>
        <v>S</v>
      </c>
      <c r="S107" s="319"/>
      <c r="U107" s="320">
        <f t="shared" si="7"/>
        <v>720</v>
      </c>
    </row>
    <row r="108" spans="1:21" ht="14.1" customHeight="1">
      <c r="A108" s="478">
        <v>108</v>
      </c>
      <c r="B108" s="285" t="s">
        <v>362</v>
      </c>
      <c r="C108" s="285" t="s">
        <v>313</v>
      </c>
      <c r="D108" s="285" t="s">
        <v>314</v>
      </c>
      <c r="E108" s="314" t="s">
        <v>204</v>
      </c>
      <c r="F108" s="315" t="s">
        <v>369</v>
      </c>
      <c r="G108" s="68" t="s">
        <v>351</v>
      </c>
      <c r="H108" s="285" t="s">
        <v>59</v>
      </c>
      <c r="I108" s="68" t="s">
        <v>262</v>
      </c>
      <c r="J108" s="316">
        <v>27.8</v>
      </c>
      <c r="K108" s="317">
        <f t="shared" si="5"/>
        <v>400</v>
      </c>
      <c r="L108" s="233">
        <v>200</v>
      </c>
      <c r="M108" s="233">
        <v>200</v>
      </c>
      <c r="N108" s="232" t="e">
        <f>IF(L108="nio",0,IF(L108&gt;0,L108*J108/P108,0))*VLOOKUP(B108,'2-Kosten per locatie'!$A$14:$C$22,3,FALSE)</f>
        <v>#DIV/0!</v>
      </c>
      <c r="O108" s="232" t="e">
        <f>IF(M108&gt;0,M108*J108/Q108,0)*VLOOKUP(B108,'2-Kosten per locatie'!$A$15:$C$22,3,FALSE)</f>
        <v>#DIV/0!</v>
      </c>
      <c r="P108" s="318">
        <f>IF(L108="nio",0,IF(L108&gt;0,VLOOKUP(H108,'3-Productie normen'!A:J,VLOOKUP(L108,'3-Productie normen'!$B$32:$C$34,2,FALSE),FALSE)))</f>
        <v>0</v>
      </c>
      <c r="Q108" s="318">
        <f t="shared" si="6"/>
        <v>0</v>
      </c>
      <c r="R108" s="319" t="str">
        <f>VLOOKUP(H108,'3-Productie normen'!A:L,9,FALSE)</f>
        <v>V</v>
      </c>
      <c r="S108" s="319"/>
      <c r="U108" s="320">
        <f t="shared" si="7"/>
        <v>11120</v>
      </c>
    </row>
    <row r="109" spans="1:21" ht="14.1" customHeight="1">
      <c r="A109" s="478">
        <v>109</v>
      </c>
      <c r="B109" s="285" t="s">
        <v>362</v>
      </c>
      <c r="C109" s="285" t="s">
        <v>313</v>
      </c>
      <c r="D109" s="285" t="s">
        <v>314</v>
      </c>
      <c r="E109" s="314" t="s">
        <v>204</v>
      </c>
      <c r="F109" s="315" t="s">
        <v>370</v>
      </c>
      <c r="G109" s="68" t="s">
        <v>321</v>
      </c>
      <c r="H109" s="68" t="s">
        <v>217</v>
      </c>
      <c r="I109" s="68" t="s">
        <v>367</v>
      </c>
      <c r="J109" s="316">
        <v>14.4</v>
      </c>
      <c r="K109" s="317">
        <f t="shared" si="5"/>
        <v>400</v>
      </c>
      <c r="L109" s="233">
        <v>200</v>
      </c>
      <c r="M109" s="233">
        <v>200</v>
      </c>
      <c r="N109" s="232" t="e">
        <f>IF(L109="nio",0,IF(L109&gt;0,L109*J109/P109,0))*VLOOKUP(B109,'2-Kosten per locatie'!$A$14:$C$22,3,FALSE)</f>
        <v>#DIV/0!</v>
      </c>
      <c r="O109" s="232" t="e">
        <f>IF(M109&gt;0,M109*J109/Q109,0)*VLOOKUP(B109,'2-Kosten per locatie'!$A$15:$C$22,3,FALSE)</f>
        <v>#DIV/0!</v>
      </c>
      <c r="P109" s="318">
        <f>IF(L109="nio",0,IF(L109&gt;0,VLOOKUP(H109,'3-Productie normen'!A:J,VLOOKUP(L109,'3-Productie normen'!$B$32:$C$34,2,FALSE),FALSE)))</f>
        <v>0</v>
      </c>
      <c r="Q109" s="318">
        <f t="shared" si="6"/>
        <v>0</v>
      </c>
      <c r="R109" s="319" t="str">
        <f>VLOOKUP(H109,'3-Productie normen'!A:L,9,FALSE)</f>
        <v>S</v>
      </c>
      <c r="S109" s="319"/>
      <c r="U109" s="320">
        <f t="shared" si="7"/>
        <v>5760</v>
      </c>
    </row>
    <row r="110" spans="1:21" ht="14.1" customHeight="1">
      <c r="A110" s="478">
        <v>110</v>
      </c>
      <c r="B110" s="285" t="s">
        <v>362</v>
      </c>
      <c r="C110" s="285" t="s">
        <v>313</v>
      </c>
      <c r="D110" s="285" t="s">
        <v>314</v>
      </c>
      <c r="E110" s="314" t="s">
        <v>204</v>
      </c>
      <c r="F110" s="315" t="s">
        <v>371</v>
      </c>
      <c r="G110" s="68" t="s">
        <v>216</v>
      </c>
      <c r="H110" s="68" t="s">
        <v>217</v>
      </c>
      <c r="I110" s="68" t="s">
        <v>318</v>
      </c>
      <c r="J110" s="316">
        <v>1.8</v>
      </c>
      <c r="K110" s="317">
        <f t="shared" si="5"/>
        <v>400</v>
      </c>
      <c r="L110" s="233">
        <v>200</v>
      </c>
      <c r="M110" s="233">
        <v>200</v>
      </c>
      <c r="N110" s="232" t="e">
        <f>IF(L110="nio",0,IF(L110&gt;0,L110*J110/P110,0))*VLOOKUP(B110,'2-Kosten per locatie'!$A$14:$C$22,3,FALSE)</f>
        <v>#DIV/0!</v>
      </c>
      <c r="O110" s="232" t="e">
        <f>IF(M110&gt;0,M110*J110/Q110,0)*VLOOKUP(B110,'2-Kosten per locatie'!$A$15:$C$22,3,FALSE)</f>
        <v>#DIV/0!</v>
      </c>
      <c r="P110" s="318">
        <f>IF(L110="nio",0,IF(L110&gt;0,VLOOKUP(H110,'3-Productie normen'!A:J,VLOOKUP(L110,'3-Productie normen'!$B$32:$C$34,2,FALSE),FALSE)))</f>
        <v>0</v>
      </c>
      <c r="Q110" s="318">
        <f t="shared" si="6"/>
        <v>0</v>
      </c>
      <c r="R110" s="319" t="str">
        <f>VLOOKUP(H110,'3-Productie normen'!A:L,9,FALSE)</f>
        <v>S</v>
      </c>
      <c r="S110" s="319"/>
      <c r="U110" s="320">
        <f t="shared" si="7"/>
        <v>720</v>
      </c>
    </row>
    <row r="111" spans="1:21" ht="14.1" customHeight="1">
      <c r="A111" s="478">
        <v>111</v>
      </c>
      <c r="B111" s="285" t="s">
        <v>362</v>
      </c>
      <c r="C111" s="285" t="s">
        <v>313</v>
      </c>
      <c r="D111" s="285" t="s">
        <v>314</v>
      </c>
      <c r="E111" s="314" t="s">
        <v>204</v>
      </c>
      <c r="F111" s="315" t="s">
        <v>372</v>
      </c>
      <c r="G111" s="68" t="s">
        <v>351</v>
      </c>
      <c r="H111" s="285" t="s">
        <v>59</v>
      </c>
      <c r="I111" s="68" t="s">
        <v>318</v>
      </c>
      <c r="J111" s="316">
        <v>27.8</v>
      </c>
      <c r="K111" s="317">
        <f t="shared" si="5"/>
        <v>400</v>
      </c>
      <c r="L111" s="233">
        <v>200</v>
      </c>
      <c r="M111" s="233">
        <v>200</v>
      </c>
      <c r="N111" s="232" t="e">
        <f>IF(L111="nio",0,IF(L111&gt;0,L111*J111/P111,0))*VLOOKUP(B111,'2-Kosten per locatie'!$A$14:$C$22,3,FALSE)</f>
        <v>#DIV/0!</v>
      </c>
      <c r="O111" s="232" t="e">
        <f>IF(M111&gt;0,M111*J111/Q111,0)*VLOOKUP(B111,'2-Kosten per locatie'!$A$15:$C$22,3,FALSE)</f>
        <v>#DIV/0!</v>
      </c>
      <c r="P111" s="318">
        <f>IF(L111="nio",0,IF(L111&gt;0,VLOOKUP(H111,'3-Productie normen'!A:J,VLOOKUP(L111,'3-Productie normen'!$B$32:$C$34,2,FALSE),FALSE)))</f>
        <v>0</v>
      </c>
      <c r="Q111" s="318">
        <f t="shared" si="6"/>
        <v>0</v>
      </c>
      <c r="R111" s="319" t="str">
        <f>VLOOKUP(H111,'3-Productie normen'!A:L,9,FALSE)</f>
        <v>V</v>
      </c>
      <c r="S111" s="319"/>
      <c r="U111" s="320">
        <f t="shared" si="7"/>
        <v>11120</v>
      </c>
    </row>
    <row r="112" spans="1:21" ht="14.1" customHeight="1">
      <c r="A112" s="478">
        <v>112</v>
      </c>
      <c r="B112" s="285" t="s">
        <v>362</v>
      </c>
      <c r="C112" s="285" t="s">
        <v>313</v>
      </c>
      <c r="D112" s="285" t="s">
        <v>314</v>
      </c>
      <c r="E112" s="314" t="s">
        <v>204</v>
      </c>
      <c r="F112" s="315" t="s">
        <v>373</v>
      </c>
      <c r="G112" s="68" t="s">
        <v>321</v>
      </c>
      <c r="H112" s="68" t="s">
        <v>217</v>
      </c>
      <c r="I112" s="68" t="s">
        <v>367</v>
      </c>
      <c r="J112" s="316">
        <v>14.4</v>
      </c>
      <c r="K112" s="317">
        <f t="shared" si="5"/>
        <v>400</v>
      </c>
      <c r="L112" s="233">
        <v>200</v>
      </c>
      <c r="M112" s="233">
        <v>200</v>
      </c>
      <c r="N112" s="232" t="e">
        <f>IF(L112="nio",0,IF(L112&gt;0,L112*J112/P112,0))*VLOOKUP(B112,'2-Kosten per locatie'!$A$14:$C$22,3,FALSE)</f>
        <v>#DIV/0!</v>
      </c>
      <c r="O112" s="232" t="e">
        <f>IF(M112&gt;0,M112*J112/Q112,0)*VLOOKUP(B112,'2-Kosten per locatie'!$A$15:$C$22,3,FALSE)</f>
        <v>#DIV/0!</v>
      </c>
      <c r="P112" s="318">
        <f>IF(L112="nio",0,IF(L112&gt;0,VLOOKUP(H112,'3-Productie normen'!A:J,VLOOKUP(L112,'3-Productie normen'!$B$32:$C$34,2,FALSE),FALSE)))</f>
        <v>0</v>
      </c>
      <c r="Q112" s="318">
        <f t="shared" si="6"/>
        <v>0</v>
      </c>
      <c r="R112" s="319" t="str">
        <f>VLOOKUP(H112,'3-Productie normen'!A:L,9,FALSE)</f>
        <v>S</v>
      </c>
      <c r="S112" s="319"/>
      <c r="U112" s="320">
        <f t="shared" si="7"/>
        <v>5760</v>
      </c>
    </row>
    <row r="113" spans="1:21" ht="14.1" customHeight="1">
      <c r="A113" s="478">
        <v>113</v>
      </c>
      <c r="B113" s="285" t="s">
        <v>362</v>
      </c>
      <c r="C113" s="285" t="s">
        <v>313</v>
      </c>
      <c r="D113" s="285" t="s">
        <v>314</v>
      </c>
      <c r="E113" s="314" t="s">
        <v>204</v>
      </c>
      <c r="F113" s="315" t="s">
        <v>374</v>
      </c>
      <c r="G113" s="68" t="s">
        <v>216</v>
      </c>
      <c r="H113" s="68" t="s">
        <v>217</v>
      </c>
      <c r="I113" s="68" t="s">
        <v>318</v>
      </c>
      <c r="J113" s="316">
        <v>1.8</v>
      </c>
      <c r="K113" s="317">
        <f t="shared" si="5"/>
        <v>400</v>
      </c>
      <c r="L113" s="233">
        <v>200</v>
      </c>
      <c r="M113" s="233">
        <v>200</v>
      </c>
      <c r="N113" s="232" t="e">
        <f>IF(L113="nio",0,IF(L113&gt;0,L113*J113/P113,0))*VLOOKUP(B113,'2-Kosten per locatie'!$A$14:$C$22,3,FALSE)</f>
        <v>#DIV/0!</v>
      </c>
      <c r="O113" s="232" t="e">
        <f>IF(M113&gt;0,M113*J113/Q113,0)*VLOOKUP(B113,'2-Kosten per locatie'!$A$15:$C$22,3,FALSE)</f>
        <v>#DIV/0!</v>
      </c>
      <c r="P113" s="318">
        <f>IF(L113="nio",0,IF(L113&gt;0,VLOOKUP(H113,'3-Productie normen'!A:J,VLOOKUP(L113,'3-Productie normen'!$B$32:$C$34,2,FALSE),FALSE)))</f>
        <v>0</v>
      </c>
      <c r="Q113" s="318">
        <f t="shared" si="6"/>
        <v>0</v>
      </c>
      <c r="R113" s="319" t="str">
        <f>VLOOKUP(H113,'3-Productie normen'!A:L,9,FALSE)</f>
        <v>S</v>
      </c>
      <c r="S113" s="319"/>
      <c r="U113" s="320">
        <f t="shared" si="7"/>
        <v>720</v>
      </c>
    </row>
    <row r="114" spans="1:21" ht="14.1" customHeight="1">
      <c r="A114" s="478">
        <v>114</v>
      </c>
      <c r="B114" s="285" t="s">
        <v>362</v>
      </c>
      <c r="C114" s="285" t="s">
        <v>313</v>
      </c>
      <c r="D114" s="285" t="s">
        <v>314</v>
      </c>
      <c r="E114" s="314" t="s">
        <v>204</v>
      </c>
      <c r="F114" s="315" t="s">
        <v>375</v>
      </c>
      <c r="G114" s="68" t="s">
        <v>351</v>
      </c>
      <c r="H114" s="285" t="s">
        <v>59</v>
      </c>
      <c r="I114" s="68" t="s">
        <v>318</v>
      </c>
      <c r="J114" s="316">
        <v>27.2</v>
      </c>
      <c r="K114" s="317">
        <f t="shared" si="5"/>
        <v>400</v>
      </c>
      <c r="L114" s="233">
        <v>200</v>
      </c>
      <c r="M114" s="233">
        <v>200</v>
      </c>
      <c r="N114" s="232" t="e">
        <f>IF(L114="nio",0,IF(L114&gt;0,L114*J114/P114,0))*VLOOKUP(B114,'2-Kosten per locatie'!$A$14:$C$22,3,FALSE)</f>
        <v>#DIV/0!</v>
      </c>
      <c r="O114" s="232" t="e">
        <f>IF(M114&gt;0,M114*J114/Q114,0)*VLOOKUP(B114,'2-Kosten per locatie'!$A$15:$C$22,3,FALSE)</f>
        <v>#DIV/0!</v>
      </c>
      <c r="P114" s="318">
        <f>IF(L114="nio",0,IF(L114&gt;0,VLOOKUP(H114,'3-Productie normen'!A:J,VLOOKUP(L114,'3-Productie normen'!$B$32:$C$34,2,FALSE),FALSE)))</f>
        <v>0</v>
      </c>
      <c r="Q114" s="318">
        <f t="shared" si="6"/>
        <v>0</v>
      </c>
      <c r="R114" s="319" t="str">
        <f>VLOOKUP(H114,'3-Productie normen'!A:L,9,FALSE)</f>
        <v>V</v>
      </c>
      <c r="S114" s="319"/>
      <c r="U114" s="320">
        <f t="shared" si="7"/>
        <v>10880</v>
      </c>
    </row>
    <row r="115" spans="1:21" ht="14.1" customHeight="1">
      <c r="A115" s="478">
        <v>115</v>
      </c>
      <c r="B115" s="285" t="s">
        <v>362</v>
      </c>
      <c r="C115" s="285" t="s">
        <v>313</v>
      </c>
      <c r="D115" s="285" t="s">
        <v>314</v>
      </c>
      <c r="E115" s="314" t="s">
        <v>204</v>
      </c>
      <c r="F115" s="315" t="s">
        <v>376</v>
      </c>
      <c r="G115" s="68" t="s">
        <v>321</v>
      </c>
      <c r="H115" s="68" t="s">
        <v>217</v>
      </c>
      <c r="I115" s="68" t="s">
        <v>367</v>
      </c>
      <c r="J115" s="316">
        <v>14.4</v>
      </c>
      <c r="K115" s="317">
        <f t="shared" si="5"/>
        <v>400</v>
      </c>
      <c r="L115" s="233">
        <v>200</v>
      </c>
      <c r="M115" s="233">
        <v>200</v>
      </c>
      <c r="N115" s="232" t="e">
        <f>IF(L115="nio",0,IF(L115&gt;0,L115*J115/P115,0))*VLOOKUP(B115,'2-Kosten per locatie'!$A$14:$C$22,3,FALSE)</f>
        <v>#DIV/0!</v>
      </c>
      <c r="O115" s="232" t="e">
        <f>IF(M115&gt;0,M115*J115/Q115,0)*VLOOKUP(B115,'2-Kosten per locatie'!$A$15:$C$22,3,FALSE)</f>
        <v>#DIV/0!</v>
      </c>
      <c r="P115" s="318">
        <f>IF(L115="nio",0,IF(L115&gt;0,VLOOKUP(H115,'3-Productie normen'!A:J,VLOOKUP(L115,'3-Productie normen'!$B$32:$C$34,2,FALSE),FALSE)))</f>
        <v>0</v>
      </c>
      <c r="Q115" s="318">
        <f t="shared" si="6"/>
        <v>0</v>
      </c>
      <c r="R115" s="319" t="str">
        <f>VLOOKUP(H115,'3-Productie normen'!A:L,9,FALSE)</f>
        <v>S</v>
      </c>
      <c r="S115" s="319"/>
      <c r="U115" s="320">
        <f t="shared" si="7"/>
        <v>5760</v>
      </c>
    </row>
    <row r="116" spans="1:21" ht="14.1" customHeight="1">
      <c r="A116" s="478">
        <v>116</v>
      </c>
      <c r="B116" s="285" t="s">
        <v>362</v>
      </c>
      <c r="C116" s="285" t="s">
        <v>313</v>
      </c>
      <c r="D116" s="285" t="s">
        <v>314</v>
      </c>
      <c r="E116" s="314" t="s">
        <v>204</v>
      </c>
      <c r="F116" s="315" t="s">
        <v>377</v>
      </c>
      <c r="G116" s="68" t="s">
        <v>216</v>
      </c>
      <c r="H116" s="68" t="s">
        <v>217</v>
      </c>
      <c r="I116" s="68" t="s">
        <v>318</v>
      </c>
      <c r="J116" s="316">
        <v>1.8</v>
      </c>
      <c r="K116" s="317">
        <f t="shared" si="5"/>
        <v>400</v>
      </c>
      <c r="L116" s="233">
        <v>200</v>
      </c>
      <c r="M116" s="233">
        <v>200</v>
      </c>
      <c r="N116" s="232" t="e">
        <f>IF(L116="nio",0,IF(L116&gt;0,L116*J116/P116,0))*VLOOKUP(B116,'2-Kosten per locatie'!$A$14:$C$22,3,FALSE)</f>
        <v>#DIV/0!</v>
      </c>
      <c r="O116" s="232" t="e">
        <f>IF(M116&gt;0,M116*J116/Q116,0)*VLOOKUP(B116,'2-Kosten per locatie'!$A$15:$C$22,3,FALSE)</f>
        <v>#DIV/0!</v>
      </c>
      <c r="P116" s="318">
        <f>IF(L116="nio",0,IF(L116&gt;0,VLOOKUP(H116,'3-Productie normen'!A:J,VLOOKUP(L116,'3-Productie normen'!$B$32:$C$34,2,FALSE),FALSE)))</f>
        <v>0</v>
      </c>
      <c r="Q116" s="318">
        <f t="shared" si="6"/>
        <v>0</v>
      </c>
      <c r="R116" s="319" t="str">
        <f>VLOOKUP(H116,'3-Productie normen'!A:L,9,FALSE)</f>
        <v>S</v>
      </c>
      <c r="S116" s="319"/>
      <c r="U116" s="320">
        <f t="shared" si="7"/>
        <v>720</v>
      </c>
    </row>
    <row r="117" spans="1:21" ht="14.1" customHeight="1">
      <c r="A117" s="478">
        <v>117</v>
      </c>
      <c r="B117" s="285" t="s">
        <v>362</v>
      </c>
      <c r="C117" s="285" t="s">
        <v>313</v>
      </c>
      <c r="D117" s="285" t="s">
        <v>314</v>
      </c>
      <c r="E117" s="314" t="s">
        <v>204</v>
      </c>
      <c r="F117" s="315" t="s">
        <v>378</v>
      </c>
      <c r="G117" s="68" t="s">
        <v>379</v>
      </c>
      <c r="H117" s="285" t="s">
        <v>59</v>
      </c>
      <c r="I117" s="68" t="s">
        <v>318</v>
      </c>
      <c r="J117" s="316">
        <v>14.7</v>
      </c>
      <c r="K117" s="317">
        <f t="shared" si="5"/>
        <v>400</v>
      </c>
      <c r="L117" s="233">
        <v>200</v>
      </c>
      <c r="M117" s="233">
        <v>200</v>
      </c>
      <c r="N117" s="232" t="e">
        <f>IF(L117="nio",0,IF(L117&gt;0,L117*J117/P117,0))*VLOOKUP(B117,'2-Kosten per locatie'!$A$14:$C$22,3,FALSE)</f>
        <v>#DIV/0!</v>
      </c>
      <c r="O117" s="232" t="e">
        <f>IF(M117&gt;0,M117*J117/Q117,0)*VLOOKUP(B117,'2-Kosten per locatie'!$A$15:$C$22,3,FALSE)</f>
        <v>#DIV/0!</v>
      </c>
      <c r="P117" s="318">
        <f>IF(L117="nio",0,IF(L117&gt;0,VLOOKUP(H117,'3-Productie normen'!A:J,VLOOKUP(L117,'3-Productie normen'!$B$32:$C$34,2,FALSE),FALSE)))</f>
        <v>0</v>
      </c>
      <c r="Q117" s="318">
        <f t="shared" si="6"/>
        <v>0</v>
      </c>
      <c r="R117" s="319" t="str">
        <f>VLOOKUP(H117,'3-Productie normen'!A:L,9,FALSE)</f>
        <v>V</v>
      </c>
      <c r="S117" s="319"/>
      <c r="U117" s="320">
        <f t="shared" si="7"/>
        <v>5880</v>
      </c>
    </row>
    <row r="118" spans="1:21" ht="14.1" customHeight="1">
      <c r="A118" s="478">
        <v>118</v>
      </c>
      <c r="B118" s="285" t="s">
        <v>362</v>
      </c>
      <c r="C118" s="285" t="s">
        <v>313</v>
      </c>
      <c r="D118" s="285" t="s">
        <v>314</v>
      </c>
      <c r="E118" s="314" t="s">
        <v>204</v>
      </c>
      <c r="F118" s="315" t="s">
        <v>380</v>
      </c>
      <c r="G118" s="68" t="s">
        <v>225</v>
      </c>
      <c r="H118" s="68" t="s">
        <v>206</v>
      </c>
      <c r="I118" s="68" t="s">
        <v>367</v>
      </c>
      <c r="J118" s="324">
        <v>7.4</v>
      </c>
      <c r="K118" s="317">
        <f t="shared" si="5"/>
        <v>200</v>
      </c>
      <c r="L118" s="233">
        <v>200</v>
      </c>
      <c r="M118" s="233"/>
      <c r="N118" s="232" t="e">
        <f>IF(L118="nio",0,IF(L118&gt;0,L118*J118/P118,0))*VLOOKUP(B118,'2-Kosten per locatie'!$A$14:$C$22,3,FALSE)</f>
        <v>#DIV/0!</v>
      </c>
      <c r="O118" s="232">
        <f>IF(M118&gt;0,M118*J118/Q118,0)*VLOOKUP(B118,'2-Kosten per locatie'!$A$15:$C$22,3,FALSE)</f>
        <v>0</v>
      </c>
      <c r="P118" s="318">
        <f>IF(L118="nio",0,IF(L118&gt;0,VLOOKUP(H118,'3-Productie normen'!A:J,VLOOKUP(L118,'3-Productie normen'!$B$32:$C$34,2,FALSE),FALSE)))</f>
        <v>0</v>
      </c>
      <c r="Q118" s="318">
        <f t="shared" si="6"/>
        <v>0</v>
      </c>
      <c r="R118" s="319" t="str">
        <f>VLOOKUP(H118,'3-Productie normen'!A:L,9,FALSE)</f>
        <v>V</v>
      </c>
      <c r="S118" s="319"/>
      <c r="U118" s="320">
        <f t="shared" si="7"/>
        <v>1480</v>
      </c>
    </row>
    <row r="119" spans="1:21" ht="14.1" customHeight="1">
      <c r="A119" s="478">
        <v>119</v>
      </c>
      <c r="B119" s="285" t="s">
        <v>362</v>
      </c>
      <c r="C119" s="285" t="s">
        <v>313</v>
      </c>
      <c r="D119" s="460" t="s">
        <v>314</v>
      </c>
      <c r="E119" s="80" t="s">
        <v>204</v>
      </c>
      <c r="F119" s="230" t="s">
        <v>271</v>
      </c>
      <c r="G119" s="79" t="s">
        <v>216</v>
      </c>
      <c r="H119" s="79" t="s">
        <v>217</v>
      </c>
      <c r="I119" s="79" t="s">
        <v>318</v>
      </c>
      <c r="J119" s="316">
        <v>7.4</v>
      </c>
      <c r="K119" s="317">
        <f t="shared" si="5"/>
        <v>400</v>
      </c>
      <c r="L119" s="233">
        <v>200</v>
      </c>
      <c r="M119" s="233">
        <v>200</v>
      </c>
      <c r="N119" s="232" t="e">
        <f>IF(L119="nio",0,IF(L119&gt;0,L119*J119/P119,0))*VLOOKUP(B119,'2-Kosten per locatie'!$A$14:$C$22,3,FALSE)</f>
        <v>#DIV/0!</v>
      </c>
      <c r="O119" s="232" t="e">
        <f>IF(M119&gt;0,M119*J119/Q119,0)*VLOOKUP(B119,'2-Kosten per locatie'!$A$15:$C$22,3,FALSE)</f>
        <v>#DIV/0!</v>
      </c>
      <c r="P119" s="318">
        <f>IF(L119="nio",0,IF(L119&gt;0,VLOOKUP(H119,'3-Productie normen'!A:J,VLOOKUP(L119,'3-Productie normen'!$B$32:$C$34,2,FALSE),FALSE)))</f>
        <v>0</v>
      </c>
      <c r="Q119" s="318">
        <f t="shared" si="6"/>
        <v>0</v>
      </c>
      <c r="R119" s="319" t="str">
        <f>VLOOKUP(H119,'3-Productie normen'!A:L,9,FALSE)</f>
        <v>S</v>
      </c>
      <c r="S119" s="319"/>
      <c r="U119" s="320">
        <f t="shared" si="7"/>
        <v>2960</v>
      </c>
    </row>
    <row r="120" spans="1:21" ht="14.1" customHeight="1">
      <c r="A120" s="478">
        <v>120</v>
      </c>
      <c r="B120" s="285" t="s">
        <v>362</v>
      </c>
      <c r="C120" s="285" t="s">
        <v>313</v>
      </c>
      <c r="D120" s="285" t="s">
        <v>314</v>
      </c>
      <c r="E120" s="314" t="s">
        <v>204</v>
      </c>
      <c r="F120" s="315" t="s">
        <v>381</v>
      </c>
      <c r="G120" s="68" t="s">
        <v>360</v>
      </c>
      <c r="H120" s="68" t="s">
        <v>330</v>
      </c>
      <c r="I120" s="68" t="s">
        <v>268</v>
      </c>
      <c r="J120" s="316">
        <v>711.2</v>
      </c>
      <c r="K120" s="317">
        <f t="shared" si="5"/>
        <v>200</v>
      </c>
      <c r="L120" s="233">
        <v>200</v>
      </c>
      <c r="M120" s="233"/>
      <c r="N120" s="232" t="e">
        <f>IF(L120="nio",0,IF(L120&gt;0,L120*J120/P120,0))*VLOOKUP(B120,'2-Kosten per locatie'!$A$14:$C$22,3,FALSE)</f>
        <v>#DIV/0!</v>
      </c>
      <c r="O120" s="232">
        <f>IF(M120&gt;0,M120*J120/Q120,0)*VLOOKUP(B120,'2-Kosten per locatie'!$A$15:$C$22,3,FALSE)</f>
        <v>0</v>
      </c>
      <c r="P120" s="318">
        <f>IF(L120="nio",0,IF(L120&gt;0,VLOOKUP(H120,'3-Productie normen'!A:J,VLOOKUP(L120,'3-Productie normen'!$B$32:$C$34,2,FALSE),FALSE)))</f>
        <v>0</v>
      </c>
      <c r="Q120" s="318">
        <f t="shared" si="6"/>
        <v>0</v>
      </c>
      <c r="R120" s="319" t="str">
        <f>VLOOKUP(H120,'3-Productie normen'!A:L,9,FALSE)</f>
        <v>V</v>
      </c>
      <c r="S120" s="319"/>
      <c r="U120" s="320">
        <f t="shared" si="7"/>
        <v>142240</v>
      </c>
    </row>
    <row r="121" spans="1:21" ht="14.1" customHeight="1">
      <c r="A121" s="478">
        <v>121</v>
      </c>
      <c r="B121" s="285" t="s">
        <v>362</v>
      </c>
      <c r="C121" s="285" t="s">
        <v>313</v>
      </c>
      <c r="D121" s="285" t="s">
        <v>314</v>
      </c>
      <c r="E121" s="314" t="s">
        <v>204</v>
      </c>
      <c r="F121" s="315" t="s">
        <v>382</v>
      </c>
      <c r="G121" s="68" t="s">
        <v>335</v>
      </c>
      <c r="H121" s="68" t="s">
        <v>335</v>
      </c>
      <c r="I121" s="68" t="s">
        <v>268</v>
      </c>
      <c r="J121" s="316">
        <v>34.5</v>
      </c>
      <c r="K121" s="317">
        <f t="shared" si="5"/>
        <v>40</v>
      </c>
      <c r="L121" s="233">
        <v>40</v>
      </c>
      <c r="M121" s="233"/>
      <c r="N121" s="232" t="e">
        <f>IF(L121="nio",0,IF(L121&gt;0,L121*J121/P121,0))*VLOOKUP(B121,'2-Kosten per locatie'!$A$14:$C$22,3,FALSE)</f>
        <v>#DIV/0!</v>
      </c>
      <c r="O121" s="232">
        <f>IF(M121&gt;0,M121*J121/Q121,0)*VLOOKUP(B121,'2-Kosten per locatie'!$A$15:$C$22,3,FALSE)</f>
        <v>0</v>
      </c>
      <c r="P121" s="318">
        <f>IF(L121="nio",0,IF(L121&gt;0,VLOOKUP(H121,'3-Productie normen'!A:J,VLOOKUP(L121,'3-Productie normen'!$B$32:$C$34,2,FALSE),FALSE)))</f>
        <v>0</v>
      </c>
      <c r="Q121" s="318">
        <f t="shared" si="6"/>
        <v>0</v>
      </c>
      <c r="R121" s="319" t="str">
        <f>VLOOKUP(H121,'3-Productie normen'!A:L,9,FALSE)</f>
        <v>V</v>
      </c>
      <c r="S121" s="319"/>
      <c r="U121" s="320">
        <f t="shared" si="7"/>
        <v>1380</v>
      </c>
    </row>
    <row r="122" spans="1:21" ht="14.1" customHeight="1">
      <c r="A122" s="478">
        <v>122</v>
      </c>
      <c r="B122" s="285" t="s">
        <v>362</v>
      </c>
      <c r="C122" s="285" t="s">
        <v>313</v>
      </c>
      <c r="D122" s="285" t="s">
        <v>314</v>
      </c>
      <c r="E122" s="314" t="s">
        <v>204</v>
      </c>
      <c r="F122" s="315" t="s">
        <v>383</v>
      </c>
      <c r="G122" s="68" t="s">
        <v>335</v>
      </c>
      <c r="H122" s="68" t="s">
        <v>335</v>
      </c>
      <c r="I122" s="68" t="s">
        <v>268</v>
      </c>
      <c r="J122" s="316">
        <v>34.4</v>
      </c>
      <c r="K122" s="317">
        <f t="shared" si="5"/>
        <v>40</v>
      </c>
      <c r="L122" s="233">
        <v>40</v>
      </c>
      <c r="M122" s="233"/>
      <c r="N122" s="232" t="e">
        <f>IF(L122="nio",0,IF(L122&gt;0,L122*J122/P122,0))*VLOOKUP(B122,'2-Kosten per locatie'!$A$14:$C$22,3,FALSE)</f>
        <v>#DIV/0!</v>
      </c>
      <c r="O122" s="232">
        <f>IF(M122&gt;0,M122*J122/Q122,0)*VLOOKUP(B122,'2-Kosten per locatie'!$A$15:$C$22,3,FALSE)</f>
        <v>0</v>
      </c>
      <c r="P122" s="318">
        <f>IF(L122="nio",0,IF(L122&gt;0,VLOOKUP(H122,'3-Productie normen'!A:J,VLOOKUP(L122,'3-Productie normen'!$B$32:$C$34,2,FALSE),FALSE)))</f>
        <v>0</v>
      </c>
      <c r="Q122" s="318">
        <f t="shared" si="6"/>
        <v>0</v>
      </c>
      <c r="R122" s="319" t="str">
        <f>VLOOKUP(H122,'3-Productie normen'!A:L,9,FALSE)</f>
        <v>V</v>
      </c>
      <c r="S122" s="319"/>
      <c r="U122" s="320">
        <f t="shared" si="7"/>
        <v>1376</v>
      </c>
    </row>
    <row r="123" spans="1:21" ht="14.1" customHeight="1">
      <c r="A123" s="478">
        <v>123</v>
      </c>
      <c r="B123" s="285" t="s">
        <v>362</v>
      </c>
      <c r="C123" s="285" t="s">
        <v>313</v>
      </c>
      <c r="D123" s="285" t="s">
        <v>314</v>
      </c>
      <c r="E123" s="314" t="s">
        <v>286</v>
      </c>
      <c r="F123" s="315" t="s">
        <v>384</v>
      </c>
      <c r="G123" s="68" t="s">
        <v>361</v>
      </c>
      <c r="H123" s="68" t="s">
        <v>361</v>
      </c>
      <c r="I123" s="68" t="s">
        <v>211</v>
      </c>
      <c r="J123" s="316">
        <v>83</v>
      </c>
      <c r="K123" s="317">
        <f t="shared" si="5"/>
        <v>20</v>
      </c>
      <c r="L123" s="233">
        <v>20</v>
      </c>
      <c r="M123" s="233"/>
      <c r="N123" s="232" t="e">
        <f>IF(L123="nio",0,IF(L123&gt;0,L123*J123/P123,0))*VLOOKUP(B123,'2-Kosten per locatie'!$A$14:$C$22,3,FALSE)</f>
        <v>#DIV/0!</v>
      </c>
      <c r="O123" s="232">
        <f>IF(M123&gt;0,M123*J123/Q123,0)*VLOOKUP(B123,'2-Kosten per locatie'!$A$15:$C$22,3,FALSE)</f>
        <v>0</v>
      </c>
      <c r="P123" s="318">
        <f>IF(L123="nio",0,IF(L123&gt;0,VLOOKUP(H123,'3-Productie normen'!A:J,VLOOKUP(L123,'3-Productie normen'!$B$32:$C$34,2,FALSE),FALSE)))</f>
        <v>0</v>
      </c>
      <c r="Q123" s="318">
        <f t="shared" si="6"/>
        <v>0</v>
      </c>
      <c r="R123" s="319" t="str">
        <f>VLOOKUP(H123,'3-Productie normen'!A:L,9,FALSE)</f>
        <v>V</v>
      </c>
      <c r="S123" s="319"/>
      <c r="U123" s="320">
        <f t="shared" si="7"/>
        <v>1660</v>
      </c>
    </row>
    <row r="124" spans="1:21" ht="14.1" customHeight="1">
      <c r="A124" s="478">
        <v>124</v>
      </c>
      <c r="B124" s="285" t="s">
        <v>385</v>
      </c>
      <c r="C124" s="285" t="s">
        <v>313</v>
      </c>
      <c r="D124" s="285" t="s">
        <v>314</v>
      </c>
      <c r="E124" s="314" t="s">
        <v>204</v>
      </c>
      <c r="F124" s="315" t="s">
        <v>315</v>
      </c>
      <c r="G124" s="68" t="s">
        <v>39</v>
      </c>
      <c r="H124" s="68" t="s">
        <v>220</v>
      </c>
      <c r="I124" s="68" t="s">
        <v>318</v>
      </c>
      <c r="J124" s="316">
        <v>17.7</v>
      </c>
      <c r="K124" s="317">
        <f t="shared" si="5"/>
        <v>200</v>
      </c>
      <c r="L124" s="233">
        <v>200</v>
      </c>
      <c r="M124" s="233"/>
      <c r="N124" s="232" t="e">
        <f>IF(L124="nio",0,IF(L124&gt;0,L124*J124/P124,0))*VLOOKUP(B124,'2-Kosten per locatie'!$A$14:$C$22,3,FALSE)</f>
        <v>#DIV/0!</v>
      </c>
      <c r="O124" s="232">
        <f>IF(M124&gt;0,M124*J124/Q124,0)*VLOOKUP(B124,'2-Kosten per locatie'!$A$15:$C$22,3,FALSE)</f>
        <v>0</v>
      </c>
      <c r="P124" s="318">
        <f>IF(L124="nio",0,IF(L124&gt;0,VLOOKUP(H124,'3-Productie normen'!A:J,VLOOKUP(L124,'3-Productie normen'!$B$32:$C$34,2,FALSE),FALSE)))</f>
        <v>0</v>
      </c>
      <c r="Q124" s="318">
        <f t="shared" si="6"/>
        <v>0</v>
      </c>
      <c r="R124" s="319" t="str">
        <f>VLOOKUP(H124,'3-Productie normen'!A:L,9,FALSE)</f>
        <v>V</v>
      </c>
      <c r="S124" s="319"/>
      <c r="U124" s="320">
        <f t="shared" si="7"/>
        <v>3540</v>
      </c>
    </row>
    <row r="125" spans="1:21" ht="14.1" customHeight="1">
      <c r="A125" s="478">
        <v>125</v>
      </c>
      <c r="B125" s="285" t="s">
        <v>385</v>
      </c>
      <c r="C125" s="285" t="s">
        <v>313</v>
      </c>
      <c r="D125" s="285" t="s">
        <v>314</v>
      </c>
      <c r="E125" s="314" t="s">
        <v>204</v>
      </c>
      <c r="F125" s="315" t="s">
        <v>319</v>
      </c>
      <c r="G125" s="68" t="s">
        <v>386</v>
      </c>
      <c r="H125" s="285" t="s">
        <v>59</v>
      </c>
      <c r="I125" s="68" t="s">
        <v>318</v>
      </c>
      <c r="J125" s="316">
        <v>22.1</v>
      </c>
      <c r="K125" s="317">
        <f t="shared" si="5"/>
        <v>200</v>
      </c>
      <c r="L125" s="233">
        <v>200</v>
      </c>
      <c r="M125" s="233"/>
      <c r="N125" s="232" t="e">
        <f>IF(L125="nio",0,IF(L125&gt;0,L125*J125/P125,0))*VLOOKUP(B125,'2-Kosten per locatie'!$A$14:$C$22,3,FALSE)</f>
        <v>#DIV/0!</v>
      </c>
      <c r="O125" s="232">
        <f>IF(M125&gt;0,M125*J125/Q125,0)*VLOOKUP(B125,'2-Kosten per locatie'!$A$15:$C$22,3,FALSE)</f>
        <v>0</v>
      </c>
      <c r="P125" s="318">
        <f>IF(L125="nio",0,IF(L125&gt;0,VLOOKUP(H125,'3-Productie normen'!A:J,VLOOKUP(L125,'3-Productie normen'!$B$32:$C$34,2,FALSE),FALSE)))</f>
        <v>0</v>
      </c>
      <c r="Q125" s="318">
        <f t="shared" si="6"/>
        <v>0</v>
      </c>
      <c r="R125" s="319" t="str">
        <f>VLOOKUP(H125,'3-Productie normen'!A:L,9,FALSE)</f>
        <v>V</v>
      </c>
      <c r="S125" s="319"/>
      <c r="U125" s="320">
        <f t="shared" si="7"/>
        <v>4420</v>
      </c>
    </row>
    <row r="126" spans="1:21" ht="14.1" customHeight="1">
      <c r="A126" s="478">
        <v>126</v>
      </c>
      <c r="B126" s="285" t="s">
        <v>385</v>
      </c>
      <c r="C126" s="285" t="s">
        <v>313</v>
      </c>
      <c r="D126" s="285" t="s">
        <v>314</v>
      </c>
      <c r="E126" s="314" t="s">
        <v>204</v>
      </c>
      <c r="F126" s="315" t="s">
        <v>320</v>
      </c>
      <c r="G126" s="68" t="s">
        <v>335</v>
      </c>
      <c r="H126" s="68" t="s">
        <v>335</v>
      </c>
      <c r="I126" s="68" t="s">
        <v>318</v>
      </c>
      <c r="J126" s="316">
        <v>4.5</v>
      </c>
      <c r="K126" s="317">
        <f t="shared" si="5"/>
        <v>40</v>
      </c>
      <c r="L126" s="233">
        <v>40</v>
      </c>
      <c r="M126" s="233"/>
      <c r="N126" s="232" t="e">
        <f>IF(L126="nio",0,IF(L126&gt;0,L126*J126/P126,0))*VLOOKUP(B126,'2-Kosten per locatie'!$A$14:$C$22,3,FALSE)</f>
        <v>#DIV/0!</v>
      </c>
      <c r="O126" s="232">
        <f>IF(M126&gt;0,M126*J126/Q126,0)*VLOOKUP(B126,'2-Kosten per locatie'!$A$15:$C$22,3,FALSE)</f>
        <v>0</v>
      </c>
      <c r="P126" s="318">
        <f>IF(L126="nio",0,IF(L126&gt;0,VLOOKUP(H126,'3-Productie normen'!A:J,VLOOKUP(L126,'3-Productie normen'!$B$32:$C$34,2,FALSE),FALSE)))</f>
        <v>0</v>
      </c>
      <c r="Q126" s="318">
        <f t="shared" si="6"/>
        <v>0</v>
      </c>
      <c r="R126" s="319" t="str">
        <f>VLOOKUP(H126,'3-Productie normen'!A:L,9,FALSE)</f>
        <v>V</v>
      </c>
      <c r="S126" s="319"/>
      <c r="U126" s="320">
        <f t="shared" si="7"/>
        <v>180</v>
      </c>
    </row>
    <row r="127" spans="1:21" ht="14.1" customHeight="1">
      <c r="A127" s="478">
        <v>127</v>
      </c>
      <c r="B127" s="285" t="s">
        <v>385</v>
      </c>
      <c r="C127" s="285" t="s">
        <v>313</v>
      </c>
      <c r="D127" s="285" t="s">
        <v>314</v>
      </c>
      <c r="E127" s="314" t="s">
        <v>204</v>
      </c>
      <c r="F127" s="315" t="s">
        <v>326</v>
      </c>
      <c r="G127" s="68" t="s">
        <v>216</v>
      </c>
      <c r="H127" s="68" t="s">
        <v>217</v>
      </c>
      <c r="I127" s="68" t="s">
        <v>318</v>
      </c>
      <c r="J127" s="316">
        <v>1.4</v>
      </c>
      <c r="K127" s="317">
        <f t="shared" si="5"/>
        <v>200</v>
      </c>
      <c r="L127" s="233">
        <v>200</v>
      </c>
      <c r="M127" s="233"/>
      <c r="N127" s="232" t="e">
        <f>IF(L127="nio",0,IF(L127&gt;0,L127*J127/P127,0))*VLOOKUP(B127,'2-Kosten per locatie'!$A$14:$C$22,3,FALSE)</f>
        <v>#DIV/0!</v>
      </c>
      <c r="O127" s="232">
        <f>IF(M127&gt;0,M127*J127/Q127,0)*VLOOKUP(B127,'2-Kosten per locatie'!$A$15:$C$22,3,FALSE)</f>
        <v>0</v>
      </c>
      <c r="P127" s="318">
        <f>IF(L127="nio",0,IF(L127&gt;0,VLOOKUP(H127,'3-Productie normen'!A:J,VLOOKUP(L127,'3-Productie normen'!$B$32:$C$34,2,FALSE),FALSE)))</f>
        <v>0</v>
      </c>
      <c r="Q127" s="318">
        <f t="shared" si="6"/>
        <v>0</v>
      </c>
      <c r="R127" s="319" t="str">
        <f>VLOOKUP(H127,'3-Productie normen'!A:L,9,FALSE)</f>
        <v>S</v>
      </c>
      <c r="S127" s="319"/>
      <c r="U127" s="320">
        <f t="shared" si="7"/>
        <v>280</v>
      </c>
    </row>
    <row r="128" spans="1:21" ht="14.1" customHeight="1">
      <c r="A128" s="478">
        <v>128</v>
      </c>
      <c r="B128" s="285" t="s">
        <v>385</v>
      </c>
      <c r="C128" s="285" t="s">
        <v>313</v>
      </c>
      <c r="D128" s="285" t="s">
        <v>314</v>
      </c>
      <c r="E128" s="314" t="s">
        <v>204</v>
      </c>
      <c r="F128" s="315" t="s">
        <v>328</v>
      </c>
      <c r="G128" s="68" t="s">
        <v>321</v>
      </c>
      <c r="H128" s="68" t="s">
        <v>217</v>
      </c>
      <c r="I128" s="68" t="s">
        <v>387</v>
      </c>
      <c r="J128" s="316">
        <v>14.3</v>
      </c>
      <c r="K128" s="317">
        <f t="shared" si="5"/>
        <v>200</v>
      </c>
      <c r="L128" s="233">
        <v>200</v>
      </c>
      <c r="M128" s="233"/>
      <c r="N128" s="232" t="e">
        <f>IF(L128="nio",0,IF(L128&gt;0,L128*J128/P128,0))*VLOOKUP(B128,'2-Kosten per locatie'!$A$14:$C$22,3,FALSE)</f>
        <v>#DIV/0!</v>
      </c>
      <c r="O128" s="232">
        <f>IF(M128&gt;0,M128*J128/Q128,0)*VLOOKUP(B128,'2-Kosten per locatie'!$A$15:$C$22,3,FALSE)</f>
        <v>0</v>
      </c>
      <c r="P128" s="318">
        <f>IF(L128="nio",0,IF(L128&gt;0,VLOOKUP(H128,'3-Productie normen'!A:J,VLOOKUP(L128,'3-Productie normen'!$B$32:$C$34,2,FALSE),FALSE)))</f>
        <v>0</v>
      </c>
      <c r="Q128" s="318">
        <f t="shared" si="6"/>
        <v>0</v>
      </c>
      <c r="R128" s="319" t="str">
        <f>VLOOKUP(H128,'3-Productie normen'!A:L,9,FALSE)</f>
        <v>S</v>
      </c>
      <c r="S128" s="319"/>
      <c r="U128" s="320">
        <f t="shared" si="7"/>
        <v>2860</v>
      </c>
    </row>
    <row r="129" spans="1:21" ht="14.1" customHeight="1">
      <c r="A129" s="478">
        <v>129</v>
      </c>
      <c r="B129" s="285" t="s">
        <v>385</v>
      </c>
      <c r="C129" s="285" t="s">
        <v>313</v>
      </c>
      <c r="D129" s="285" t="s">
        <v>314</v>
      </c>
      <c r="E129" s="314" t="s">
        <v>204</v>
      </c>
      <c r="F129" s="315" t="s">
        <v>224</v>
      </c>
      <c r="G129" s="68" t="s">
        <v>264</v>
      </c>
      <c r="H129" s="68" t="s">
        <v>406</v>
      </c>
      <c r="I129" s="68" t="s">
        <v>387</v>
      </c>
      <c r="J129" s="316">
        <v>4</v>
      </c>
      <c r="K129" s="317">
        <f t="shared" si="5"/>
        <v>0</v>
      </c>
      <c r="L129" s="233" t="s">
        <v>405</v>
      </c>
      <c r="M129" s="233"/>
      <c r="N129" s="232">
        <f>IF(L129="nio",0,IF(L129&gt;0,L129*J129/P129,0))*VLOOKUP(B129,'2-Kosten per locatie'!$A$14:$C$22,3,FALSE)</f>
        <v>0</v>
      </c>
      <c r="O129" s="232">
        <f>IF(M129&gt;0,M129*J129/Q129,0)*VLOOKUP(B129,'2-Kosten per locatie'!$A$15:$C$22,3,FALSE)</f>
        <v>0</v>
      </c>
      <c r="P129" s="318">
        <f>IF(L129="nio",0,IF(L129&gt;0,VLOOKUP(H129,'3-Productie normen'!A:J,VLOOKUP(L129,'3-Productie normen'!$B$32:$C$34,2,FALSE),FALSE)))</f>
        <v>0</v>
      </c>
      <c r="Q129" s="318">
        <f t="shared" si="6"/>
        <v>0</v>
      </c>
      <c r="R129" s="319">
        <f>VLOOKUP(H129,'3-Productie normen'!A:L,9,FALSE)</f>
        <v>0</v>
      </c>
      <c r="S129" s="319"/>
      <c r="U129" s="320">
        <f t="shared" si="7"/>
        <v>0</v>
      </c>
    </row>
    <row r="130" spans="1:21" ht="14.1" customHeight="1">
      <c r="A130" s="478">
        <v>130</v>
      </c>
      <c r="B130" s="285" t="s">
        <v>385</v>
      </c>
      <c r="C130" s="285" t="s">
        <v>313</v>
      </c>
      <c r="D130" s="285" t="s">
        <v>314</v>
      </c>
      <c r="E130" s="314" t="s">
        <v>204</v>
      </c>
      <c r="F130" s="315" t="s">
        <v>332</v>
      </c>
      <c r="G130" s="68" t="s">
        <v>321</v>
      </c>
      <c r="H130" s="68" t="s">
        <v>217</v>
      </c>
      <c r="I130" s="68" t="s">
        <v>387</v>
      </c>
      <c r="J130" s="316">
        <v>14.2</v>
      </c>
      <c r="K130" s="317">
        <f t="shared" si="5"/>
        <v>200</v>
      </c>
      <c r="L130" s="233">
        <v>200</v>
      </c>
      <c r="M130" s="233"/>
      <c r="N130" s="232" t="e">
        <f>IF(L130="nio",0,IF(L130&gt;0,L130*J130/P130,0))*VLOOKUP(B130,'2-Kosten per locatie'!$A$14:$C$22,3,FALSE)</f>
        <v>#DIV/0!</v>
      </c>
      <c r="O130" s="232">
        <f>IF(M130&gt;0,M130*J130/Q130,0)*VLOOKUP(B130,'2-Kosten per locatie'!$A$15:$C$22,3,FALSE)</f>
        <v>0</v>
      </c>
      <c r="P130" s="318">
        <f>IF(L130="nio",0,IF(L130&gt;0,VLOOKUP(H130,'3-Productie normen'!A:J,VLOOKUP(L130,'3-Productie normen'!$B$32:$C$34,2,FALSE),FALSE)))</f>
        <v>0</v>
      </c>
      <c r="Q130" s="318">
        <f t="shared" si="6"/>
        <v>0</v>
      </c>
      <c r="R130" s="319" t="str">
        <f>VLOOKUP(H130,'3-Productie normen'!A:L,9,FALSE)</f>
        <v>S</v>
      </c>
      <c r="S130" s="319"/>
      <c r="U130" s="320">
        <f t="shared" si="7"/>
        <v>2840</v>
      </c>
    </row>
    <row r="131" spans="1:21" ht="14.1" customHeight="1">
      <c r="A131" s="478">
        <v>131</v>
      </c>
      <c r="B131" s="285" t="s">
        <v>385</v>
      </c>
      <c r="C131" s="285" t="s">
        <v>313</v>
      </c>
      <c r="D131" s="285" t="s">
        <v>314</v>
      </c>
      <c r="E131" s="314" t="s">
        <v>204</v>
      </c>
      <c r="F131" s="315" t="s">
        <v>226</v>
      </c>
      <c r="G131" s="68" t="s">
        <v>216</v>
      </c>
      <c r="H131" s="68" t="s">
        <v>217</v>
      </c>
      <c r="I131" s="68" t="s">
        <v>318</v>
      </c>
      <c r="J131" s="316">
        <v>1.4</v>
      </c>
      <c r="K131" s="317">
        <f t="shared" si="5"/>
        <v>200</v>
      </c>
      <c r="L131" s="233">
        <v>200</v>
      </c>
      <c r="M131" s="233"/>
      <c r="N131" s="232" t="e">
        <f>IF(L131="nio",0,IF(L131&gt;0,L131*J131/P131,0))*VLOOKUP(B131,'2-Kosten per locatie'!$A$14:$C$22,3,FALSE)</f>
        <v>#DIV/0!</v>
      </c>
      <c r="O131" s="232">
        <f>IF(M131&gt;0,M131*J131/Q131,0)*VLOOKUP(B131,'2-Kosten per locatie'!$A$15:$C$22,3,FALSE)</f>
        <v>0</v>
      </c>
      <c r="P131" s="318">
        <f>IF(L131="nio",0,IF(L131&gt;0,VLOOKUP(H131,'3-Productie normen'!A:J,VLOOKUP(L131,'3-Productie normen'!$B$32:$C$34,2,FALSE),FALSE)))</f>
        <v>0</v>
      </c>
      <c r="Q131" s="318">
        <f t="shared" si="6"/>
        <v>0</v>
      </c>
      <c r="R131" s="319" t="str">
        <f>VLOOKUP(H131,'3-Productie normen'!A:L,9,FALSE)</f>
        <v>S</v>
      </c>
      <c r="S131" s="319"/>
      <c r="U131" s="320">
        <f t="shared" si="7"/>
        <v>280</v>
      </c>
    </row>
    <row r="132" spans="1:21" ht="14.1" customHeight="1">
      <c r="A132" s="478">
        <v>132</v>
      </c>
      <c r="B132" s="285" t="s">
        <v>385</v>
      </c>
      <c r="C132" s="285" t="s">
        <v>313</v>
      </c>
      <c r="D132" s="285" t="s">
        <v>314</v>
      </c>
      <c r="E132" s="314" t="s">
        <v>204</v>
      </c>
      <c r="F132" s="315" t="s">
        <v>230</v>
      </c>
      <c r="G132" s="68" t="s">
        <v>388</v>
      </c>
      <c r="H132" s="285" t="s">
        <v>59</v>
      </c>
      <c r="I132" s="68" t="s">
        <v>318</v>
      </c>
      <c r="J132" s="316">
        <v>29.2</v>
      </c>
      <c r="K132" s="317">
        <f t="shared" si="5"/>
        <v>200</v>
      </c>
      <c r="L132" s="233">
        <v>200</v>
      </c>
      <c r="M132" s="233"/>
      <c r="N132" s="232" t="e">
        <f>IF(L132="nio",0,IF(L132&gt;0,L132*J132/P132,0))*VLOOKUP(B132,'2-Kosten per locatie'!$A$14:$C$22,3,FALSE)</f>
        <v>#DIV/0!</v>
      </c>
      <c r="O132" s="232">
        <f>IF(M132&gt;0,M132*J132/Q132,0)*VLOOKUP(B132,'2-Kosten per locatie'!$A$15:$C$22,3,FALSE)</f>
        <v>0</v>
      </c>
      <c r="P132" s="318">
        <f>IF(L132="nio",0,IF(L132&gt;0,VLOOKUP(H132,'3-Productie normen'!A:J,VLOOKUP(L132,'3-Productie normen'!$B$32:$C$34,2,FALSE),FALSE)))</f>
        <v>0</v>
      </c>
      <c r="Q132" s="318">
        <f t="shared" si="6"/>
        <v>0</v>
      </c>
      <c r="R132" s="319" t="str">
        <f>VLOOKUP(H132,'3-Productie normen'!A:L,9,FALSE)</f>
        <v>V</v>
      </c>
      <c r="S132" s="319"/>
      <c r="U132" s="320">
        <f t="shared" si="7"/>
        <v>5840</v>
      </c>
    </row>
    <row r="133" spans="1:21" ht="14.1" customHeight="1">
      <c r="A133" s="478">
        <v>133</v>
      </c>
      <c r="B133" s="285" t="s">
        <v>385</v>
      </c>
      <c r="C133" s="285" t="s">
        <v>313</v>
      </c>
      <c r="D133" s="285" t="s">
        <v>314</v>
      </c>
      <c r="E133" s="314" t="s">
        <v>204</v>
      </c>
      <c r="F133" s="315" t="s">
        <v>237</v>
      </c>
      <c r="G133" s="68" t="s">
        <v>389</v>
      </c>
      <c r="H133" s="285" t="s">
        <v>59</v>
      </c>
      <c r="I133" s="68" t="s">
        <v>318</v>
      </c>
      <c r="J133" s="316">
        <v>6.5</v>
      </c>
      <c r="K133" s="317">
        <f t="shared" si="5"/>
        <v>200</v>
      </c>
      <c r="L133" s="233">
        <v>200</v>
      </c>
      <c r="M133" s="233"/>
      <c r="N133" s="232" t="e">
        <f>IF(L133="nio",0,IF(L133&gt;0,L133*J133/P133,0))*VLOOKUP(B133,'2-Kosten per locatie'!$A$14:$C$22,3,FALSE)</f>
        <v>#DIV/0!</v>
      </c>
      <c r="O133" s="232">
        <f>IF(M133&gt;0,M133*J133/Q133,0)*VLOOKUP(B133,'2-Kosten per locatie'!$A$15:$C$22,3,FALSE)</f>
        <v>0</v>
      </c>
      <c r="P133" s="318">
        <f>IF(L133="nio",0,IF(L133&gt;0,VLOOKUP(H133,'3-Productie normen'!A:J,VLOOKUP(L133,'3-Productie normen'!$B$32:$C$34,2,FALSE),FALSE)))</f>
        <v>0</v>
      </c>
      <c r="Q133" s="318">
        <f t="shared" si="6"/>
        <v>0</v>
      </c>
      <c r="R133" s="319" t="str">
        <f>VLOOKUP(H133,'3-Productie normen'!A:L,9,FALSE)</f>
        <v>V</v>
      </c>
      <c r="S133" s="319"/>
      <c r="U133" s="320">
        <f t="shared" si="7"/>
        <v>1300</v>
      </c>
    </row>
    <row r="134" spans="1:21" ht="14.1" customHeight="1">
      <c r="A134" s="478">
        <v>134</v>
      </c>
      <c r="B134" s="285" t="s">
        <v>385</v>
      </c>
      <c r="C134" s="285" t="s">
        <v>313</v>
      </c>
      <c r="D134" s="285" t="s">
        <v>314</v>
      </c>
      <c r="E134" s="314" t="s">
        <v>204</v>
      </c>
      <c r="F134" s="315" t="s">
        <v>234</v>
      </c>
      <c r="G134" s="68" t="s">
        <v>321</v>
      </c>
      <c r="H134" s="68" t="s">
        <v>217</v>
      </c>
      <c r="I134" s="68" t="s">
        <v>387</v>
      </c>
      <c r="J134" s="316">
        <v>1.4</v>
      </c>
      <c r="K134" s="317">
        <f t="shared" si="5"/>
        <v>200</v>
      </c>
      <c r="L134" s="233">
        <v>200</v>
      </c>
      <c r="M134" s="233"/>
      <c r="N134" s="232" t="e">
        <f>IF(L134="nio",0,IF(L134&gt;0,L134*J134/P134,0))*VLOOKUP(B134,'2-Kosten per locatie'!$A$14:$C$22,3,FALSE)</f>
        <v>#DIV/0!</v>
      </c>
      <c r="O134" s="232">
        <f>IF(M134&gt;0,M134*J134/Q134,0)*VLOOKUP(B134,'2-Kosten per locatie'!$A$15:$C$22,3,FALSE)</f>
        <v>0</v>
      </c>
      <c r="P134" s="318">
        <f>IF(L134="nio",0,IF(L134&gt;0,VLOOKUP(H134,'3-Productie normen'!A:J,VLOOKUP(L134,'3-Productie normen'!$B$32:$C$34,2,FALSE),FALSE)))</f>
        <v>0</v>
      </c>
      <c r="Q134" s="318">
        <f t="shared" si="6"/>
        <v>0</v>
      </c>
      <c r="R134" s="319" t="str">
        <f>VLOOKUP(H134,'3-Productie normen'!A:L,9,FALSE)</f>
        <v>S</v>
      </c>
      <c r="S134" s="319"/>
      <c r="U134" s="320">
        <f t="shared" si="7"/>
        <v>280</v>
      </c>
    </row>
    <row r="135" spans="1:21" ht="14.1" customHeight="1">
      <c r="A135" s="478">
        <v>135</v>
      </c>
      <c r="B135" s="285" t="s">
        <v>385</v>
      </c>
      <c r="C135" s="285" t="s">
        <v>313</v>
      </c>
      <c r="D135" s="285" t="s">
        <v>314</v>
      </c>
      <c r="E135" s="314" t="s">
        <v>204</v>
      </c>
      <c r="F135" s="315" t="s">
        <v>334</v>
      </c>
      <c r="G135" s="68" t="s">
        <v>216</v>
      </c>
      <c r="H135" s="68" t="s">
        <v>217</v>
      </c>
      <c r="I135" s="68" t="s">
        <v>318</v>
      </c>
      <c r="J135" s="316">
        <v>1.2</v>
      </c>
      <c r="K135" s="317">
        <f t="shared" si="5"/>
        <v>200</v>
      </c>
      <c r="L135" s="233">
        <v>200</v>
      </c>
      <c r="M135" s="233"/>
      <c r="N135" s="232" t="e">
        <f>IF(L135="nio",0,IF(L135&gt;0,L135*J135/P135,0))*VLOOKUP(B135,'2-Kosten per locatie'!$A$14:$C$22,3,FALSE)</f>
        <v>#DIV/0!</v>
      </c>
      <c r="O135" s="232">
        <f>IF(M135&gt;0,M135*J135/Q135,0)*VLOOKUP(B135,'2-Kosten per locatie'!$A$15:$C$22,3,FALSE)</f>
        <v>0</v>
      </c>
      <c r="P135" s="318">
        <f>IF(L135="nio",0,IF(L135&gt;0,VLOOKUP(H135,'3-Productie normen'!A:J,VLOOKUP(L135,'3-Productie normen'!$B$32:$C$34,2,FALSE),FALSE)))</f>
        <v>0</v>
      </c>
      <c r="Q135" s="318">
        <f t="shared" si="6"/>
        <v>0</v>
      </c>
      <c r="R135" s="319" t="str">
        <f>VLOOKUP(H135,'3-Productie normen'!A:L,9,FALSE)</f>
        <v>S</v>
      </c>
      <c r="S135" s="319"/>
      <c r="U135" s="320">
        <f t="shared" si="7"/>
        <v>240</v>
      </c>
    </row>
    <row r="136" spans="1:21" ht="14.1" customHeight="1">
      <c r="A136" s="478">
        <v>136</v>
      </c>
      <c r="B136" s="285" t="s">
        <v>385</v>
      </c>
      <c r="C136" s="285" t="s">
        <v>313</v>
      </c>
      <c r="D136" s="285" t="s">
        <v>314</v>
      </c>
      <c r="E136" s="314" t="s">
        <v>204</v>
      </c>
      <c r="F136" s="315" t="s">
        <v>240</v>
      </c>
      <c r="G136" s="68" t="s">
        <v>335</v>
      </c>
      <c r="H136" s="68" t="s">
        <v>335</v>
      </c>
      <c r="I136" s="68" t="s">
        <v>268</v>
      </c>
      <c r="J136" s="316">
        <v>52.3</v>
      </c>
      <c r="K136" s="317">
        <f t="shared" si="5"/>
        <v>40</v>
      </c>
      <c r="L136" s="233">
        <v>40</v>
      </c>
      <c r="M136" s="233"/>
      <c r="N136" s="232" t="e">
        <f>IF(L136="nio",0,IF(L136&gt;0,L136*J136/P136,0))*VLOOKUP(B136,'2-Kosten per locatie'!$A$14:$C$22,3,FALSE)</f>
        <v>#DIV/0!</v>
      </c>
      <c r="O136" s="232">
        <f>IF(M136&gt;0,M136*J136/Q136,0)*VLOOKUP(B136,'2-Kosten per locatie'!$A$15:$C$22,3,FALSE)</f>
        <v>0</v>
      </c>
      <c r="P136" s="318">
        <f>IF(L136="nio",0,IF(L136&gt;0,VLOOKUP(H136,'3-Productie normen'!A:J,VLOOKUP(L136,'3-Productie normen'!$B$32:$C$34,2,FALSE),FALSE)))</f>
        <v>0</v>
      </c>
      <c r="Q136" s="318">
        <f t="shared" si="6"/>
        <v>0</v>
      </c>
      <c r="R136" s="319" t="str">
        <f>VLOOKUP(H136,'3-Productie normen'!A:L,9,FALSE)</f>
        <v>V</v>
      </c>
      <c r="S136" s="319"/>
      <c r="U136" s="320">
        <f t="shared" si="7"/>
        <v>2092</v>
      </c>
    </row>
    <row r="137" spans="1:21" ht="14.1" customHeight="1">
      <c r="A137" s="478">
        <v>137</v>
      </c>
      <c r="B137" s="285" t="s">
        <v>385</v>
      </c>
      <c r="C137" s="285" t="s">
        <v>313</v>
      </c>
      <c r="D137" s="285" t="s">
        <v>314</v>
      </c>
      <c r="E137" s="314" t="s">
        <v>204</v>
      </c>
      <c r="F137" s="315" t="s">
        <v>241</v>
      </c>
      <c r="G137" s="68" t="s">
        <v>38</v>
      </c>
      <c r="H137" s="68" t="s">
        <v>330</v>
      </c>
      <c r="I137" s="68" t="s">
        <v>268</v>
      </c>
      <c r="J137" s="316">
        <v>252.7</v>
      </c>
      <c r="K137" s="317">
        <f t="shared" si="5"/>
        <v>200</v>
      </c>
      <c r="L137" s="233">
        <v>200</v>
      </c>
      <c r="M137" s="233"/>
      <c r="N137" s="232" t="e">
        <f>IF(L137="nio",0,IF(L137&gt;0,L137*J137/P137,0))*VLOOKUP(B137,'2-Kosten per locatie'!$A$14:$C$22,3,FALSE)</f>
        <v>#DIV/0!</v>
      </c>
      <c r="O137" s="232">
        <f>IF(M137&gt;0,M137*J137/Q137,0)*VLOOKUP(B137,'2-Kosten per locatie'!$A$15:$C$22,3,FALSE)</f>
        <v>0</v>
      </c>
      <c r="P137" s="318">
        <f>IF(L137="nio",0,IF(L137&gt;0,VLOOKUP(H137,'3-Productie normen'!A:J,VLOOKUP(L137,'3-Productie normen'!$B$32:$C$34,2,FALSE),FALSE)))</f>
        <v>0</v>
      </c>
      <c r="Q137" s="318">
        <f t="shared" si="6"/>
        <v>0</v>
      </c>
      <c r="R137" s="319" t="str">
        <f>VLOOKUP(H137,'3-Productie normen'!A:L,9,FALSE)</f>
        <v>V</v>
      </c>
      <c r="S137" s="319"/>
      <c r="U137" s="320">
        <f t="shared" si="7"/>
        <v>50540</v>
      </c>
    </row>
    <row r="138" spans="1:21" ht="14.1" customHeight="1">
      <c r="A138" s="478">
        <v>138</v>
      </c>
      <c r="B138" s="285" t="s">
        <v>390</v>
      </c>
      <c r="C138" s="285" t="s">
        <v>313</v>
      </c>
      <c r="D138" s="285" t="s">
        <v>314</v>
      </c>
      <c r="E138" s="314" t="s">
        <v>204</v>
      </c>
      <c r="F138" s="315" t="s">
        <v>205</v>
      </c>
      <c r="G138" s="68" t="s">
        <v>219</v>
      </c>
      <c r="H138" s="68" t="s">
        <v>206</v>
      </c>
      <c r="I138" s="68" t="s">
        <v>244</v>
      </c>
      <c r="J138" s="316">
        <v>30</v>
      </c>
      <c r="K138" s="317">
        <f t="shared" si="5"/>
        <v>200</v>
      </c>
      <c r="L138" s="233">
        <v>200</v>
      </c>
      <c r="M138" s="233"/>
      <c r="N138" s="232" t="e">
        <f>IF(L138="nio",0,IF(L138&gt;0,L138*J138/P138,0))*VLOOKUP(B138,'2-Kosten per locatie'!$A$14:$C$22,3,FALSE)</f>
        <v>#DIV/0!</v>
      </c>
      <c r="O138" s="232">
        <f>IF(M138&gt;0,M138*J138/Q138,0)*VLOOKUP(B138,'2-Kosten per locatie'!$A$15:$C$22,3,FALSE)</f>
        <v>0</v>
      </c>
      <c r="P138" s="318">
        <f>IF(L138="nio",0,IF(L138&gt;0,VLOOKUP(H138,'3-Productie normen'!A:J,VLOOKUP(L138,'3-Productie normen'!$B$32:$C$34,2,FALSE),FALSE)))</f>
        <v>0</v>
      </c>
      <c r="Q138" s="318">
        <f t="shared" si="6"/>
        <v>0</v>
      </c>
      <c r="R138" s="319" t="str">
        <f>VLOOKUP(H138,'3-Productie normen'!A:L,9,FALSE)</f>
        <v>V</v>
      </c>
      <c r="S138" s="319"/>
      <c r="U138" s="320">
        <f t="shared" ref="U138:U160" si="8">K138*J138</f>
        <v>6000</v>
      </c>
    </row>
    <row r="139" spans="1:21" ht="14.1" customHeight="1">
      <c r="A139" s="478">
        <v>139</v>
      </c>
      <c r="B139" s="285" t="s">
        <v>390</v>
      </c>
      <c r="C139" s="285" t="s">
        <v>313</v>
      </c>
      <c r="D139" s="285" t="s">
        <v>314</v>
      </c>
      <c r="E139" s="314" t="s">
        <v>204</v>
      </c>
      <c r="F139" s="315" t="s">
        <v>391</v>
      </c>
      <c r="G139" s="68" t="s">
        <v>323</v>
      </c>
      <c r="H139" s="285" t="s">
        <v>59</v>
      </c>
      <c r="I139" s="68" t="s">
        <v>244</v>
      </c>
      <c r="J139" s="316">
        <v>33.5</v>
      </c>
      <c r="K139" s="317">
        <f t="shared" ref="K139:K160" si="9">SUM(L139:M139)</f>
        <v>200</v>
      </c>
      <c r="L139" s="233">
        <v>200</v>
      </c>
      <c r="M139" s="233"/>
      <c r="N139" s="232" t="e">
        <f>IF(L139="nio",0,IF(L139&gt;0,L139*J139/P139,0))*VLOOKUP(B139,'2-Kosten per locatie'!$A$14:$C$22,3,FALSE)</f>
        <v>#DIV/0!</v>
      </c>
      <c r="O139" s="232">
        <f>IF(M139&gt;0,M139*J139/Q139,0)*VLOOKUP(B139,'2-Kosten per locatie'!$A$15:$C$22,3,FALSE)</f>
        <v>0</v>
      </c>
      <c r="P139" s="318">
        <f>IF(L139="nio",0,IF(L139&gt;0,VLOOKUP(H139,'3-Productie normen'!A:J,VLOOKUP(L139,'3-Productie normen'!$B$32:$C$34,2,FALSE),FALSE)))</f>
        <v>0</v>
      </c>
      <c r="Q139" s="318">
        <f t="shared" ref="Q139:Q160" si="10">IF(L139&gt;0,P139*$Q$8,0)</f>
        <v>0</v>
      </c>
      <c r="R139" s="319" t="str">
        <f>VLOOKUP(H139,'3-Productie normen'!A:L,9,FALSE)</f>
        <v>V</v>
      </c>
      <c r="S139" s="319"/>
      <c r="U139" s="320">
        <f t="shared" si="8"/>
        <v>6700</v>
      </c>
    </row>
    <row r="140" spans="1:21" ht="14.1" customHeight="1">
      <c r="A140" s="478">
        <v>140</v>
      </c>
      <c r="B140" s="285" t="s">
        <v>390</v>
      </c>
      <c r="C140" s="285" t="s">
        <v>313</v>
      </c>
      <c r="D140" s="285" t="s">
        <v>314</v>
      </c>
      <c r="E140" s="314" t="s">
        <v>204</v>
      </c>
      <c r="F140" s="315" t="s">
        <v>212</v>
      </c>
      <c r="G140" s="68" t="s">
        <v>216</v>
      </c>
      <c r="H140" s="68" t="s">
        <v>217</v>
      </c>
      <c r="I140" s="68" t="s">
        <v>244</v>
      </c>
      <c r="J140" s="316">
        <v>1.5</v>
      </c>
      <c r="K140" s="317">
        <f t="shared" si="9"/>
        <v>200</v>
      </c>
      <c r="L140" s="233">
        <v>200</v>
      </c>
      <c r="M140" s="233"/>
      <c r="N140" s="232" t="e">
        <f>IF(L140="nio",0,IF(L140&gt;0,L140*J140/P140,0))*VLOOKUP(B140,'2-Kosten per locatie'!$A$14:$C$22,3,FALSE)</f>
        <v>#DIV/0!</v>
      </c>
      <c r="O140" s="232">
        <f>IF(M140&gt;0,M140*J140/Q140,0)*VLOOKUP(B140,'2-Kosten per locatie'!$A$15:$C$22,3,FALSE)</f>
        <v>0</v>
      </c>
      <c r="P140" s="318">
        <f>IF(L140="nio",0,IF(L140&gt;0,VLOOKUP(H140,'3-Productie normen'!A:J,VLOOKUP(L140,'3-Productie normen'!$B$32:$C$34,2,FALSE),FALSE)))</f>
        <v>0</v>
      </c>
      <c r="Q140" s="318">
        <f t="shared" si="10"/>
        <v>0</v>
      </c>
      <c r="R140" s="319" t="str">
        <f>VLOOKUP(H140,'3-Productie normen'!A:L,9,FALSE)</f>
        <v>S</v>
      </c>
      <c r="S140" s="319"/>
      <c r="U140" s="320">
        <f t="shared" si="8"/>
        <v>300</v>
      </c>
    </row>
    <row r="141" spans="1:21" ht="14.1" customHeight="1">
      <c r="A141" s="478">
        <v>141</v>
      </c>
      <c r="B141" s="285" t="s">
        <v>390</v>
      </c>
      <c r="C141" s="285" t="s">
        <v>313</v>
      </c>
      <c r="D141" s="285" t="s">
        <v>314</v>
      </c>
      <c r="E141" s="314" t="s">
        <v>204</v>
      </c>
      <c r="F141" s="315" t="s">
        <v>392</v>
      </c>
      <c r="G141" s="68" t="s">
        <v>393</v>
      </c>
      <c r="H141" s="68" t="s">
        <v>217</v>
      </c>
      <c r="I141" s="68" t="s">
        <v>244</v>
      </c>
      <c r="J141" s="316">
        <v>15.5</v>
      </c>
      <c r="K141" s="317">
        <f t="shared" si="9"/>
        <v>200</v>
      </c>
      <c r="L141" s="233">
        <v>200</v>
      </c>
      <c r="M141" s="233"/>
      <c r="N141" s="232" t="e">
        <f>IF(L141="nio",0,IF(L141&gt;0,L141*J141/P141,0))*VLOOKUP(B141,'2-Kosten per locatie'!$A$14:$C$22,3,FALSE)</f>
        <v>#DIV/0!</v>
      </c>
      <c r="O141" s="232">
        <f>IF(M141&gt;0,M141*J141/Q141,0)*VLOOKUP(B141,'2-Kosten per locatie'!$A$15:$C$22,3,FALSE)</f>
        <v>0</v>
      </c>
      <c r="P141" s="318">
        <f>IF(L141="nio",0,IF(L141&gt;0,VLOOKUP(H141,'3-Productie normen'!A:J,VLOOKUP(L141,'3-Productie normen'!$B$32:$C$34,2,FALSE),FALSE)))</f>
        <v>0</v>
      </c>
      <c r="Q141" s="318">
        <f t="shared" si="10"/>
        <v>0</v>
      </c>
      <c r="R141" s="319" t="str">
        <f>VLOOKUP(H141,'3-Productie normen'!A:L,9,FALSE)</f>
        <v>S</v>
      </c>
      <c r="S141" s="319"/>
      <c r="U141" s="320">
        <f t="shared" si="8"/>
        <v>3100</v>
      </c>
    </row>
    <row r="142" spans="1:21" ht="14.1" customHeight="1">
      <c r="A142" s="478">
        <v>142</v>
      </c>
      <c r="B142" s="285" t="s">
        <v>390</v>
      </c>
      <c r="C142" s="285" t="s">
        <v>313</v>
      </c>
      <c r="D142" s="285" t="s">
        <v>314</v>
      </c>
      <c r="E142" s="314" t="s">
        <v>204</v>
      </c>
      <c r="F142" s="315" t="s">
        <v>215</v>
      </c>
      <c r="G142" s="68" t="s">
        <v>317</v>
      </c>
      <c r="H142" s="285" t="s">
        <v>59</v>
      </c>
      <c r="I142" s="68" t="s">
        <v>244</v>
      </c>
      <c r="J142" s="316">
        <v>33</v>
      </c>
      <c r="K142" s="317">
        <f t="shared" si="9"/>
        <v>200</v>
      </c>
      <c r="L142" s="233">
        <v>200</v>
      </c>
      <c r="M142" s="233"/>
      <c r="N142" s="232" t="e">
        <f>IF(L142="nio",0,IF(L142&gt;0,L142*J142/P142,0))*VLOOKUP(B142,'2-Kosten per locatie'!$A$14:$C$22,3,FALSE)</f>
        <v>#DIV/0!</v>
      </c>
      <c r="O142" s="232">
        <f>IF(M142&gt;0,M142*J142/Q142,0)*VLOOKUP(B142,'2-Kosten per locatie'!$A$15:$C$22,3,FALSE)</f>
        <v>0</v>
      </c>
      <c r="P142" s="318">
        <f>IF(L142="nio",0,IF(L142&gt;0,VLOOKUP(H142,'3-Productie normen'!A:J,VLOOKUP(L142,'3-Productie normen'!$B$32:$C$34,2,FALSE),FALSE)))</f>
        <v>0</v>
      </c>
      <c r="Q142" s="318">
        <f t="shared" si="10"/>
        <v>0</v>
      </c>
      <c r="R142" s="319" t="str">
        <f>VLOOKUP(H142,'3-Productie normen'!A:L,9,FALSE)</f>
        <v>V</v>
      </c>
      <c r="S142" s="319"/>
      <c r="U142" s="320">
        <f t="shared" si="8"/>
        <v>6600</v>
      </c>
    </row>
    <row r="143" spans="1:21" ht="14.1" customHeight="1">
      <c r="A143" s="478">
        <v>143</v>
      </c>
      <c r="B143" s="285" t="s">
        <v>390</v>
      </c>
      <c r="C143" s="285" t="s">
        <v>313</v>
      </c>
      <c r="D143" s="285" t="s">
        <v>314</v>
      </c>
      <c r="E143" s="314" t="s">
        <v>204</v>
      </c>
      <c r="F143" s="315" t="s">
        <v>218</v>
      </c>
      <c r="G143" s="285" t="s">
        <v>393</v>
      </c>
      <c r="H143" s="285" t="s">
        <v>217</v>
      </c>
      <c r="I143" s="68" t="s">
        <v>244</v>
      </c>
      <c r="J143" s="316">
        <v>15.5</v>
      </c>
      <c r="K143" s="317">
        <f t="shared" si="9"/>
        <v>200</v>
      </c>
      <c r="L143" s="233">
        <v>200</v>
      </c>
      <c r="M143" s="233"/>
      <c r="N143" s="232" t="e">
        <f>IF(L143="nio",0,IF(L143&gt;0,L143*J143/P143,0))*VLOOKUP(B143,'2-Kosten per locatie'!$A$14:$C$22,3,FALSE)</f>
        <v>#DIV/0!</v>
      </c>
      <c r="O143" s="232">
        <f>IF(M143&gt;0,M143*J143/Q143,0)*VLOOKUP(B143,'2-Kosten per locatie'!$A$15:$C$22,3,FALSE)</f>
        <v>0</v>
      </c>
      <c r="P143" s="318">
        <f>IF(L143="nio",0,IF(L143&gt;0,VLOOKUP(H143,'3-Productie normen'!A:J,VLOOKUP(L143,'3-Productie normen'!$B$32:$C$34,2,FALSE),FALSE)))</f>
        <v>0</v>
      </c>
      <c r="Q143" s="318">
        <f t="shared" si="10"/>
        <v>0</v>
      </c>
      <c r="R143" s="319" t="str">
        <f>VLOOKUP(H143,'3-Productie normen'!A:L,9,FALSE)</f>
        <v>S</v>
      </c>
      <c r="S143" s="319"/>
      <c r="U143" s="320">
        <f t="shared" si="8"/>
        <v>3100</v>
      </c>
    </row>
    <row r="144" spans="1:21" ht="14.1" customHeight="1">
      <c r="A144" s="478">
        <v>144</v>
      </c>
      <c r="B144" s="285" t="s">
        <v>390</v>
      </c>
      <c r="C144" s="285" t="s">
        <v>313</v>
      </c>
      <c r="D144" s="285" t="s">
        <v>314</v>
      </c>
      <c r="E144" s="314" t="s">
        <v>204</v>
      </c>
      <c r="F144" s="315" t="s">
        <v>394</v>
      </c>
      <c r="G144" s="285" t="s">
        <v>216</v>
      </c>
      <c r="H144" s="285" t="s">
        <v>217</v>
      </c>
      <c r="I144" s="68" t="s">
        <v>244</v>
      </c>
      <c r="J144" s="316">
        <v>1.5</v>
      </c>
      <c r="K144" s="317">
        <f t="shared" si="9"/>
        <v>200</v>
      </c>
      <c r="L144" s="233">
        <v>200</v>
      </c>
      <c r="M144" s="233"/>
      <c r="N144" s="232" t="e">
        <f>IF(L144="nio",0,IF(L144&gt;0,L144*J144/P144,0))*VLOOKUP(B144,'2-Kosten per locatie'!$A$14:$C$22,3,FALSE)</f>
        <v>#DIV/0!</v>
      </c>
      <c r="O144" s="232">
        <f>IF(M144&gt;0,M144*J144/Q144,0)*VLOOKUP(B144,'2-Kosten per locatie'!$A$15:$C$22,3,FALSE)</f>
        <v>0</v>
      </c>
      <c r="P144" s="318">
        <f>IF(L144="nio",0,IF(L144&gt;0,VLOOKUP(H144,'3-Productie normen'!A:J,VLOOKUP(L144,'3-Productie normen'!$B$32:$C$34,2,FALSE),FALSE)))</f>
        <v>0</v>
      </c>
      <c r="Q144" s="318">
        <f t="shared" si="10"/>
        <v>0</v>
      </c>
      <c r="R144" s="319" t="str">
        <f>VLOOKUP(H144,'3-Productie normen'!A:L,9,FALSE)</f>
        <v>S</v>
      </c>
      <c r="S144" s="319"/>
      <c r="U144" s="320">
        <f t="shared" si="8"/>
        <v>300</v>
      </c>
    </row>
    <row r="145" spans="1:21" ht="14.1" customHeight="1">
      <c r="A145" s="478">
        <v>145</v>
      </c>
      <c r="B145" s="285" t="s">
        <v>390</v>
      </c>
      <c r="C145" s="285" t="s">
        <v>313</v>
      </c>
      <c r="D145" s="285" t="s">
        <v>314</v>
      </c>
      <c r="E145" s="314" t="s">
        <v>204</v>
      </c>
      <c r="F145" s="315" t="s">
        <v>224</v>
      </c>
      <c r="G145" s="285" t="s">
        <v>395</v>
      </c>
      <c r="H145" s="285" t="s">
        <v>59</v>
      </c>
      <c r="I145" s="68" t="s">
        <v>244</v>
      </c>
      <c r="J145" s="316">
        <v>9.5</v>
      </c>
      <c r="K145" s="317">
        <f t="shared" si="9"/>
        <v>200</v>
      </c>
      <c r="L145" s="233">
        <v>200</v>
      </c>
      <c r="M145" s="233"/>
      <c r="N145" s="232" t="e">
        <f>IF(L145="nio",0,IF(L145&gt;0,L145*J145/P145,0))*VLOOKUP(B145,'2-Kosten per locatie'!$A$14:$C$22,3,FALSE)</f>
        <v>#DIV/0!</v>
      </c>
      <c r="O145" s="232">
        <f>IF(M145&gt;0,M145*J145/Q145,0)*VLOOKUP(B145,'2-Kosten per locatie'!$A$15:$C$22,3,FALSE)</f>
        <v>0</v>
      </c>
      <c r="P145" s="318">
        <f>IF(L145="nio",0,IF(L145&gt;0,VLOOKUP(H145,'3-Productie normen'!A:J,VLOOKUP(L145,'3-Productie normen'!$B$32:$C$34,2,FALSE),FALSE)))</f>
        <v>0</v>
      </c>
      <c r="Q145" s="318">
        <f t="shared" si="10"/>
        <v>0</v>
      </c>
      <c r="R145" s="319" t="str">
        <f>VLOOKUP(H145,'3-Productie normen'!A:L,9,FALSE)</f>
        <v>V</v>
      </c>
      <c r="S145" s="319"/>
      <c r="U145" s="320">
        <f t="shared" si="8"/>
        <v>1900</v>
      </c>
    </row>
    <row r="146" spans="1:21" ht="14.1" customHeight="1">
      <c r="A146" s="478">
        <v>146</v>
      </c>
      <c r="B146" s="285" t="s">
        <v>390</v>
      </c>
      <c r="C146" s="285" t="s">
        <v>313</v>
      </c>
      <c r="D146" s="285" t="s">
        <v>314</v>
      </c>
      <c r="E146" s="314" t="s">
        <v>204</v>
      </c>
      <c r="F146" s="315" t="s">
        <v>332</v>
      </c>
      <c r="G146" s="68" t="s">
        <v>216</v>
      </c>
      <c r="H146" s="68" t="s">
        <v>217</v>
      </c>
      <c r="I146" s="68" t="s">
        <v>244</v>
      </c>
      <c r="J146" s="316">
        <v>1</v>
      </c>
      <c r="K146" s="317">
        <f t="shared" si="9"/>
        <v>200</v>
      </c>
      <c r="L146" s="233">
        <v>200</v>
      </c>
      <c r="M146" s="233"/>
      <c r="N146" s="232" t="e">
        <f>IF(L146="nio",0,IF(L146&gt;0,L146*J146/P146,0))*VLOOKUP(B146,'2-Kosten per locatie'!$A$14:$C$22,3,FALSE)</f>
        <v>#DIV/0!</v>
      </c>
      <c r="O146" s="232">
        <f>IF(M146&gt;0,M146*J146/Q146,0)*VLOOKUP(B146,'2-Kosten per locatie'!$A$15:$C$22,3,FALSE)</f>
        <v>0</v>
      </c>
      <c r="P146" s="318">
        <f>IF(L146="nio",0,IF(L146&gt;0,VLOOKUP(H146,'3-Productie normen'!A:J,VLOOKUP(L146,'3-Productie normen'!$B$32:$C$34,2,FALSE),FALSE)))</f>
        <v>0</v>
      </c>
      <c r="Q146" s="318">
        <f t="shared" si="10"/>
        <v>0</v>
      </c>
      <c r="R146" s="319" t="str">
        <f>VLOOKUP(H146,'3-Productie normen'!A:L,9,FALSE)</f>
        <v>S</v>
      </c>
      <c r="S146" s="319"/>
      <c r="U146" s="320">
        <f t="shared" si="8"/>
        <v>200</v>
      </c>
    </row>
    <row r="147" spans="1:21" ht="14.1" customHeight="1">
      <c r="A147" s="478">
        <v>147</v>
      </c>
      <c r="B147" s="285" t="s">
        <v>390</v>
      </c>
      <c r="C147" s="285" t="s">
        <v>313</v>
      </c>
      <c r="D147" s="285" t="s">
        <v>314</v>
      </c>
      <c r="E147" s="314" t="s">
        <v>204</v>
      </c>
      <c r="F147" s="315" t="s">
        <v>226</v>
      </c>
      <c r="G147" s="68" t="s">
        <v>396</v>
      </c>
      <c r="H147" s="68" t="s">
        <v>217</v>
      </c>
      <c r="I147" s="68" t="s">
        <v>244</v>
      </c>
      <c r="J147" s="316">
        <v>2</v>
      </c>
      <c r="K147" s="317">
        <f t="shared" si="9"/>
        <v>200</v>
      </c>
      <c r="L147" s="233">
        <v>200</v>
      </c>
      <c r="M147" s="233"/>
      <c r="N147" s="232" t="e">
        <f>IF(L147="nio",0,IF(L147&gt;0,L147*J147/P147,0))*VLOOKUP(B147,'2-Kosten per locatie'!$A$14:$C$22,3,FALSE)</f>
        <v>#DIV/0!</v>
      </c>
      <c r="O147" s="232">
        <f>IF(M147&gt;0,M147*J147/Q147,0)*VLOOKUP(B147,'2-Kosten per locatie'!$A$15:$C$22,3,FALSE)</f>
        <v>0</v>
      </c>
      <c r="P147" s="318">
        <f>IF(L147="nio",0,IF(L147&gt;0,VLOOKUP(H147,'3-Productie normen'!A:J,VLOOKUP(L147,'3-Productie normen'!$B$32:$C$34,2,FALSE),FALSE)))</f>
        <v>0</v>
      </c>
      <c r="Q147" s="318">
        <f t="shared" si="10"/>
        <v>0</v>
      </c>
      <c r="R147" s="319" t="str">
        <f>VLOOKUP(H147,'3-Productie normen'!A:L,9,FALSE)</f>
        <v>S</v>
      </c>
      <c r="S147" s="319"/>
      <c r="U147" s="320">
        <f t="shared" si="8"/>
        <v>400</v>
      </c>
    </row>
    <row r="148" spans="1:21" ht="14.1" customHeight="1">
      <c r="A148" s="478">
        <v>148</v>
      </c>
      <c r="B148" s="285" t="s">
        <v>390</v>
      </c>
      <c r="C148" s="285" t="s">
        <v>313</v>
      </c>
      <c r="D148" s="285" t="s">
        <v>314</v>
      </c>
      <c r="E148" s="314" t="s">
        <v>204</v>
      </c>
      <c r="F148" s="315" t="s">
        <v>230</v>
      </c>
      <c r="G148" s="68" t="s">
        <v>329</v>
      </c>
      <c r="H148" s="68" t="s">
        <v>330</v>
      </c>
      <c r="I148" s="68" t="s">
        <v>268</v>
      </c>
      <c r="J148" s="316">
        <v>255.5</v>
      </c>
      <c r="K148" s="317">
        <f t="shared" si="9"/>
        <v>200</v>
      </c>
      <c r="L148" s="233">
        <v>200</v>
      </c>
      <c r="M148" s="233"/>
      <c r="N148" s="232" t="e">
        <f>IF(L148="nio",0,IF(L148&gt;0,L148*J148/P148,0))*VLOOKUP(B148,'2-Kosten per locatie'!$A$14:$C$22,3,FALSE)</f>
        <v>#DIV/0!</v>
      </c>
      <c r="O148" s="232">
        <f>IF(M148&gt;0,M148*J148/Q148,0)*VLOOKUP(B148,'2-Kosten per locatie'!$A$15:$C$22,3,FALSE)</f>
        <v>0</v>
      </c>
      <c r="P148" s="318">
        <f>IF(L148="nio",0,IF(L148&gt;0,VLOOKUP(H148,'3-Productie normen'!A:J,VLOOKUP(L148,'3-Productie normen'!$B$32:$C$34,2,FALSE),FALSE)))</f>
        <v>0</v>
      </c>
      <c r="Q148" s="318">
        <f t="shared" si="10"/>
        <v>0</v>
      </c>
      <c r="R148" s="319" t="str">
        <f>VLOOKUP(H148,'3-Productie normen'!A:L,9,FALSE)</f>
        <v>V</v>
      </c>
      <c r="S148" s="319"/>
      <c r="U148" s="320">
        <f t="shared" si="8"/>
        <v>51100</v>
      </c>
    </row>
    <row r="149" spans="1:21" ht="14.1" customHeight="1">
      <c r="A149" s="478">
        <v>149</v>
      </c>
      <c r="B149" s="285" t="s">
        <v>390</v>
      </c>
      <c r="C149" s="285" t="s">
        <v>313</v>
      </c>
      <c r="D149" s="285" t="s">
        <v>314</v>
      </c>
      <c r="E149" s="314" t="s">
        <v>204</v>
      </c>
      <c r="F149" s="315" t="s">
        <v>232</v>
      </c>
      <c r="G149" s="68" t="s">
        <v>335</v>
      </c>
      <c r="H149" s="68" t="s">
        <v>335</v>
      </c>
      <c r="I149" s="68" t="s">
        <v>268</v>
      </c>
      <c r="J149" s="316">
        <v>37</v>
      </c>
      <c r="K149" s="317">
        <f t="shared" si="9"/>
        <v>40</v>
      </c>
      <c r="L149" s="233">
        <v>40</v>
      </c>
      <c r="M149" s="233"/>
      <c r="N149" s="232" t="e">
        <f>IF(L149="nio",0,IF(L149&gt;0,L149*J149/P149,0))*VLOOKUP(B149,'2-Kosten per locatie'!$A$14:$C$22,3,FALSE)</f>
        <v>#DIV/0!</v>
      </c>
      <c r="O149" s="232">
        <f>IF(M149&gt;0,M149*J149/Q149,0)*VLOOKUP(B149,'2-Kosten per locatie'!$A$15:$C$22,3,FALSE)</f>
        <v>0</v>
      </c>
      <c r="P149" s="318">
        <f>IF(L149="nio",0,IF(L149&gt;0,VLOOKUP(H149,'3-Productie normen'!A:J,VLOOKUP(L149,'3-Productie normen'!$B$32:$C$34,2,FALSE),FALSE)))</f>
        <v>0</v>
      </c>
      <c r="Q149" s="318">
        <f t="shared" si="10"/>
        <v>0</v>
      </c>
      <c r="R149" s="319" t="str">
        <f>VLOOKUP(H149,'3-Productie normen'!A:L,9,FALSE)</f>
        <v>V</v>
      </c>
      <c r="S149" s="319"/>
      <c r="U149" s="320">
        <f t="shared" si="8"/>
        <v>1480</v>
      </c>
    </row>
    <row r="150" spans="1:21" ht="14.1" customHeight="1">
      <c r="A150" s="478">
        <v>150</v>
      </c>
      <c r="B150" s="285" t="s">
        <v>397</v>
      </c>
      <c r="C150" s="285" t="s">
        <v>313</v>
      </c>
      <c r="D150" s="285" t="s">
        <v>314</v>
      </c>
      <c r="E150" s="314" t="s">
        <v>204</v>
      </c>
      <c r="F150" s="315" t="s">
        <v>205</v>
      </c>
      <c r="G150" s="323" t="s">
        <v>39</v>
      </c>
      <c r="H150" s="323" t="s">
        <v>206</v>
      </c>
      <c r="I150" s="68" t="s">
        <v>184</v>
      </c>
      <c r="J150" s="316">
        <v>12.4</v>
      </c>
      <c r="K150" s="317">
        <f t="shared" si="9"/>
        <v>200</v>
      </c>
      <c r="L150" s="233">
        <v>200</v>
      </c>
      <c r="M150" s="233"/>
      <c r="N150" s="232" t="e">
        <f>IF(L150="nio",0,IF(L150&gt;0,L150*J150/P150,0))*VLOOKUP(B150,'2-Kosten per locatie'!$A$14:$C$22,3,FALSE)</f>
        <v>#DIV/0!</v>
      </c>
      <c r="O150" s="232">
        <f>IF(M150&gt;0,M150*J150/Q150,0)*VLOOKUP(B150,'2-Kosten per locatie'!$A$15:$C$22,3,FALSE)</f>
        <v>0</v>
      </c>
      <c r="P150" s="318">
        <f>IF(L150="nio",0,IF(L150&gt;0,VLOOKUP(H150,'3-Productie normen'!A:J,VLOOKUP(L150,'3-Productie normen'!$B$32:$C$34,2,FALSE),FALSE)))</f>
        <v>0</v>
      </c>
      <c r="Q150" s="318">
        <f t="shared" si="10"/>
        <v>0</v>
      </c>
      <c r="R150" s="319" t="str">
        <f>VLOOKUP(H150,'3-Productie normen'!A:L,9,FALSE)</f>
        <v>V</v>
      </c>
      <c r="S150" s="319"/>
      <c r="U150" s="320">
        <f t="shared" si="8"/>
        <v>2480</v>
      </c>
    </row>
    <row r="151" spans="1:21" ht="14.1" customHeight="1">
      <c r="A151" s="478">
        <v>151</v>
      </c>
      <c r="B151" s="285" t="s">
        <v>397</v>
      </c>
      <c r="C151" s="285" t="s">
        <v>313</v>
      </c>
      <c r="D151" s="285" t="s">
        <v>314</v>
      </c>
      <c r="E151" s="314" t="s">
        <v>204</v>
      </c>
      <c r="F151" s="315" t="s">
        <v>391</v>
      </c>
      <c r="G151" s="68" t="s">
        <v>216</v>
      </c>
      <c r="H151" s="68" t="s">
        <v>217</v>
      </c>
      <c r="I151" s="321" t="s">
        <v>318</v>
      </c>
      <c r="J151" s="316">
        <v>2.7</v>
      </c>
      <c r="K151" s="317">
        <f t="shared" si="9"/>
        <v>200</v>
      </c>
      <c r="L151" s="233">
        <v>200</v>
      </c>
      <c r="M151" s="233"/>
      <c r="N151" s="232" t="e">
        <f>IF(L151="nio",0,IF(L151&gt;0,L151*J151/P151,0))*VLOOKUP(B151,'2-Kosten per locatie'!$A$14:$C$22,3,FALSE)</f>
        <v>#DIV/0!</v>
      </c>
      <c r="O151" s="232">
        <f>IF(M151&gt;0,M151*J151/Q151,0)*VLOOKUP(B151,'2-Kosten per locatie'!$A$15:$C$22,3,FALSE)</f>
        <v>0</v>
      </c>
      <c r="P151" s="318">
        <f>IF(L151="nio",0,IF(L151&gt;0,VLOOKUP(H151,'3-Productie normen'!A:J,VLOOKUP(L151,'3-Productie normen'!$B$32:$C$34,2,FALSE),FALSE)))</f>
        <v>0</v>
      </c>
      <c r="Q151" s="318">
        <f t="shared" si="10"/>
        <v>0</v>
      </c>
      <c r="R151" s="319" t="str">
        <f>VLOOKUP(H151,'3-Productie normen'!A:L,9,FALSE)</f>
        <v>S</v>
      </c>
      <c r="S151" s="319"/>
      <c r="U151" s="320">
        <f t="shared" si="8"/>
        <v>540</v>
      </c>
    </row>
    <row r="152" spans="1:21" ht="14.1" customHeight="1">
      <c r="A152" s="478">
        <v>152</v>
      </c>
      <c r="B152" s="285" t="s">
        <v>397</v>
      </c>
      <c r="C152" s="285" t="s">
        <v>313</v>
      </c>
      <c r="D152" s="460" t="s">
        <v>314</v>
      </c>
      <c r="E152" s="80" t="s">
        <v>204</v>
      </c>
      <c r="F152" s="230" t="s">
        <v>212</v>
      </c>
      <c r="G152" s="79" t="s">
        <v>386</v>
      </c>
      <c r="H152" s="79" t="s">
        <v>217</v>
      </c>
      <c r="I152" s="68" t="s">
        <v>318</v>
      </c>
      <c r="J152" s="316">
        <v>24.3</v>
      </c>
      <c r="K152" s="317">
        <f t="shared" si="9"/>
        <v>200</v>
      </c>
      <c r="L152" s="233">
        <v>200</v>
      </c>
      <c r="M152" s="233"/>
      <c r="N152" s="232" t="e">
        <f>IF(L152="nio",0,IF(L152&gt;0,L152*J152/P152,0))*VLOOKUP(B152,'2-Kosten per locatie'!$A$14:$C$22,3,FALSE)</f>
        <v>#DIV/0!</v>
      </c>
      <c r="O152" s="232">
        <f>IF(M152&gt;0,M152*J152/Q152,0)*VLOOKUP(B152,'2-Kosten per locatie'!$A$15:$C$22,3,FALSE)</f>
        <v>0</v>
      </c>
      <c r="P152" s="318">
        <f>IF(L152="nio",0,IF(L152&gt;0,VLOOKUP(H152,'3-Productie normen'!A:J,VLOOKUP(L152,'3-Productie normen'!$B$32:$C$34,2,FALSE),FALSE)))</f>
        <v>0</v>
      </c>
      <c r="Q152" s="318">
        <f t="shared" si="10"/>
        <v>0</v>
      </c>
      <c r="R152" s="319" t="str">
        <f>VLOOKUP(H152,'3-Productie normen'!A:L,9,FALSE)</f>
        <v>S</v>
      </c>
      <c r="S152" s="319"/>
      <c r="U152" s="320">
        <f t="shared" si="8"/>
        <v>4860</v>
      </c>
    </row>
    <row r="153" spans="1:21" ht="14.1" customHeight="1">
      <c r="A153" s="478">
        <v>153</v>
      </c>
      <c r="B153" s="285" t="s">
        <v>397</v>
      </c>
      <c r="C153" s="285" t="s">
        <v>313</v>
      </c>
      <c r="D153" s="285" t="s">
        <v>314</v>
      </c>
      <c r="E153" s="314" t="s">
        <v>204</v>
      </c>
      <c r="F153" s="315" t="s">
        <v>392</v>
      </c>
      <c r="G153" s="68" t="s">
        <v>398</v>
      </c>
      <c r="H153" s="68" t="s">
        <v>217</v>
      </c>
      <c r="I153" s="68" t="s">
        <v>318</v>
      </c>
      <c r="J153" s="316">
        <v>8.8000000000000007</v>
      </c>
      <c r="K153" s="317">
        <f t="shared" si="9"/>
        <v>200</v>
      </c>
      <c r="L153" s="233">
        <v>200</v>
      </c>
      <c r="M153" s="233"/>
      <c r="N153" s="232" t="e">
        <f>IF(L153="nio",0,IF(L153&gt;0,L153*J153/P153,0))*VLOOKUP(B153,'2-Kosten per locatie'!$A$14:$C$22,3,FALSE)</f>
        <v>#DIV/0!</v>
      </c>
      <c r="O153" s="232">
        <f>IF(M153&gt;0,M153*J153/Q153,0)*VLOOKUP(B153,'2-Kosten per locatie'!$A$15:$C$22,3,FALSE)</f>
        <v>0</v>
      </c>
      <c r="P153" s="318">
        <f>IF(L153="nio",0,IF(L153&gt;0,VLOOKUP(H153,'3-Productie normen'!A:J,VLOOKUP(L153,'3-Productie normen'!$B$32:$C$34,2,FALSE),FALSE)))</f>
        <v>0</v>
      </c>
      <c r="Q153" s="318">
        <f t="shared" si="10"/>
        <v>0</v>
      </c>
      <c r="R153" s="319" t="str">
        <f>VLOOKUP(H153,'3-Productie normen'!A:L,9,FALSE)</f>
        <v>S</v>
      </c>
      <c r="S153" s="319"/>
      <c r="U153" s="320">
        <f t="shared" si="8"/>
        <v>1760.0000000000002</v>
      </c>
    </row>
    <row r="154" spans="1:21" ht="14.1" customHeight="1">
      <c r="A154" s="478">
        <v>154</v>
      </c>
      <c r="B154" s="285" t="s">
        <v>397</v>
      </c>
      <c r="C154" s="285" t="s">
        <v>313</v>
      </c>
      <c r="D154" s="285" t="s">
        <v>314</v>
      </c>
      <c r="E154" s="314" t="s">
        <v>204</v>
      </c>
      <c r="F154" s="315" t="s">
        <v>230</v>
      </c>
      <c r="G154" s="68" t="s">
        <v>38</v>
      </c>
      <c r="H154" s="68" t="s">
        <v>330</v>
      </c>
      <c r="I154" s="68" t="s">
        <v>268</v>
      </c>
      <c r="J154" s="316">
        <v>337.6</v>
      </c>
      <c r="K154" s="317">
        <f t="shared" si="9"/>
        <v>200</v>
      </c>
      <c r="L154" s="233">
        <v>200</v>
      </c>
      <c r="M154" s="233"/>
      <c r="N154" s="232" t="e">
        <f>IF(L154="nio",0,IF(L154&gt;0,L154*J154/P154,0))*VLOOKUP(B154,'2-Kosten per locatie'!$A$14:$C$22,3,FALSE)</f>
        <v>#DIV/0!</v>
      </c>
      <c r="O154" s="232">
        <f>IF(M154&gt;0,M154*J154/Q154,0)*VLOOKUP(B154,'2-Kosten per locatie'!$A$15:$C$22,3,FALSE)</f>
        <v>0</v>
      </c>
      <c r="P154" s="318">
        <f>IF(L154="nio",0,IF(L154&gt;0,VLOOKUP(H154,'3-Productie normen'!A:J,VLOOKUP(L154,'3-Productie normen'!$B$32:$C$34,2,FALSE),FALSE)))</f>
        <v>0</v>
      </c>
      <c r="Q154" s="318">
        <f t="shared" si="10"/>
        <v>0</v>
      </c>
      <c r="R154" s="319" t="str">
        <f>VLOOKUP(H154,'3-Productie normen'!A:L,9,FALSE)</f>
        <v>V</v>
      </c>
      <c r="S154" s="319"/>
      <c r="U154" s="320">
        <f t="shared" si="8"/>
        <v>67520</v>
      </c>
    </row>
    <row r="155" spans="1:21" ht="14.1" customHeight="1">
      <c r="A155" s="478">
        <v>155</v>
      </c>
      <c r="B155" s="285" t="s">
        <v>397</v>
      </c>
      <c r="C155" s="285" t="s">
        <v>313</v>
      </c>
      <c r="D155" s="285" t="s">
        <v>314</v>
      </c>
      <c r="E155" s="314" t="s">
        <v>204</v>
      </c>
      <c r="F155" s="315" t="s">
        <v>232</v>
      </c>
      <c r="G155" s="68" t="s">
        <v>335</v>
      </c>
      <c r="H155" s="68" t="s">
        <v>335</v>
      </c>
      <c r="I155" s="68" t="s">
        <v>268</v>
      </c>
      <c r="J155" s="316">
        <v>68.2</v>
      </c>
      <c r="K155" s="317">
        <f t="shared" si="9"/>
        <v>40</v>
      </c>
      <c r="L155" s="233">
        <v>40</v>
      </c>
      <c r="M155" s="233"/>
      <c r="N155" s="232" t="e">
        <f>IF(L155="nio",0,IF(L155&gt;0,L155*J155/P155,0))*VLOOKUP(B155,'2-Kosten per locatie'!$A$14:$C$22,3,FALSE)</f>
        <v>#DIV/0!</v>
      </c>
      <c r="O155" s="232">
        <f>IF(M155&gt;0,M155*J155/Q155,0)*VLOOKUP(B155,'2-Kosten per locatie'!$A$15:$C$22,3,FALSE)</f>
        <v>0</v>
      </c>
      <c r="P155" s="318">
        <f>IF(L155="nio",0,IF(L155&gt;0,VLOOKUP(H155,'3-Productie normen'!A:J,VLOOKUP(L155,'3-Productie normen'!$B$32:$C$34,2,FALSE),FALSE)))</f>
        <v>0</v>
      </c>
      <c r="Q155" s="318">
        <f t="shared" si="10"/>
        <v>0</v>
      </c>
      <c r="R155" s="319" t="str">
        <f>VLOOKUP(H155,'3-Productie normen'!A:L,9,FALSE)</f>
        <v>V</v>
      </c>
      <c r="S155" s="319"/>
      <c r="U155" s="320">
        <f t="shared" si="8"/>
        <v>2728</v>
      </c>
    </row>
    <row r="156" spans="1:21" ht="14.1" customHeight="1">
      <c r="A156" s="478">
        <v>156</v>
      </c>
      <c r="B156" s="285" t="s">
        <v>397</v>
      </c>
      <c r="C156" s="285" t="s">
        <v>313</v>
      </c>
      <c r="D156" s="285" t="s">
        <v>314</v>
      </c>
      <c r="E156" s="314" t="s">
        <v>204</v>
      </c>
      <c r="F156" s="315" t="s">
        <v>224</v>
      </c>
      <c r="G156" s="68" t="s">
        <v>388</v>
      </c>
      <c r="H156" s="68" t="s">
        <v>217</v>
      </c>
      <c r="I156" s="68" t="s">
        <v>318</v>
      </c>
      <c r="J156" s="316">
        <v>24.3</v>
      </c>
      <c r="K156" s="317">
        <f t="shared" si="9"/>
        <v>200</v>
      </c>
      <c r="L156" s="233">
        <v>200</v>
      </c>
      <c r="M156" s="233"/>
      <c r="N156" s="232" t="e">
        <f>IF(L156="nio",0,IF(L156&gt;0,L156*J156/P156,0))*VLOOKUP(B156,'2-Kosten per locatie'!$A$14:$C$22,3,FALSE)</f>
        <v>#DIV/0!</v>
      </c>
      <c r="O156" s="232">
        <f>IF(M156&gt;0,M156*J156/Q156,0)*VLOOKUP(B156,'2-Kosten per locatie'!$A$15:$C$22,3,FALSE)</f>
        <v>0</v>
      </c>
      <c r="P156" s="318">
        <f>IF(L156="nio",0,IF(L156&gt;0,VLOOKUP(H156,'3-Productie normen'!A:J,VLOOKUP(L156,'3-Productie normen'!$B$32:$C$34,2,FALSE),FALSE)))</f>
        <v>0</v>
      </c>
      <c r="Q156" s="318">
        <f t="shared" si="10"/>
        <v>0</v>
      </c>
      <c r="R156" s="319" t="str">
        <f>VLOOKUP(H156,'3-Productie normen'!A:L,9,FALSE)</f>
        <v>S</v>
      </c>
      <c r="S156" s="319"/>
      <c r="U156" s="320">
        <f t="shared" si="8"/>
        <v>4860</v>
      </c>
    </row>
    <row r="157" spans="1:21" ht="14.1" customHeight="1">
      <c r="A157" s="478">
        <v>157</v>
      </c>
      <c r="B157" s="285" t="s">
        <v>397</v>
      </c>
      <c r="C157" s="285" t="s">
        <v>313</v>
      </c>
      <c r="D157" s="285" t="s">
        <v>314</v>
      </c>
      <c r="E157" s="314" t="s">
        <v>204</v>
      </c>
      <c r="F157" s="315" t="s">
        <v>332</v>
      </c>
      <c r="G157" s="68" t="s">
        <v>400</v>
      </c>
      <c r="H157" s="68" t="s">
        <v>217</v>
      </c>
      <c r="I157" s="68" t="s">
        <v>318</v>
      </c>
      <c r="J157" s="316">
        <v>8.8000000000000007</v>
      </c>
      <c r="K157" s="317">
        <f t="shared" si="9"/>
        <v>200</v>
      </c>
      <c r="L157" s="233">
        <v>200</v>
      </c>
      <c r="M157" s="233"/>
      <c r="N157" s="232" t="e">
        <f>IF(L157="nio",0,IF(L157&gt;0,L157*J157/P157,0))*VLOOKUP(B157,'2-Kosten per locatie'!$A$14:$C$22,3,FALSE)</f>
        <v>#DIV/0!</v>
      </c>
      <c r="O157" s="232">
        <f>IF(M157&gt;0,M157*J157/Q157,0)*VLOOKUP(B157,'2-Kosten per locatie'!$A$15:$C$22,3,FALSE)</f>
        <v>0</v>
      </c>
      <c r="P157" s="318">
        <f>IF(L157="nio",0,IF(L157&gt;0,VLOOKUP(H157,'3-Productie normen'!A:J,VLOOKUP(L157,'3-Productie normen'!$B$32:$C$34,2,FALSE),FALSE)))</f>
        <v>0</v>
      </c>
      <c r="Q157" s="318">
        <f t="shared" si="10"/>
        <v>0</v>
      </c>
      <c r="R157" s="319" t="str">
        <f>VLOOKUP(H157,'3-Productie normen'!A:L,9,FALSE)</f>
        <v>S</v>
      </c>
      <c r="S157" s="319"/>
      <c r="U157" s="320">
        <f t="shared" si="8"/>
        <v>1760.0000000000002</v>
      </c>
    </row>
    <row r="158" spans="1:21" ht="14.1" customHeight="1">
      <c r="A158" s="478">
        <v>158</v>
      </c>
      <c r="B158" s="285" t="s">
        <v>397</v>
      </c>
      <c r="C158" s="285" t="s">
        <v>313</v>
      </c>
      <c r="D158" s="285" t="s">
        <v>314</v>
      </c>
      <c r="E158" s="314" t="s">
        <v>204</v>
      </c>
      <c r="F158" s="315" t="s">
        <v>401</v>
      </c>
      <c r="G158" s="285" t="s">
        <v>402</v>
      </c>
      <c r="H158" s="285" t="s">
        <v>217</v>
      </c>
      <c r="I158" s="68" t="s">
        <v>318</v>
      </c>
      <c r="J158" s="316">
        <v>2.2999999999999998</v>
      </c>
      <c r="K158" s="317">
        <f t="shared" si="9"/>
        <v>200</v>
      </c>
      <c r="L158" s="233">
        <v>200</v>
      </c>
      <c r="M158" s="233"/>
      <c r="N158" s="232" t="e">
        <f>IF(L158="nio",0,IF(L158&gt;0,L158*J158/P158,0))*VLOOKUP(B158,'2-Kosten per locatie'!$A$14:$C$22,3,FALSE)</f>
        <v>#DIV/0!</v>
      </c>
      <c r="O158" s="232">
        <f>IF(M158&gt;0,M158*J158/Q158,0)*VLOOKUP(B158,'2-Kosten per locatie'!$A$15:$C$22,3,FALSE)</f>
        <v>0</v>
      </c>
      <c r="P158" s="318">
        <f>IF(L158="nio",0,IF(L158&gt;0,VLOOKUP(H158,'3-Productie normen'!A:J,VLOOKUP(L158,'3-Productie normen'!$B$32:$C$34,2,FALSE),FALSE)))</f>
        <v>0</v>
      </c>
      <c r="Q158" s="318">
        <f t="shared" si="10"/>
        <v>0</v>
      </c>
      <c r="R158" s="319" t="str">
        <f>VLOOKUP(H158,'3-Productie normen'!A:L,9,FALSE)</f>
        <v>S</v>
      </c>
      <c r="S158" s="319"/>
      <c r="U158" s="320">
        <f t="shared" si="8"/>
        <v>459.99999999999994</v>
      </c>
    </row>
    <row r="159" spans="1:21" ht="14.1" customHeight="1">
      <c r="A159" s="478">
        <v>159</v>
      </c>
      <c r="B159" s="285" t="s">
        <v>397</v>
      </c>
      <c r="C159" s="285" t="s">
        <v>313</v>
      </c>
      <c r="D159" s="285" t="s">
        <v>314</v>
      </c>
      <c r="E159" s="314" t="s">
        <v>204</v>
      </c>
      <c r="F159" s="315" t="s">
        <v>394</v>
      </c>
      <c r="G159" s="285" t="s">
        <v>403</v>
      </c>
      <c r="H159" s="285" t="s">
        <v>217</v>
      </c>
      <c r="I159" s="68" t="s">
        <v>318</v>
      </c>
      <c r="J159" s="316">
        <v>5.0999999999999996</v>
      </c>
      <c r="K159" s="317">
        <f t="shared" si="9"/>
        <v>200</v>
      </c>
      <c r="L159" s="233">
        <v>200</v>
      </c>
      <c r="M159" s="233"/>
      <c r="N159" s="232" t="e">
        <f>IF(L159="nio",0,IF(L159&gt;0,L159*J159/P159,0))*VLOOKUP(B159,'2-Kosten per locatie'!$A$14:$C$22,3,FALSE)</f>
        <v>#DIV/0!</v>
      </c>
      <c r="O159" s="232">
        <f>IF(M159&gt;0,M159*J159/Q159,0)*VLOOKUP(B159,'2-Kosten per locatie'!$A$15:$C$22,3,FALSE)</f>
        <v>0</v>
      </c>
      <c r="P159" s="318">
        <f>IF(L159="nio",0,IF(L159&gt;0,VLOOKUP(H159,'3-Productie normen'!A:J,VLOOKUP(L159,'3-Productie normen'!$B$32:$C$34,2,FALSE),FALSE)))</f>
        <v>0</v>
      </c>
      <c r="Q159" s="318">
        <f t="shared" si="10"/>
        <v>0</v>
      </c>
      <c r="R159" s="319" t="str">
        <f>VLOOKUP(H159,'3-Productie normen'!A:L,9,FALSE)</f>
        <v>S</v>
      </c>
      <c r="S159" s="319"/>
      <c r="U159" s="320">
        <f t="shared" si="8"/>
        <v>1019.9999999999999</v>
      </c>
    </row>
    <row r="160" spans="1:21" ht="14.1" customHeight="1">
      <c r="A160" s="478">
        <v>160</v>
      </c>
      <c r="B160" s="285" t="s">
        <v>397</v>
      </c>
      <c r="C160" s="285" t="s">
        <v>313</v>
      </c>
      <c r="D160" s="285" t="s">
        <v>314</v>
      </c>
      <c r="E160" s="314" t="s">
        <v>204</v>
      </c>
      <c r="F160" s="315" t="s">
        <v>218</v>
      </c>
      <c r="G160" s="285" t="s">
        <v>404</v>
      </c>
      <c r="H160" s="285" t="s">
        <v>59</v>
      </c>
      <c r="I160" s="68" t="s">
        <v>211</v>
      </c>
      <c r="J160" s="316">
        <v>10.8</v>
      </c>
      <c r="K160" s="317">
        <f t="shared" si="9"/>
        <v>200</v>
      </c>
      <c r="L160" s="233">
        <v>200</v>
      </c>
      <c r="M160" s="233"/>
      <c r="N160" s="232" t="e">
        <f>IF(L160="nio",0,IF(L160&gt;0,L160*J160/P160,0))*VLOOKUP(B160,'2-Kosten per locatie'!$A$14:$C$22,3,FALSE)</f>
        <v>#DIV/0!</v>
      </c>
      <c r="O160" s="232">
        <f>IF(M160&gt;0,M160*J160/Q160,0)*VLOOKUP(B160,'2-Kosten per locatie'!$A$15:$C$22,3,FALSE)</f>
        <v>0</v>
      </c>
      <c r="P160" s="318">
        <f>IF(L160="nio",0,IF(L160&gt;0,VLOOKUP(H160,'3-Productie normen'!A:J,VLOOKUP(L160,'3-Productie normen'!$B$32:$C$34,2,FALSE),FALSE)))</f>
        <v>0</v>
      </c>
      <c r="Q160" s="318">
        <f t="shared" si="10"/>
        <v>0</v>
      </c>
      <c r="R160" s="319" t="str">
        <f>VLOOKUP(H160,'3-Productie normen'!A:L,9,FALSE)</f>
        <v>V</v>
      </c>
      <c r="S160" s="319"/>
      <c r="U160" s="320">
        <f t="shared" si="8"/>
        <v>2160</v>
      </c>
    </row>
    <row r="161" spans="2:22" ht="14.1" customHeight="1">
      <c r="B161" s="325"/>
      <c r="C161" s="325"/>
      <c r="D161" s="325"/>
      <c r="E161" s="326"/>
      <c r="F161" s="327"/>
      <c r="G161" s="328"/>
      <c r="H161" s="328"/>
      <c r="I161" s="329"/>
      <c r="J161" s="330"/>
      <c r="K161" s="331"/>
      <c r="L161" s="81"/>
      <c r="M161" s="81"/>
      <c r="N161" s="332"/>
      <c r="O161" s="332"/>
      <c r="P161" s="82"/>
      <c r="Q161" s="83"/>
      <c r="R161" s="84"/>
      <c r="S161" s="84"/>
      <c r="T161" s="84"/>
      <c r="U161" s="84"/>
      <c r="V161" s="15"/>
    </row>
    <row r="162" spans="2:22" ht="14.1" customHeight="1">
      <c r="B162" s="85"/>
      <c r="C162" s="85"/>
      <c r="D162" s="85"/>
      <c r="E162" s="86"/>
      <c r="F162" s="231"/>
      <c r="G162" s="87"/>
      <c r="H162" s="87"/>
      <c r="J162" s="88"/>
      <c r="K162" s="89"/>
      <c r="L162" s="90"/>
      <c r="M162" s="90"/>
      <c r="N162" s="91"/>
      <c r="O162" s="91"/>
      <c r="P162" s="83"/>
      <c r="Q162" s="83"/>
      <c r="R162" s="84"/>
      <c r="S162" s="84"/>
      <c r="T162" s="84"/>
      <c r="U162" s="84"/>
      <c r="V162" s="15"/>
    </row>
    <row r="163" spans="2:22" ht="14.1" customHeight="1">
      <c r="B163" s="85"/>
      <c r="C163" s="85"/>
      <c r="D163" s="85"/>
      <c r="E163" s="86"/>
      <c r="F163" s="231"/>
      <c r="G163" s="87"/>
      <c r="H163" s="87"/>
      <c r="J163" s="88"/>
      <c r="K163" s="89"/>
      <c r="L163" s="90"/>
      <c r="M163" s="90"/>
      <c r="N163" s="91"/>
      <c r="O163" s="91"/>
      <c r="P163" s="83"/>
      <c r="Q163" s="83"/>
      <c r="R163" s="84"/>
      <c r="S163" s="84"/>
      <c r="T163" s="84"/>
      <c r="U163" s="84"/>
      <c r="V163" s="15"/>
    </row>
    <row r="164" spans="2:22" ht="14.1" customHeight="1">
      <c r="B164" s="85"/>
      <c r="C164" s="85"/>
      <c r="D164" s="85"/>
      <c r="E164" s="86"/>
      <c r="F164" s="231"/>
      <c r="G164" s="87"/>
      <c r="H164" s="87"/>
      <c r="J164" s="88"/>
      <c r="K164" s="89"/>
      <c r="L164" s="90"/>
      <c r="M164" s="90"/>
      <c r="N164" s="91"/>
      <c r="O164" s="91"/>
      <c r="P164" s="83"/>
      <c r="Q164" s="83"/>
      <c r="R164" s="84"/>
      <c r="S164" s="84"/>
      <c r="T164" s="84"/>
      <c r="U164" s="84"/>
      <c r="V164" s="15"/>
    </row>
    <row r="165" spans="2:22" ht="14.1" customHeight="1">
      <c r="B165" s="85"/>
      <c r="C165" s="85"/>
      <c r="D165" s="85"/>
      <c r="E165" s="86"/>
      <c r="F165" s="231"/>
      <c r="G165" s="87"/>
      <c r="H165" s="87"/>
      <c r="J165" s="88"/>
      <c r="K165" s="89"/>
      <c r="L165" s="90"/>
      <c r="M165" s="90"/>
      <c r="N165" s="91"/>
      <c r="O165" s="91"/>
      <c r="P165" s="83"/>
      <c r="Q165" s="83"/>
      <c r="R165" s="84"/>
      <c r="S165" s="84"/>
      <c r="T165" s="84"/>
      <c r="U165" s="84"/>
      <c r="V165" s="15"/>
    </row>
    <row r="166" spans="2:22" ht="14.1" customHeight="1">
      <c r="B166" s="85"/>
      <c r="C166" s="85"/>
      <c r="D166" s="85"/>
      <c r="E166" s="86"/>
      <c r="F166" s="231"/>
      <c r="G166" s="87"/>
      <c r="H166" s="87"/>
      <c r="J166" s="88"/>
      <c r="K166" s="89"/>
      <c r="L166" s="90"/>
      <c r="M166" s="90"/>
      <c r="N166" s="91"/>
      <c r="O166" s="91"/>
      <c r="P166" s="83"/>
      <c r="Q166" s="83"/>
      <c r="R166" s="84"/>
      <c r="S166" s="84"/>
    </row>
    <row r="167" spans="2:22" ht="14.1" customHeight="1">
      <c r="B167" s="85"/>
      <c r="C167" s="85"/>
      <c r="D167" s="85"/>
      <c r="E167" s="86"/>
      <c r="F167" s="231"/>
      <c r="G167" s="87"/>
      <c r="H167" s="87"/>
      <c r="J167" s="88"/>
      <c r="K167" s="89"/>
      <c r="L167" s="90"/>
      <c r="M167" s="90"/>
      <c r="N167" s="91"/>
      <c r="O167" s="91"/>
      <c r="P167" s="83"/>
      <c r="Q167" s="83"/>
      <c r="R167" s="84"/>
      <c r="S167" s="84"/>
    </row>
    <row r="168" spans="2:22" ht="14.1" customHeight="1">
      <c r="B168" s="85"/>
      <c r="C168" s="85"/>
      <c r="D168" s="85"/>
      <c r="E168" s="86"/>
      <c r="F168" s="231"/>
      <c r="G168" s="87"/>
      <c r="H168" s="87"/>
      <c r="J168" s="88"/>
      <c r="K168" s="89"/>
      <c r="L168" s="90"/>
      <c r="M168" s="90"/>
      <c r="N168" s="91"/>
      <c r="O168" s="91"/>
      <c r="P168" s="83"/>
      <c r="Q168" s="83"/>
      <c r="R168" s="84"/>
      <c r="S168" s="84"/>
    </row>
    <row r="169" spans="2:22" ht="14.1" customHeight="1">
      <c r="B169" s="85"/>
      <c r="C169" s="85"/>
      <c r="D169" s="85"/>
      <c r="E169" s="86"/>
      <c r="F169" s="231"/>
      <c r="G169" s="87"/>
      <c r="H169" s="87"/>
      <c r="J169" s="88"/>
      <c r="K169" s="89"/>
      <c r="L169" s="90"/>
      <c r="M169" s="90"/>
      <c r="N169" s="91"/>
      <c r="O169" s="91"/>
      <c r="P169" s="83"/>
      <c r="Q169" s="83"/>
      <c r="R169" s="84"/>
      <c r="S169" s="84"/>
    </row>
    <row r="170" spans="2:22" ht="14.1" customHeight="1">
      <c r="B170" s="85"/>
      <c r="C170" s="85"/>
      <c r="D170" s="85"/>
      <c r="E170" s="86"/>
      <c r="F170" s="231"/>
      <c r="G170" s="87"/>
      <c r="H170" s="87"/>
      <c r="J170" s="88"/>
      <c r="K170" s="89"/>
      <c r="L170" s="90"/>
      <c r="M170" s="90"/>
      <c r="N170" s="91"/>
      <c r="O170" s="91"/>
      <c r="P170" s="83"/>
      <c r="Q170" s="83"/>
      <c r="R170" s="84"/>
      <c r="S170" s="84"/>
    </row>
    <row r="171" spans="2:22" ht="14.1" customHeight="1">
      <c r="B171" s="85"/>
      <c r="C171" s="85"/>
      <c r="D171" s="85"/>
      <c r="E171" s="86"/>
      <c r="F171" s="231"/>
      <c r="G171" s="87"/>
      <c r="H171" s="87"/>
      <c r="J171" s="88"/>
      <c r="K171" s="89"/>
      <c r="L171" s="90"/>
      <c r="M171" s="90"/>
      <c r="N171" s="91"/>
      <c r="O171" s="91"/>
      <c r="P171" s="83"/>
      <c r="Q171" s="83"/>
      <c r="R171" s="84"/>
      <c r="S171" s="84"/>
    </row>
    <row r="172" spans="2:22" ht="14.1" customHeight="1">
      <c r="B172" s="85"/>
      <c r="C172" s="85"/>
      <c r="D172" s="85"/>
      <c r="E172" s="86"/>
      <c r="F172" s="231"/>
      <c r="G172" s="87"/>
      <c r="H172" s="87"/>
      <c r="J172" s="88"/>
      <c r="K172" s="89"/>
      <c r="L172" s="90"/>
      <c r="M172" s="90"/>
      <c r="N172" s="91"/>
      <c r="O172" s="91"/>
      <c r="P172" s="83"/>
      <c r="Q172" s="83"/>
      <c r="R172" s="84"/>
      <c r="S172" s="84"/>
    </row>
    <row r="173" spans="2:22" ht="14.1" customHeight="1">
      <c r="B173" s="85"/>
      <c r="C173" s="85"/>
      <c r="D173" s="85"/>
      <c r="E173" s="86"/>
      <c r="F173" s="231"/>
      <c r="G173" s="87"/>
      <c r="H173" s="87"/>
      <c r="J173" s="88"/>
      <c r="K173" s="89"/>
      <c r="L173" s="90"/>
      <c r="M173" s="90"/>
      <c r="N173" s="91"/>
      <c r="O173" s="91"/>
      <c r="P173" s="83"/>
      <c r="Q173" s="83"/>
      <c r="R173" s="84"/>
      <c r="S173" s="84"/>
    </row>
    <row r="174" spans="2:22" ht="14.1" customHeight="1">
      <c r="B174" s="85"/>
      <c r="C174" s="85"/>
      <c r="D174" s="85"/>
      <c r="E174" s="86"/>
      <c r="F174" s="231"/>
      <c r="G174" s="87"/>
      <c r="H174" s="87"/>
      <c r="J174" s="88"/>
      <c r="K174" s="89"/>
      <c r="L174" s="90"/>
      <c r="M174" s="90"/>
      <c r="N174" s="91"/>
      <c r="O174" s="91"/>
      <c r="P174" s="83"/>
      <c r="Q174" s="83"/>
      <c r="R174" s="84"/>
      <c r="S174" s="84"/>
    </row>
    <row r="175" spans="2:22" ht="14.1" customHeight="1">
      <c r="B175" s="85"/>
      <c r="C175" s="85"/>
      <c r="D175" s="85"/>
      <c r="E175" s="86"/>
      <c r="F175" s="231"/>
      <c r="G175" s="87"/>
      <c r="H175" s="87"/>
      <c r="J175" s="88"/>
      <c r="K175" s="89"/>
      <c r="L175" s="90"/>
      <c r="M175" s="90"/>
      <c r="N175" s="91"/>
      <c r="O175" s="91"/>
      <c r="P175" s="83"/>
      <c r="Q175" s="83"/>
      <c r="R175" s="84"/>
      <c r="S175" s="84"/>
    </row>
    <row r="176" spans="2:22" ht="14.1" customHeight="1">
      <c r="B176" s="85"/>
      <c r="C176" s="85"/>
      <c r="D176" s="85"/>
      <c r="E176" s="86"/>
      <c r="F176" s="231"/>
      <c r="G176" s="87"/>
      <c r="H176" s="87"/>
      <c r="J176" s="88"/>
      <c r="K176" s="89"/>
      <c r="L176" s="90"/>
      <c r="M176" s="90"/>
      <c r="N176" s="91"/>
      <c r="O176" s="91"/>
      <c r="P176" s="83"/>
      <c r="Q176" s="83"/>
      <c r="R176" s="84"/>
      <c r="S176" s="84"/>
    </row>
    <row r="177" spans="2:19" ht="14.1" customHeight="1">
      <c r="B177" s="85"/>
      <c r="C177" s="85"/>
      <c r="D177" s="85"/>
      <c r="E177" s="86"/>
      <c r="F177" s="231"/>
      <c r="G177" s="87"/>
      <c r="H177" s="87"/>
      <c r="J177" s="88"/>
      <c r="K177" s="89"/>
      <c r="L177" s="90"/>
      <c r="M177" s="90"/>
      <c r="N177" s="91"/>
      <c r="O177" s="91"/>
      <c r="P177" s="83"/>
      <c r="Q177" s="83"/>
      <c r="R177" s="84"/>
      <c r="S177" s="84"/>
    </row>
    <row r="178" spans="2:19" ht="14.1" customHeight="1">
      <c r="B178" s="85"/>
      <c r="C178" s="85"/>
      <c r="D178" s="85"/>
      <c r="E178" s="86"/>
      <c r="F178" s="231"/>
      <c r="G178" s="87"/>
      <c r="H178" s="87"/>
      <c r="J178" s="88"/>
      <c r="K178" s="89"/>
      <c r="L178" s="90"/>
      <c r="M178" s="90"/>
      <c r="N178" s="91"/>
      <c r="O178" s="91"/>
      <c r="P178" s="83"/>
      <c r="Q178" s="83"/>
      <c r="R178" s="84"/>
      <c r="S178" s="84"/>
    </row>
    <row r="179" spans="2:19" ht="14.1" customHeight="1">
      <c r="B179" s="85"/>
      <c r="C179" s="85"/>
      <c r="D179" s="85"/>
      <c r="E179" s="86"/>
      <c r="F179" s="231"/>
      <c r="G179" s="87"/>
      <c r="H179" s="87"/>
      <c r="J179" s="88"/>
      <c r="K179" s="89"/>
      <c r="L179" s="90"/>
      <c r="M179" s="90"/>
      <c r="N179" s="91"/>
      <c r="O179" s="91"/>
      <c r="P179" s="83"/>
      <c r="Q179" s="83"/>
      <c r="R179" s="84"/>
      <c r="S179" s="84"/>
    </row>
    <row r="180" spans="2:19" ht="14.1" customHeight="1">
      <c r="B180" s="85"/>
      <c r="C180" s="85"/>
      <c r="D180" s="85"/>
      <c r="E180" s="86"/>
      <c r="F180" s="231"/>
      <c r="G180" s="87"/>
      <c r="H180" s="87"/>
      <c r="J180" s="88"/>
      <c r="K180" s="89"/>
      <c r="L180" s="90"/>
      <c r="M180" s="90"/>
      <c r="N180" s="91"/>
      <c r="O180" s="91"/>
      <c r="P180" s="83"/>
      <c r="Q180" s="83"/>
      <c r="R180" s="84"/>
      <c r="S180" s="84"/>
    </row>
    <row r="181" spans="2:19" ht="14.1" customHeight="1">
      <c r="B181" s="85"/>
      <c r="C181" s="85"/>
      <c r="D181" s="85"/>
      <c r="E181" s="86"/>
      <c r="F181" s="231"/>
      <c r="G181" s="87"/>
      <c r="H181" s="87"/>
      <c r="J181" s="88"/>
      <c r="K181" s="89"/>
      <c r="L181" s="90"/>
      <c r="M181" s="90"/>
      <c r="N181" s="91"/>
      <c r="O181" s="91"/>
      <c r="P181" s="83"/>
      <c r="Q181" s="83"/>
      <c r="R181" s="84"/>
      <c r="S181" s="84"/>
    </row>
    <row r="182" spans="2:19" ht="14.1" customHeight="1">
      <c r="B182" s="85"/>
      <c r="C182" s="85"/>
      <c r="D182" s="85"/>
      <c r="E182" s="86"/>
      <c r="F182" s="231"/>
      <c r="G182" s="87"/>
      <c r="H182" s="87"/>
      <c r="J182" s="88"/>
      <c r="K182" s="89"/>
      <c r="L182" s="90"/>
      <c r="M182" s="90"/>
      <c r="N182" s="91"/>
      <c r="O182" s="91"/>
      <c r="P182" s="83"/>
      <c r="Q182" s="83"/>
      <c r="R182" s="84"/>
      <c r="S182" s="84"/>
    </row>
    <row r="183" spans="2:19" ht="14.1" customHeight="1">
      <c r="B183" s="85"/>
      <c r="C183" s="85"/>
      <c r="D183" s="85"/>
      <c r="E183" s="86"/>
      <c r="F183" s="231"/>
      <c r="G183" s="87"/>
      <c r="H183" s="87"/>
      <c r="J183" s="88"/>
      <c r="K183" s="89"/>
      <c r="L183" s="90"/>
      <c r="M183" s="90"/>
      <c r="N183" s="91"/>
      <c r="O183" s="91"/>
      <c r="P183" s="83"/>
      <c r="Q183" s="83"/>
      <c r="R183" s="84"/>
      <c r="S183" s="84"/>
    </row>
    <row r="184" spans="2:19" ht="14.1" customHeight="1">
      <c r="B184" s="85"/>
      <c r="C184" s="85"/>
      <c r="D184" s="85"/>
      <c r="E184" s="86"/>
      <c r="F184" s="231"/>
      <c r="G184" s="87"/>
      <c r="H184" s="87"/>
      <c r="J184" s="88"/>
      <c r="K184" s="89"/>
      <c r="L184" s="90"/>
      <c r="M184" s="90"/>
      <c r="N184" s="91"/>
      <c r="O184" s="91"/>
      <c r="P184" s="83"/>
      <c r="Q184" s="83"/>
      <c r="R184" s="84"/>
      <c r="S184" s="84"/>
    </row>
    <row r="185" spans="2:19" ht="14.1" customHeight="1">
      <c r="B185" s="85"/>
      <c r="C185" s="85"/>
      <c r="D185" s="85"/>
      <c r="E185" s="86"/>
      <c r="F185" s="231"/>
      <c r="G185" s="87"/>
      <c r="H185" s="87"/>
      <c r="J185" s="88"/>
      <c r="K185" s="89"/>
      <c r="L185" s="90"/>
      <c r="M185" s="90"/>
      <c r="N185" s="91"/>
      <c r="O185" s="91"/>
      <c r="P185" s="83"/>
      <c r="Q185" s="83"/>
      <c r="R185" s="84"/>
      <c r="S185" s="84"/>
    </row>
    <row r="186" spans="2:19" ht="14.1" customHeight="1">
      <c r="B186" s="85"/>
      <c r="C186" s="85"/>
      <c r="D186" s="85"/>
      <c r="E186" s="86"/>
      <c r="F186" s="231"/>
      <c r="G186" s="87"/>
      <c r="H186" s="87"/>
      <c r="J186" s="88"/>
      <c r="K186" s="89"/>
      <c r="L186" s="90"/>
      <c r="M186" s="90"/>
      <c r="N186" s="91"/>
      <c r="O186" s="91"/>
      <c r="P186" s="83"/>
      <c r="Q186" s="83"/>
      <c r="R186" s="84"/>
      <c r="S186" s="84"/>
    </row>
    <row r="187" spans="2:19" ht="14.1" customHeight="1">
      <c r="B187" s="85"/>
      <c r="C187" s="85"/>
      <c r="D187" s="85"/>
      <c r="E187" s="86"/>
      <c r="F187" s="231"/>
      <c r="G187" s="87"/>
      <c r="H187" s="87"/>
      <c r="J187" s="88"/>
      <c r="K187" s="89"/>
      <c r="L187" s="90"/>
      <c r="M187" s="90"/>
      <c r="N187" s="91"/>
      <c r="O187" s="91"/>
      <c r="P187" s="83"/>
      <c r="Q187" s="83"/>
      <c r="R187" s="84"/>
      <c r="S187" s="84"/>
    </row>
    <row r="188" spans="2:19" ht="14.1" customHeight="1">
      <c r="B188" s="85"/>
      <c r="C188" s="85"/>
      <c r="D188" s="85"/>
      <c r="E188" s="86"/>
      <c r="F188" s="231"/>
      <c r="G188" s="87"/>
      <c r="H188" s="87"/>
      <c r="J188" s="88"/>
      <c r="K188" s="89"/>
      <c r="L188" s="90"/>
      <c r="M188" s="90"/>
      <c r="N188" s="91"/>
      <c r="O188" s="91"/>
      <c r="P188" s="83"/>
      <c r="Q188" s="83"/>
      <c r="R188" s="84"/>
      <c r="S188" s="84"/>
    </row>
    <row r="189" spans="2:19" ht="14.1" customHeight="1">
      <c r="B189" s="85"/>
      <c r="C189" s="85"/>
      <c r="D189" s="85"/>
      <c r="E189" s="86"/>
      <c r="F189" s="231"/>
      <c r="G189" s="87"/>
      <c r="H189" s="87"/>
      <c r="J189" s="88"/>
      <c r="K189" s="89"/>
      <c r="L189" s="90"/>
      <c r="M189" s="90"/>
      <c r="N189" s="91"/>
      <c r="O189" s="91"/>
      <c r="P189" s="83"/>
      <c r="Q189" s="83"/>
      <c r="R189" s="84"/>
      <c r="S189" s="84"/>
    </row>
    <row r="190" spans="2:19" ht="14.1" customHeight="1">
      <c r="B190" s="85"/>
      <c r="C190" s="85"/>
      <c r="D190" s="85"/>
      <c r="E190" s="86"/>
      <c r="F190" s="231"/>
      <c r="G190" s="87"/>
      <c r="H190" s="87"/>
      <c r="J190" s="88"/>
      <c r="K190" s="89"/>
      <c r="L190" s="90"/>
      <c r="M190" s="90"/>
      <c r="N190" s="91"/>
      <c r="O190" s="91"/>
      <c r="P190" s="83"/>
      <c r="Q190" s="83"/>
      <c r="R190" s="84"/>
      <c r="S190" s="84"/>
    </row>
    <row r="191" spans="2:19" ht="14.1" customHeight="1">
      <c r="B191" s="85"/>
      <c r="C191" s="85"/>
      <c r="D191" s="85"/>
      <c r="E191" s="86"/>
      <c r="F191" s="231"/>
      <c r="G191" s="87"/>
      <c r="H191" s="87"/>
      <c r="J191" s="88"/>
      <c r="K191" s="89"/>
      <c r="L191" s="90"/>
      <c r="M191" s="90"/>
      <c r="N191" s="91"/>
      <c r="O191" s="91"/>
      <c r="P191" s="83"/>
      <c r="Q191" s="83"/>
      <c r="R191" s="84"/>
      <c r="S191" s="84"/>
    </row>
    <row r="192" spans="2:19" ht="14.1" customHeight="1">
      <c r="B192" s="85"/>
      <c r="C192" s="85"/>
      <c r="D192" s="85"/>
      <c r="E192" s="86"/>
      <c r="F192" s="231"/>
      <c r="G192" s="87"/>
      <c r="H192" s="87"/>
      <c r="J192" s="88"/>
      <c r="K192" s="89"/>
      <c r="L192" s="90"/>
      <c r="M192" s="90"/>
      <c r="N192" s="91"/>
      <c r="O192" s="91"/>
      <c r="P192" s="83"/>
      <c r="Q192" s="83"/>
      <c r="R192" s="84"/>
      <c r="S192" s="84"/>
    </row>
    <row r="193" spans="2:19" ht="14.1" customHeight="1">
      <c r="B193" s="85"/>
      <c r="C193" s="85"/>
      <c r="D193" s="85"/>
      <c r="E193" s="86"/>
      <c r="F193" s="231"/>
      <c r="G193" s="87"/>
      <c r="H193" s="87"/>
      <c r="J193" s="88"/>
      <c r="K193" s="89"/>
      <c r="L193" s="90"/>
      <c r="M193" s="90"/>
      <c r="N193" s="91"/>
      <c r="O193" s="91"/>
      <c r="P193" s="83"/>
      <c r="Q193" s="83"/>
      <c r="R193" s="84"/>
      <c r="S193" s="84"/>
    </row>
    <row r="194" spans="2:19" ht="14.1" customHeight="1">
      <c r="B194" s="85"/>
      <c r="C194" s="85"/>
      <c r="D194" s="85"/>
      <c r="E194" s="86"/>
      <c r="F194" s="231"/>
      <c r="G194" s="87"/>
      <c r="H194" s="87"/>
      <c r="J194" s="88"/>
      <c r="K194" s="89"/>
      <c r="L194" s="90"/>
      <c r="M194" s="90"/>
      <c r="N194" s="91"/>
      <c r="O194" s="91"/>
      <c r="P194" s="83"/>
      <c r="Q194" s="83"/>
      <c r="R194" s="84"/>
      <c r="S194" s="84"/>
    </row>
    <row r="195" spans="2:19" ht="14.1" customHeight="1">
      <c r="B195" s="85"/>
      <c r="C195" s="85"/>
      <c r="D195" s="85"/>
      <c r="E195" s="86"/>
      <c r="F195" s="231"/>
      <c r="G195" s="87"/>
      <c r="H195" s="87"/>
      <c r="J195" s="88"/>
      <c r="K195" s="89"/>
      <c r="L195" s="90"/>
      <c r="M195" s="90"/>
      <c r="N195" s="91"/>
      <c r="O195" s="91"/>
      <c r="P195" s="83"/>
      <c r="Q195" s="83"/>
      <c r="R195" s="84"/>
      <c r="S195" s="84"/>
    </row>
    <row r="196" spans="2:19" ht="14.1" customHeight="1">
      <c r="B196" s="85"/>
      <c r="C196" s="85"/>
      <c r="D196" s="85"/>
      <c r="E196" s="86"/>
      <c r="F196" s="231"/>
      <c r="G196" s="87"/>
      <c r="H196" s="87"/>
      <c r="J196" s="88"/>
      <c r="K196" s="89"/>
      <c r="L196" s="90"/>
      <c r="M196" s="90"/>
      <c r="N196" s="91"/>
      <c r="O196" s="91"/>
      <c r="P196" s="83"/>
      <c r="Q196" s="83"/>
      <c r="R196" s="84"/>
      <c r="S196" s="84"/>
    </row>
    <row r="197" spans="2:19" ht="14.1" customHeight="1">
      <c r="B197" s="85"/>
      <c r="C197" s="85"/>
      <c r="D197" s="85"/>
      <c r="E197" s="86"/>
      <c r="F197" s="231"/>
      <c r="G197" s="87"/>
      <c r="H197" s="87"/>
      <c r="J197" s="88"/>
      <c r="K197" s="89"/>
      <c r="L197" s="90"/>
      <c r="M197" s="90"/>
      <c r="N197" s="91"/>
      <c r="O197" s="91"/>
      <c r="P197" s="83"/>
      <c r="Q197" s="83"/>
      <c r="R197" s="84"/>
      <c r="S197" s="84"/>
    </row>
    <row r="198" spans="2:19" ht="14.1" customHeight="1">
      <c r="B198" s="85"/>
      <c r="C198" s="85"/>
      <c r="D198" s="85"/>
      <c r="E198" s="86"/>
      <c r="F198" s="231"/>
      <c r="G198" s="87"/>
      <c r="H198" s="87"/>
      <c r="J198" s="88"/>
      <c r="K198" s="89"/>
      <c r="L198" s="90"/>
      <c r="M198" s="90"/>
      <c r="N198" s="91"/>
      <c r="O198" s="91"/>
      <c r="P198" s="83"/>
      <c r="Q198" s="83"/>
      <c r="R198" s="84"/>
      <c r="S198" s="84"/>
    </row>
    <row r="199" spans="2:19" ht="14.1" customHeight="1">
      <c r="B199" s="85"/>
      <c r="C199" s="85"/>
      <c r="D199" s="85"/>
      <c r="E199" s="86"/>
      <c r="F199" s="231"/>
      <c r="G199" s="87"/>
      <c r="H199" s="87"/>
      <c r="J199" s="88"/>
      <c r="K199" s="89"/>
      <c r="L199" s="90"/>
      <c r="M199" s="90"/>
      <c r="N199" s="91"/>
      <c r="O199" s="91"/>
      <c r="P199" s="83"/>
      <c r="Q199" s="83"/>
      <c r="R199" s="84"/>
      <c r="S199" s="84"/>
    </row>
    <row r="200" spans="2:19" ht="14.1" customHeight="1">
      <c r="B200" s="85"/>
      <c r="C200" s="85"/>
      <c r="D200" s="85"/>
      <c r="E200" s="86"/>
      <c r="F200" s="231"/>
      <c r="G200" s="87"/>
      <c r="H200" s="87"/>
      <c r="J200" s="88"/>
      <c r="K200" s="89"/>
      <c r="L200" s="90"/>
      <c r="M200" s="90"/>
      <c r="N200" s="91"/>
      <c r="O200" s="91"/>
      <c r="P200" s="83"/>
      <c r="Q200" s="83"/>
      <c r="R200" s="84"/>
      <c r="S200" s="84"/>
    </row>
    <row r="201" spans="2:19" ht="14.1" customHeight="1">
      <c r="B201" s="85"/>
      <c r="C201" s="85"/>
      <c r="D201" s="85"/>
      <c r="E201" s="86"/>
      <c r="F201" s="231"/>
      <c r="G201" s="87"/>
      <c r="H201" s="87"/>
      <c r="J201" s="88"/>
      <c r="K201" s="89"/>
      <c r="L201" s="90"/>
      <c r="M201" s="90"/>
      <c r="N201" s="91"/>
      <c r="O201" s="91"/>
      <c r="P201" s="83"/>
      <c r="Q201" s="83"/>
      <c r="R201" s="84"/>
      <c r="S201" s="84"/>
    </row>
    <row r="202" spans="2:19" ht="14.1" customHeight="1">
      <c r="B202" s="85"/>
      <c r="C202" s="85"/>
      <c r="D202" s="85"/>
      <c r="E202" s="86"/>
      <c r="F202" s="231"/>
      <c r="G202" s="87"/>
      <c r="H202" s="87"/>
      <c r="J202" s="88"/>
      <c r="K202" s="89"/>
      <c r="L202" s="90"/>
      <c r="M202" s="90"/>
      <c r="N202" s="91"/>
      <c r="O202" s="91"/>
      <c r="P202" s="83"/>
      <c r="Q202" s="83"/>
      <c r="R202" s="84"/>
      <c r="S202" s="84"/>
    </row>
    <row r="203" spans="2:19" ht="14.1" customHeight="1">
      <c r="B203" s="85"/>
      <c r="C203" s="85"/>
      <c r="D203" s="85"/>
      <c r="E203" s="86"/>
      <c r="F203" s="231"/>
      <c r="G203" s="87"/>
      <c r="H203" s="87"/>
      <c r="J203" s="88"/>
      <c r="K203" s="89"/>
      <c r="L203" s="90"/>
      <c r="M203" s="90"/>
      <c r="N203" s="91"/>
      <c r="O203" s="91"/>
      <c r="P203" s="83"/>
      <c r="Q203" s="83"/>
      <c r="R203" s="84"/>
      <c r="S203" s="84"/>
    </row>
    <row r="204" spans="2:19" ht="14.1" customHeight="1">
      <c r="B204" s="85"/>
      <c r="C204" s="85"/>
      <c r="D204" s="85"/>
      <c r="E204" s="86"/>
      <c r="F204" s="231"/>
      <c r="G204" s="87"/>
      <c r="H204" s="87"/>
      <c r="J204" s="88"/>
      <c r="K204" s="89"/>
      <c r="L204" s="90"/>
      <c r="M204" s="90"/>
      <c r="N204" s="91"/>
      <c r="O204" s="91"/>
      <c r="P204" s="83"/>
      <c r="Q204" s="83"/>
      <c r="R204" s="84"/>
      <c r="S204" s="84"/>
    </row>
    <row r="205" spans="2:19" ht="14.1" customHeight="1">
      <c r="B205" s="85"/>
      <c r="C205" s="85"/>
      <c r="D205" s="85"/>
      <c r="E205" s="86"/>
      <c r="F205" s="231"/>
      <c r="G205" s="87"/>
      <c r="H205" s="87"/>
      <c r="J205" s="88"/>
      <c r="K205" s="89"/>
      <c r="L205" s="90"/>
      <c r="M205" s="90"/>
      <c r="N205" s="91"/>
      <c r="O205" s="91"/>
      <c r="P205" s="83"/>
      <c r="Q205" s="83"/>
      <c r="R205" s="84"/>
      <c r="S205" s="84"/>
    </row>
    <row r="206" spans="2:19" ht="14.1" customHeight="1">
      <c r="B206" s="85"/>
      <c r="C206" s="85"/>
      <c r="D206" s="85"/>
      <c r="E206" s="86"/>
      <c r="F206" s="231"/>
      <c r="G206" s="87"/>
      <c r="H206" s="87"/>
      <c r="J206" s="88"/>
      <c r="K206" s="89"/>
      <c r="L206" s="90"/>
      <c r="M206" s="90"/>
      <c r="N206" s="91"/>
      <c r="O206" s="91"/>
      <c r="P206" s="83"/>
      <c r="Q206" s="83"/>
      <c r="R206" s="84"/>
      <c r="S206" s="84"/>
    </row>
    <row r="207" spans="2:19" ht="14.1" customHeight="1">
      <c r="B207" s="85"/>
      <c r="C207" s="85"/>
      <c r="D207" s="85"/>
      <c r="E207" s="86"/>
      <c r="F207" s="231"/>
      <c r="G207" s="87"/>
      <c r="H207" s="87"/>
      <c r="J207" s="88"/>
      <c r="K207" s="89"/>
      <c r="L207" s="90"/>
      <c r="M207" s="90"/>
      <c r="N207" s="91"/>
      <c r="O207" s="91"/>
      <c r="P207" s="83"/>
      <c r="Q207" s="83"/>
      <c r="R207" s="84"/>
      <c r="S207" s="84"/>
    </row>
    <row r="208" spans="2:19" ht="14.1" customHeight="1">
      <c r="B208" s="85"/>
      <c r="C208" s="85"/>
      <c r="D208" s="85"/>
      <c r="E208" s="86"/>
      <c r="F208" s="231"/>
      <c r="G208" s="87"/>
      <c r="H208" s="87"/>
      <c r="J208" s="88"/>
      <c r="K208" s="89"/>
      <c r="L208" s="90"/>
      <c r="M208" s="90"/>
      <c r="N208" s="91"/>
      <c r="O208" s="91"/>
      <c r="P208" s="83"/>
      <c r="Q208" s="83"/>
      <c r="R208" s="84"/>
      <c r="S208" s="84"/>
    </row>
    <row r="209" spans="2:19" ht="14.1" customHeight="1">
      <c r="B209" s="85"/>
      <c r="C209" s="85"/>
      <c r="D209" s="85"/>
      <c r="E209" s="86"/>
      <c r="F209" s="231"/>
      <c r="G209" s="87"/>
      <c r="H209" s="87"/>
      <c r="J209" s="88"/>
      <c r="K209" s="89"/>
      <c r="L209" s="90"/>
      <c r="M209" s="90"/>
      <c r="N209" s="91"/>
      <c r="O209" s="91"/>
      <c r="P209" s="83"/>
      <c r="Q209" s="83"/>
      <c r="R209" s="84"/>
      <c r="S209" s="84"/>
    </row>
    <row r="210" spans="2:19" ht="14.1" customHeight="1">
      <c r="B210" s="85"/>
      <c r="C210" s="85"/>
      <c r="D210" s="85"/>
      <c r="E210" s="86"/>
      <c r="F210" s="231"/>
      <c r="G210" s="87"/>
      <c r="H210" s="87"/>
      <c r="J210" s="88"/>
      <c r="K210" s="89"/>
      <c r="L210" s="90"/>
      <c r="M210" s="90"/>
      <c r="N210" s="91"/>
      <c r="O210" s="91"/>
      <c r="P210" s="83"/>
      <c r="Q210" s="83"/>
      <c r="R210" s="84"/>
      <c r="S210" s="84"/>
    </row>
    <row r="211" spans="2:19" ht="14.1" customHeight="1">
      <c r="B211" s="85"/>
      <c r="C211" s="85"/>
      <c r="D211" s="85"/>
      <c r="E211" s="86"/>
      <c r="F211" s="231"/>
      <c r="G211" s="87"/>
      <c r="H211" s="87"/>
      <c r="J211" s="88"/>
      <c r="K211" s="89"/>
      <c r="L211" s="90"/>
      <c r="M211" s="90"/>
      <c r="N211" s="91"/>
      <c r="O211" s="91"/>
      <c r="P211" s="83"/>
      <c r="Q211" s="83"/>
      <c r="R211" s="84"/>
      <c r="S211" s="84"/>
    </row>
    <row r="212" spans="2:19" ht="14.1" customHeight="1">
      <c r="B212" s="85"/>
      <c r="C212" s="85"/>
      <c r="D212" s="85"/>
      <c r="E212" s="86"/>
      <c r="F212" s="231"/>
      <c r="G212" s="87"/>
      <c r="H212" s="87"/>
      <c r="J212" s="88"/>
      <c r="K212" s="89"/>
      <c r="L212" s="90"/>
      <c r="M212" s="90"/>
      <c r="N212" s="91"/>
      <c r="O212" s="91"/>
      <c r="P212" s="83"/>
      <c r="Q212" s="83"/>
      <c r="R212" s="84"/>
      <c r="S212" s="84"/>
    </row>
    <row r="213" spans="2:19" ht="14.1" customHeight="1">
      <c r="B213" s="85"/>
      <c r="C213" s="85"/>
      <c r="D213" s="85"/>
      <c r="E213" s="86"/>
      <c r="F213" s="231"/>
      <c r="G213" s="87"/>
      <c r="H213" s="87"/>
      <c r="J213" s="88"/>
      <c r="K213" s="89"/>
      <c r="L213" s="90"/>
      <c r="M213" s="90"/>
      <c r="N213" s="91"/>
      <c r="O213" s="91"/>
      <c r="P213" s="83"/>
      <c r="Q213" s="83"/>
      <c r="R213" s="84"/>
      <c r="S213" s="84"/>
    </row>
    <row r="214" spans="2:19" ht="14.1" customHeight="1">
      <c r="B214" s="85"/>
      <c r="C214" s="85"/>
      <c r="D214" s="85"/>
      <c r="E214" s="86"/>
      <c r="F214" s="231"/>
      <c r="G214" s="87"/>
      <c r="H214" s="87"/>
      <c r="J214" s="88"/>
      <c r="K214" s="89"/>
      <c r="L214" s="90"/>
      <c r="M214" s="90"/>
      <c r="N214" s="91"/>
      <c r="O214" s="91"/>
      <c r="P214" s="83"/>
      <c r="Q214" s="83"/>
      <c r="R214" s="84"/>
      <c r="S214" s="84"/>
    </row>
    <row r="215" spans="2:19" ht="14.1" customHeight="1">
      <c r="B215" s="85"/>
      <c r="C215" s="85"/>
      <c r="D215" s="85"/>
      <c r="E215" s="86"/>
      <c r="F215" s="231"/>
      <c r="G215" s="87"/>
      <c r="H215" s="87"/>
      <c r="J215" s="88"/>
      <c r="K215" s="89"/>
      <c r="L215" s="90"/>
      <c r="M215" s="90"/>
      <c r="N215" s="91"/>
      <c r="O215" s="91"/>
      <c r="P215" s="83"/>
      <c r="Q215" s="83"/>
      <c r="R215" s="84"/>
      <c r="S215" s="84"/>
    </row>
    <row r="216" spans="2:19" ht="14.1" customHeight="1">
      <c r="B216" s="85"/>
      <c r="C216" s="85"/>
      <c r="D216" s="85"/>
      <c r="E216" s="86"/>
      <c r="F216" s="231"/>
      <c r="G216" s="87"/>
      <c r="H216" s="87"/>
      <c r="J216" s="88"/>
      <c r="K216" s="89"/>
      <c r="L216" s="90"/>
      <c r="M216" s="90"/>
      <c r="N216" s="91"/>
      <c r="O216" s="91"/>
      <c r="P216" s="83"/>
      <c r="Q216" s="83"/>
      <c r="R216" s="84"/>
      <c r="S216" s="84"/>
    </row>
    <row r="217" spans="2:19" ht="14.1" customHeight="1">
      <c r="B217" s="85"/>
      <c r="C217" s="85"/>
      <c r="D217" s="85"/>
      <c r="E217" s="86"/>
      <c r="F217" s="231"/>
      <c r="G217" s="87"/>
      <c r="H217" s="87"/>
      <c r="J217" s="88"/>
      <c r="K217" s="89"/>
      <c r="L217" s="90"/>
      <c r="M217" s="90"/>
      <c r="N217" s="91"/>
      <c r="O217" s="91"/>
      <c r="P217" s="83"/>
      <c r="Q217" s="83"/>
      <c r="R217" s="84"/>
      <c r="S217" s="84"/>
    </row>
    <row r="218" spans="2:19" ht="14.1" customHeight="1">
      <c r="B218" s="85"/>
      <c r="C218" s="85"/>
      <c r="D218" s="85"/>
      <c r="E218" s="86"/>
      <c r="F218" s="231"/>
      <c r="G218" s="87"/>
      <c r="H218" s="87"/>
      <c r="J218" s="88"/>
      <c r="K218" s="89"/>
      <c r="L218" s="90"/>
      <c r="M218" s="90"/>
      <c r="N218" s="91"/>
      <c r="O218" s="91"/>
      <c r="P218" s="83"/>
      <c r="Q218" s="83"/>
      <c r="R218" s="84"/>
      <c r="S218" s="84"/>
    </row>
    <row r="219" spans="2:19" ht="14.1" customHeight="1">
      <c r="B219" s="85"/>
      <c r="C219" s="85"/>
      <c r="D219" s="85"/>
      <c r="E219" s="86"/>
      <c r="F219" s="231"/>
      <c r="G219" s="87"/>
      <c r="H219" s="87"/>
      <c r="J219" s="88"/>
      <c r="K219" s="89"/>
      <c r="L219" s="90"/>
      <c r="M219" s="90"/>
      <c r="N219" s="91"/>
      <c r="O219" s="91"/>
      <c r="P219" s="83"/>
      <c r="Q219" s="83"/>
      <c r="R219" s="84"/>
      <c r="S219" s="84"/>
    </row>
    <row r="220" spans="2:19" ht="14.1" customHeight="1">
      <c r="B220" s="85"/>
      <c r="C220" s="85"/>
      <c r="D220" s="85"/>
      <c r="E220" s="86"/>
      <c r="F220" s="231"/>
      <c r="G220" s="87"/>
      <c r="H220" s="87"/>
      <c r="J220" s="88"/>
      <c r="K220" s="89"/>
      <c r="L220" s="90"/>
      <c r="M220" s="90"/>
      <c r="N220" s="91"/>
      <c r="O220" s="91"/>
      <c r="P220" s="83"/>
      <c r="Q220" s="83"/>
      <c r="R220" s="84"/>
      <c r="S220" s="84"/>
    </row>
    <row r="221" spans="2:19" ht="14.1" customHeight="1">
      <c r="B221" s="85"/>
      <c r="C221" s="85"/>
      <c r="D221" s="85"/>
      <c r="E221" s="86"/>
      <c r="F221" s="231"/>
      <c r="G221" s="87"/>
      <c r="H221" s="87"/>
      <c r="J221" s="88"/>
      <c r="K221" s="89"/>
      <c r="L221" s="90"/>
      <c r="M221" s="90"/>
      <c r="N221" s="91"/>
      <c r="O221" s="91"/>
      <c r="P221" s="83"/>
      <c r="Q221" s="83"/>
      <c r="R221" s="84"/>
      <c r="S221" s="84"/>
    </row>
    <row r="222" spans="2:19" ht="14.1" customHeight="1">
      <c r="B222" s="85"/>
      <c r="C222" s="85"/>
      <c r="D222" s="85"/>
      <c r="E222" s="86"/>
      <c r="F222" s="231"/>
      <c r="G222" s="87"/>
      <c r="H222" s="87"/>
      <c r="J222" s="88"/>
      <c r="K222" s="89"/>
      <c r="L222" s="90"/>
      <c r="M222" s="90"/>
      <c r="N222" s="91"/>
      <c r="O222" s="91"/>
      <c r="P222" s="83"/>
      <c r="Q222" s="83"/>
      <c r="R222" s="84"/>
      <c r="S222" s="84"/>
    </row>
    <row r="223" spans="2:19" ht="14.1" customHeight="1">
      <c r="B223" s="85"/>
      <c r="C223" s="85"/>
      <c r="D223" s="85"/>
      <c r="E223" s="86"/>
      <c r="F223" s="231"/>
      <c r="G223" s="87"/>
      <c r="H223" s="87"/>
      <c r="J223" s="88"/>
      <c r="K223" s="89"/>
      <c r="L223" s="90"/>
      <c r="M223" s="90"/>
      <c r="N223" s="91"/>
      <c r="O223" s="91"/>
      <c r="P223" s="83"/>
      <c r="Q223" s="83"/>
      <c r="R223" s="84"/>
      <c r="S223" s="84"/>
    </row>
    <row r="224" spans="2:19" ht="14.1" customHeight="1">
      <c r="B224" s="85"/>
      <c r="C224" s="85"/>
      <c r="D224" s="85"/>
      <c r="E224" s="86"/>
      <c r="F224" s="231"/>
      <c r="G224" s="87"/>
      <c r="H224" s="87"/>
      <c r="J224" s="88"/>
      <c r="K224" s="89"/>
      <c r="L224" s="90"/>
      <c r="M224" s="90"/>
      <c r="N224" s="91"/>
      <c r="O224" s="91"/>
      <c r="P224" s="83"/>
      <c r="Q224" s="83"/>
      <c r="R224" s="84"/>
      <c r="S224" s="84"/>
    </row>
    <row r="225" spans="2:19" ht="14.1" customHeight="1">
      <c r="B225" s="85"/>
      <c r="C225" s="85"/>
      <c r="D225" s="85"/>
      <c r="E225" s="86"/>
      <c r="F225" s="231"/>
      <c r="G225" s="87"/>
      <c r="H225" s="87"/>
      <c r="J225" s="88"/>
      <c r="K225" s="89"/>
      <c r="L225" s="90"/>
      <c r="M225" s="90"/>
      <c r="N225" s="91"/>
      <c r="O225" s="91"/>
      <c r="P225" s="83"/>
      <c r="Q225" s="83"/>
      <c r="R225" s="84"/>
      <c r="S225" s="84"/>
    </row>
    <row r="226" spans="2:19" ht="14.1" customHeight="1">
      <c r="B226" s="85"/>
      <c r="C226" s="85"/>
      <c r="D226" s="85"/>
      <c r="E226" s="86"/>
      <c r="F226" s="231"/>
      <c r="G226" s="87"/>
      <c r="H226" s="87"/>
      <c r="J226" s="88"/>
      <c r="K226" s="89"/>
      <c r="L226" s="90"/>
      <c r="M226" s="90"/>
      <c r="N226" s="91"/>
      <c r="O226" s="91"/>
      <c r="P226" s="83"/>
      <c r="Q226" s="83"/>
      <c r="R226" s="84"/>
      <c r="S226" s="84"/>
    </row>
    <row r="227" spans="2:19" ht="14.1" customHeight="1">
      <c r="B227" s="85"/>
      <c r="C227" s="85"/>
      <c r="D227" s="85"/>
      <c r="E227" s="86"/>
      <c r="F227" s="231"/>
      <c r="G227" s="87"/>
      <c r="H227" s="87"/>
      <c r="J227" s="88"/>
      <c r="K227" s="89"/>
      <c r="L227" s="90"/>
      <c r="M227" s="90"/>
      <c r="N227" s="91"/>
      <c r="O227" s="91"/>
      <c r="P227" s="83"/>
      <c r="Q227" s="83"/>
      <c r="R227" s="84"/>
      <c r="S227" s="84"/>
    </row>
    <row r="228" spans="2:19" ht="14.1" customHeight="1">
      <c r="B228" s="85"/>
      <c r="C228" s="85"/>
      <c r="D228" s="85"/>
      <c r="E228" s="86"/>
      <c r="F228" s="231"/>
      <c r="G228" s="87"/>
      <c r="H228" s="87"/>
      <c r="J228" s="88"/>
      <c r="K228" s="89"/>
      <c r="L228" s="90"/>
      <c r="M228" s="90"/>
      <c r="N228" s="91"/>
      <c r="O228" s="91"/>
      <c r="P228" s="83"/>
      <c r="Q228" s="83"/>
      <c r="R228" s="84"/>
      <c r="S228" s="84"/>
    </row>
    <row r="229" spans="2:19" ht="14.1" customHeight="1">
      <c r="B229" s="85"/>
      <c r="C229" s="85"/>
      <c r="D229" s="85"/>
      <c r="E229" s="86"/>
      <c r="F229" s="231"/>
      <c r="G229" s="87"/>
      <c r="H229" s="87"/>
      <c r="J229" s="88"/>
      <c r="K229" s="89"/>
      <c r="L229" s="90"/>
      <c r="M229" s="90"/>
      <c r="N229" s="91"/>
      <c r="O229" s="91"/>
      <c r="P229" s="83"/>
      <c r="Q229" s="83"/>
      <c r="R229" s="84"/>
      <c r="S229" s="84"/>
    </row>
    <row r="230" spans="2:19" ht="14.1" customHeight="1">
      <c r="B230" s="85"/>
      <c r="C230" s="85"/>
      <c r="D230" s="85"/>
      <c r="E230" s="86"/>
      <c r="F230" s="231"/>
      <c r="G230" s="87"/>
      <c r="H230" s="87"/>
      <c r="J230" s="88"/>
      <c r="K230" s="89"/>
      <c r="L230" s="90"/>
      <c r="M230" s="90"/>
      <c r="N230" s="91"/>
      <c r="O230" s="91"/>
      <c r="P230" s="83"/>
      <c r="Q230" s="83"/>
      <c r="R230" s="84"/>
      <c r="S230" s="84"/>
    </row>
    <row r="231" spans="2:19" ht="14.1" customHeight="1">
      <c r="B231" s="85"/>
      <c r="C231" s="85"/>
      <c r="D231" s="85"/>
      <c r="E231" s="86"/>
      <c r="F231" s="231"/>
      <c r="G231" s="87"/>
      <c r="H231" s="87"/>
      <c r="J231" s="88"/>
      <c r="K231" s="89"/>
      <c r="L231" s="90"/>
      <c r="M231" s="90"/>
      <c r="N231" s="91"/>
      <c r="O231" s="91"/>
      <c r="P231" s="83"/>
      <c r="Q231" s="83"/>
      <c r="R231" s="84"/>
      <c r="S231" s="84"/>
    </row>
    <row r="232" spans="2:19" ht="14.1" customHeight="1">
      <c r="B232" s="85"/>
      <c r="C232" s="85"/>
      <c r="D232" s="85"/>
      <c r="E232" s="86"/>
      <c r="F232" s="231"/>
      <c r="G232" s="87"/>
      <c r="H232" s="87"/>
      <c r="J232" s="88"/>
      <c r="K232" s="89"/>
      <c r="L232" s="90"/>
      <c r="M232" s="90"/>
      <c r="N232" s="91"/>
      <c r="O232" s="91"/>
      <c r="P232" s="83"/>
      <c r="Q232" s="83"/>
      <c r="R232" s="84"/>
      <c r="S232" s="84"/>
    </row>
    <row r="233" spans="2:19" ht="14.1" customHeight="1">
      <c r="B233" s="85"/>
      <c r="C233" s="85"/>
      <c r="D233" s="85"/>
      <c r="E233" s="86"/>
      <c r="F233" s="231"/>
      <c r="G233" s="87"/>
      <c r="H233" s="87"/>
      <c r="J233" s="88"/>
      <c r="K233" s="89"/>
      <c r="L233" s="90"/>
      <c r="M233" s="90"/>
      <c r="N233" s="91"/>
      <c r="O233" s="91"/>
      <c r="P233" s="83"/>
      <c r="Q233" s="83"/>
      <c r="R233" s="84"/>
      <c r="S233" s="84"/>
    </row>
    <row r="234" spans="2:19" ht="14.1" customHeight="1">
      <c r="B234" s="85"/>
      <c r="C234" s="85"/>
      <c r="D234" s="85"/>
      <c r="E234" s="86"/>
      <c r="F234" s="231"/>
      <c r="G234" s="87"/>
      <c r="H234" s="87"/>
      <c r="J234" s="88"/>
      <c r="K234" s="89"/>
      <c r="L234" s="90"/>
      <c r="M234" s="90"/>
      <c r="N234" s="91"/>
      <c r="O234" s="91"/>
      <c r="P234" s="83"/>
      <c r="Q234" s="83"/>
      <c r="R234" s="84"/>
      <c r="S234" s="84"/>
    </row>
    <row r="235" spans="2:19" ht="14.1" customHeight="1">
      <c r="B235" s="85"/>
      <c r="C235" s="85"/>
      <c r="D235" s="85"/>
      <c r="E235" s="86"/>
      <c r="F235" s="231"/>
      <c r="G235" s="87"/>
      <c r="H235" s="87"/>
      <c r="J235" s="88"/>
      <c r="K235" s="89"/>
      <c r="L235" s="90"/>
      <c r="M235" s="90"/>
      <c r="N235" s="91"/>
      <c r="O235" s="91"/>
      <c r="P235" s="83"/>
      <c r="Q235" s="83"/>
      <c r="R235" s="84"/>
      <c r="S235" s="84"/>
    </row>
    <row r="236" spans="2:19" ht="14.1" customHeight="1">
      <c r="B236" s="85"/>
      <c r="C236" s="85"/>
      <c r="D236" s="85"/>
      <c r="E236" s="86"/>
      <c r="F236" s="231"/>
      <c r="G236" s="87"/>
      <c r="H236" s="87"/>
      <c r="J236" s="88"/>
      <c r="K236" s="89"/>
      <c r="L236" s="90"/>
      <c r="M236" s="90"/>
      <c r="N236" s="91"/>
      <c r="O236" s="91"/>
      <c r="P236" s="83"/>
      <c r="Q236" s="83"/>
      <c r="R236" s="84"/>
      <c r="S236" s="84"/>
    </row>
    <row r="237" spans="2:19" ht="14.1" customHeight="1">
      <c r="B237" s="85"/>
      <c r="C237" s="85"/>
      <c r="D237" s="85"/>
      <c r="E237" s="86"/>
      <c r="F237" s="231"/>
      <c r="G237" s="87"/>
      <c r="H237" s="87"/>
      <c r="J237" s="88"/>
      <c r="K237" s="89"/>
      <c r="L237" s="90"/>
      <c r="M237" s="90"/>
      <c r="N237" s="91"/>
      <c r="O237" s="91"/>
      <c r="P237" s="83"/>
      <c r="Q237" s="83"/>
      <c r="R237" s="84"/>
      <c r="S237" s="84"/>
    </row>
    <row r="238" spans="2:19" ht="14.1" customHeight="1">
      <c r="B238" s="85"/>
      <c r="C238" s="85"/>
      <c r="D238" s="85"/>
      <c r="E238" s="86"/>
      <c r="F238" s="231"/>
      <c r="G238" s="87"/>
      <c r="H238" s="87"/>
      <c r="J238" s="88"/>
      <c r="K238" s="89"/>
      <c r="L238" s="90"/>
      <c r="M238" s="90"/>
      <c r="N238" s="91"/>
      <c r="O238" s="91"/>
      <c r="P238" s="83"/>
      <c r="Q238" s="83"/>
      <c r="R238" s="84"/>
      <c r="S238" s="84"/>
    </row>
    <row r="239" spans="2:19" ht="14.1" customHeight="1">
      <c r="B239" s="85"/>
      <c r="C239" s="85"/>
      <c r="D239" s="85"/>
      <c r="E239" s="86"/>
      <c r="F239" s="231"/>
      <c r="G239" s="87"/>
      <c r="H239" s="87"/>
      <c r="J239" s="88"/>
      <c r="K239" s="89"/>
      <c r="L239" s="90"/>
      <c r="M239" s="90"/>
      <c r="N239" s="91"/>
      <c r="O239" s="91"/>
      <c r="P239" s="83"/>
      <c r="Q239" s="83"/>
      <c r="R239" s="84"/>
      <c r="S239" s="84"/>
    </row>
    <row r="240" spans="2:19" ht="14.1" customHeight="1">
      <c r="B240" s="85"/>
      <c r="C240" s="85"/>
      <c r="D240" s="85"/>
      <c r="E240" s="86"/>
      <c r="F240" s="231"/>
      <c r="G240" s="87"/>
      <c r="H240" s="87"/>
      <c r="J240" s="88"/>
      <c r="K240" s="89"/>
      <c r="L240" s="90"/>
      <c r="M240" s="90"/>
      <c r="N240" s="91"/>
      <c r="O240" s="91"/>
      <c r="P240" s="83"/>
      <c r="Q240" s="83"/>
      <c r="R240" s="84"/>
      <c r="S240" s="84"/>
    </row>
    <row r="241" spans="2:19" ht="14.1" customHeight="1">
      <c r="B241" s="85"/>
      <c r="C241" s="85"/>
      <c r="D241" s="85"/>
      <c r="E241" s="86"/>
      <c r="F241" s="231"/>
      <c r="G241" s="87"/>
      <c r="H241" s="87"/>
      <c r="J241" s="88"/>
      <c r="K241" s="89"/>
      <c r="L241" s="90"/>
      <c r="M241" s="90"/>
      <c r="N241" s="91"/>
      <c r="O241" s="91"/>
      <c r="P241" s="83"/>
      <c r="Q241" s="83"/>
      <c r="R241" s="84"/>
      <c r="S241" s="84"/>
    </row>
    <row r="242" spans="2:19" ht="14.1" customHeight="1">
      <c r="B242" s="85"/>
      <c r="C242" s="85"/>
      <c r="D242" s="85"/>
      <c r="E242" s="86"/>
      <c r="F242" s="231"/>
      <c r="G242" s="87"/>
      <c r="H242" s="87"/>
      <c r="J242" s="88"/>
      <c r="K242" s="89"/>
      <c r="L242" s="90"/>
      <c r="M242" s="90"/>
      <c r="N242" s="91"/>
      <c r="O242" s="91"/>
      <c r="P242" s="83"/>
      <c r="Q242" s="83"/>
      <c r="R242" s="84"/>
      <c r="S242" s="84"/>
    </row>
    <row r="243" spans="2:19" ht="14.1" customHeight="1">
      <c r="B243" s="85"/>
      <c r="C243" s="85"/>
      <c r="D243" s="85"/>
      <c r="E243" s="86"/>
      <c r="F243" s="231"/>
      <c r="G243" s="87"/>
      <c r="H243" s="87"/>
      <c r="J243" s="88"/>
      <c r="K243" s="89"/>
      <c r="L243" s="90"/>
      <c r="M243" s="90"/>
      <c r="N243" s="91"/>
      <c r="O243" s="91"/>
      <c r="P243" s="83"/>
      <c r="Q243" s="83"/>
      <c r="R243" s="84"/>
      <c r="S243" s="84"/>
    </row>
    <row r="244" spans="2:19" ht="14.1" customHeight="1">
      <c r="B244" s="85"/>
      <c r="C244" s="85"/>
      <c r="D244" s="85"/>
      <c r="E244" s="86"/>
      <c r="F244" s="231"/>
      <c r="G244" s="87"/>
      <c r="H244" s="87"/>
      <c r="J244" s="88"/>
      <c r="K244" s="89"/>
      <c r="L244" s="90"/>
      <c r="M244" s="90"/>
      <c r="N244" s="91"/>
      <c r="O244" s="91"/>
      <c r="P244" s="83"/>
      <c r="Q244" s="83"/>
      <c r="R244" s="84"/>
      <c r="S244" s="84"/>
    </row>
    <row r="245" spans="2:19" ht="14.1" customHeight="1">
      <c r="B245" s="85"/>
      <c r="C245" s="85"/>
      <c r="D245" s="85"/>
      <c r="E245" s="86"/>
      <c r="F245" s="231"/>
      <c r="G245" s="87"/>
      <c r="H245" s="87"/>
      <c r="J245" s="88"/>
      <c r="K245" s="89"/>
      <c r="L245" s="90"/>
      <c r="M245" s="90"/>
      <c r="N245" s="91"/>
      <c r="O245" s="91"/>
      <c r="P245" s="83"/>
      <c r="Q245" s="83"/>
      <c r="R245" s="84"/>
      <c r="S245" s="84"/>
    </row>
    <row r="246" spans="2:19" ht="14.1" customHeight="1">
      <c r="B246" s="85"/>
      <c r="C246" s="85"/>
      <c r="D246" s="85"/>
      <c r="E246" s="86"/>
      <c r="F246" s="231"/>
      <c r="G246" s="87"/>
      <c r="H246" s="87"/>
      <c r="J246" s="88"/>
      <c r="K246" s="89"/>
      <c r="L246" s="90"/>
      <c r="M246" s="90"/>
      <c r="N246" s="91"/>
      <c r="O246" s="91"/>
      <c r="P246" s="83"/>
      <c r="Q246" s="83"/>
      <c r="R246" s="84"/>
      <c r="S246" s="84"/>
    </row>
    <row r="247" spans="2:19" ht="14.1" customHeight="1">
      <c r="B247" s="85"/>
      <c r="C247" s="85"/>
      <c r="D247" s="85"/>
      <c r="E247" s="86"/>
      <c r="F247" s="231"/>
      <c r="G247" s="87"/>
      <c r="H247" s="87"/>
      <c r="J247" s="88"/>
      <c r="K247" s="89"/>
      <c r="L247" s="90"/>
      <c r="M247" s="90"/>
      <c r="N247" s="91"/>
      <c r="O247" s="91"/>
      <c r="P247" s="83"/>
      <c r="Q247" s="83"/>
      <c r="R247" s="84"/>
      <c r="S247" s="84"/>
    </row>
    <row r="248" spans="2:19" ht="14.1" customHeight="1">
      <c r="B248" s="85"/>
      <c r="C248" s="85"/>
      <c r="D248" s="85"/>
      <c r="E248" s="86"/>
      <c r="F248" s="231"/>
      <c r="G248" s="87"/>
      <c r="H248" s="87"/>
      <c r="J248" s="88"/>
      <c r="K248" s="89"/>
      <c r="L248" s="90"/>
      <c r="M248" s="90"/>
      <c r="N248" s="91"/>
      <c r="O248" s="91"/>
      <c r="P248" s="83"/>
      <c r="Q248" s="83"/>
      <c r="R248" s="84"/>
      <c r="S248" s="84"/>
    </row>
    <row r="249" spans="2:19" ht="14.1" customHeight="1">
      <c r="B249" s="85"/>
      <c r="C249" s="85"/>
      <c r="D249" s="85"/>
      <c r="E249" s="86"/>
      <c r="F249" s="231"/>
      <c r="G249" s="87"/>
      <c r="H249" s="87"/>
      <c r="J249" s="88"/>
      <c r="K249" s="89"/>
      <c r="L249" s="90"/>
      <c r="M249" s="90"/>
      <c r="N249" s="91"/>
      <c r="O249" s="91"/>
      <c r="P249" s="83"/>
      <c r="Q249" s="83"/>
      <c r="R249" s="84"/>
      <c r="S249" s="84"/>
    </row>
    <row r="250" spans="2:19" ht="14.1" customHeight="1">
      <c r="B250" s="85"/>
      <c r="C250" s="85"/>
      <c r="D250" s="85"/>
      <c r="E250" s="86"/>
      <c r="F250" s="231"/>
      <c r="G250" s="87"/>
      <c r="H250" s="87"/>
      <c r="J250" s="88"/>
      <c r="K250" s="89"/>
      <c r="L250" s="90"/>
      <c r="M250" s="90"/>
      <c r="N250" s="91"/>
      <c r="O250" s="91"/>
      <c r="P250" s="83"/>
      <c r="Q250" s="83"/>
      <c r="R250" s="84"/>
      <c r="S250" s="84"/>
    </row>
    <row r="251" spans="2:19" ht="14.1" customHeight="1">
      <c r="B251" s="85"/>
      <c r="C251" s="85"/>
      <c r="D251" s="85"/>
      <c r="E251" s="86"/>
      <c r="F251" s="231"/>
      <c r="G251" s="87"/>
      <c r="H251" s="87"/>
      <c r="J251" s="88"/>
      <c r="K251" s="89"/>
      <c r="L251" s="90"/>
      <c r="M251" s="90"/>
      <c r="N251" s="91"/>
      <c r="O251" s="91"/>
      <c r="P251" s="83"/>
      <c r="Q251" s="83"/>
      <c r="R251" s="84"/>
      <c r="S251" s="84"/>
    </row>
    <row r="252" spans="2:19" ht="14.1" customHeight="1">
      <c r="B252" s="85"/>
      <c r="C252" s="85"/>
      <c r="D252" s="85"/>
      <c r="E252" s="86"/>
      <c r="F252" s="231"/>
      <c r="G252" s="87"/>
      <c r="H252" s="87"/>
      <c r="J252" s="88"/>
      <c r="K252" s="89"/>
      <c r="L252" s="90"/>
      <c r="M252" s="90"/>
      <c r="N252" s="91"/>
      <c r="O252" s="91"/>
      <c r="P252" s="83"/>
      <c r="Q252" s="83"/>
      <c r="R252" s="84"/>
      <c r="S252" s="84"/>
    </row>
    <row r="253" spans="2:19" ht="14.1" customHeight="1">
      <c r="B253" s="85"/>
      <c r="C253" s="85"/>
      <c r="D253" s="85"/>
      <c r="E253" s="86"/>
      <c r="F253" s="231"/>
      <c r="G253" s="87"/>
      <c r="H253" s="87"/>
      <c r="J253" s="88"/>
      <c r="K253" s="89"/>
      <c r="L253" s="90"/>
      <c r="M253" s="90"/>
      <c r="N253" s="91"/>
      <c r="O253" s="91"/>
      <c r="P253" s="83"/>
      <c r="Q253" s="83"/>
      <c r="R253" s="84"/>
      <c r="S253" s="84"/>
    </row>
    <row r="254" spans="2:19" ht="14.1" customHeight="1">
      <c r="B254" s="85"/>
      <c r="C254" s="85"/>
      <c r="D254" s="85"/>
      <c r="E254" s="86"/>
      <c r="F254" s="231"/>
      <c r="G254" s="87"/>
      <c r="H254" s="87"/>
      <c r="J254" s="88"/>
      <c r="K254" s="89"/>
      <c r="L254" s="90"/>
      <c r="M254" s="90"/>
      <c r="N254" s="91"/>
      <c r="O254" s="91"/>
      <c r="P254" s="83"/>
      <c r="Q254" s="83"/>
      <c r="R254" s="84"/>
      <c r="S254" s="84"/>
    </row>
    <row r="255" spans="2:19" ht="14.1" customHeight="1">
      <c r="B255" s="85"/>
      <c r="C255" s="85"/>
      <c r="D255" s="85"/>
      <c r="E255" s="86"/>
      <c r="F255" s="231"/>
      <c r="G255" s="87"/>
      <c r="H255" s="87"/>
      <c r="J255" s="88"/>
      <c r="K255" s="89"/>
      <c r="L255" s="90"/>
      <c r="M255" s="90"/>
      <c r="N255" s="91"/>
      <c r="O255" s="91"/>
      <c r="P255" s="83"/>
      <c r="Q255" s="83"/>
      <c r="R255" s="84"/>
      <c r="S255" s="84"/>
    </row>
    <row r="256" spans="2:19" ht="14.1" customHeight="1">
      <c r="B256" s="85"/>
      <c r="C256" s="85"/>
      <c r="D256" s="85"/>
      <c r="E256" s="86"/>
      <c r="F256" s="231"/>
      <c r="G256" s="87"/>
      <c r="H256" s="87"/>
      <c r="J256" s="88"/>
      <c r="K256" s="89"/>
      <c r="L256" s="90"/>
      <c r="M256" s="90"/>
      <c r="N256" s="91"/>
      <c r="O256" s="91"/>
      <c r="P256" s="83"/>
      <c r="Q256" s="83"/>
      <c r="R256" s="84"/>
      <c r="S256" s="84"/>
    </row>
    <row r="257" spans="2:19" ht="14.1" customHeight="1">
      <c r="B257" s="85"/>
      <c r="C257" s="85"/>
      <c r="D257" s="85"/>
      <c r="E257" s="86"/>
      <c r="F257" s="231"/>
      <c r="G257" s="87"/>
      <c r="H257" s="87"/>
      <c r="J257" s="88"/>
      <c r="K257" s="89"/>
      <c r="L257" s="90"/>
      <c r="M257" s="90"/>
      <c r="N257" s="91"/>
      <c r="O257" s="91"/>
      <c r="P257" s="83"/>
      <c r="Q257" s="83"/>
      <c r="R257" s="84"/>
      <c r="S257" s="84"/>
    </row>
    <row r="258" spans="2:19" ht="14.1" customHeight="1">
      <c r="B258" s="85"/>
      <c r="C258" s="85"/>
      <c r="D258" s="85"/>
      <c r="E258" s="86"/>
      <c r="F258" s="231"/>
      <c r="G258" s="87"/>
      <c r="H258" s="87"/>
      <c r="J258" s="88"/>
      <c r="K258" s="89"/>
      <c r="L258" s="90"/>
      <c r="M258" s="90"/>
      <c r="N258" s="91"/>
      <c r="O258" s="91"/>
      <c r="P258" s="83"/>
      <c r="Q258" s="83"/>
      <c r="R258" s="84"/>
      <c r="S258" s="84"/>
    </row>
    <row r="259" spans="2:19" ht="14.1" customHeight="1">
      <c r="B259" s="85"/>
      <c r="C259" s="85"/>
      <c r="D259" s="85"/>
      <c r="E259" s="86"/>
      <c r="F259" s="231"/>
      <c r="G259" s="87"/>
      <c r="H259" s="87"/>
      <c r="J259" s="88"/>
      <c r="K259" s="89"/>
      <c r="L259" s="90"/>
      <c r="M259" s="90"/>
      <c r="N259" s="91"/>
      <c r="O259" s="91"/>
      <c r="P259" s="83"/>
      <c r="Q259" s="83"/>
      <c r="R259" s="84"/>
      <c r="S259" s="84"/>
    </row>
    <row r="260" spans="2:19" ht="14.1" customHeight="1">
      <c r="B260" s="85"/>
      <c r="C260" s="85"/>
      <c r="D260" s="85"/>
      <c r="E260" s="86"/>
      <c r="F260" s="231"/>
      <c r="G260" s="87"/>
      <c r="H260" s="87"/>
      <c r="J260" s="88"/>
      <c r="K260" s="89"/>
      <c r="L260" s="90"/>
      <c r="M260" s="90"/>
      <c r="N260" s="91"/>
      <c r="O260" s="91"/>
      <c r="P260" s="83"/>
      <c r="Q260" s="83"/>
      <c r="R260" s="84"/>
      <c r="S260" s="84"/>
    </row>
    <row r="261" spans="2:19" ht="14.1" customHeight="1">
      <c r="B261" s="85"/>
      <c r="C261" s="85"/>
      <c r="D261" s="85"/>
      <c r="E261" s="86"/>
      <c r="F261" s="231"/>
      <c r="G261" s="87"/>
      <c r="H261" s="87"/>
      <c r="J261" s="88"/>
      <c r="K261" s="89"/>
      <c r="L261" s="90"/>
      <c r="M261" s="90"/>
      <c r="N261" s="91"/>
      <c r="O261" s="91"/>
      <c r="P261" s="83"/>
      <c r="Q261" s="83"/>
      <c r="R261" s="84"/>
      <c r="S261" s="84"/>
    </row>
    <row r="262" spans="2:19" ht="14.1" customHeight="1">
      <c r="B262" s="85"/>
      <c r="C262" s="85"/>
      <c r="D262" s="85"/>
      <c r="E262" s="86"/>
      <c r="F262" s="231"/>
      <c r="G262" s="87"/>
      <c r="H262" s="87"/>
      <c r="J262" s="88"/>
      <c r="K262" s="89"/>
      <c r="L262" s="90"/>
      <c r="M262" s="90"/>
      <c r="N262" s="91"/>
      <c r="O262" s="91"/>
      <c r="P262" s="83"/>
      <c r="Q262" s="83"/>
      <c r="R262" s="84"/>
      <c r="S262" s="84"/>
    </row>
    <row r="263" spans="2:19" ht="14.1" customHeight="1">
      <c r="B263" s="85"/>
      <c r="C263" s="85"/>
      <c r="D263" s="85"/>
      <c r="E263" s="86"/>
      <c r="F263" s="231"/>
      <c r="G263" s="87"/>
      <c r="H263" s="87"/>
      <c r="J263" s="88"/>
      <c r="K263" s="89"/>
      <c r="L263" s="90"/>
      <c r="M263" s="90"/>
      <c r="N263" s="91"/>
      <c r="O263" s="91"/>
      <c r="P263" s="83"/>
      <c r="Q263" s="83"/>
      <c r="R263" s="84"/>
      <c r="S263" s="84"/>
    </row>
    <row r="264" spans="2:19" ht="14.1" customHeight="1">
      <c r="B264" s="85"/>
      <c r="C264" s="85"/>
      <c r="D264" s="85"/>
      <c r="E264" s="86"/>
      <c r="F264" s="231"/>
      <c r="G264" s="87"/>
      <c r="H264" s="87"/>
      <c r="J264" s="88"/>
      <c r="K264" s="89"/>
      <c r="L264" s="90"/>
      <c r="M264" s="90"/>
      <c r="N264" s="91"/>
      <c r="O264" s="91"/>
      <c r="P264" s="83"/>
      <c r="Q264" s="83"/>
      <c r="R264" s="84"/>
      <c r="S264" s="84"/>
    </row>
    <row r="265" spans="2:19" ht="14.1" customHeight="1">
      <c r="B265" s="85"/>
      <c r="C265" s="85"/>
      <c r="D265" s="85"/>
      <c r="E265" s="86"/>
      <c r="F265" s="231"/>
      <c r="G265" s="87"/>
      <c r="H265" s="87"/>
      <c r="J265" s="88"/>
      <c r="K265" s="89"/>
      <c r="L265" s="90"/>
      <c r="M265" s="90"/>
      <c r="N265" s="91"/>
      <c r="O265" s="91"/>
      <c r="P265" s="83"/>
      <c r="Q265" s="83"/>
      <c r="R265" s="84"/>
      <c r="S265" s="84"/>
    </row>
    <row r="266" spans="2:19" ht="14.1" customHeight="1">
      <c r="B266" s="85"/>
      <c r="C266" s="85"/>
      <c r="D266" s="85"/>
      <c r="E266" s="86"/>
      <c r="F266" s="231"/>
      <c r="G266" s="87"/>
      <c r="H266" s="87"/>
      <c r="J266" s="88"/>
      <c r="K266" s="89"/>
      <c r="L266" s="90"/>
      <c r="M266" s="90"/>
      <c r="N266" s="91"/>
      <c r="O266" s="91"/>
      <c r="P266" s="83"/>
      <c r="Q266" s="83"/>
      <c r="R266" s="84"/>
      <c r="S266" s="84"/>
    </row>
    <row r="267" spans="2:19" ht="14.1" customHeight="1">
      <c r="B267" s="85"/>
      <c r="C267" s="85"/>
      <c r="D267" s="85"/>
      <c r="E267" s="86"/>
      <c r="F267" s="231"/>
      <c r="G267" s="87"/>
      <c r="H267" s="87"/>
      <c r="J267" s="88"/>
      <c r="K267" s="89"/>
      <c r="L267" s="90"/>
      <c r="M267" s="90"/>
      <c r="N267" s="91"/>
      <c r="O267" s="91"/>
      <c r="P267" s="83"/>
      <c r="Q267" s="83"/>
      <c r="R267" s="84"/>
      <c r="S267" s="84"/>
    </row>
    <row r="268" spans="2:19" ht="14.1" customHeight="1">
      <c r="B268" s="85"/>
      <c r="C268" s="85"/>
      <c r="D268" s="85"/>
      <c r="E268" s="86"/>
      <c r="F268" s="231"/>
      <c r="G268" s="87"/>
      <c r="H268" s="87"/>
      <c r="J268" s="88"/>
      <c r="K268" s="89"/>
      <c r="L268" s="90"/>
      <c r="M268" s="90"/>
      <c r="N268" s="91"/>
      <c r="O268" s="91"/>
      <c r="P268" s="83"/>
      <c r="Q268" s="83"/>
      <c r="R268" s="84"/>
      <c r="S268" s="84"/>
    </row>
    <row r="269" spans="2:19" ht="14.1" customHeight="1">
      <c r="B269" s="85"/>
      <c r="C269" s="85"/>
      <c r="D269" s="85"/>
      <c r="E269" s="86"/>
      <c r="F269" s="231"/>
      <c r="G269" s="87"/>
      <c r="H269" s="87"/>
      <c r="J269" s="88"/>
      <c r="K269" s="89"/>
      <c r="L269" s="90"/>
      <c r="M269" s="90"/>
      <c r="N269" s="91"/>
      <c r="O269" s="91"/>
      <c r="P269" s="83"/>
      <c r="Q269" s="83"/>
      <c r="R269" s="84"/>
      <c r="S269" s="84"/>
    </row>
    <row r="270" spans="2:19" ht="14.1" customHeight="1">
      <c r="B270" s="85"/>
      <c r="C270" s="85"/>
      <c r="D270" s="85"/>
      <c r="E270" s="86"/>
      <c r="F270" s="231"/>
      <c r="G270" s="87"/>
      <c r="H270" s="87"/>
      <c r="J270" s="88"/>
      <c r="K270" s="89"/>
      <c r="L270" s="90"/>
      <c r="M270" s="90"/>
      <c r="N270" s="91"/>
      <c r="O270" s="91"/>
      <c r="P270" s="83"/>
      <c r="Q270" s="83"/>
      <c r="R270" s="84"/>
      <c r="S270" s="84"/>
    </row>
    <row r="271" spans="2:19" ht="14.1" customHeight="1">
      <c r="B271" s="85"/>
      <c r="C271" s="85"/>
      <c r="D271" s="85"/>
      <c r="E271" s="86"/>
      <c r="F271" s="231"/>
      <c r="G271" s="87"/>
      <c r="H271" s="87"/>
      <c r="J271" s="88"/>
      <c r="K271" s="89"/>
      <c r="L271" s="90"/>
      <c r="M271" s="90"/>
      <c r="N271" s="91"/>
      <c r="O271" s="91"/>
      <c r="P271" s="83"/>
      <c r="Q271" s="83"/>
      <c r="R271" s="84"/>
      <c r="S271" s="84"/>
    </row>
    <row r="272" spans="2:19" ht="14.1" customHeight="1">
      <c r="B272" s="85"/>
      <c r="C272" s="85"/>
      <c r="D272" s="85"/>
      <c r="E272" s="86"/>
      <c r="F272" s="231"/>
      <c r="G272" s="87"/>
      <c r="H272" s="87"/>
      <c r="J272" s="88"/>
      <c r="K272" s="89"/>
      <c r="L272" s="90"/>
      <c r="M272" s="90"/>
      <c r="N272" s="91"/>
      <c r="O272" s="91"/>
      <c r="P272" s="83"/>
      <c r="Q272" s="83"/>
      <c r="R272" s="84"/>
      <c r="S272" s="84"/>
    </row>
    <row r="273" spans="2:19" ht="14.1" customHeight="1">
      <c r="B273" s="85"/>
      <c r="C273" s="85"/>
      <c r="D273" s="85"/>
      <c r="E273" s="86"/>
      <c r="F273" s="231"/>
      <c r="G273" s="87"/>
      <c r="H273" s="87"/>
      <c r="J273" s="88"/>
      <c r="K273" s="89"/>
      <c r="L273" s="90"/>
      <c r="M273" s="90"/>
      <c r="N273" s="91"/>
      <c r="O273" s="91"/>
      <c r="P273" s="83"/>
      <c r="Q273" s="83"/>
      <c r="R273" s="84"/>
      <c r="S273" s="84"/>
    </row>
    <row r="274" spans="2:19" ht="14.1" customHeight="1">
      <c r="B274" s="85"/>
      <c r="C274" s="85"/>
      <c r="D274" s="85"/>
      <c r="E274" s="86"/>
      <c r="F274" s="231"/>
      <c r="G274" s="87"/>
      <c r="H274" s="87"/>
      <c r="J274" s="88"/>
      <c r="K274" s="89"/>
      <c r="L274" s="90"/>
      <c r="M274" s="90"/>
      <c r="N274" s="91"/>
      <c r="O274" s="91"/>
      <c r="P274" s="83"/>
      <c r="Q274" s="83"/>
      <c r="R274" s="84"/>
      <c r="S274" s="84"/>
    </row>
    <row r="275" spans="2:19" ht="14.1" customHeight="1">
      <c r="B275" s="85"/>
      <c r="C275" s="85"/>
      <c r="D275" s="85"/>
      <c r="E275" s="86"/>
      <c r="F275" s="231"/>
      <c r="G275" s="87"/>
      <c r="H275" s="87"/>
      <c r="J275" s="88"/>
      <c r="K275" s="89"/>
      <c r="L275" s="90"/>
      <c r="M275" s="90"/>
      <c r="N275" s="91"/>
      <c r="O275" s="91"/>
      <c r="P275" s="83"/>
      <c r="Q275" s="83"/>
      <c r="R275" s="84"/>
      <c r="S275" s="84"/>
    </row>
    <row r="276" spans="2:19" ht="14.1" customHeight="1">
      <c r="B276" s="85"/>
      <c r="C276" s="85"/>
      <c r="D276" s="85"/>
      <c r="E276" s="86"/>
      <c r="F276" s="231"/>
      <c r="G276" s="87"/>
      <c r="H276" s="87"/>
      <c r="J276" s="88"/>
      <c r="K276" s="89"/>
      <c r="L276" s="90"/>
      <c r="M276" s="90"/>
      <c r="N276" s="91"/>
      <c r="O276" s="91"/>
      <c r="P276" s="83"/>
      <c r="Q276" s="83"/>
      <c r="R276" s="84"/>
      <c r="S276" s="84"/>
    </row>
    <row r="277" spans="2:19" ht="14.1" customHeight="1">
      <c r="B277" s="85"/>
      <c r="C277" s="85"/>
      <c r="D277" s="85"/>
      <c r="E277" s="86"/>
      <c r="F277" s="231"/>
      <c r="G277" s="87"/>
      <c r="H277" s="87"/>
      <c r="J277" s="88"/>
      <c r="K277" s="89"/>
      <c r="L277" s="90"/>
      <c r="M277" s="90"/>
      <c r="N277" s="91"/>
      <c r="O277" s="91"/>
      <c r="P277" s="83"/>
      <c r="Q277" s="83"/>
      <c r="R277" s="84"/>
      <c r="S277" s="84"/>
    </row>
    <row r="278" spans="2:19" ht="14.1" customHeight="1">
      <c r="B278" s="85"/>
      <c r="C278" s="85"/>
      <c r="D278" s="85"/>
      <c r="E278" s="86"/>
      <c r="F278" s="231"/>
      <c r="G278" s="87"/>
      <c r="H278" s="87"/>
      <c r="J278" s="88"/>
      <c r="K278" s="89"/>
      <c r="L278" s="90"/>
      <c r="M278" s="90"/>
      <c r="N278" s="91"/>
      <c r="O278" s="91"/>
      <c r="P278" s="83"/>
      <c r="Q278" s="83"/>
      <c r="R278" s="84"/>
      <c r="S278" s="84"/>
    </row>
    <row r="279" spans="2:19" ht="14.1" customHeight="1">
      <c r="B279" s="85"/>
      <c r="C279" s="85"/>
      <c r="D279" s="85"/>
      <c r="E279" s="86"/>
      <c r="F279" s="231"/>
      <c r="G279" s="87"/>
      <c r="H279" s="87"/>
      <c r="J279" s="88"/>
      <c r="K279" s="89"/>
      <c r="L279" s="90"/>
      <c r="M279" s="90"/>
      <c r="N279" s="91"/>
      <c r="O279" s="91"/>
      <c r="P279" s="83"/>
      <c r="Q279" s="83"/>
      <c r="R279" s="84"/>
      <c r="S279" s="84"/>
    </row>
    <row r="280" spans="2:19" ht="14.1" customHeight="1">
      <c r="B280" s="85"/>
      <c r="C280" s="85"/>
      <c r="D280" s="85"/>
      <c r="E280" s="86"/>
      <c r="F280" s="231"/>
      <c r="G280" s="87"/>
      <c r="H280" s="87"/>
      <c r="J280" s="88"/>
      <c r="K280" s="89"/>
      <c r="L280" s="90"/>
      <c r="M280" s="90"/>
      <c r="N280" s="91"/>
      <c r="O280" s="91"/>
      <c r="P280" s="83"/>
      <c r="Q280" s="83"/>
      <c r="R280" s="84"/>
      <c r="S280" s="84"/>
    </row>
    <row r="281" spans="2:19" ht="14.1" customHeight="1">
      <c r="B281" s="85"/>
      <c r="C281" s="85"/>
      <c r="D281" s="85"/>
      <c r="E281" s="86"/>
      <c r="F281" s="231"/>
      <c r="G281" s="87"/>
      <c r="H281" s="87"/>
      <c r="J281" s="88"/>
      <c r="K281" s="89"/>
      <c r="L281" s="90"/>
      <c r="M281" s="90"/>
      <c r="N281" s="91"/>
      <c r="O281" s="91"/>
      <c r="P281" s="83"/>
      <c r="Q281" s="83"/>
      <c r="R281" s="84"/>
      <c r="S281" s="84"/>
    </row>
    <row r="282" spans="2:19" ht="14.1" customHeight="1">
      <c r="B282" s="85"/>
      <c r="C282" s="85"/>
      <c r="D282" s="85"/>
      <c r="E282" s="86"/>
      <c r="F282" s="231"/>
      <c r="G282" s="87"/>
      <c r="H282" s="87"/>
      <c r="J282" s="88"/>
      <c r="K282" s="89"/>
      <c r="L282" s="90"/>
      <c r="M282" s="90"/>
      <c r="N282" s="91"/>
      <c r="O282" s="91"/>
      <c r="P282" s="83"/>
      <c r="Q282" s="83"/>
      <c r="R282" s="84"/>
      <c r="S282" s="84"/>
    </row>
    <row r="283" spans="2:19" ht="14.1" customHeight="1">
      <c r="B283" s="85"/>
      <c r="C283" s="85"/>
      <c r="D283" s="85"/>
      <c r="E283" s="86"/>
      <c r="F283" s="231"/>
      <c r="G283" s="87"/>
      <c r="H283" s="87"/>
      <c r="J283" s="88"/>
      <c r="K283" s="89"/>
      <c r="L283" s="90"/>
      <c r="M283" s="90"/>
      <c r="N283" s="91"/>
      <c r="O283" s="91"/>
      <c r="P283" s="83"/>
      <c r="Q283" s="83"/>
      <c r="R283" s="84"/>
      <c r="S283" s="84"/>
    </row>
    <row r="284" spans="2:19" ht="14.1" customHeight="1">
      <c r="B284" s="85"/>
      <c r="C284" s="85"/>
      <c r="D284" s="85"/>
      <c r="E284" s="86"/>
      <c r="F284" s="231"/>
      <c r="G284" s="87"/>
      <c r="H284" s="87"/>
      <c r="J284" s="88"/>
      <c r="K284" s="89"/>
      <c r="L284" s="90"/>
      <c r="M284" s="90"/>
      <c r="N284" s="91"/>
      <c r="O284" s="91"/>
      <c r="P284" s="83"/>
      <c r="Q284" s="83"/>
      <c r="R284" s="84"/>
      <c r="S284" s="84"/>
    </row>
    <row r="285" spans="2:19" ht="14.1" customHeight="1">
      <c r="B285" s="85"/>
      <c r="C285" s="85"/>
      <c r="D285" s="85"/>
      <c r="E285" s="86"/>
      <c r="F285" s="231"/>
      <c r="G285" s="87"/>
      <c r="H285" s="87"/>
      <c r="J285" s="88"/>
      <c r="K285" s="89"/>
      <c r="L285" s="90"/>
      <c r="M285" s="90"/>
      <c r="N285" s="91"/>
      <c r="O285" s="91"/>
      <c r="P285" s="83"/>
      <c r="Q285" s="83"/>
      <c r="R285" s="84"/>
      <c r="S285" s="84"/>
    </row>
    <row r="286" spans="2:19" ht="14.1" customHeight="1">
      <c r="B286" s="85"/>
      <c r="C286" s="85"/>
      <c r="D286" s="85"/>
      <c r="E286" s="86"/>
      <c r="F286" s="231"/>
      <c r="G286" s="87"/>
      <c r="H286" s="87"/>
      <c r="J286" s="88"/>
      <c r="K286" s="89"/>
      <c r="L286" s="90"/>
      <c r="M286" s="90"/>
      <c r="N286" s="91"/>
      <c r="O286" s="91"/>
      <c r="P286" s="83"/>
      <c r="Q286" s="83"/>
      <c r="R286" s="84"/>
      <c r="S286" s="84"/>
    </row>
    <row r="287" spans="2:19" ht="14.1" customHeight="1">
      <c r="B287" s="85"/>
      <c r="C287" s="85"/>
      <c r="D287" s="85"/>
      <c r="E287" s="86"/>
      <c r="F287" s="231"/>
      <c r="G287" s="87"/>
      <c r="H287" s="87"/>
      <c r="J287" s="88"/>
      <c r="K287" s="89"/>
      <c r="L287" s="90"/>
      <c r="M287" s="90"/>
      <c r="N287" s="91"/>
      <c r="O287" s="91"/>
      <c r="P287" s="83"/>
      <c r="Q287" s="83"/>
      <c r="R287" s="84"/>
      <c r="S287" s="84"/>
    </row>
    <row r="288" spans="2:19" ht="14.1" customHeight="1">
      <c r="B288" s="85"/>
      <c r="C288" s="85"/>
      <c r="D288" s="85"/>
      <c r="E288" s="86"/>
      <c r="F288" s="231"/>
      <c r="G288" s="87"/>
      <c r="H288" s="87"/>
      <c r="J288" s="88"/>
      <c r="K288" s="89"/>
      <c r="L288" s="90"/>
      <c r="M288" s="90"/>
      <c r="N288" s="91"/>
      <c r="O288" s="91"/>
      <c r="P288" s="83"/>
      <c r="Q288" s="83"/>
      <c r="R288" s="84"/>
      <c r="S288" s="84"/>
    </row>
    <row r="289" spans="2:19" ht="14.1" customHeight="1">
      <c r="B289" s="85"/>
      <c r="C289" s="85"/>
      <c r="D289" s="85"/>
      <c r="E289" s="86"/>
      <c r="F289" s="231"/>
      <c r="G289" s="87"/>
      <c r="H289" s="87"/>
      <c r="J289" s="88"/>
      <c r="K289" s="89"/>
      <c r="L289" s="90"/>
      <c r="M289" s="90"/>
      <c r="N289" s="91"/>
      <c r="O289" s="91"/>
      <c r="P289" s="83"/>
      <c r="Q289" s="83"/>
      <c r="R289" s="84"/>
      <c r="S289" s="84"/>
    </row>
    <row r="290" spans="2:19" ht="14.1" customHeight="1">
      <c r="B290" s="85"/>
      <c r="C290" s="85"/>
      <c r="D290" s="85"/>
      <c r="E290" s="86"/>
      <c r="F290" s="231"/>
      <c r="G290" s="87"/>
      <c r="H290" s="87"/>
      <c r="J290" s="88"/>
      <c r="K290" s="89"/>
      <c r="L290" s="90"/>
      <c r="M290" s="90"/>
      <c r="N290" s="91"/>
      <c r="O290" s="91"/>
      <c r="P290" s="83"/>
      <c r="Q290" s="83"/>
      <c r="R290" s="84"/>
      <c r="S290" s="84"/>
    </row>
    <row r="291" spans="2:19" ht="14.1" customHeight="1">
      <c r="B291" s="85"/>
      <c r="C291" s="85"/>
      <c r="D291" s="85"/>
      <c r="E291" s="86"/>
      <c r="F291" s="231"/>
      <c r="G291" s="87"/>
      <c r="H291" s="87"/>
      <c r="J291" s="88"/>
      <c r="K291" s="89"/>
      <c r="L291" s="90"/>
      <c r="M291" s="90"/>
      <c r="N291" s="91"/>
      <c r="O291" s="91"/>
      <c r="P291" s="83"/>
      <c r="Q291" s="83"/>
      <c r="R291" s="84"/>
      <c r="S291" s="84"/>
    </row>
    <row r="292" spans="2:19" ht="14.1" customHeight="1">
      <c r="B292" s="85"/>
      <c r="C292" s="85"/>
      <c r="D292" s="85"/>
      <c r="E292" s="86"/>
      <c r="F292" s="231"/>
      <c r="G292" s="87"/>
      <c r="H292" s="87"/>
      <c r="J292" s="88"/>
      <c r="K292" s="89"/>
      <c r="L292" s="90"/>
      <c r="M292" s="90"/>
      <c r="N292" s="91"/>
      <c r="O292" s="91"/>
      <c r="P292" s="83"/>
      <c r="Q292" s="83"/>
      <c r="R292" s="84"/>
      <c r="S292" s="84"/>
    </row>
    <row r="293" spans="2:19" ht="14.1" customHeight="1">
      <c r="B293" s="85"/>
      <c r="C293" s="85"/>
      <c r="D293" s="85"/>
      <c r="E293" s="86"/>
      <c r="F293" s="231"/>
      <c r="G293" s="87"/>
      <c r="H293" s="87"/>
      <c r="J293" s="88"/>
      <c r="K293" s="89"/>
      <c r="L293" s="90"/>
      <c r="M293" s="90"/>
      <c r="N293" s="91"/>
      <c r="O293" s="91"/>
      <c r="P293" s="83"/>
      <c r="Q293" s="83"/>
      <c r="R293" s="84"/>
      <c r="S293" s="84"/>
    </row>
    <row r="294" spans="2:19" ht="14.1" customHeight="1">
      <c r="B294" s="85"/>
      <c r="C294" s="85"/>
      <c r="D294" s="85"/>
      <c r="E294" s="86"/>
      <c r="F294" s="231"/>
      <c r="G294" s="87"/>
      <c r="H294" s="87"/>
      <c r="J294" s="88"/>
      <c r="K294" s="89"/>
      <c r="L294" s="90"/>
      <c r="M294" s="90"/>
      <c r="N294" s="91"/>
      <c r="O294" s="91"/>
      <c r="P294" s="83"/>
      <c r="Q294" s="83"/>
      <c r="R294" s="84"/>
      <c r="S294" s="84"/>
    </row>
    <row r="295" spans="2:19" ht="14.1" customHeight="1">
      <c r="B295" s="85"/>
      <c r="C295" s="85"/>
      <c r="D295" s="85"/>
      <c r="E295" s="86"/>
      <c r="F295" s="231"/>
      <c r="G295" s="87"/>
      <c r="H295" s="87"/>
      <c r="J295" s="88"/>
      <c r="K295" s="89"/>
      <c r="L295" s="90"/>
      <c r="M295" s="90"/>
      <c r="N295" s="91"/>
      <c r="O295" s="91"/>
      <c r="P295" s="83"/>
      <c r="Q295" s="83"/>
      <c r="R295" s="84"/>
      <c r="S295" s="84"/>
    </row>
    <row r="296" spans="2:19" ht="14.1" customHeight="1">
      <c r="B296" s="85"/>
      <c r="C296" s="85"/>
      <c r="D296" s="85"/>
      <c r="E296" s="86"/>
      <c r="F296" s="231"/>
      <c r="G296" s="87"/>
      <c r="H296" s="87"/>
      <c r="J296" s="88"/>
      <c r="K296" s="89"/>
      <c r="L296" s="90"/>
      <c r="M296" s="90"/>
      <c r="N296" s="91"/>
      <c r="O296" s="91"/>
      <c r="P296" s="83"/>
      <c r="Q296" s="83"/>
      <c r="R296" s="84"/>
      <c r="S296" s="84"/>
    </row>
    <row r="297" spans="2:19" ht="14.1" customHeight="1">
      <c r="B297" s="85"/>
      <c r="C297" s="85"/>
      <c r="D297" s="85"/>
      <c r="E297" s="86"/>
      <c r="F297" s="231"/>
      <c r="G297" s="87"/>
      <c r="H297" s="87"/>
      <c r="J297" s="88"/>
      <c r="K297" s="89"/>
      <c r="L297" s="90"/>
      <c r="M297" s="90"/>
      <c r="N297" s="91"/>
      <c r="O297" s="91"/>
      <c r="P297" s="83"/>
      <c r="Q297" s="83"/>
      <c r="R297" s="84"/>
      <c r="S297" s="84"/>
    </row>
    <row r="298" spans="2:19" ht="14.1" customHeight="1">
      <c r="B298" s="85"/>
      <c r="C298" s="85"/>
      <c r="D298" s="85"/>
      <c r="E298" s="86"/>
      <c r="F298" s="231"/>
      <c r="G298" s="87"/>
      <c r="H298" s="87"/>
      <c r="J298" s="88"/>
      <c r="K298" s="89"/>
      <c r="L298" s="90"/>
      <c r="M298" s="90"/>
      <c r="N298" s="91"/>
      <c r="O298" s="91"/>
      <c r="P298" s="83"/>
      <c r="Q298" s="83"/>
      <c r="R298" s="84"/>
      <c r="S298" s="84"/>
    </row>
    <row r="299" spans="2:19" ht="14.1" customHeight="1">
      <c r="B299" s="85"/>
      <c r="C299" s="85"/>
      <c r="D299" s="85"/>
      <c r="E299" s="86"/>
      <c r="F299" s="231"/>
      <c r="G299" s="87"/>
      <c r="H299" s="87"/>
      <c r="J299" s="88"/>
      <c r="K299" s="89"/>
      <c r="L299" s="90"/>
      <c r="M299" s="90"/>
      <c r="N299" s="91"/>
      <c r="O299" s="91"/>
      <c r="P299" s="83"/>
      <c r="Q299" s="83"/>
      <c r="R299" s="84"/>
      <c r="S299" s="84"/>
    </row>
    <row r="300" spans="2:19" ht="14.1" customHeight="1">
      <c r="B300" s="85"/>
      <c r="C300" s="85"/>
      <c r="D300" s="85"/>
      <c r="E300" s="86"/>
      <c r="F300" s="231"/>
      <c r="G300" s="87"/>
      <c r="H300" s="87"/>
      <c r="J300" s="88"/>
      <c r="K300" s="89"/>
      <c r="L300" s="90"/>
      <c r="M300" s="90"/>
      <c r="N300" s="91"/>
      <c r="O300" s="91"/>
      <c r="P300" s="83"/>
      <c r="Q300" s="83"/>
      <c r="R300" s="84"/>
      <c r="S300" s="84"/>
    </row>
    <row r="301" spans="2:19" ht="14.1" customHeight="1">
      <c r="B301" s="85"/>
      <c r="C301" s="85"/>
      <c r="D301" s="85"/>
      <c r="E301" s="86"/>
      <c r="F301" s="231"/>
      <c r="G301" s="87"/>
      <c r="H301" s="87"/>
      <c r="J301" s="88"/>
      <c r="K301" s="89"/>
      <c r="L301" s="90"/>
      <c r="M301" s="90"/>
      <c r="N301" s="91"/>
      <c r="O301" s="91"/>
      <c r="P301" s="83"/>
      <c r="Q301" s="83"/>
      <c r="R301" s="84"/>
      <c r="S301" s="84"/>
    </row>
    <row r="302" spans="2:19" ht="14.1" customHeight="1">
      <c r="B302" s="85"/>
      <c r="C302" s="85"/>
      <c r="D302" s="85"/>
      <c r="E302" s="86"/>
      <c r="F302" s="231"/>
      <c r="G302" s="87"/>
      <c r="H302" s="87"/>
      <c r="J302" s="88"/>
      <c r="K302" s="89"/>
      <c r="L302" s="90"/>
      <c r="M302" s="90"/>
      <c r="N302" s="91"/>
      <c r="O302" s="91"/>
      <c r="P302" s="83"/>
      <c r="Q302" s="83"/>
      <c r="R302" s="84"/>
      <c r="S302" s="84"/>
    </row>
    <row r="303" spans="2:19" ht="14.1" customHeight="1">
      <c r="B303" s="85"/>
      <c r="C303" s="85"/>
      <c r="D303" s="85"/>
      <c r="E303" s="86"/>
      <c r="F303" s="231"/>
      <c r="G303" s="87"/>
      <c r="H303" s="87"/>
      <c r="J303" s="88"/>
      <c r="K303" s="89"/>
      <c r="L303" s="90"/>
      <c r="M303" s="90"/>
      <c r="N303" s="91"/>
      <c r="O303" s="91"/>
      <c r="P303" s="83"/>
      <c r="Q303" s="83"/>
      <c r="R303" s="84"/>
      <c r="S303" s="84"/>
    </row>
    <row r="304" spans="2:19" ht="14.1" customHeight="1">
      <c r="B304" s="85"/>
      <c r="C304" s="85"/>
      <c r="D304" s="85"/>
      <c r="E304" s="86"/>
      <c r="F304" s="231"/>
      <c r="G304" s="87"/>
      <c r="H304" s="87"/>
      <c r="J304" s="88"/>
      <c r="K304" s="89"/>
      <c r="L304" s="90"/>
      <c r="M304" s="90"/>
      <c r="N304" s="91"/>
      <c r="O304" s="91"/>
      <c r="P304" s="83"/>
      <c r="Q304" s="83"/>
      <c r="R304" s="84"/>
      <c r="S304" s="84"/>
    </row>
    <row r="305" spans="2:19" ht="14.1" customHeight="1">
      <c r="B305" s="85"/>
      <c r="C305" s="85"/>
      <c r="D305" s="85"/>
      <c r="E305" s="86"/>
      <c r="F305" s="231"/>
      <c r="G305" s="87"/>
      <c r="H305" s="87"/>
      <c r="J305" s="88"/>
      <c r="K305" s="89"/>
      <c r="L305" s="90"/>
      <c r="M305" s="90"/>
      <c r="N305" s="91"/>
      <c r="O305" s="91"/>
      <c r="P305" s="83"/>
      <c r="Q305" s="83"/>
      <c r="R305" s="84"/>
      <c r="S305" s="84"/>
    </row>
    <row r="306" spans="2:19" ht="14.1" customHeight="1">
      <c r="B306" s="85"/>
      <c r="C306" s="85"/>
      <c r="D306" s="85"/>
      <c r="E306" s="86"/>
      <c r="F306" s="231"/>
      <c r="G306" s="87"/>
      <c r="H306" s="87"/>
      <c r="J306" s="88"/>
      <c r="K306" s="89"/>
      <c r="L306" s="90"/>
      <c r="M306" s="90"/>
      <c r="N306" s="91"/>
      <c r="O306" s="91"/>
      <c r="P306" s="83"/>
      <c r="Q306" s="83"/>
      <c r="R306" s="84"/>
      <c r="S306" s="84"/>
    </row>
    <row r="307" spans="2:19" ht="14.1" customHeight="1">
      <c r="B307" s="85"/>
      <c r="C307" s="85"/>
      <c r="D307" s="85"/>
      <c r="E307" s="86"/>
      <c r="F307" s="231"/>
      <c r="G307" s="87"/>
      <c r="H307" s="87"/>
      <c r="J307" s="88"/>
      <c r="K307" s="89"/>
      <c r="L307" s="90"/>
      <c r="M307" s="90"/>
      <c r="N307" s="91"/>
      <c r="O307" s="91"/>
      <c r="P307" s="83"/>
      <c r="Q307" s="83"/>
      <c r="R307" s="84"/>
      <c r="S307" s="84"/>
    </row>
    <row r="308" spans="2:19" ht="14.1" customHeight="1">
      <c r="B308" s="85"/>
      <c r="C308" s="85"/>
      <c r="D308" s="85"/>
      <c r="E308" s="86"/>
      <c r="F308" s="231"/>
      <c r="G308" s="87"/>
      <c r="H308" s="87"/>
      <c r="J308" s="88"/>
      <c r="K308" s="89"/>
      <c r="L308" s="90"/>
      <c r="M308" s="90"/>
      <c r="N308" s="91"/>
      <c r="O308" s="91"/>
      <c r="P308" s="83"/>
      <c r="Q308" s="83"/>
      <c r="R308" s="84"/>
      <c r="S308" s="84"/>
    </row>
    <row r="309" spans="2:19" ht="14.1" customHeight="1">
      <c r="B309" s="85"/>
      <c r="C309" s="85"/>
      <c r="D309" s="85"/>
      <c r="E309" s="86"/>
      <c r="F309" s="231"/>
      <c r="G309" s="87"/>
      <c r="H309" s="87"/>
      <c r="J309" s="88"/>
      <c r="K309" s="89"/>
      <c r="L309" s="90"/>
      <c r="M309" s="90"/>
      <c r="N309" s="91"/>
      <c r="O309" s="91"/>
      <c r="P309" s="83"/>
      <c r="Q309" s="83"/>
      <c r="R309" s="84"/>
      <c r="S309" s="84"/>
    </row>
    <row r="310" spans="2:19" ht="14.1" customHeight="1">
      <c r="B310" s="85"/>
      <c r="C310" s="85"/>
      <c r="D310" s="85"/>
      <c r="E310" s="86"/>
      <c r="F310" s="231"/>
      <c r="G310" s="87"/>
      <c r="H310" s="87"/>
      <c r="J310" s="88"/>
      <c r="K310" s="89"/>
      <c r="L310" s="90"/>
      <c r="M310" s="90"/>
      <c r="N310" s="91"/>
      <c r="O310" s="91"/>
      <c r="P310" s="83"/>
      <c r="Q310" s="83"/>
      <c r="R310" s="84"/>
      <c r="S310" s="84"/>
    </row>
    <row r="311" spans="2:19" ht="14.1" customHeight="1">
      <c r="B311" s="85"/>
      <c r="C311" s="85"/>
      <c r="D311" s="85"/>
      <c r="E311" s="86"/>
      <c r="F311" s="231"/>
      <c r="G311" s="87"/>
      <c r="H311" s="87"/>
      <c r="J311" s="88"/>
      <c r="K311" s="89"/>
      <c r="L311" s="90"/>
      <c r="M311" s="90"/>
      <c r="N311" s="91"/>
      <c r="O311" s="91"/>
      <c r="P311" s="83"/>
      <c r="Q311" s="83"/>
      <c r="R311" s="84"/>
      <c r="S311" s="84"/>
    </row>
    <row r="312" spans="2:19" ht="14.1" customHeight="1">
      <c r="B312" s="85"/>
      <c r="C312" s="85"/>
      <c r="D312" s="85"/>
      <c r="E312" s="86"/>
      <c r="F312" s="231"/>
      <c r="G312" s="87"/>
      <c r="H312" s="87"/>
      <c r="J312" s="88"/>
      <c r="K312" s="89"/>
      <c r="L312" s="90"/>
      <c r="M312" s="90"/>
      <c r="N312" s="91"/>
      <c r="O312" s="91"/>
      <c r="P312" s="83"/>
      <c r="Q312" s="83"/>
      <c r="R312" s="84"/>
      <c r="S312" s="84"/>
    </row>
    <row r="313" spans="2:19" ht="14.1" customHeight="1">
      <c r="B313" s="85"/>
      <c r="C313" s="85"/>
      <c r="D313" s="85"/>
      <c r="E313" s="86"/>
      <c r="F313" s="231"/>
      <c r="G313" s="87"/>
      <c r="H313" s="87"/>
      <c r="J313" s="88"/>
      <c r="K313" s="89"/>
      <c r="L313" s="90"/>
      <c r="M313" s="90"/>
      <c r="N313" s="91"/>
      <c r="O313" s="91"/>
      <c r="P313" s="83"/>
      <c r="Q313" s="83"/>
      <c r="R313" s="84"/>
      <c r="S313" s="84"/>
    </row>
    <row r="314" spans="2:19" ht="14.1" customHeight="1">
      <c r="B314" s="85"/>
      <c r="C314" s="85"/>
      <c r="D314" s="85"/>
      <c r="E314" s="86"/>
      <c r="F314" s="231"/>
      <c r="G314" s="87"/>
      <c r="H314" s="87"/>
      <c r="J314" s="88"/>
      <c r="K314" s="89"/>
      <c r="L314" s="90"/>
      <c r="M314" s="90"/>
      <c r="N314" s="91"/>
      <c r="O314" s="91"/>
      <c r="P314" s="83"/>
      <c r="Q314" s="83"/>
      <c r="R314" s="84"/>
      <c r="S314" s="84"/>
    </row>
    <row r="315" spans="2:19" ht="14.1" customHeight="1">
      <c r="B315" s="85"/>
      <c r="C315" s="85"/>
      <c r="D315" s="85"/>
      <c r="E315" s="86"/>
      <c r="F315" s="231"/>
      <c r="G315" s="87"/>
      <c r="H315" s="87"/>
      <c r="J315" s="88"/>
      <c r="K315" s="89"/>
      <c r="L315" s="90"/>
      <c r="M315" s="90"/>
      <c r="N315" s="91"/>
      <c r="O315" s="91"/>
      <c r="P315" s="83"/>
      <c r="Q315" s="83"/>
      <c r="R315" s="84"/>
      <c r="S315" s="84"/>
    </row>
    <row r="316" spans="2:19" ht="14.1" customHeight="1">
      <c r="B316" s="85"/>
      <c r="C316" s="85"/>
      <c r="D316" s="85"/>
      <c r="E316" s="86"/>
      <c r="F316" s="231"/>
      <c r="G316" s="87"/>
      <c r="H316" s="87"/>
      <c r="J316" s="88"/>
      <c r="K316" s="89"/>
      <c r="L316" s="90"/>
      <c r="M316" s="90"/>
      <c r="N316" s="91"/>
      <c r="O316" s="91"/>
      <c r="P316" s="83"/>
      <c r="Q316" s="83"/>
      <c r="R316" s="84"/>
      <c r="S316" s="84"/>
    </row>
    <row r="317" spans="2:19" ht="14.1" customHeight="1">
      <c r="B317" s="85"/>
      <c r="C317" s="85"/>
      <c r="D317" s="85"/>
      <c r="E317" s="86"/>
      <c r="F317" s="231"/>
      <c r="G317" s="87"/>
      <c r="H317" s="87"/>
      <c r="J317" s="88"/>
      <c r="K317" s="89"/>
      <c r="L317" s="90"/>
      <c r="M317" s="90"/>
      <c r="N317" s="91"/>
      <c r="O317" s="91"/>
      <c r="P317" s="83"/>
      <c r="Q317" s="83"/>
      <c r="R317" s="84"/>
      <c r="S317" s="84"/>
    </row>
    <row r="318" spans="2:19" ht="14.1" customHeight="1">
      <c r="B318" s="85"/>
      <c r="C318" s="85"/>
      <c r="D318" s="85"/>
      <c r="E318" s="86"/>
      <c r="F318" s="231"/>
      <c r="G318" s="87"/>
      <c r="H318" s="87"/>
      <c r="J318" s="88"/>
      <c r="K318" s="89"/>
      <c r="L318" s="90"/>
      <c r="M318" s="90"/>
      <c r="N318" s="91"/>
      <c r="O318" s="91"/>
      <c r="P318" s="83"/>
      <c r="Q318" s="83"/>
      <c r="R318" s="84"/>
      <c r="S318" s="84"/>
    </row>
    <row r="319" spans="2:19" ht="14.1" customHeight="1">
      <c r="B319" s="85"/>
      <c r="C319" s="85"/>
      <c r="D319" s="85"/>
      <c r="E319" s="86"/>
      <c r="F319" s="231"/>
      <c r="G319" s="87"/>
      <c r="H319" s="87"/>
      <c r="J319" s="88"/>
      <c r="K319" s="89"/>
      <c r="L319" s="90"/>
      <c r="M319" s="90"/>
      <c r="N319" s="91"/>
      <c r="O319" s="91"/>
      <c r="P319" s="83"/>
      <c r="Q319" s="83"/>
      <c r="R319" s="84"/>
      <c r="S319" s="84"/>
    </row>
    <row r="320" spans="2:19" ht="14.1" customHeight="1">
      <c r="B320" s="85"/>
      <c r="C320" s="85"/>
      <c r="D320" s="85"/>
      <c r="E320" s="86"/>
      <c r="F320" s="231"/>
      <c r="G320" s="87"/>
      <c r="H320" s="87"/>
      <c r="J320" s="88"/>
      <c r="K320" s="89"/>
      <c r="L320" s="90"/>
      <c r="M320" s="90"/>
      <c r="N320" s="91"/>
      <c r="O320" s="91"/>
      <c r="P320" s="83"/>
      <c r="Q320" s="83"/>
      <c r="R320" s="84"/>
      <c r="S320" s="84"/>
    </row>
    <row r="321" spans="2:19" ht="14.1" customHeight="1">
      <c r="B321" s="85"/>
      <c r="C321" s="85"/>
      <c r="D321" s="85"/>
      <c r="E321" s="86"/>
      <c r="F321" s="231"/>
      <c r="G321" s="87"/>
      <c r="H321" s="87"/>
      <c r="J321" s="88"/>
      <c r="K321" s="89"/>
      <c r="L321" s="90"/>
      <c r="M321" s="90"/>
      <c r="N321" s="91"/>
      <c r="O321" s="91"/>
      <c r="P321" s="83"/>
      <c r="Q321" s="83"/>
      <c r="R321" s="84"/>
      <c r="S321" s="84"/>
    </row>
    <row r="322" spans="2:19" ht="14.1" customHeight="1">
      <c r="B322" s="85"/>
      <c r="C322" s="85"/>
      <c r="D322" s="85"/>
      <c r="E322" s="86"/>
      <c r="F322" s="231"/>
      <c r="G322" s="87"/>
      <c r="H322" s="87"/>
      <c r="J322" s="88"/>
      <c r="K322" s="89"/>
      <c r="L322" s="90"/>
      <c r="M322" s="90"/>
      <c r="N322" s="91"/>
      <c r="O322" s="91"/>
      <c r="P322" s="83"/>
      <c r="Q322" s="83"/>
      <c r="R322" s="84"/>
      <c r="S322" s="84"/>
    </row>
    <row r="323" spans="2:19" ht="14.1" customHeight="1">
      <c r="B323" s="85"/>
      <c r="C323" s="85"/>
      <c r="D323" s="85"/>
      <c r="E323" s="86"/>
      <c r="F323" s="231"/>
      <c r="G323" s="87"/>
      <c r="H323" s="87"/>
      <c r="J323" s="88"/>
      <c r="K323" s="89"/>
      <c r="L323" s="90"/>
      <c r="M323" s="90"/>
      <c r="N323" s="91"/>
      <c r="O323" s="91"/>
      <c r="P323" s="83"/>
      <c r="Q323" s="83"/>
      <c r="R323" s="84"/>
      <c r="S323" s="84"/>
    </row>
    <row r="324" spans="2:19" ht="14.1" customHeight="1">
      <c r="B324" s="85"/>
      <c r="C324" s="85"/>
      <c r="D324" s="85"/>
      <c r="E324" s="86"/>
      <c r="F324" s="231"/>
      <c r="G324" s="87"/>
      <c r="H324" s="87"/>
      <c r="J324" s="88"/>
      <c r="K324" s="89"/>
      <c r="L324" s="90"/>
      <c r="M324" s="90"/>
      <c r="N324" s="91"/>
      <c r="O324" s="91"/>
      <c r="P324" s="83"/>
      <c r="Q324" s="83"/>
      <c r="R324" s="84"/>
      <c r="S324" s="84"/>
    </row>
    <row r="325" spans="2:19" ht="14.1" customHeight="1">
      <c r="B325" s="85"/>
      <c r="C325" s="85"/>
      <c r="D325" s="85"/>
      <c r="E325" s="86"/>
      <c r="F325" s="231"/>
      <c r="G325" s="87"/>
      <c r="H325" s="87"/>
      <c r="J325" s="88"/>
      <c r="K325" s="89"/>
      <c r="L325" s="90"/>
      <c r="M325" s="90"/>
      <c r="N325" s="91"/>
      <c r="O325" s="91"/>
      <c r="P325" s="83"/>
      <c r="Q325" s="83"/>
      <c r="R325" s="84"/>
      <c r="S325" s="84"/>
    </row>
    <row r="326" spans="2:19" ht="14.1" customHeight="1">
      <c r="B326" s="85"/>
      <c r="C326" s="85"/>
      <c r="D326" s="85"/>
      <c r="E326" s="86"/>
      <c r="F326" s="231"/>
      <c r="G326" s="87"/>
      <c r="H326" s="87"/>
      <c r="J326" s="88"/>
      <c r="K326" s="89"/>
      <c r="L326" s="90"/>
      <c r="M326" s="90"/>
      <c r="N326" s="91"/>
      <c r="O326" s="91"/>
      <c r="P326" s="83"/>
      <c r="Q326" s="83"/>
      <c r="R326" s="84"/>
      <c r="S326" s="84"/>
    </row>
    <row r="327" spans="2:19" ht="14.1" customHeight="1">
      <c r="B327" s="85"/>
      <c r="C327" s="85"/>
      <c r="D327" s="85"/>
      <c r="E327" s="86"/>
      <c r="F327" s="231"/>
      <c r="G327" s="87"/>
      <c r="H327" s="87"/>
      <c r="J327" s="88"/>
      <c r="K327" s="89"/>
      <c r="L327" s="90"/>
      <c r="M327" s="90"/>
      <c r="N327" s="91"/>
      <c r="O327" s="91"/>
      <c r="P327" s="83"/>
      <c r="Q327" s="83"/>
      <c r="R327" s="84"/>
      <c r="S327" s="84"/>
    </row>
    <row r="328" spans="2:19" ht="14.1" customHeight="1">
      <c r="B328" s="85"/>
      <c r="C328" s="85"/>
      <c r="D328" s="85"/>
      <c r="E328" s="86"/>
      <c r="F328" s="231"/>
      <c r="G328" s="87"/>
      <c r="H328" s="87"/>
      <c r="J328" s="88"/>
      <c r="K328" s="89"/>
      <c r="L328" s="90"/>
      <c r="M328" s="90"/>
      <c r="N328" s="91"/>
      <c r="O328" s="91"/>
      <c r="P328" s="83"/>
      <c r="Q328" s="83"/>
      <c r="R328" s="84"/>
      <c r="S328" s="84"/>
    </row>
    <row r="329" spans="2:19" ht="14.1" customHeight="1">
      <c r="B329" s="85"/>
      <c r="C329" s="85"/>
      <c r="D329" s="85"/>
      <c r="E329" s="86"/>
      <c r="F329" s="231"/>
      <c r="G329" s="87"/>
      <c r="H329" s="87"/>
      <c r="J329" s="88"/>
      <c r="K329" s="89"/>
      <c r="L329" s="90"/>
      <c r="M329" s="90"/>
      <c r="N329" s="91"/>
      <c r="O329" s="91"/>
      <c r="P329" s="83"/>
      <c r="Q329" s="83"/>
      <c r="R329" s="84"/>
      <c r="S329" s="84"/>
    </row>
    <row r="330" spans="2:19" ht="14.1" customHeight="1">
      <c r="B330" s="85"/>
      <c r="C330" s="85"/>
      <c r="D330" s="85"/>
      <c r="E330" s="86"/>
      <c r="F330" s="231"/>
      <c r="G330" s="87"/>
      <c r="H330" s="87"/>
      <c r="J330" s="88"/>
      <c r="K330" s="89"/>
      <c r="L330" s="90"/>
      <c r="M330" s="90"/>
      <c r="N330" s="91"/>
      <c r="O330" s="91"/>
      <c r="P330" s="83"/>
      <c r="Q330" s="83"/>
      <c r="R330" s="84"/>
      <c r="S330" s="84"/>
    </row>
    <row r="331" spans="2:19" ht="14.1" customHeight="1">
      <c r="B331" s="85"/>
      <c r="C331" s="85"/>
      <c r="D331" s="85"/>
      <c r="E331" s="86"/>
      <c r="F331" s="231"/>
      <c r="G331" s="87"/>
      <c r="H331" s="87"/>
      <c r="J331" s="88"/>
      <c r="K331" s="89"/>
      <c r="L331" s="90"/>
      <c r="M331" s="90"/>
      <c r="N331" s="91"/>
      <c r="O331" s="91"/>
      <c r="P331" s="83"/>
      <c r="Q331" s="83"/>
      <c r="R331" s="84"/>
      <c r="S331" s="84"/>
    </row>
    <row r="332" spans="2:19" ht="14.1" customHeight="1">
      <c r="B332" s="85"/>
      <c r="C332" s="85"/>
      <c r="D332" s="85"/>
      <c r="E332" s="86"/>
      <c r="F332" s="231"/>
      <c r="G332" s="87"/>
      <c r="H332" s="87"/>
      <c r="J332" s="88"/>
      <c r="K332" s="89"/>
      <c r="L332" s="90"/>
      <c r="M332" s="90"/>
      <c r="N332" s="91"/>
      <c r="O332" s="91"/>
      <c r="P332" s="83"/>
      <c r="Q332" s="83"/>
      <c r="R332" s="84"/>
      <c r="S332" s="84"/>
    </row>
    <row r="333" spans="2:19" ht="14.1" customHeight="1">
      <c r="B333" s="85"/>
      <c r="C333" s="85"/>
      <c r="D333" s="85"/>
      <c r="E333" s="86"/>
      <c r="F333" s="231"/>
      <c r="G333" s="87"/>
      <c r="H333" s="87"/>
      <c r="J333" s="88"/>
      <c r="K333" s="89"/>
      <c r="L333" s="90"/>
      <c r="M333" s="90"/>
      <c r="N333" s="91"/>
      <c r="O333" s="91"/>
      <c r="P333" s="83"/>
      <c r="Q333" s="83"/>
      <c r="R333" s="84"/>
      <c r="S333" s="84"/>
    </row>
    <row r="334" spans="2:19" ht="14.1" customHeight="1">
      <c r="B334" s="85"/>
      <c r="C334" s="85"/>
      <c r="D334" s="85"/>
      <c r="E334" s="86"/>
      <c r="F334" s="231"/>
      <c r="G334" s="87"/>
      <c r="H334" s="87"/>
      <c r="J334" s="88"/>
      <c r="K334" s="89"/>
      <c r="L334" s="90"/>
      <c r="M334" s="90"/>
      <c r="N334" s="91"/>
      <c r="O334" s="91"/>
      <c r="P334" s="83"/>
      <c r="Q334" s="83"/>
      <c r="R334" s="84"/>
      <c r="S334" s="84"/>
    </row>
    <row r="335" spans="2:19" ht="14.1" customHeight="1">
      <c r="B335" s="85"/>
      <c r="C335" s="85"/>
      <c r="D335" s="85"/>
      <c r="E335" s="86"/>
      <c r="F335" s="231"/>
      <c r="G335" s="87"/>
      <c r="H335" s="87"/>
      <c r="J335" s="88"/>
      <c r="K335" s="89"/>
      <c r="L335" s="90"/>
      <c r="M335" s="90"/>
      <c r="N335" s="91"/>
      <c r="O335" s="91"/>
      <c r="P335" s="83"/>
      <c r="Q335" s="83"/>
      <c r="R335" s="84"/>
      <c r="S335" s="84"/>
    </row>
    <row r="336" spans="2:19" ht="14.1" customHeight="1">
      <c r="B336" s="85"/>
      <c r="C336" s="85"/>
      <c r="D336" s="85"/>
      <c r="E336" s="86"/>
      <c r="F336" s="231"/>
      <c r="G336" s="87"/>
      <c r="H336" s="87"/>
      <c r="J336" s="88"/>
      <c r="K336" s="89"/>
      <c r="L336" s="90"/>
      <c r="M336" s="90"/>
      <c r="N336" s="91"/>
      <c r="O336" s="91"/>
      <c r="P336" s="83"/>
      <c r="Q336" s="83"/>
      <c r="R336" s="84"/>
      <c r="S336" s="84"/>
    </row>
    <row r="337" spans="2:19" ht="14.1" customHeight="1">
      <c r="B337" s="85"/>
      <c r="C337" s="85"/>
      <c r="D337" s="85"/>
      <c r="E337" s="86"/>
      <c r="F337" s="231"/>
      <c r="G337" s="87"/>
      <c r="H337" s="87"/>
      <c r="J337" s="88"/>
      <c r="K337" s="89"/>
      <c r="L337" s="90"/>
      <c r="M337" s="90"/>
      <c r="N337" s="91"/>
      <c r="O337" s="91"/>
      <c r="P337" s="83"/>
      <c r="Q337" s="83"/>
      <c r="R337" s="84"/>
      <c r="S337" s="84"/>
    </row>
    <row r="338" spans="2:19" ht="14.1" customHeight="1">
      <c r="B338" s="85"/>
      <c r="C338" s="85"/>
      <c r="D338" s="85"/>
      <c r="E338" s="86"/>
      <c r="F338" s="231"/>
      <c r="G338" s="87"/>
      <c r="H338" s="87"/>
      <c r="J338" s="88"/>
      <c r="K338" s="89"/>
      <c r="L338" s="90"/>
      <c r="M338" s="90"/>
      <c r="N338" s="91"/>
      <c r="O338" s="91"/>
      <c r="P338" s="83"/>
      <c r="Q338" s="83"/>
      <c r="R338" s="84"/>
      <c r="S338" s="84"/>
    </row>
    <row r="339" spans="2:19" ht="14.1" customHeight="1">
      <c r="B339" s="85"/>
      <c r="C339" s="85"/>
      <c r="D339" s="85"/>
      <c r="E339" s="86"/>
      <c r="F339" s="231"/>
      <c r="G339" s="87"/>
      <c r="H339" s="87"/>
      <c r="J339" s="88"/>
      <c r="K339" s="89"/>
      <c r="L339" s="90"/>
      <c r="M339" s="90"/>
      <c r="N339" s="91"/>
      <c r="O339" s="91"/>
      <c r="P339" s="83"/>
      <c r="Q339" s="83"/>
      <c r="R339" s="84"/>
      <c r="S339" s="84"/>
    </row>
    <row r="340" spans="2:19" ht="14.1" customHeight="1">
      <c r="B340" s="85"/>
      <c r="C340" s="85"/>
      <c r="D340" s="85"/>
      <c r="E340" s="86"/>
      <c r="F340" s="231"/>
      <c r="G340" s="87"/>
      <c r="H340" s="87"/>
      <c r="J340" s="88"/>
      <c r="K340" s="89"/>
      <c r="L340" s="90"/>
      <c r="M340" s="90"/>
      <c r="N340" s="91"/>
      <c r="O340" s="91"/>
      <c r="P340" s="83"/>
      <c r="Q340" s="83"/>
      <c r="R340" s="84"/>
      <c r="S340" s="84"/>
    </row>
    <row r="341" spans="2:19" ht="14.1" customHeight="1">
      <c r="B341" s="85"/>
      <c r="C341" s="85"/>
      <c r="D341" s="85"/>
      <c r="E341" s="86"/>
      <c r="F341" s="231"/>
      <c r="G341" s="87"/>
      <c r="H341" s="87"/>
      <c r="J341" s="88"/>
      <c r="K341" s="89"/>
      <c r="L341" s="90"/>
      <c r="M341" s="90"/>
      <c r="N341" s="91"/>
      <c r="O341" s="91"/>
      <c r="P341" s="83"/>
      <c r="Q341" s="83"/>
      <c r="R341" s="84"/>
      <c r="S341" s="84"/>
    </row>
    <row r="342" spans="2:19" ht="14.1" customHeight="1">
      <c r="B342" s="85"/>
      <c r="C342" s="85"/>
      <c r="D342" s="85"/>
      <c r="E342" s="86"/>
      <c r="F342" s="231"/>
      <c r="G342" s="87"/>
      <c r="H342" s="87"/>
      <c r="J342" s="88"/>
      <c r="K342" s="89"/>
      <c r="L342" s="90"/>
      <c r="M342" s="90"/>
      <c r="N342" s="91"/>
      <c r="O342" s="91"/>
      <c r="P342" s="83"/>
      <c r="Q342" s="83"/>
      <c r="R342" s="84"/>
      <c r="S342" s="84"/>
    </row>
    <row r="343" spans="2:19" ht="14.1" customHeight="1">
      <c r="B343" s="85"/>
      <c r="C343" s="85"/>
      <c r="D343" s="85"/>
      <c r="E343" s="86"/>
      <c r="F343" s="231"/>
      <c r="G343" s="87"/>
      <c r="H343" s="87"/>
      <c r="J343" s="88"/>
      <c r="K343" s="89"/>
      <c r="L343" s="90"/>
      <c r="M343" s="90"/>
      <c r="N343" s="91"/>
      <c r="O343" s="91"/>
      <c r="P343" s="83"/>
      <c r="Q343" s="83"/>
      <c r="R343" s="84"/>
      <c r="S343" s="84"/>
    </row>
    <row r="344" spans="2:19" ht="14.1" customHeight="1">
      <c r="B344" s="85"/>
      <c r="C344" s="85"/>
      <c r="D344" s="85"/>
      <c r="E344" s="86"/>
      <c r="F344" s="231"/>
      <c r="G344" s="87"/>
      <c r="H344" s="87"/>
      <c r="J344" s="88"/>
      <c r="K344" s="89"/>
      <c r="L344" s="90"/>
      <c r="M344" s="90"/>
      <c r="N344" s="91"/>
      <c r="O344" s="91"/>
      <c r="P344" s="83"/>
      <c r="Q344" s="83"/>
      <c r="R344" s="84"/>
      <c r="S344" s="84"/>
    </row>
    <row r="345" spans="2:19" ht="14.1" customHeight="1">
      <c r="B345" s="85"/>
      <c r="C345" s="85"/>
      <c r="D345" s="85"/>
      <c r="E345" s="86"/>
      <c r="F345" s="231"/>
      <c r="G345" s="87"/>
      <c r="H345" s="87"/>
      <c r="J345" s="88"/>
      <c r="K345" s="89"/>
      <c r="L345" s="90"/>
      <c r="M345" s="90"/>
      <c r="N345" s="91"/>
      <c r="O345" s="91"/>
      <c r="P345" s="83"/>
      <c r="Q345" s="83"/>
      <c r="R345" s="84"/>
      <c r="S345" s="84"/>
    </row>
    <row r="346" spans="2:19" ht="14.1" customHeight="1">
      <c r="B346" s="85"/>
      <c r="C346" s="85"/>
      <c r="D346" s="85"/>
      <c r="E346" s="86"/>
      <c r="F346" s="231"/>
      <c r="G346" s="87"/>
      <c r="H346" s="87"/>
      <c r="J346" s="88"/>
      <c r="K346" s="89"/>
      <c r="L346" s="90"/>
      <c r="M346" s="90"/>
      <c r="N346" s="91"/>
      <c r="O346" s="91"/>
      <c r="P346" s="83"/>
      <c r="Q346" s="83"/>
      <c r="R346" s="84"/>
      <c r="S346" s="84"/>
    </row>
    <row r="347" spans="2:19" ht="14.1" customHeight="1">
      <c r="B347" s="85"/>
      <c r="C347" s="85"/>
      <c r="D347" s="85"/>
      <c r="E347" s="86"/>
      <c r="F347" s="231"/>
      <c r="G347" s="87"/>
      <c r="H347" s="87"/>
      <c r="J347" s="88"/>
      <c r="K347" s="89"/>
      <c r="L347" s="90"/>
      <c r="M347" s="90"/>
      <c r="N347" s="91"/>
      <c r="O347" s="91"/>
      <c r="P347" s="83"/>
      <c r="Q347" s="83"/>
      <c r="R347" s="84"/>
      <c r="S347" s="84"/>
    </row>
    <row r="348" spans="2:19" ht="14.1" customHeight="1">
      <c r="B348" s="85"/>
      <c r="C348" s="85"/>
      <c r="D348" s="85"/>
      <c r="E348" s="86"/>
      <c r="F348" s="231"/>
      <c r="G348" s="87"/>
      <c r="H348" s="87"/>
      <c r="J348" s="88"/>
      <c r="K348" s="89"/>
      <c r="L348" s="90"/>
      <c r="M348" s="90"/>
      <c r="N348" s="91"/>
      <c r="O348" s="91"/>
      <c r="P348" s="83"/>
      <c r="Q348" s="83"/>
      <c r="R348" s="84"/>
      <c r="S348" s="84"/>
    </row>
    <row r="349" spans="2:19" ht="14.1" customHeight="1">
      <c r="B349" s="85"/>
      <c r="C349" s="85"/>
      <c r="D349" s="85"/>
      <c r="E349" s="86"/>
      <c r="F349" s="231"/>
      <c r="G349" s="87"/>
      <c r="H349" s="87"/>
      <c r="J349" s="88"/>
      <c r="K349" s="89"/>
      <c r="L349" s="90"/>
      <c r="M349" s="90"/>
      <c r="N349" s="91"/>
      <c r="O349" s="91"/>
      <c r="P349" s="83"/>
      <c r="Q349" s="83"/>
      <c r="R349" s="84"/>
      <c r="S349" s="84"/>
    </row>
    <row r="350" spans="2:19" ht="14.1" customHeight="1">
      <c r="B350" s="85"/>
      <c r="C350" s="85"/>
      <c r="D350" s="85"/>
      <c r="E350" s="86"/>
      <c r="F350" s="231"/>
      <c r="G350" s="87"/>
      <c r="H350" s="87"/>
      <c r="J350" s="88"/>
      <c r="K350" s="89"/>
      <c r="L350" s="90"/>
      <c r="M350" s="90"/>
      <c r="N350" s="91"/>
      <c r="O350" s="91"/>
      <c r="P350" s="83"/>
      <c r="Q350" s="83"/>
      <c r="R350" s="84"/>
      <c r="S350" s="84"/>
    </row>
    <row r="351" spans="2:19" ht="14.1" customHeight="1">
      <c r="B351" s="85"/>
      <c r="C351" s="85"/>
      <c r="D351" s="85"/>
      <c r="E351" s="86"/>
      <c r="F351" s="231"/>
      <c r="G351" s="87"/>
      <c r="H351" s="87"/>
      <c r="J351" s="88"/>
      <c r="K351" s="89"/>
      <c r="L351" s="90"/>
      <c r="M351" s="90"/>
      <c r="N351" s="91"/>
      <c r="O351" s="91"/>
      <c r="P351" s="83"/>
      <c r="Q351" s="83"/>
      <c r="R351" s="84"/>
      <c r="S351" s="84"/>
    </row>
    <row r="352" spans="2:19" ht="14.1" customHeight="1">
      <c r="B352" s="85"/>
      <c r="C352" s="85"/>
      <c r="D352" s="85"/>
      <c r="E352" s="86"/>
      <c r="F352" s="231"/>
      <c r="G352" s="87"/>
      <c r="H352" s="87"/>
      <c r="J352" s="88"/>
      <c r="K352" s="89"/>
      <c r="L352" s="90"/>
      <c r="M352" s="90"/>
      <c r="N352" s="91"/>
      <c r="O352" s="91"/>
      <c r="P352" s="83"/>
      <c r="Q352" s="83"/>
      <c r="R352" s="84"/>
      <c r="S352" s="84"/>
    </row>
    <row r="353" spans="2:19" ht="14.1" customHeight="1">
      <c r="B353" s="85"/>
      <c r="C353" s="85"/>
      <c r="D353" s="85"/>
      <c r="E353" s="86"/>
      <c r="F353" s="231"/>
      <c r="G353" s="87"/>
      <c r="H353" s="87"/>
      <c r="J353" s="88"/>
      <c r="K353" s="89"/>
      <c r="L353" s="90"/>
      <c r="M353" s="90"/>
      <c r="N353" s="91"/>
      <c r="O353" s="91"/>
      <c r="P353" s="83"/>
      <c r="Q353" s="83"/>
      <c r="R353" s="84"/>
      <c r="S353" s="84"/>
    </row>
    <row r="354" spans="2:19" ht="14.1" customHeight="1">
      <c r="B354" s="85"/>
      <c r="C354" s="85"/>
      <c r="D354" s="85"/>
      <c r="E354" s="86"/>
      <c r="F354" s="231"/>
      <c r="G354" s="87"/>
      <c r="H354" s="87"/>
      <c r="J354" s="88"/>
      <c r="K354" s="89"/>
      <c r="L354" s="90"/>
      <c r="M354" s="90"/>
      <c r="N354" s="91"/>
      <c r="O354" s="91"/>
      <c r="P354" s="83"/>
      <c r="Q354" s="83"/>
      <c r="R354" s="84"/>
      <c r="S354" s="84"/>
    </row>
    <row r="355" spans="2:19" ht="14.1" customHeight="1">
      <c r="B355" s="85"/>
      <c r="C355" s="85"/>
      <c r="D355" s="85"/>
      <c r="E355" s="86"/>
      <c r="F355" s="231"/>
      <c r="G355" s="87"/>
      <c r="H355" s="87"/>
      <c r="J355" s="88"/>
      <c r="K355" s="89"/>
      <c r="L355" s="90"/>
      <c r="M355" s="90"/>
      <c r="N355" s="91"/>
      <c r="O355" s="91"/>
      <c r="P355" s="83"/>
      <c r="Q355" s="83"/>
      <c r="R355" s="84"/>
      <c r="S355" s="84"/>
    </row>
    <row r="356" spans="2:19" ht="14.1" customHeight="1">
      <c r="B356" s="85"/>
      <c r="C356" s="85"/>
      <c r="D356" s="85"/>
      <c r="E356" s="86"/>
      <c r="F356" s="231"/>
      <c r="G356" s="87"/>
      <c r="H356" s="87"/>
      <c r="J356" s="88"/>
      <c r="K356" s="89"/>
      <c r="L356" s="90"/>
      <c r="M356" s="90"/>
      <c r="N356" s="91"/>
      <c r="O356" s="91"/>
      <c r="P356" s="83"/>
      <c r="Q356" s="83"/>
      <c r="R356" s="84"/>
      <c r="S356" s="84"/>
    </row>
    <row r="357" spans="2:19" ht="14.1" customHeight="1">
      <c r="B357" s="85"/>
      <c r="C357" s="85"/>
      <c r="D357" s="85"/>
      <c r="E357" s="86"/>
      <c r="F357" s="231"/>
      <c r="G357" s="87"/>
      <c r="H357" s="87"/>
      <c r="J357" s="88"/>
      <c r="K357" s="89"/>
      <c r="L357" s="90"/>
      <c r="M357" s="90"/>
      <c r="N357" s="91"/>
      <c r="O357" s="91"/>
      <c r="P357" s="83"/>
      <c r="Q357" s="83"/>
      <c r="R357" s="84"/>
      <c r="S357" s="84"/>
    </row>
    <row r="358" spans="2:19" ht="14.1" customHeight="1">
      <c r="B358" s="85"/>
      <c r="C358" s="85"/>
      <c r="D358" s="85"/>
      <c r="E358" s="86"/>
      <c r="F358" s="231"/>
      <c r="G358" s="87"/>
      <c r="H358" s="87"/>
      <c r="J358" s="88"/>
      <c r="K358" s="89"/>
      <c r="L358" s="90"/>
      <c r="M358" s="90"/>
      <c r="N358" s="91"/>
      <c r="O358" s="91"/>
      <c r="P358" s="83"/>
      <c r="Q358" s="83"/>
      <c r="R358" s="84"/>
      <c r="S358" s="84"/>
    </row>
    <row r="359" spans="2:19" ht="14.1" customHeight="1">
      <c r="B359" s="85"/>
      <c r="C359" s="85"/>
      <c r="D359" s="85"/>
      <c r="E359" s="86"/>
      <c r="F359" s="231"/>
      <c r="G359" s="87"/>
      <c r="H359" s="87"/>
      <c r="J359" s="88"/>
      <c r="K359" s="89"/>
      <c r="L359" s="90"/>
      <c r="M359" s="90"/>
      <c r="N359" s="91"/>
      <c r="O359" s="91"/>
      <c r="P359" s="83"/>
      <c r="Q359" s="83"/>
      <c r="R359" s="84"/>
      <c r="S359" s="84"/>
    </row>
    <row r="360" spans="2:19" ht="14.1" customHeight="1">
      <c r="B360" s="85"/>
      <c r="C360" s="85"/>
      <c r="D360" s="85"/>
      <c r="E360" s="86"/>
      <c r="F360" s="231"/>
      <c r="G360" s="87"/>
      <c r="H360" s="87"/>
      <c r="J360" s="88"/>
      <c r="K360" s="89"/>
      <c r="L360" s="90"/>
      <c r="M360" s="90"/>
      <c r="N360" s="91"/>
      <c r="O360" s="91"/>
      <c r="P360" s="83"/>
      <c r="Q360" s="83"/>
      <c r="R360" s="84"/>
      <c r="S360" s="84"/>
    </row>
    <row r="361" spans="2:19" ht="14.1" customHeight="1">
      <c r="B361" s="85"/>
      <c r="C361" s="85"/>
      <c r="D361" s="85"/>
      <c r="E361" s="86"/>
      <c r="F361" s="231"/>
      <c r="G361" s="87"/>
      <c r="H361" s="87"/>
      <c r="J361" s="88"/>
      <c r="K361" s="89"/>
      <c r="L361" s="90"/>
      <c r="M361" s="90"/>
      <c r="N361" s="91"/>
      <c r="O361" s="91"/>
      <c r="P361" s="83"/>
      <c r="Q361" s="83"/>
      <c r="R361" s="84"/>
      <c r="S361" s="84"/>
    </row>
    <row r="362" spans="2:19" ht="14.1" customHeight="1">
      <c r="B362" s="85"/>
      <c r="C362" s="85"/>
      <c r="D362" s="85"/>
      <c r="E362" s="86"/>
      <c r="F362" s="231"/>
      <c r="G362" s="87"/>
      <c r="H362" s="87"/>
      <c r="J362" s="88"/>
      <c r="K362" s="89"/>
      <c r="L362" s="90"/>
      <c r="M362" s="90"/>
      <c r="N362" s="91"/>
      <c r="O362" s="91"/>
      <c r="P362" s="83"/>
      <c r="Q362" s="83"/>
      <c r="R362" s="84"/>
      <c r="S362" s="84"/>
    </row>
    <row r="363" spans="2:19" ht="14.1" customHeight="1">
      <c r="B363" s="85"/>
      <c r="C363" s="85"/>
      <c r="D363" s="85"/>
      <c r="E363" s="86"/>
      <c r="F363" s="231"/>
      <c r="G363" s="87"/>
      <c r="H363" s="87"/>
      <c r="J363" s="88"/>
      <c r="K363" s="89"/>
      <c r="L363" s="90"/>
      <c r="M363" s="90"/>
      <c r="N363" s="91"/>
      <c r="O363" s="91"/>
      <c r="P363" s="83"/>
      <c r="Q363" s="83"/>
      <c r="R363" s="84"/>
      <c r="S363" s="84"/>
    </row>
    <row r="364" spans="2:19" ht="14.1" customHeight="1">
      <c r="B364" s="85"/>
      <c r="C364" s="85"/>
      <c r="D364" s="85"/>
      <c r="E364" s="86"/>
      <c r="F364" s="231"/>
      <c r="G364" s="87"/>
      <c r="H364" s="87"/>
      <c r="J364" s="88"/>
      <c r="K364" s="89"/>
      <c r="L364" s="90"/>
      <c r="M364" s="90"/>
      <c r="N364" s="91"/>
      <c r="O364" s="91"/>
      <c r="P364" s="83"/>
      <c r="Q364" s="83"/>
      <c r="R364" s="84"/>
      <c r="S364" s="84"/>
    </row>
    <row r="365" spans="2:19" ht="14.1" customHeight="1">
      <c r="B365" s="85"/>
      <c r="C365" s="85"/>
      <c r="D365" s="85"/>
      <c r="E365" s="86"/>
      <c r="F365" s="231"/>
      <c r="G365" s="87"/>
      <c r="H365" s="87"/>
      <c r="J365" s="88"/>
      <c r="K365" s="89"/>
      <c r="L365" s="90"/>
      <c r="M365" s="90"/>
      <c r="N365" s="91"/>
      <c r="O365" s="91"/>
      <c r="P365" s="83"/>
      <c r="Q365" s="83"/>
      <c r="R365" s="84"/>
      <c r="S365" s="84"/>
    </row>
    <row r="366" spans="2:19" ht="14.1" customHeight="1">
      <c r="B366" s="85"/>
      <c r="C366" s="85"/>
      <c r="D366" s="85"/>
      <c r="E366" s="86"/>
      <c r="F366" s="231"/>
      <c r="G366" s="87"/>
      <c r="H366" s="87"/>
      <c r="J366" s="88"/>
      <c r="K366" s="89"/>
      <c r="L366" s="90"/>
      <c r="M366" s="90"/>
      <c r="N366" s="91"/>
      <c r="O366" s="91"/>
      <c r="P366" s="83"/>
      <c r="Q366" s="83"/>
      <c r="R366" s="84"/>
      <c r="S366" s="84"/>
    </row>
    <row r="367" spans="2:19" ht="14.1" customHeight="1">
      <c r="B367" s="85"/>
      <c r="C367" s="85"/>
      <c r="D367" s="85"/>
      <c r="E367" s="86"/>
      <c r="F367" s="231"/>
      <c r="G367" s="87"/>
      <c r="H367" s="87"/>
      <c r="J367" s="88"/>
      <c r="K367" s="89"/>
      <c r="L367" s="90"/>
      <c r="M367" s="90"/>
      <c r="N367" s="91"/>
      <c r="O367" s="91"/>
      <c r="P367" s="83"/>
      <c r="Q367" s="83"/>
      <c r="R367" s="84"/>
      <c r="S367" s="84"/>
    </row>
    <row r="368" spans="2:19" ht="14.1" customHeight="1">
      <c r="B368" s="85"/>
      <c r="C368" s="85"/>
      <c r="D368" s="85"/>
      <c r="E368" s="86"/>
      <c r="F368" s="231"/>
      <c r="G368" s="87"/>
      <c r="H368" s="87"/>
      <c r="J368" s="88"/>
      <c r="K368" s="89"/>
      <c r="L368" s="90"/>
      <c r="M368" s="90"/>
      <c r="N368" s="91"/>
      <c r="O368" s="91"/>
      <c r="P368" s="83"/>
      <c r="Q368" s="83"/>
      <c r="R368" s="84"/>
      <c r="S368" s="84"/>
    </row>
    <row r="369" spans="2:19" ht="14.1" customHeight="1">
      <c r="B369" s="85"/>
      <c r="C369" s="85"/>
      <c r="D369" s="85"/>
      <c r="E369" s="86"/>
      <c r="F369" s="231"/>
      <c r="G369" s="87"/>
      <c r="H369" s="87"/>
      <c r="J369" s="88"/>
      <c r="K369" s="89"/>
      <c r="L369" s="90"/>
      <c r="M369" s="90"/>
      <c r="N369" s="91"/>
      <c r="O369" s="91"/>
      <c r="P369" s="83"/>
      <c r="Q369" s="83"/>
      <c r="R369" s="84"/>
      <c r="S369" s="84"/>
    </row>
    <row r="370" spans="2:19" ht="14.1" customHeight="1">
      <c r="B370" s="85"/>
      <c r="C370" s="85"/>
      <c r="D370" s="85"/>
      <c r="E370" s="86"/>
      <c r="F370" s="231"/>
      <c r="G370" s="87"/>
      <c r="H370" s="87"/>
      <c r="J370" s="88"/>
      <c r="K370" s="89"/>
      <c r="L370" s="90"/>
      <c r="M370" s="90"/>
      <c r="N370" s="91"/>
      <c r="O370" s="91"/>
      <c r="P370" s="83"/>
      <c r="Q370" s="83"/>
      <c r="R370" s="84"/>
      <c r="S370" s="84"/>
    </row>
    <row r="371" spans="2:19" ht="14.1" customHeight="1">
      <c r="B371" s="85"/>
      <c r="C371" s="85"/>
      <c r="D371" s="85"/>
      <c r="E371" s="86"/>
      <c r="F371" s="231"/>
      <c r="G371" s="87"/>
      <c r="H371" s="87"/>
      <c r="J371" s="88"/>
      <c r="K371" s="89"/>
      <c r="L371" s="90"/>
      <c r="M371" s="90"/>
      <c r="N371" s="91"/>
      <c r="O371" s="91"/>
      <c r="P371" s="83"/>
      <c r="Q371" s="83"/>
      <c r="R371" s="84"/>
      <c r="S371" s="84"/>
    </row>
    <row r="372" spans="2:19" ht="14.1" customHeight="1">
      <c r="B372" s="85"/>
      <c r="C372" s="85"/>
      <c r="D372" s="85"/>
      <c r="E372" s="86"/>
      <c r="F372" s="231"/>
      <c r="G372" s="87"/>
      <c r="H372" s="87"/>
      <c r="J372" s="88"/>
      <c r="K372" s="89"/>
      <c r="L372" s="90"/>
      <c r="M372" s="90"/>
      <c r="N372" s="91"/>
      <c r="O372" s="91"/>
      <c r="P372" s="83"/>
      <c r="Q372" s="83"/>
      <c r="R372" s="84"/>
      <c r="S372" s="84"/>
    </row>
    <row r="373" spans="2:19" ht="14.1" customHeight="1">
      <c r="B373" s="85"/>
      <c r="C373" s="85"/>
      <c r="D373" s="85"/>
      <c r="E373" s="86"/>
      <c r="F373" s="231"/>
      <c r="G373" s="87"/>
      <c r="H373" s="87"/>
      <c r="J373" s="88"/>
      <c r="K373" s="89"/>
      <c r="L373" s="90"/>
      <c r="M373" s="90"/>
      <c r="N373" s="91"/>
      <c r="O373" s="91"/>
      <c r="P373" s="83"/>
      <c r="Q373" s="83"/>
      <c r="R373" s="84"/>
      <c r="S373" s="84"/>
    </row>
    <row r="374" spans="2:19" ht="14.1" customHeight="1">
      <c r="B374" s="85"/>
      <c r="C374" s="85"/>
      <c r="D374" s="85"/>
      <c r="E374" s="86"/>
      <c r="F374" s="231"/>
      <c r="G374" s="87"/>
      <c r="H374" s="87"/>
      <c r="J374" s="88"/>
      <c r="K374" s="89"/>
      <c r="L374" s="90"/>
      <c r="M374" s="90"/>
      <c r="N374" s="91"/>
      <c r="O374" s="91"/>
      <c r="P374" s="83"/>
      <c r="Q374" s="83"/>
      <c r="R374" s="84"/>
      <c r="S374" s="84"/>
    </row>
    <row r="375" spans="2:19" ht="14.1" customHeight="1">
      <c r="B375" s="85"/>
      <c r="C375" s="85"/>
      <c r="D375" s="85"/>
      <c r="E375" s="86"/>
      <c r="F375" s="231"/>
      <c r="G375" s="87"/>
      <c r="H375" s="87"/>
      <c r="J375" s="88"/>
      <c r="K375" s="89"/>
      <c r="L375" s="90"/>
      <c r="M375" s="90"/>
      <c r="N375" s="91"/>
      <c r="O375" s="91"/>
      <c r="P375" s="83"/>
      <c r="Q375" s="83"/>
      <c r="R375" s="84"/>
      <c r="S375" s="84"/>
    </row>
    <row r="376" spans="2:19" ht="14.1" customHeight="1">
      <c r="B376" s="85"/>
      <c r="C376" s="85"/>
      <c r="D376" s="85"/>
      <c r="E376" s="86"/>
      <c r="F376" s="231"/>
      <c r="G376" s="87"/>
      <c r="H376" s="87"/>
      <c r="J376" s="88"/>
      <c r="K376" s="89"/>
      <c r="L376" s="90"/>
      <c r="M376" s="90"/>
      <c r="N376" s="91"/>
      <c r="O376" s="91"/>
      <c r="P376" s="83"/>
      <c r="Q376" s="83"/>
      <c r="R376" s="84"/>
      <c r="S376" s="84"/>
    </row>
    <row r="377" spans="2:19" ht="14.1" customHeight="1">
      <c r="B377" s="85"/>
      <c r="C377" s="85"/>
      <c r="D377" s="85"/>
      <c r="E377" s="86"/>
      <c r="F377" s="231"/>
      <c r="G377" s="87"/>
      <c r="H377" s="87"/>
      <c r="J377" s="88"/>
      <c r="K377" s="89"/>
      <c r="L377" s="90"/>
      <c r="M377" s="90"/>
      <c r="N377" s="91"/>
      <c r="O377" s="91"/>
      <c r="P377" s="83"/>
      <c r="Q377" s="83"/>
      <c r="R377" s="84"/>
      <c r="S377" s="84"/>
    </row>
    <row r="378" spans="2:19" ht="14.1" customHeight="1">
      <c r="B378" s="85"/>
      <c r="C378" s="85"/>
      <c r="D378" s="85"/>
      <c r="E378" s="86"/>
      <c r="F378" s="231"/>
      <c r="G378" s="87"/>
      <c r="H378" s="87"/>
      <c r="J378" s="88"/>
      <c r="K378" s="89"/>
      <c r="L378" s="90"/>
      <c r="M378" s="90"/>
      <c r="N378" s="91"/>
      <c r="O378" s="91"/>
      <c r="P378" s="83"/>
      <c r="Q378" s="83"/>
      <c r="R378" s="84"/>
      <c r="S378" s="84"/>
    </row>
    <row r="379" spans="2:19" ht="14.1" customHeight="1">
      <c r="B379" s="85"/>
      <c r="C379" s="85"/>
      <c r="D379" s="85"/>
      <c r="E379" s="86"/>
      <c r="F379" s="231"/>
      <c r="G379" s="87"/>
      <c r="H379" s="87"/>
      <c r="J379" s="88"/>
      <c r="K379" s="89"/>
      <c r="L379" s="90"/>
      <c r="M379" s="90"/>
      <c r="N379" s="91"/>
      <c r="O379" s="91"/>
      <c r="P379" s="83"/>
      <c r="Q379" s="83"/>
      <c r="R379" s="84"/>
      <c r="S379" s="84"/>
    </row>
    <row r="380" spans="2:19" ht="14.1" customHeight="1">
      <c r="B380" s="85"/>
      <c r="C380" s="85"/>
      <c r="D380" s="85"/>
      <c r="E380" s="86"/>
      <c r="F380" s="231"/>
      <c r="G380" s="87"/>
      <c r="H380" s="87"/>
      <c r="J380" s="88"/>
      <c r="K380" s="89"/>
      <c r="L380" s="90"/>
      <c r="M380" s="90"/>
      <c r="N380" s="91"/>
      <c r="O380" s="91"/>
      <c r="P380" s="83"/>
      <c r="Q380" s="83"/>
      <c r="R380" s="84"/>
      <c r="S380" s="84"/>
    </row>
    <row r="381" spans="2:19" ht="14.1" customHeight="1">
      <c r="B381" s="85"/>
      <c r="C381" s="85"/>
      <c r="D381" s="85"/>
      <c r="E381" s="86"/>
      <c r="F381" s="231"/>
      <c r="G381" s="87"/>
      <c r="H381" s="87"/>
      <c r="J381" s="88"/>
      <c r="K381" s="89"/>
      <c r="L381" s="90"/>
      <c r="M381" s="90"/>
      <c r="N381" s="91"/>
      <c r="O381" s="91"/>
      <c r="P381" s="83"/>
      <c r="Q381" s="83"/>
      <c r="R381" s="84"/>
      <c r="S381" s="84"/>
    </row>
    <row r="382" spans="2:19" ht="14.1" customHeight="1">
      <c r="B382" s="85"/>
      <c r="C382" s="85"/>
      <c r="D382" s="85"/>
      <c r="E382" s="86"/>
      <c r="F382" s="231"/>
      <c r="G382" s="87"/>
      <c r="H382" s="87"/>
      <c r="J382" s="88"/>
      <c r="K382" s="89"/>
      <c r="L382" s="90"/>
      <c r="M382" s="90"/>
      <c r="N382" s="91"/>
      <c r="O382" s="91"/>
      <c r="P382" s="83"/>
      <c r="Q382" s="83"/>
      <c r="R382" s="84"/>
      <c r="S382" s="84"/>
    </row>
    <row r="383" spans="2:19" ht="14.1" customHeight="1">
      <c r="B383" s="85"/>
      <c r="C383" s="85"/>
      <c r="D383" s="85"/>
      <c r="E383" s="86"/>
      <c r="F383" s="231"/>
      <c r="G383" s="87"/>
      <c r="H383" s="87"/>
      <c r="J383" s="88"/>
      <c r="K383" s="89"/>
      <c r="L383" s="90"/>
      <c r="M383" s="90"/>
      <c r="N383" s="91"/>
      <c r="O383" s="91"/>
      <c r="P383" s="83"/>
      <c r="Q383" s="83"/>
      <c r="R383" s="84"/>
      <c r="S383" s="84"/>
    </row>
    <row r="384" spans="2:19" ht="14.1" customHeight="1">
      <c r="B384" s="85"/>
      <c r="C384" s="85"/>
      <c r="D384" s="85"/>
      <c r="E384" s="86"/>
      <c r="F384" s="231"/>
      <c r="G384" s="87"/>
      <c r="H384" s="87"/>
      <c r="J384" s="88"/>
      <c r="K384" s="89"/>
      <c r="L384" s="90"/>
      <c r="M384" s="90"/>
      <c r="N384" s="91"/>
      <c r="O384" s="91"/>
      <c r="P384" s="83"/>
      <c r="Q384" s="83"/>
      <c r="R384" s="84"/>
      <c r="S384" s="84"/>
    </row>
    <row r="385" spans="2:19" ht="14.1" customHeight="1">
      <c r="B385" s="85"/>
      <c r="C385" s="85"/>
      <c r="D385" s="85"/>
      <c r="E385" s="86"/>
      <c r="F385" s="231"/>
      <c r="G385" s="87"/>
      <c r="H385" s="87"/>
      <c r="J385" s="88"/>
      <c r="K385" s="89"/>
      <c r="L385" s="90"/>
      <c r="M385" s="90"/>
      <c r="N385" s="91"/>
      <c r="O385" s="91"/>
      <c r="P385" s="83"/>
      <c r="Q385" s="83"/>
      <c r="R385" s="84"/>
      <c r="S385" s="84"/>
    </row>
    <row r="386" spans="2:19" ht="14.1" customHeight="1">
      <c r="B386" s="85"/>
      <c r="C386" s="85"/>
      <c r="D386" s="85"/>
      <c r="E386" s="86"/>
      <c r="F386" s="231"/>
      <c r="G386" s="87"/>
      <c r="H386" s="87"/>
      <c r="J386" s="88"/>
      <c r="K386" s="89"/>
      <c r="L386" s="90"/>
      <c r="M386" s="90"/>
      <c r="N386" s="91"/>
      <c r="O386" s="91"/>
      <c r="P386" s="83"/>
      <c r="Q386" s="83"/>
      <c r="R386" s="84"/>
      <c r="S386" s="84"/>
    </row>
    <row r="387" spans="2:19" ht="14.1" customHeight="1">
      <c r="B387" s="85"/>
      <c r="C387" s="85"/>
      <c r="D387" s="85"/>
      <c r="E387" s="86"/>
      <c r="F387" s="231"/>
      <c r="G387" s="87"/>
      <c r="H387" s="87"/>
      <c r="J387" s="88"/>
      <c r="K387" s="89"/>
      <c r="L387" s="90"/>
      <c r="M387" s="90"/>
      <c r="N387" s="91"/>
      <c r="O387" s="91"/>
      <c r="P387" s="83"/>
      <c r="Q387" s="83"/>
      <c r="R387" s="84"/>
      <c r="S387" s="84"/>
    </row>
    <row r="388" spans="2:19" ht="14.1" customHeight="1">
      <c r="B388" s="85"/>
      <c r="C388" s="85"/>
      <c r="D388" s="85"/>
      <c r="E388" s="86"/>
      <c r="F388" s="231"/>
      <c r="G388" s="87"/>
      <c r="H388" s="87"/>
      <c r="J388" s="88"/>
      <c r="K388" s="89"/>
      <c r="L388" s="90"/>
      <c r="M388" s="90"/>
      <c r="N388" s="91"/>
      <c r="O388" s="91"/>
      <c r="P388" s="83"/>
      <c r="Q388" s="83"/>
      <c r="R388" s="84"/>
      <c r="S388" s="84"/>
    </row>
    <row r="389" spans="2:19" ht="14.1" customHeight="1">
      <c r="B389" s="85"/>
      <c r="C389" s="85"/>
      <c r="D389" s="85"/>
      <c r="E389" s="86"/>
      <c r="F389" s="231"/>
      <c r="G389" s="87"/>
      <c r="H389" s="87"/>
      <c r="J389" s="88"/>
      <c r="K389" s="89"/>
      <c r="L389" s="90"/>
      <c r="M389" s="90"/>
      <c r="N389" s="91"/>
      <c r="O389" s="91"/>
      <c r="P389" s="83"/>
      <c r="Q389" s="83"/>
      <c r="R389" s="84"/>
      <c r="S389" s="84"/>
    </row>
    <row r="390" spans="2:19" ht="14.1" customHeight="1">
      <c r="B390" s="85"/>
      <c r="C390" s="85"/>
      <c r="D390" s="85"/>
      <c r="E390" s="86"/>
      <c r="F390" s="231"/>
      <c r="G390" s="87"/>
      <c r="H390" s="87"/>
      <c r="J390" s="88"/>
      <c r="K390" s="89"/>
      <c r="L390" s="90"/>
      <c r="M390" s="90"/>
      <c r="N390" s="91"/>
      <c r="O390" s="91"/>
      <c r="P390" s="83"/>
      <c r="Q390" s="83"/>
      <c r="R390" s="84"/>
      <c r="S390" s="84"/>
    </row>
    <row r="391" spans="2:19" ht="14.1" customHeight="1">
      <c r="B391" s="85"/>
      <c r="C391" s="85"/>
      <c r="D391" s="85"/>
      <c r="E391" s="86"/>
      <c r="F391" s="231"/>
      <c r="G391" s="87"/>
      <c r="H391" s="87"/>
      <c r="J391" s="88"/>
      <c r="K391" s="89"/>
      <c r="L391" s="90"/>
      <c r="M391" s="90"/>
      <c r="N391" s="91"/>
      <c r="O391" s="91"/>
      <c r="P391" s="83"/>
      <c r="Q391" s="83"/>
      <c r="R391" s="84"/>
      <c r="S391" s="84"/>
    </row>
    <row r="392" spans="2:19" ht="14.1" customHeight="1">
      <c r="B392" s="85"/>
      <c r="C392" s="85"/>
      <c r="D392" s="85"/>
      <c r="E392" s="86"/>
      <c r="F392" s="231"/>
      <c r="G392" s="87"/>
      <c r="H392" s="87"/>
      <c r="J392" s="88"/>
      <c r="K392" s="89"/>
      <c r="L392" s="90"/>
      <c r="M392" s="90"/>
      <c r="N392" s="91"/>
      <c r="O392" s="91"/>
      <c r="P392" s="83"/>
      <c r="Q392" s="83"/>
      <c r="R392" s="84"/>
      <c r="S392" s="84"/>
    </row>
    <row r="393" spans="2:19" ht="14.1" customHeight="1">
      <c r="B393" s="85"/>
      <c r="C393" s="85"/>
      <c r="D393" s="85"/>
      <c r="E393" s="86"/>
      <c r="F393" s="231"/>
      <c r="G393" s="87"/>
      <c r="H393" s="87"/>
      <c r="J393" s="88"/>
      <c r="K393" s="89"/>
      <c r="L393" s="90"/>
      <c r="M393" s="90"/>
      <c r="N393" s="91"/>
      <c r="O393" s="91"/>
      <c r="P393" s="83"/>
      <c r="Q393" s="83"/>
      <c r="R393" s="84"/>
      <c r="S393" s="84"/>
    </row>
    <row r="394" spans="2:19" ht="14.1" customHeight="1">
      <c r="B394" s="85"/>
      <c r="C394" s="85"/>
      <c r="D394" s="85"/>
      <c r="E394" s="86"/>
      <c r="F394" s="231"/>
      <c r="G394" s="87"/>
      <c r="H394" s="87"/>
      <c r="J394" s="88"/>
      <c r="K394" s="89"/>
      <c r="L394" s="90"/>
      <c r="M394" s="90"/>
      <c r="N394" s="91"/>
      <c r="O394" s="91"/>
      <c r="P394" s="83"/>
      <c r="Q394" s="83"/>
      <c r="R394" s="84"/>
      <c r="S394" s="84"/>
    </row>
    <row r="395" spans="2:19" ht="14.1" customHeight="1">
      <c r="B395" s="85"/>
      <c r="C395" s="85"/>
      <c r="D395" s="85"/>
      <c r="E395" s="86"/>
      <c r="F395" s="231"/>
      <c r="G395" s="87"/>
      <c r="H395" s="87"/>
      <c r="J395" s="88"/>
      <c r="K395" s="89"/>
      <c r="L395" s="90"/>
      <c r="M395" s="90"/>
      <c r="N395" s="91"/>
      <c r="O395" s="91"/>
      <c r="P395" s="83"/>
      <c r="Q395" s="83"/>
      <c r="R395" s="84"/>
      <c r="S395" s="84"/>
    </row>
    <row r="396" spans="2:19" ht="14.1" customHeight="1">
      <c r="B396" s="85"/>
      <c r="C396" s="85"/>
      <c r="D396" s="85"/>
      <c r="E396" s="86"/>
      <c r="F396" s="231"/>
      <c r="G396" s="87"/>
      <c r="H396" s="87"/>
      <c r="J396" s="88"/>
      <c r="K396" s="89"/>
      <c r="L396" s="90"/>
      <c r="M396" s="90"/>
      <c r="N396" s="91"/>
      <c r="O396" s="91"/>
      <c r="P396" s="83"/>
      <c r="Q396" s="83"/>
      <c r="R396" s="84"/>
      <c r="S396" s="84"/>
    </row>
    <row r="397" spans="2:19" ht="14.1" customHeight="1">
      <c r="B397" s="85"/>
      <c r="C397" s="85"/>
      <c r="D397" s="85"/>
      <c r="E397" s="86"/>
      <c r="F397" s="231"/>
      <c r="G397" s="87"/>
      <c r="H397" s="87"/>
      <c r="J397" s="88"/>
      <c r="K397" s="89"/>
      <c r="L397" s="90"/>
      <c r="M397" s="90"/>
      <c r="N397" s="91"/>
      <c r="O397" s="91"/>
      <c r="P397" s="83"/>
      <c r="Q397" s="83"/>
      <c r="R397" s="84"/>
      <c r="S397" s="84"/>
    </row>
    <row r="398" spans="2:19" ht="14.1" customHeight="1">
      <c r="B398" s="85"/>
      <c r="C398" s="85"/>
      <c r="D398" s="85"/>
      <c r="E398" s="86"/>
      <c r="F398" s="231"/>
      <c r="G398" s="87"/>
      <c r="H398" s="87"/>
      <c r="J398" s="88"/>
      <c r="K398" s="89"/>
      <c r="L398" s="90"/>
      <c r="M398" s="90"/>
      <c r="N398" s="91"/>
      <c r="O398" s="91"/>
      <c r="P398" s="83"/>
      <c r="Q398" s="83"/>
      <c r="R398" s="84"/>
      <c r="S398" s="84"/>
    </row>
    <row r="399" spans="2:19" ht="14.1" customHeight="1">
      <c r="B399" s="85"/>
      <c r="C399" s="85"/>
      <c r="D399" s="85"/>
      <c r="E399" s="86"/>
      <c r="F399" s="231"/>
      <c r="G399" s="87"/>
      <c r="H399" s="87"/>
      <c r="J399" s="88"/>
      <c r="K399" s="89"/>
      <c r="L399" s="90"/>
      <c r="M399" s="90"/>
      <c r="N399" s="91"/>
      <c r="O399" s="91"/>
      <c r="P399" s="83"/>
      <c r="Q399" s="83"/>
      <c r="R399" s="84"/>
      <c r="S399" s="84"/>
    </row>
    <row r="400" spans="2:19" ht="14.1" customHeight="1">
      <c r="B400" s="85"/>
      <c r="C400" s="85"/>
      <c r="D400" s="85"/>
      <c r="E400" s="86"/>
      <c r="F400" s="231"/>
      <c r="G400" s="87"/>
      <c r="H400" s="87"/>
      <c r="J400" s="88"/>
      <c r="K400" s="89"/>
      <c r="L400" s="90"/>
      <c r="M400" s="90"/>
      <c r="N400" s="91"/>
      <c r="O400" s="91"/>
      <c r="P400" s="83"/>
      <c r="Q400" s="83"/>
      <c r="R400" s="84"/>
      <c r="S400" s="84"/>
    </row>
    <row r="401" spans="2:19" ht="14.1" customHeight="1">
      <c r="B401" s="85"/>
      <c r="C401" s="85"/>
      <c r="D401" s="85"/>
      <c r="E401" s="86"/>
      <c r="F401" s="231"/>
      <c r="G401" s="87"/>
      <c r="H401" s="87"/>
      <c r="J401" s="88"/>
      <c r="K401" s="89"/>
      <c r="L401" s="90"/>
      <c r="M401" s="90"/>
      <c r="N401" s="91"/>
      <c r="O401" s="91"/>
      <c r="P401" s="83"/>
      <c r="Q401" s="83"/>
      <c r="R401" s="84"/>
      <c r="S401" s="84"/>
    </row>
    <row r="402" spans="2:19" ht="14.1" customHeight="1">
      <c r="B402" s="85"/>
      <c r="C402" s="85"/>
      <c r="D402" s="85"/>
      <c r="E402" s="86"/>
      <c r="F402" s="231"/>
      <c r="G402" s="87"/>
      <c r="H402" s="87"/>
      <c r="J402" s="88"/>
      <c r="K402" s="89"/>
      <c r="L402" s="90"/>
      <c r="M402" s="90"/>
      <c r="N402" s="91"/>
      <c r="O402" s="91"/>
      <c r="P402" s="83"/>
      <c r="Q402" s="83"/>
      <c r="R402" s="84"/>
      <c r="S402" s="84"/>
    </row>
    <row r="403" spans="2:19" ht="14.1" customHeight="1">
      <c r="B403" s="85"/>
      <c r="C403" s="85"/>
      <c r="D403" s="85"/>
      <c r="E403" s="86"/>
      <c r="F403" s="231"/>
      <c r="G403" s="87"/>
      <c r="H403" s="87"/>
      <c r="J403" s="88"/>
      <c r="K403" s="89"/>
      <c r="L403" s="90"/>
      <c r="M403" s="90"/>
      <c r="N403" s="91"/>
      <c r="O403" s="91"/>
      <c r="P403" s="83"/>
      <c r="Q403" s="83"/>
      <c r="R403" s="84"/>
      <c r="S403" s="84"/>
    </row>
    <row r="404" spans="2:19" ht="14.1" customHeight="1">
      <c r="B404" s="85"/>
      <c r="C404" s="85"/>
      <c r="D404" s="85"/>
      <c r="E404" s="86"/>
      <c r="F404" s="231"/>
      <c r="G404" s="87"/>
      <c r="H404" s="87"/>
      <c r="J404" s="88"/>
      <c r="K404" s="89"/>
      <c r="L404" s="90"/>
      <c r="M404" s="90"/>
      <c r="N404" s="91"/>
      <c r="O404" s="91"/>
      <c r="P404" s="83"/>
      <c r="Q404" s="83"/>
      <c r="R404" s="84"/>
      <c r="S404" s="84"/>
    </row>
    <row r="405" spans="2:19" ht="14.1" customHeight="1">
      <c r="B405" s="85"/>
      <c r="C405" s="85"/>
      <c r="D405" s="85"/>
      <c r="E405" s="86"/>
      <c r="F405" s="231"/>
      <c r="G405" s="87"/>
      <c r="H405" s="87"/>
      <c r="J405" s="88"/>
      <c r="K405" s="89"/>
      <c r="L405" s="90"/>
      <c r="M405" s="90"/>
      <c r="N405" s="91"/>
      <c r="O405" s="91"/>
      <c r="P405" s="83"/>
      <c r="Q405" s="83"/>
      <c r="R405" s="84"/>
      <c r="S405" s="84"/>
    </row>
    <row r="406" spans="2:19" ht="14.1" customHeight="1">
      <c r="B406" s="85"/>
      <c r="C406" s="85"/>
      <c r="D406" s="85"/>
      <c r="E406" s="86"/>
      <c r="F406" s="231"/>
      <c r="G406" s="87"/>
      <c r="H406" s="87"/>
      <c r="J406" s="88"/>
      <c r="K406" s="89"/>
      <c r="L406" s="90"/>
      <c r="M406" s="90"/>
      <c r="N406" s="91"/>
      <c r="O406" s="91"/>
      <c r="P406" s="83"/>
      <c r="Q406" s="83"/>
      <c r="R406" s="84"/>
      <c r="S406" s="84"/>
    </row>
    <row r="407" spans="2:19" ht="14.1" customHeight="1">
      <c r="B407" s="85"/>
      <c r="C407" s="85"/>
      <c r="D407" s="85"/>
      <c r="E407" s="86"/>
      <c r="F407" s="231"/>
      <c r="G407" s="87"/>
      <c r="H407" s="87"/>
      <c r="J407" s="88"/>
      <c r="K407" s="89"/>
      <c r="L407" s="90"/>
      <c r="M407" s="90"/>
      <c r="N407" s="91"/>
      <c r="O407" s="91"/>
      <c r="P407" s="83"/>
      <c r="Q407" s="83"/>
      <c r="R407" s="84"/>
      <c r="S407" s="84"/>
    </row>
    <row r="408" spans="2:19" ht="14.1" customHeight="1">
      <c r="B408" s="85"/>
      <c r="C408" s="85"/>
      <c r="D408" s="85"/>
      <c r="E408" s="86"/>
      <c r="F408" s="231"/>
      <c r="G408" s="87"/>
      <c r="H408" s="87"/>
      <c r="J408" s="88"/>
      <c r="K408" s="89"/>
      <c r="L408" s="90"/>
      <c r="M408" s="90"/>
      <c r="N408" s="91"/>
      <c r="O408" s="91"/>
      <c r="P408" s="83"/>
      <c r="Q408" s="83"/>
      <c r="R408" s="84"/>
      <c r="S408" s="84"/>
    </row>
    <row r="409" spans="2:19" ht="14.1" customHeight="1">
      <c r="B409" s="85"/>
      <c r="C409" s="85"/>
      <c r="D409" s="85"/>
      <c r="E409" s="86"/>
      <c r="F409" s="231"/>
      <c r="G409" s="87"/>
      <c r="H409" s="87"/>
      <c r="J409" s="88"/>
      <c r="K409" s="89"/>
      <c r="L409" s="90"/>
      <c r="M409" s="90"/>
      <c r="N409" s="91"/>
      <c r="O409" s="91"/>
      <c r="P409" s="83"/>
      <c r="Q409" s="83"/>
      <c r="R409" s="84"/>
      <c r="S409" s="84"/>
    </row>
    <row r="410" spans="2:19" ht="14.1" customHeight="1">
      <c r="B410" s="85"/>
      <c r="C410" s="85"/>
      <c r="D410" s="85"/>
      <c r="E410" s="86"/>
      <c r="F410" s="231"/>
      <c r="G410" s="87"/>
      <c r="H410" s="87"/>
      <c r="J410" s="88"/>
      <c r="K410" s="89"/>
      <c r="L410" s="90"/>
      <c r="M410" s="90"/>
      <c r="N410" s="91"/>
      <c r="O410" s="91"/>
      <c r="P410" s="83"/>
      <c r="Q410" s="83"/>
      <c r="R410" s="84"/>
      <c r="S410" s="84"/>
    </row>
    <row r="411" spans="2:19" ht="14.1" customHeight="1">
      <c r="B411" s="85"/>
      <c r="C411" s="85"/>
      <c r="D411" s="85"/>
      <c r="E411" s="86"/>
      <c r="F411" s="231"/>
      <c r="G411" s="87"/>
      <c r="H411" s="87"/>
      <c r="J411" s="88"/>
      <c r="K411" s="89"/>
      <c r="L411" s="90"/>
      <c r="M411" s="90"/>
      <c r="N411" s="91"/>
      <c r="O411" s="91"/>
      <c r="P411" s="83"/>
      <c r="Q411" s="83"/>
      <c r="R411" s="84"/>
      <c r="S411" s="84"/>
    </row>
    <row r="412" spans="2:19" ht="14.1" customHeight="1">
      <c r="B412" s="85"/>
      <c r="C412" s="85"/>
      <c r="D412" s="85"/>
      <c r="E412" s="86"/>
      <c r="F412" s="231"/>
      <c r="G412" s="87"/>
      <c r="H412" s="87"/>
      <c r="J412" s="88"/>
      <c r="K412" s="89"/>
      <c r="L412" s="90"/>
      <c r="M412" s="90"/>
      <c r="N412" s="91"/>
      <c r="O412" s="91"/>
      <c r="P412" s="83"/>
      <c r="Q412" s="83"/>
      <c r="R412" s="84"/>
      <c r="S412" s="84"/>
    </row>
    <row r="413" spans="2:19" ht="14.1" customHeight="1">
      <c r="B413" s="85"/>
      <c r="C413" s="85"/>
      <c r="D413" s="85"/>
      <c r="E413" s="86"/>
      <c r="F413" s="231"/>
      <c r="G413" s="87"/>
      <c r="H413" s="87"/>
      <c r="J413" s="88"/>
      <c r="K413" s="89"/>
      <c r="L413" s="90"/>
      <c r="M413" s="90"/>
      <c r="N413" s="91"/>
      <c r="O413" s="91"/>
      <c r="P413" s="83"/>
      <c r="Q413" s="83"/>
      <c r="R413" s="84"/>
      <c r="S413" s="84"/>
    </row>
    <row r="414" spans="2:19" ht="14.1" customHeight="1">
      <c r="B414" s="85"/>
      <c r="C414" s="85"/>
      <c r="D414" s="85"/>
      <c r="E414" s="86"/>
      <c r="F414" s="231"/>
      <c r="G414" s="87"/>
      <c r="H414" s="87"/>
      <c r="J414" s="88"/>
      <c r="K414" s="89"/>
      <c r="L414" s="90"/>
      <c r="M414" s="90"/>
      <c r="N414" s="91"/>
      <c r="O414" s="91"/>
      <c r="P414" s="83"/>
      <c r="Q414" s="83"/>
      <c r="R414" s="84"/>
      <c r="S414" s="84"/>
    </row>
    <row r="415" spans="2:19" ht="14.1" customHeight="1">
      <c r="B415" s="85"/>
      <c r="C415" s="85"/>
      <c r="D415" s="85"/>
      <c r="E415" s="86"/>
      <c r="F415" s="231"/>
      <c r="G415" s="87"/>
      <c r="H415" s="87"/>
      <c r="J415" s="88"/>
      <c r="K415" s="89"/>
      <c r="L415" s="90"/>
      <c r="M415" s="90"/>
      <c r="N415" s="91"/>
      <c r="O415" s="91"/>
      <c r="P415" s="83"/>
      <c r="Q415" s="83"/>
      <c r="R415" s="84"/>
      <c r="S415" s="84"/>
    </row>
    <row r="416" spans="2:19" ht="14.1" customHeight="1">
      <c r="B416" s="85"/>
      <c r="C416" s="85"/>
      <c r="D416" s="85"/>
      <c r="E416" s="86"/>
      <c r="F416" s="231"/>
      <c r="G416" s="87"/>
      <c r="H416" s="87"/>
      <c r="J416" s="88"/>
      <c r="K416" s="89"/>
      <c r="L416" s="90"/>
      <c r="M416" s="90"/>
      <c r="N416" s="91"/>
      <c r="O416" s="91"/>
      <c r="P416" s="83"/>
      <c r="Q416" s="83"/>
      <c r="R416" s="84"/>
      <c r="S416" s="84"/>
    </row>
    <row r="417" spans="2:19" ht="14.1" customHeight="1">
      <c r="B417" s="85"/>
      <c r="C417" s="85"/>
      <c r="D417" s="85"/>
      <c r="E417" s="86"/>
      <c r="F417" s="231"/>
      <c r="G417" s="87"/>
      <c r="H417" s="87"/>
      <c r="J417" s="88"/>
      <c r="K417" s="89"/>
      <c r="L417" s="90"/>
      <c r="M417" s="90"/>
      <c r="N417" s="91"/>
      <c r="O417" s="91"/>
      <c r="P417" s="83"/>
      <c r="Q417" s="83"/>
      <c r="R417" s="84"/>
      <c r="S417" s="84"/>
    </row>
    <row r="418" spans="2:19" ht="14.1" customHeight="1">
      <c r="B418" s="85"/>
      <c r="C418" s="85"/>
      <c r="D418" s="85"/>
      <c r="E418" s="86"/>
      <c r="F418" s="231"/>
      <c r="G418" s="87"/>
      <c r="H418" s="87"/>
      <c r="J418" s="88"/>
      <c r="K418" s="89"/>
      <c r="L418" s="90"/>
      <c r="M418" s="90"/>
      <c r="N418" s="91"/>
      <c r="O418" s="91"/>
      <c r="P418" s="83"/>
      <c r="Q418" s="83"/>
      <c r="R418" s="84"/>
      <c r="S418" s="84"/>
    </row>
    <row r="419" spans="2:19" ht="14.1" customHeight="1">
      <c r="B419" s="85"/>
      <c r="C419" s="85"/>
      <c r="D419" s="85"/>
      <c r="E419" s="86"/>
      <c r="F419" s="231"/>
      <c r="G419" s="87"/>
      <c r="H419" s="87"/>
      <c r="J419" s="88"/>
      <c r="K419" s="89"/>
      <c r="L419" s="90"/>
      <c r="M419" s="90"/>
      <c r="N419" s="91"/>
      <c r="O419" s="91"/>
      <c r="P419" s="83"/>
      <c r="Q419" s="83"/>
      <c r="R419" s="84"/>
      <c r="S419" s="84"/>
    </row>
    <row r="420" spans="2:19" ht="14.1" customHeight="1">
      <c r="B420" s="85"/>
      <c r="C420" s="85"/>
      <c r="D420" s="85"/>
      <c r="E420" s="86"/>
      <c r="F420" s="231"/>
      <c r="G420" s="87"/>
      <c r="H420" s="87"/>
      <c r="J420" s="88"/>
      <c r="K420" s="89"/>
      <c r="L420" s="90"/>
      <c r="M420" s="90"/>
      <c r="N420" s="91"/>
      <c r="O420" s="91"/>
      <c r="P420" s="83"/>
      <c r="Q420" s="83"/>
      <c r="R420" s="84"/>
      <c r="S420" s="84"/>
    </row>
    <row r="421" spans="2:19" ht="14.1" customHeight="1">
      <c r="B421" s="85"/>
      <c r="C421" s="85"/>
      <c r="D421" s="85"/>
      <c r="E421" s="86"/>
      <c r="F421" s="231"/>
      <c r="G421" s="87"/>
      <c r="H421" s="87"/>
      <c r="J421" s="88"/>
      <c r="K421" s="89"/>
      <c r="L421" s="90"/>
      <c r="M421" s="90"/>
      <c r="N421" s="91"/>
      <c r="O421" s="91"/>
      <c r="P421" s="83"/>
      <c r="Q421" s="83"/>
      <c r="R421" s="84"/>
      <c r="S421" s="84"/>
    </row>
    <row r="422" spans="2:19" ht="14.1" customHeight="1">
      <c r="B422" s="85"/>
      <c r="C422" s="85"/>
      <c r="D422" s="85"/>
      <c r="E422" s="86"/>
      <c r="F422" s="231"/>
      <c r="G422" s="87"/>
      <c r="H422" s="87"/>
      <c r="J422" s="88"/>
      <c r="K422" s="89"/>
      <c r="L422" s="90"/>
      <c r="M422" s="90"/>
      <c r="N422" s="91"/>
      <c r="O422" s="91"/>
      <c r="P422" s="83"/>
      <c r="Q422" s="83"/>
      <c r="R422" s="84"/>
      <c r="S422" s="84"/>
    </row>
    <row r="423" spans="2:19" ht="14.1" customHeight="1">
      <c r="B423" s="85"/>
      <c r="C423" s="85"/>
      <c r="D423" s="85"/>
      <c r="E423" s="86"/>
      <c r="F423" s="231"/>
      <c r="G423" s="87"/>
      <c r="H423" s="87"/>
      <c r="J423" s="88"/>
      <c r="K423" s="89"/>
      <c r="L423" s="90"/>
      <c r="M423" s="90"/>
      <c r="N423" s="91"/>
      <c r="O423" s="91"/>
      <c r="P423" s="83"/>
      <c r="Q423" s="83"/>
      <c r="R423" s="84"/>
      <c r="S423" s="84"/>
    </row>
    <row r="424" spans="2:19" ht="14.1" customHeight="1">
      <c r="B424" s="85"/>
      <c r="C424" s="85"/>
      <c r="D424" s="85"/>
      <c r="E424" s="86"/>
      <c r="F424" s="231"/>
      <c r="G424" s="87"/>
      <c r="H424" s="87"/>
      <c r="J424" s="88"/>
      <c r="K424" s="89"/>
      <c r="L424" s="90"/>
      <c r="M424" s="90"/>
      <c r="N424" s="91"/>
      <c r="O424" s="91"/>
      <c r="P424" s="83"/>
      <c r="Q424" s="83"/>
      <c r="R424" s="84"/>
      <c r="S424" s="84"/>
    </row>
    <row r="425" spans="2:19" ht="14.1" customHeight="1">
      <c r="B425" s="85"/>
      <c r="C425" s="85"/>
      <c r="D425" s="85"/>
      <c r="E425" s="86"/>
      <c r="F425" s="231"/>
      <c r="G425" s="87"/>
      <c r="H425" s="87"/>
      <c r="J425" s="88"/>
      <c r="K425" s="89"/>
      <c r="L425" s="90"/>
      <c r="M425" s="90"/>
      <c r="N425" s="91"/>
      <c r="O425" s="91"/>
      <c r="P425" s="83"/>
      <c r="Q425" s="83"/>
      <c r="R425" s="84"/>
      <c r="S425" s="84"/>
    </row>
    <row r="426" spans="2:19" ht="14.1" customHeight="1">
      <c r="B426" s="85"/>
      <c r="C426" s="85"/>
      <c r="D426" s="85"/>
      <c r="E426" s="86"/>
      <c r="F426" s="231"/>
      <c r="G426" s="87"/>
      <c r="H426" s="87"/>
      <c r="J426" s="88"/>
      <c r="K426" s="89"/>
      <c r="L426" s="90"/>
      <c r="M426" s="90"/>
      <c r="N426" s="91"/>
      <c r="O426" s="91"/>
      <c r="P426" s="83"/>
      <c r="Q426" s="83"/>
      <c r="R426" s="84"/>
      <c r="S426" s="84"/>
    </row>
    <row r="427" spans="2:19" ht="14.1" customHeight="1">
      <c r="B427" s="85"/>
      <c r="C427" s="85"/>
      <c r="D427" s="85"/>
      <c r="E427" s="86"/>
      <c r="F427" s="231"/>
      <c r="G427" s="87"/>
      <c r="H427" s="87"/>
      <c r="J427" s="88"/>
      <c r="K427" s="89"/>
      <c r="L427" s="90"/>
      <c r="M427" s="90"/>
      <c r="N427" s="91"/>
      <c r="O427" s="91"/>
      <c r="P427" s="83"/>
      <c r="Q427" s="83"/>
      <c r="R427" s="84"/>
      <c r="S427" s="84"/>
    </row>
    <row r="428" spans="2:19" ht="14.1" customHeight="1">
      <c r="B428" s="85"/>
      <c r="C428" s="85"/>
      <c r="D428" s="85"/>
      <c r="E428" s="86"/>
      <c r="F428" s="231"/>
      <c r="G428" s="87"/>
      <c r="H428" s="87"/>
      <c r="J428" s="88"/>
      <c r="K428" s="89"/>
      <c r="L428" s="90"/>
      <c r="M428" s="90"/>
      <c r="N428" s="91"/>
      <c r="O428" s="91"/>
      <c r="P428" s="83"/>
      <c r="Q428" s="83"/>
      <c r="R428" s="84"/>
      <c r="S428" s="84"/>
    </row>
    <row r="429" spans="2:19" ht="14.1" customHeight="1">
      <c r="B429" s="85"/>
      <c r="C429" s="85"/>
      <c r="D429" s="85"/>
      <c r="E429" s="86"/>
      <c r="F429" s="231"/>
      <c r="G429" s="87"/>
      <c r="H429" s="87"/>
      <c r="J429" s="88"/>
      <c r="K429" s="89"/>
      <c r="L429" s="90"/>
      <c r="M429" s="90"/>
      <c r="N429" s="91"/>
      <c r="O429" s="91"/>
      <c r="P429" s="83"/>
      <c r="Q429" s="83"/>
      <c r="R429" s="84"/>
      <c r="S429" s="84"/>
    </row>
    <row r="430" spans="2:19" ht="14.1" customHeight="1">
      <c r="B430" s="85"/>
      <c r="C430" s="85"/>
      <c r="D430" s="85"/>
      <c r="E430" s="86"/>
      <c r="F430" s="231"/>
      <c r="G430" s="87"/>
      <c r="H430" s="87"/>
      <c r="J430" s="88"/>
      <c r="K430" s="89"/>
      <c r="L430" s="90"/>
      <c r="M430" s="90"/>
      <c r="N430" s="91"/>
      <c r="O430" s="91"/>
      <c r="P430" s="83"/>
      <c r="Q430" s="83"/>
      <c r="R430" s="84"/>
      <c r="S430" s="84"/>
    </row>
    <row r="431" spans="2:19" ht="14.1" customHeight="1">
      <c r="B431" s="85"/>
      <c r="C431" s="85"/>
      <c r="D431" s="85"/>
      <c r="E431" s="86"/>
      <c r="F431" s="231"/>
      <c r="G431" s="87"/>
      <c r="H431" s="87"/>
      <c r="J431" s="88"/>
      <c r="K431" s="89"/>
      <c r="L431" s="90"/>
      <c r="M431" s="90"/>
      <c r="N431" s="91"/>
      <c r="O431" s="91"/>
      <c r="P431" s="83"/>
      <c r="Q431" s="83"/>
      <c r="R431" s="84"/>
      <c r="S431" s="84"/>
    </row>
    <row r="432" spans="2:19" ht="14.1" customHeight="1">
      <c r="B432" s="85"/>
      <c r="C432" s="85"/>
      <c r="D432" s="85"/>
      <c r="E432" s="86"/>
      <c r="F432" s="231"/>
      <c r="G432" s="87"/>
      <c r="H432" s="87"/>
      <c r="J432" s="88"/>
      <c r="K432" s="89"/>
      <c r="L432" s="90"/>
      <c r="M432" s="90"/>
      <c r="N432" s="91"/>
      <c r="O432" s="91"/>
      <c r="P432" s="83"/>
      <c r="Q432" s="83"/>
      <c r="R432" s="84"/>
      <c r="S432" s="84"/>
    </row>
    <row r="433" spans="2:19" ht="14.1" customHeight="1">
      <c r="B433" s="85"/>
      <c r="C433" s="85"/>
      <c r="D433" s="85"/>
      <c r="E433" s="86"/>
      <c r="F433" s="231"/>
      <c r="G433" s="87"/>
      <c r="H433" s="87"/>
      <c r="J433" s="88"/>
      <c r="K433" s="89"/>
      <c r="L433" s="90"/>
      <c r="M433" s="90"/>
      <c r="N433" s="91"/>
      <c r="O433" s="91"/>
      <c r="P433" s="83"/>
      <c r="Q433" s="83"/>
      <c r="R433" s="84"/>
      <c r="S433" s="84"/>
    </row>
    <row r="434" spans="2:19" ht="14.1" customHeight="1">
      <c r="B434" s="85"/>
      <c r="C434" s="85"/>
      <c r="D434" s="85"/>
      <c r="E434" s="86"/>
      <c r="F434" s="231"/>
      <c r="G434" s="87"/>
      <c r="H434" s="87"/>
      <c r="J434" s="88"/>
      <c r="K434" s="89"/>
      <c r="L434" s="90"/>
      <c r="M434" s="90"/>
      <c r="N434" s="91"/>
      <c r="O434" s="91"/>
      <c r="P434" s="83"/>
      <c r="Q434" s="83"/>
      <c r="R434" s="84"/>
      <c r="S434" s="84"/>
    </row>
    <row r="435" spans="2:19" ht="14.1" customHeight="1">
      <c r="B435" s="85"/>
      <c r="C435" s="85"/>
      <c r="D435" s="85"/>
      <c r="E435" s="86"/>
      <c r="F435" s="231"/>
      <c r="G435" s="87"/>
      <c r="H435" s="87"/>
      <c r="J435" s="88"/>
      <c r="K435" s="89"/>
      <c r="L435" s="90"/>
      <c r="M435" s="90"/>
      <c r="N435" s="91"/>
      <c r="O435" s="91"/>
      <c r="P435" s="83"/>
      <c r="Q435" s="83"/>
      <c r="R435" s="84"/>
      <c r="S435" s="84"/>
    </row>
    <row r="436" spans="2:19" ht="14.1" customHeight="1">
      <c r="B436" s="85"/>
      <c r="C436" s="85"/>
      <c r="D436" s="85"/>
      <c r="E436" s="86"/>
      <c r="F436" s="231"/>
      <c r="G436" s="87"/>
      <c r="H436" s="87"/>
      <c r="J436" s="88"/>
      <c r="K436" s="89"/>
      <c r="L436" s="90"/>
      <c r="M436" s="90"/>
      <c r="N436" s="91"/>
      <c r="O436" s="91"/>
      <c r="P436" s="83"/>
      <c r="Q436" s="83"/>
      <c r="R436" s="84"/>
      <c r="S436" s="84"/>
    </row>
    <row r="437" spans="2:19" ht="14.1" customHeight="1">
      <c r="B437" s="85"/>
      <c r="C437" s="85"/>
      <c r="D437" s="85"/>
      <c r="E437" s="86"/>
      <c r="F437" s="231"/>
      <c r="G437" s="87"/>
      <c r="H437" s="87"/>
      <c r="J437" s="88"/>
      <c r="K437" s="89"/>
      <c r="L437" s="90"/>
      <c r="M437" s="90"/>
      <c r="N437" s="91"/>
      <c r="O437" s="91"/>
      <c r="P437" s="83"/>
      <c r="Q437" s="83"/>
      <c r="R437" s="84"/>
      <c r="S437" s="84"/>
    </row>
  </sheetData>
  <autoFilter ref="B9:U160"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5"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I19" sqref="I19"/>
    </sheetView>
  </sheetViews>
  <sheetFormatPr defaultColWidth="9.28515625" defaultRowHeight="13.5"/>
  <cols>
    <col min="1" max="1" width="45.5703125" style="56" customWidth="1"/>
    <col min="2" max="2" width="18.28515625" style="56" customWidth="1"/>
    <col min="3" max="3" width="18.42578125" style="56"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8">
      <c r="A1" s="456" t="s">
        <v>4</v>
      </c>
      <c r="B1" s="93"/>
      <c r="C1" s="94"/>
      <c r="D1" s="1"/>
      <c r="E1" s="1"/>
      <c r="F1" s="1"/>
      <c r="G1" s="1"/>
    </row>
    <row r="2" spans="1:8">
      <c r="A2" s="94"/>
      <c r="B2" s="94"/>
      <c r="C2" s="94"/>
      <c r="D2" s="1"/>
      <c r="E2" s="1"/>
      <c r="F2" s="1"/>
      <c r="G2" s="1"/>
    </row>
    <row r="3" spans="1:8" ht="15.75">
      <c r="A3" s="39" t="str">
        <f>'2-Kosten per locatie'!A3</f>
        <v>Naam opdrachtgever</v>
      </c>
      <c r="B3" s="47" t="str">
        <f>'2-Kosten per locatie'!B3</f>
        <v>Gemeente Hoorn</v>
      </c>
      <c r="C3" s="94"/>
      <c r="D3" s="1"/>
      <c r="E3" s="31"/>
      <c r="F3" s="1"/>
      <c r="G3" s="1"/>
    </row>
    <row r="4" spans="1:8" ht="15.75">
      <c r="A4" s="39" t="str">
        <f>'2-Kosten per locatie'!A4</f>
        <v>Calculatie onderdeel</v>
      </c>
      <c r="B4" s="47" t="str">
        <f ca="1">MID(CELL("bestandsnaam",$C$9),SEARCH("]",CELL("bestandsnaam",$C$9),1)+1,256)</f>
        <v>5-Premies en opslagen</v>
      </c>
      <c r="C4" s="95"/>
      <c r="D4" s="16"/>
      <c r="E4" s="4"/>
      <c r="F4" s="4"/>
      <c r="G4" s="4"/>
    </row>
    <row r="5" spans="1:8" ht="15.75">
      <c r="A5" s="39" t="str">
        <f>'2-Kosten per locatie'!A5</f>
        <v>Gebouw/plaats</v>
      </c>
      <c r="B5" s="47" t="str">
        <f>'2-Kosten per locatie'!B5</f>
        <v>Hoorn</v>
      </c>
      <c r="C5" s="39"/>
      <c r="D5" s="8"/>
      <c r="E5" s="17"/>
      <c r="F5" s="5"/>
      <c r="G5" s="4"/>
    </row>
    <row r="6" spans="1:8" ht="15.75">
      <c r="A6" s="39" t="str">
        <f>'2-Kosten per locatie'!A6</f>
        <v>Referentie nummer</v>
      </c>
      <c r="B6" s="47" t="str">
        <f>'2-Kosten per locatie'!B6</f>
        <v>CM00005</v>
      </c>
      <c r="C6" s="71"/>
      <c r="D6" s="8"/>
      <c r="E6" s="33"/>
      <c r="F6" s="32"/>
      <c r="G6" s="34"/>
      <c r="H6" s="35"/>
    </row>
    <row r="7" spans="1:8" ht="15.75">
      <c r="A7" s="39" t="str">
        <f>'2-Kosten per locatie'!A7</f>
        <v>Naam dienstverlener</v>
      </c>
      <c r="B7" s="47">
        <f>'2-Kosten per locatie'!B7</f>
        <v>0</v>
      </c>
      <c r="C7" s="71"/>
      <c r="D7" s="8"/>
      <c r="E7" s="17"/>
      <c r="F7" s="5"/>
      <c r="G7" s="4"/>
    </row>
    <row r="8" spans="1:8" ht="15.75">
      <c r="A8" s="39" t="str">
        <f>'2-Kosten per locatie'!A8</f>
        <v>Prijspeil</v>
      </c>
      <c r="B8" s="234">
        <f>'2-Kosten per locatie'!B8</f>
        <v>46023</v>
      </c>
      <c r="C8" s="96"/>
      <c r="D8" s="17"/>
      <c r="E8" s="17"/>
      <c r="F8" s="5"/>
      <c r="G8" s="4"/>
    </row>
    <row r="9" spans="1:8" ht="19.5">
      <c r="A9" s="192"/>
      <c r="B9" s="96"/>
      <c r="C9" s="96"/>
      <c r="D9" s="17"/>
      <c r="E9" s="17"/>
      <c r="F9" s="5"/>
      <c r="G9" s="4"/>
    </row>
    <row r="10" spans="1:8" ht="22.5">
      <c r="A10" s="333" t="s">
        <v>60</v>
      </c>
      <c r="B10" s="334"/>
      <c r="C10" s="335"/>
      <c r="D10" s="17"/>
      <c r="E10" s="17"/>
      <c r="F10" s="5"/>
      <c r="G10" s="4"/>
    </row>
    <row r="11" spans="1:8">
      <c r="A11" s="97"/>
      <c r="B11" s="98"/>
      <c r="C11" s="98"/>
      <c r="D11" s="17"/>
      <c r="E11" s="17"/>
      <c r="F11" s="4"/>
      <c r="G11" s="4"/>
    </row>
    <row r="12" spans="1:8">
      <c r="A12" s="336"/>
      <c r="B12" s="321"/>
      <c r="C12" s="337" t="s">
        <v>61</v>
      </c>
      <c r="D12" s="17"/>
      <c r="E12" s="17"/>
      <c r="F12" s="5"/>
      <c r="G12" s="4"/>
    </row>
    <row r="13" spans="1:8">
      <c r="A13" s="99" t="s">
        <v>62</v>
      </c>
      <c r="B13" s="321"/>
      <c r="C13" s="235">
        <v>0</v>
      </c>
      <c r="D13" s="17"/>
      <c r="E13" s="17"/>
      <c r="F13" s="18"/>
      <c r="G13" s="4"/>
    </row>
    <row r="14" spans="1:8">
      <c r="A14" s="99" t="s">
        <v>63</v>
      </c>
      <c r="B14" s="321"/>
      <c r="C14" s="235">
        <v>0</v>
      </c>
      <c r="D14" s="17"/>
      <c r="E14" s="17"/>
      <c r="F14" s="18"/>
      <c r="G14" s="4"/>
    </row>
    <row r="15" spans="1:8">
      <c r="A15" s="99" t="s">
        <v>64</v>
      </c>
      <c r="B15" s="321"/>
      <c r="C15" s="235">
        <v>0</v>
      </c>
      <c r="D15" s="17"/>
      <c r="E15" s="17"/>
      <c r="F15" s="18"/>
      <c r="G15" s="4"/>
    </row>
    <row r="16" spans="1:8">
      <c r="A16" s="338" t="s">
        <v>23</v>
      </c>
      <c r="B16" s="339"/>
      <c r="C16" s="340">
        <f>SUM(C13:C15)</f>
        <v>0</v>
      </c>
      <c r="D16" s="17"/>
      <c r="E16" s="17"/>
      <c r="F16" s="4"/>
    </row>
    <row r="17" spans="1:7">
      <c r="A17" s="338"/>
      <c r="B17" s="339"/>
      <c r="C17" s="340"/>
      <c r="D17" s="17"/>
      <c r="E17" s="17"/>
      <c r="F17" s="4"/>
    </row>
    <row r="18" spans="1:7">
      <c r="A18" s="485" t="s">
        <v>65</v>
      </c>
      <c r="B18" s="486"/>
      <c r="C18" s="235">
        <v>0</v>
      </c>
      <c r="D18" s="17"/>
      <c r="E18" s="17"/>
      <c r="F18" s="4"/>
    </row>
    <row r="19" spans="1:7">
      <c r="A19" s="99" t="s">
        <v>66</v>
      </c>
      <c r="B19" s="100"/>
      <c r="C19" s="235">
        <v>0</v>
      </c>
      <c r="D19" s="17"/>
      <c r="E19" s="17"/>
      <c r="F19" s="4"/>
    </row>
    <row r="20" spans="1:7">
      <c r="A20" s="485" t="s">
        <v>67</v>
      </c>
      <c r="B20" s="486"/>
      <c r="C20" s="235">
        <v>0</v>
      </c>
      <c r="D20" s="17"/>
      <c r="E20" s="17"/>
      <c r="F20" s="4"/>
    </row>
    <row r="21" spans="1:7">
      <c r="A21" s="485" t="s">
        <v>68</v>
      </c>
      <c r="B21" s="486"/>
      <c r="C21" s="341" t="e">
        <f>C34</f>
        <v>#DIV/0!</v>
      </c>
      <c r="D21" s="17"/>
      <c r="E21" s="17"/>
      <c r="F21" s="4"/>
    </row>
    <row r="22" spans="1:7">
      <c r="A22" s="485" t="s">
        <v>69</v>
      </c>
      <c r="B22" s="486"/>
      <c r="C22" s="235">
        <v>0</v>
      </c>
      <c r="D22" s="17"/>
      <c r="E22" s="17"/>
      <c r="F22" s="4"/>
    </row>
    <row r="23" spans="1:7">
      <c r="A23" s="485" t="s">
        <v>70</v>
      </c>
      <c r="B23" s="486"/>
      <c r="C23" s="235">
        <v>0</v>
      </c>
      <c r="D23" s="17"/>
      <c r="E23" s="17"/>
      <c r="F23" s="4"/>
    </row>
    <row r="24" spans="1:7">
      <c r="A24" s="487" t="s">
        <v>71</v>
      </c>
      <c r="B24" s="488"/>
      <c r="C24" s="342" t="e">
        <f>SUM(C16:C23)</f>
        <v>#DIV/0!</v>
      </c>
      <c r="D24" s="17"/>
      <c r="E24" s="17"/>
      <c r="F24" s="4"/>
    </row>
    <row r="25" spans="1:7">
      <c r="A25" s="101"/>
      <c r="B25" s="102"/>
      <c r="C25" s="103"/>
      <c r="D25" s="17"/>
      <c r="E25" s="17"/>
      <c r="F25" s="7"/>
      <c r="G25" s="4"/>
    </row>
    <row r="26" spans="1:7" ht="22.5">
      <c r="A26" s="333" t="s">
        <v>72</v>
      </c>
      <c r="B26" s="334"/>
      <c r="C26" s="335"/>
      <c r="D26" s="17"/>
      <c r="E26" s="17"/>
      <c r="F26" s="5"/>
      <c r="G26" s="4"/>
    </row>
    <row r="27" spans="1:7">
      <c r="A27" s="97"/>
      <c r="B27" s="98"/>
      <c r="C27" s="98"/>
      <c r="D27" s="17"/>
      <c r="E27" s="17"/>
      <c r="F27" s="4"/>
      <c r="G27" s="4"/>
    </row>
    <row r="28" spans="1:7">
      <c r="A28" s="98"/>
      <c r="B28" s="98"/>
      <c r="C28" s="343" t="s">
        <v>73</v>
      </c>
      <c r="D28" s="17"/>
      <c r="E28" s="17"/>
      <c r="F28" s="4"/>
      <c r="G28" s="4"/>
    </row>
    <row r="29" spans="1:7">
      <c r="A29" s="99" t="s">
        <v>74</v>
      </c>
      <c r="B29" s="321"/>
      <c r="C29" s="344">
        <f>'6-Opbouw uurtarief productie'!E20</f>
        <v>0</v>
      </c>
      <c r="D29" s="17"/>
      <c r="E29" s="17"/>
      <c r="G29" s="4"/>
    </row>
    <row r="30" spans="1:7">
      <c r="A30" s="99" t="s">
        <v>75</v>
      </c>
      <c r="B30" s="104" t="s">
        <v>76</v>
      </c>
      <c r="C30" s="345">
        <v>0</v>
      </c>
      <c r="D30" s="17"/>
      <c r="E30" s="17"/>
      <c r="F30" s="5"/>
      <c r="G30" s="4"/>
    </row>
    <row r="31" spans="1:7">
      <c r="A31" s="99" t="s">
        <v>77</v>
      </c>
      <c r="B31" s="321"/>
      <c r="C31" s="236">
        <f>C29+C30</f>
        <v>0</v>
      </c>
      <c r="D31" s="17"/>
      <c r="E31" s="17"/>
      <c r="F31" s="5"/>
      <c r="G31" s="4"/>
    </row>
    <row r="32" spans="1:7">
      <c r="A32" s="346" t="s">
        <v>78</v>
      </c>
      <c r="B32" s="105"/>
      <c r="C32" s="347">
        <v>0</v>
      </c>
      <c r="E32" s="19"/>
      <c r="F32" s="5"/>
      <c r="G32" s="4"/>
    </row>
    <row r="33" spans="1:7">
      <c r="A33" s="97"/>
      <c r="B33" s="348"/>
      <c r="C33" s="237"/>
      <c r="E33" s="3"/>
      <c r="F33" s="4"/>
      <c r="G33" s="4"/>
    </row>
    <row r="34" spans="1:7">
      <c r="A34" s="349" t="s">
        <v>79</v>
      </c>
      <c r="B34" s="350"/>
      <c r="C34" s="351" t="e">
        <f>(C31/C29)*C32</f>
        <v>#DIV/0!</v>
      </c>
      <c r="E34" s="20"/>
      <c r="F34" s="5"/>
      <c r="G34" s="21"/>
    </row>
    <row r="35" spans="1:7">
      <c r="A35" s="97"/>
      <c r="B35" s="98"/>
      <c r="C35" s="98"/>
      <c r="E35" s="20"/>
      <c r="F35" s="5"/>
      <c r="G35" s="4"/>
    </row>
    <row r="36" spans="1:7" ht="22.5">
      <c r="A36" s="352" t="s">
        <v>80</v>
      </c>
      <c r="B36" s="353"/>
      <c r="C36" s="354"/>
      <c r="E36" s="20"/>
      <c r="F36" s="5"/>
      <c r="G36" s="4"/>
    </row>
    <row r="37" spans="1:7">
      <c r="A37" s="101"/>
      <c r="B37" s="102"/>
      <c r="C37" s="103"/>
      <c r="E37" s="20"/>
      <c r="F37" s="5"/>
      <c r="G37" s="4"/>
    </row>
    <row r="38" spans="1:7" ht="15">
      <c r="A38" s="101"/>
      <c r="B38" s="355" t="s">
        <v>81</v>
      </c>
      <c r="C38" s="103"/>
      <c r="E38" s="20"/>
      <c r="F38" s="5"/>
      <c r="G38" s="4"/>
    </row>
    <row r="39" spans="1:7">
      <c r="A39" s="356" t="s">
        <v>82</v>
      </c>
      <c r="B39" s="357">
        <v>365</v>
      </c>
      <c r="C39" s="103"/>
      <c r="E39" s="20"/>
      <c r="F39" s="5"/>
      <c r="G39" s="9"/>
    </row>
    <row r="40" spans="1:7">
      <c r="A40" s="356" t="s">
        <v>83</v>
      </c>
      <c r="B40" s="357">
        <v>104</v>
      </c>
      <c r="C40" s="103"/>
      <c r="E40" s="20"/>
      <c r="F40" s="5"/>
      <c r="G40" s="9"/>
    </row>
    <row r="41" spans="1:7">
      <c r="A41" s="358" t="s">
        <v>84</v>
      </c>
      <c r="B41" s="359">
        <f>B39-B40</f>
        <v>261</v>
      </c>
      <c r="C41" s="103"/>
      <c r="E41" s="20"/>
      <c r="F41" s="5"/>
      <c r="G41" s="6"/>
    </row>
    <row r="42" spans="1:7">
      <c r="A42" s="360"/>
      <c r="B42" s="361"/>
      <c r="C42" s="103"/>
      <c r="E42" s="20"/>
      <c r="F42" s="5"/>
      <c r="G42" s="6"/>
    </row>
    <row r="43" spans="1:7">
      <c r="A43" s="356" t="s">
        <v>85</v>
      </c>
      <c r="B43" s="362">
        <v>0</v>
      </c>
      <c r="C43" s="103"/>
      <c r="E43" s="20"/>
      <c r="F43" s="5"/>
      <c r="G43" s="6"/>
    </row>
    <row r="44" spans="1:7">
      <c r="A44" s="356" t="s">
        <v>86</v>
      </c>
      <c r="B44" s="362">
        <v>0</v>
      </c>
      <c r="C44" s="103"/>
      <c r="E44" s="20"/>
      <c r="F44" s="5"/>
      <c r="G44" s="6"/>
    </row>
    <row r="45" spans="1:7">
      <c r="A45" s="356" t="s">
        <v>87</v>
      </c>
      <c r="B45" s="362">
        <v>0</v>
      </c>
      <c r="C45" s="103"/>
      <c r="E45" s="20"/>
      <c r="F45" s="5"/>
      <c r="G45" s="6"/>
    </row>
    <row r="46" spans="1:7">
      <c r="A46" s="356" t="s">
        <v>88</v>
      </c>
      <c r="B46" s="362"/>
      <c r="C46" s="103"/>
      <c r="E46" s="20"/>
      <c r="F46" s="5"/>
      <c r="G46" s="6"/>
    </row>
    <row r="47" spans="1:7">
      <c r="A47" s="358" t="s">
        <v>89</v>
      </c>
      <c r="B47" s="359">
        <f>B41-SUM(B43:B46)</f>
        <v>261</v>
      </c>
      <c r="C47" s="103"/>
      <c r="E47" s="20"/>
      <c r="F47" s="5"/>
      <c r="G47" s="6"/>
    </row>
    <row r="48" spans="1:7">
      <c r="A48" s="363"/>
      <c r="B48" s="361"/>
      <c r="C48" s="103"/>
      <c r="E48" s="20"/>
      <c r="F48" s="5"/>
      <c r="G48" s="6"/>
    </row>
    <row r="49" spans="1:7">
      <c r="A49" s="364" t="s">
        <v>90</v>
      </c>
      <c r="B49" s="365">
        <f>IF(B43=0,0,B43/$B$47)</f>
        <v>0</v>
      </c>
      <c r="C49" s="103"/>
      <c r="E49" s="20"/>
      <c r="F49" s="5"/>
      <c r="G49" s="6"/>
    </row>
    <row r="50" spans="1:7">
      <c r="A50" s="364" t="s">
        <v>86</v>
      </c>
      <c r="B50" s="365">
        <f>IF(B44=0,0,B44/$B$47)</f>
        <v>0</v>
      </c>
      <c r="C50" s="103"/>
      <c r="E50" s="20"/>
      <c r="F50" s="5"/>
      <c r="G50" s="6"/>
    </row>
    <row r="51" spans="1:7">
      <c r="A51" s="356" t="s">
        <v>87</v>
      </c>
      <c r="B51" s="365">
        <f>IF(B45=0,0,B45/$B$47)</f>
        <v>0</v>
      </c>
      <c r="C51" s="103"/>
      <c r="E51" s="20"/>
      <c r="F51" s="5"/>
      <c r="G51" s="6"/>
    </row>
    <row r="52" spans="1:7">
      <c r="A52" s="364" t="s">
        <v>88</v>
      </c>
      <c r="B52" s="365">
        <f>IF(B46=0,0,B46/$B$47)</f>
        <v>0</v>
      </c>
      <c r="C52" s="103"/>
      <c r="E52" s="20"/>
      <c r="F52" s="5"/>
      <c r="G52" s="10"/>
    </row>
    <row r="53" spans="1:7">
      <c r="A53" s="358" t="s">
        <v>91</v>
      </c>
      <c r="B53" s="366">
        <f>SUM(B49:B52)</f>
        <v>0</v>
      </c>
      <c r="C53" s="103"/>
      <c r="E53" s="20"/>
      <c r="F53" s="5"/>
      <c r="G53" s="11"/>
    </row>
    <row r="54" spans="1:7">
      <c r="A54" s="106"/>
      <c r="B54" s="106"/>
      <c r="C54" s="106"/>
      <c r="E54" s="20"/>
      <c r="F54" s="5"/>
      <c r="G54" s="1"/>
    </row>
    <row r="55" spans="1:7" ht="31.15" customHeight="1">
      <c r="A55" s="482" t="s">
        <v>92</v>
      </c>
      <c r="B55" s="483"/>
      <c r="C55" s="484"/>
      <c r="E55" s="20"/>
      <c r="F55" s="5"/>
      <c r="G55" s="1"/>
    </row>
    <row r="58" spans="1:7" ht="15">
      <c r="A58" s="107"/>
      <c r="B58" s="108"/>
    </row>
    <row r="59" spans="1:7" ht="15">
      <c r="A59" s="107"/>
      <c r="B59" s="108"/>
    </row>
    <row r="60" spans="1:7" ht="15">
      <c r="A60" s="107"/>
      <c r="B60" s="108"/>
    </row>
    <row r="61" spans="1:7" ht="15">
      <c r="A61" s="107"/>
      <c r="B61" s="108"/>
    </row>
    <row r="62" spans="1:7" ht="15">
      <c r="A62" s="109"/>
      <c r="B62" s="108"/>
    </row>
    <row r="63" spans="1:7" ht="15">
      <c r="A63" s="108"/>
      <c r="B63" s="108"/>
    </row>
    <row r="64" spans="1:7" ht="15">
      <c r="A64" s="108"/>
      <c r="B64" s="108"/>
    </row>
    <row r="65" spans="1:3" ht="15">
      <c r="A65" s="108"/>
      <c r="B65" s="108"/>
    </row>
    <row r="66" spans="1:3" ht="15">
      <c r="A66" s="108"/>
      <c r="B66" s="108"/>
    </row>
    <row r="67" spans="1:3" ht="15">
      <c r="A67" s="108"/>
      <c r="B67" s="108"/>
    </row>
    <row r="68" spans="1:3" ht="15">
      <c r="A68" s="108"/>
      <c r="B68" s="108"/>
    </row>
    <row r="69" spans="1:3" ht="15">
      <c r="A69" s="108"/>
      <c r="B69" s="108"/>
    </row>
    <row r="70" spans="1:3" ht="15">
      <c r="A70" s="108"/>
      <c r="B70" s="110"/>
    </row>
    <row r="71" spans="1:3" ht="15">
      <c r="A71" s="108"/>
      <c r="B71" s="108"/>
    </row>
    <row r="72" spans="1:3" ht="15">
      <c r="B72" s="108"/>
    </row>
    <row r="73" spans="1:3" ht="15">
      <c r="A73" s="108"/>
      <c r="B73" s="108"/>
      <c r="C73" s="108"/>
    </row>
    <row r="74" spans="1:3" ht="15">
      <c r="A74" s="111"/>
      <c r="B74" s="108"/>
      <c r="C74" s="111"/>
    </row>
    <row r="75" spans="1:3" ht="15">
      <c r="A75" s="108"/>
      <c r="B75" s="108"/>
      <c r="C75" s="108"/>
    </row>
    <row r="76" spans="1:3" ht="15">
      <c r="A76" s="108"/>
      <c r="B76" s="108"/>
      <c r="C76" s="108"/>
    </row>
    <row r="77" spans="1:3" ht="15">
      <c r="A77" s="108"/>
      <c r="B77" s="108"/>
      <c r="C77" s="108"/>
    </row>
    <row r="78" spans="1:3" ht="15">
      <c r="A78" s="111"/>
      <c r="B78" s="108"/>
      <c r="C78" s="111"/>
    </row>
    <row r="79" spans="1:3" ht="15">
      <c r="A79" s="111"/>
      <c r="B79" s="108"/>
      <c r="C79" s="111"/>
    </row>
    <row r="80" spans="1:3" ht="15">
      <c r="A80" s="111"/>
      <c r="B80" s="108"/>
      <c r="C80" s="111"/>
    </row>
    <row r="81" spans="1:2" ht="15">
      <c r="A81" s="108"/>
      <c r="B81" s="108"/>
    </row>
    <row r="82" spans="1:2" ht="15">
      <c r="A82" s="108"/>
      <c r="B82" s="108"/>
    </row>
    <row r="83" spans="1:2" ht="15">
      <c r="A83" s="108"/>
      <c r="B83" s="108"/>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C72"/>
  <sheetViews>
    <sheetView showGridLines="0" showZeros="0" showOutlineSymbols="0" zoomScale="90" zoomScaleNormal="90" zoomScalePageLayoutView="50" workbookViewId="0">
      <pane ySplit="10" topLeftCell="A27" activePane="bottomLeft" state="frozen"/>
      <selection activeCell="B1" sqref="B1"/>
      <selection pane="bottomLeft" activeCell="K47" sqref="K47"/>
    </sheetView>
  </sheetViews>
  <sheetFormatPr defaultColWidth="11.42578125" defaultRowHeight="13.5"/>
  <cols>
    <col min="1" max="1" width="35.85546875" style="56" customWidth="1"/>
    <col min="2" max="2" width="21.7109375" style="56" customWidth="1"/>
    <col min="3" max="3" width="19.28515625" style="56" bestFit="1" customWidth="1"/>
    <col min="4" max="4" width="2" style="56" customWidth="1"/>
    <col min="5" max="5" width="14.42578125" style="56" customWidth="1"/>
    <col min="6" max="6" width="12.28515625" style="56" customWidth="1"/>
    <col min="7" max="7" width="6" style="56" customWidth="1"/>
    <col min="8" max="8" width="27.5703125" style="56" customWidth="1"/>
    <col min="9" max="15" width="11.42578125" style="56"/>
    <col min="16" max="16" width="14.5703125" style="56" customWidth="1"/>
    <col min="17" max="17" width="13.42578125" style="56" customWidth="1"/>
    <col min="18" max="20" width="11.42578125" style="56"/>
    <col min="21" max="16384" width="11.42578125" style="2"/>
  </cols>
  <sheetData>
    <row r="1" spans="1:29" ht="12.75" customHeight="1">
      <c r="A1" s="456" t="s">
        <v>4</v>
      </c>
      <c r="B1" s="93"/>
      <c r="C1" s="94"/>
      <c r="D1" s="94"/>
      <c r="E1" s="94"/>
      <c r="F1" s="94"/>
      <c r="H1" s="493"/>
      <c r="I1" s="493"/>
      <c r="J1" s="493"/>
      <c r="K1" s="493"/>
      <c r="L1" s="493"/>
      <c r="M1" s="493"/>
      <c r="N1" s="493"/>
    </row>
    <row r="2" spans="1:29">
      <c r="A2" s="94"/>
      <c r="B2" s="112"/>
      <c r="C2" s="113"/>
      <c r="D2" s="112"/>
      <c r="E2" s="114"/>
      <c r="F2" s="115"/>
      <c r="H2" s="493"/>
      <c r="I2" s="493"/>
      <c r="J2" s="493"/>
      <c r="K2" s="493"/>
      <c r="L2" s="493"/>
      <c r="M2" s="493"/>
      <c r="N2" s="493"/>
    </row>
    <row r="3" spans="1:29" ht="14.25" customHeight="1">
      <c r="A3" s="39" t="str">
        <f>'2-Kosten per locatie'!A3</f>
        <v>Naam opdrachtgever</v>
      </c>
      <c r="B3" s="116" t="str">
        <f>'2-Kosten per locatie'!B3</f>
        <v>Gemeente Hoorn</v>
      </c>
      <c r="C3" s="117"/>
      <c r="D3" s="112"/>
      <c r="E3" s="118"/>
      <c r="F3" s="119"/>
      <c r="H3" s="493"/>
      <c r="I3" s="493"/>
      <c r="J3" s="493"/>
      <c r="K3" s="493"/>
      <c r="L3" s="493"/>
      <c r="M3" s="493"/>
      <c r="N3" s="493"/>
    </row>
    <row r="4" spans="1:29" ht="15.75" customHeight="1">
      <c r="A4" s="39" t="str">
        <f>'2-Kosten per locatie'!A4</f>
        <v>Calculatie onderdeel</v>
      </c>
      <c r="B4" s="120" t="str">
        <f ca="1">MID(CELL("bestandsnaam",$C$9),SEARCH("]",CELL("bestandsnaam",$C$9),1)+1,256)</f>
        <v>6-Opbouw uurtarief productie</v>
      </c>
      <c r="C4" s="121"/>
      <c r="D4" s="122"/>
      <c r="H4" s="493"/>
      <c r="I4" s="493"/>
      <c r="J4" s="493"/>
      <c r="K4" s="493"/>
      <c r="L4" s="493"/>
      <c r="M4" s="493"/>
      <c r="N4" s="493"/>
    </row>
    <row r="5" spans="1:29" ht="15.75">
      <c r="A5" s="39" t="str">
        <f>'2-Kosten per locatie'!A5</f>
        <v>Gebouw/plaats</v>
      </c>
      <c r="B5" s="116" t="str">
        <f>'2-Kosten per locatie'!B5</f>
        <v>Hoorn</v>
      </c>
      <c r="C5" s="121"/>
      <c r="D5" s="122"/>
      <c r="H5" s="493"/>
      <c r="I5" s="493"/>
      <c r="J5" s="493"/>
      <c r="K5" s="493"/>
      <c r="L5" s="493"/>
      <c r="M5" s="493"/>
      <c r="N5" s="493"/>
    </row>
    <row r="6" spans="1:29" ht="15.75">
      <c r="A6" s="39" t="str">
        <f>'2-Kosten per locatie'!A6</f>
        <v>Referentie nummer</v>
      </c>
      <c r="B6" s="116" t="str">
        <f>'2-Kosten per locatie'!B6</f>
        <v>CM00005</v>
      </c>
      <c r="C6" s="121"/>
      <c r="D6" s="122"/>
      <c r="H6" s="123"/>
      <c r="I6" s="123"/>
      <c r="J6" s="123"/>
      <c r="K6" s="123"/>
      <c r="L6" s="123"/>
      <c r="M6" s="123"/>
      <c r="N6" s="123"/>
    </row>
    <row r="7" spans="1:29" ht="15.75">
      <c r="A7" s="39" t="str">
        <f>'2-Kosten per locatie'!A7</f>
        <v>Naam dienstverlener</v>
      </c>
      <c r="B7" s="116">
        <f>'2-Kosten per locatie'!B7</f>
        <v>0</v>
      </c>
      <c r="C7" s="121"/>
      <c r="D7" s="122"/>
      <c r="H7" s="123"/>
      <c r="I7" s="123"/>
      <c r="J7" s="123"/>
      <c r="K7" s="123"/>
      <c r="L7" s="123"/>
      <c r="M7" s="123"/>
      <c r="N7" s="123"/>
    </row>
    <row r="8" spans="1:29" ht="15.75">
      <c r="A8" s="39" t="str">
        <f>'2-Kosten per locatie'!A8</f>
        <v>Prijspeil</v>
      </c>
      <c r="B8" s="256">
        <f>'2-Kosten per locatie'!B8</f>
        <v>46023</v>
      </c>
      <c r="C8" s="121"/>
      <c r="D8" s="122"/>
      <c r="L8" s="123"/>
      <c r="M8" s="123"/>
      <c r="N8" s="123"/>
      <c r="O8" s="124"/>
      <c r="P8" s="124"/>
      <c r="Q8" s="124"/>
      <c r="R8" s="124"/>
      <c r="S8" s="124"/>
      <c r="T8" s="124"/>
    </row>
    <row r="9" spans="1:29" ht="15.75">
      <c r="A9" s="125"/>
      <c r="B9" s="126"/>
      <c r="C9" s="127"/>
      <c r="D9" s="122"/>
      <c r="E9" s="128"/>
      <c r="F9" s="129"/>
    </row>
    <row r="10" spans="1:29" s="22" customFormat="1" ht="30.75" customHeight="1">
      <c r="A10" s="195" t="s">
        <v>93</v>
      </c>
      <c r="B10" s="367"/>
      <c r="C10" s="368"/>
      <c r="D10" s="193"/>
      <c r="E10" s="491" t="s">
        <v>94</v>
      </c>
      <c r="F10" s="492"/>
      <c r="G10" s="194"/>
      <c r="H10" s="195" t="s">
        <v>95</v>
      </c>
      <c r="I10" s="489" t="s">
        <v>422</v>
      </c>
      <c r="J10" s="490"/>
      <c r="K10" s="490"/>
      <c r="L10" s="490"/>
      <c r="M10" s="490"/>
      <c r="N10" s="490"/>
      <c r="O10" s="124"/>
      <c r="P10" s="124"/>
      <c r="Q10" s="124"/>
      <c r="R10" s="124"/>
      <c r="S10" s="124"/>
      <c r="T10" s="124"/>
      <c r="U10" s="2"/>
    </row>
    <row r="11" spans="1:29" ht="30" customHeight="1">
      <c r="A11" s="136"/>
      <c r="B11" s="369" t="s">
        <v>96</v>
      </c>
      <c r="C11" s="370" t="s">
        <v>96</v>
      </c>
      <c r="D11" s="122"/>
      <c r="E11" s="238"/>
      <c r="F11" s="371"/>
      <c r="H11" s="136"/>
      <c r="I11" s="259">
        <v>1</v>
      </c>
      <c r="J11" s="259">
        <v>2</v>
      </c>
      <c r="K11" s="259">
        <v>3</v>
      </c>
      <c r="L11" s="259">
        <v>4</v>
      </c>
      <c r="M11" s="259">
        <v>5</v>
      </c>
      <c r="N11" s="259">
        <v>6</v>
      </c>
      <c r="P11" s="451"/>
    </row>
    <row r="12" spans="1:29">
      <c r="A12" s="136" t="s">
        <v>97</v>
      </c>
      <c r="B12" s="372" t="s">
        <v>98</v>
      </c>
      <c r="C12" s="373"/>
      <c r="D12" s="122"/>
      <c r="E12" s="239">
        <f>SUM(I40:N40)</f>
        <v>0</v>
      </c>
      <c r="F12" s="240"/>
      <c r="H12" s="136" t="s">
        <v>99</v>
      </c>
      <c r="I12" s="260"/>
      <c r="J12" s="260"/>
      <c r="K12" s="260"/>
      <c r="L12" s="260"/>
      <c r="M12" s="260"/>
      <c r="N12" s="260"/>
      <c r="P12" s="452"/>
      <c r="V12" s="450"/>
      <c r="W12" s="450"/>
      <c r="X12" s="450"/>
      <c r="Y12" s="450"/>
      <c r="Z12" s="450"/>
      <c r="AA12" s="450"/>
      <c r="AB12" s="450"/>
      <c r="AC12" s="450"/>
    </row>
    <row r="13" spans="1:29">
      <c r="A13" s="136" t="s">
        <v>100</v>
      </c>
      <c r="B13" s="372" t="s">
        <v>98</v>
      </c>
      <c r="C13" s="374"/>
      <c r="D13" s="122"/>
      <c r="E13" s="241">
        <v>0</v>
      </c>
      <c r="F13" s="240"/>
      <c r="H13" s="136" t="s">
        <v>101</v>
      </c>
      <c r="I13" s="260"/>
      <c r="J13" s="260"/>
      <c r="K13" s="260"/>
      <c r="L13" s="260"/>
      <c r="M13" s="260"/>
      <c r="N13" s="260"/>
      <c r="P13" s="453"/>
      <c r="V13" s="450"/>
      <c r="W13" s="450"/>
      <c r="X13" s="450"/>
      <c r="Y13" s="450"/>
      <c r="Z13" s="450"/>
      <c r="AA13" s="450"/>
      <c r="AB13" s="450"/>
      <c r="AC13" s="450"/>
    </row>
    <row r="14" spans="1:29">
      <c r="A14" s="375" t="s">
        <v>103</v>
      </c>
      <c r="B14" s="376"/>
      <c r="C14" s="377"/>
      <c r="D14" s="133"/>
      <c r="E14" s="242">
        <f>SUM(E12:E13)</f>
        <v>0</v>
      </c>
      <c r="F14" s="240"/>
      <c r="H14" s="136" t="s">
        <v>102</v>
      </c>
      <c r="I14" s="260"/>
      <c r="J14" s="260"/>
      <c r="K14" s="260"/>
      <c r="L14" s="260"/>
      <c r="M14" s="260"/>
      <c r="N14" s="260"/>
      <c r="P14" s="454"/>
      <c r="V14" s="450"/>
      <c r="W14" s="450"/>
      <c r="X14" s="450"/>
      <c r="Y14" s="450"/>
      <c r="Z14" s="450"/>
      <c r="AA14" s="450"/>
      <c r="AB14" s="450"/>
      <c r="AC14" s="450"/>
    </row>
    <row r="15" spans="1:29">
      <c r="A15" s="131"/>
      <c r="B15" s="378"/>
      <c r="C15" s="379"/>
      <c r="D15" s="122"/>
      <c r="E15" s="243"/>
      <c r="F15" s="240"/>
      <c r="H15" s="136" t="s">
        <v>104</v>
      </c>
      <c r="I15" s="260"/>
      <c r="J15" s="260"/>
      <c r="K15" s="260"/>
      <c r="L15" s="260"/>
      <c r="M15" s="260"/>
      <c r="N15" s="260"/>
      <c r="V15" s="450"/>
      <c r="W15" s="450"/>
      <c r="X15" s="450"/>
      <c r="Y15" s="450"/>
      <c r="Z15" s="450"/>
      <c r="AA15" s="450"/>
      <c r="AB15" s="450"/>
      <c r="AC15" s="450"/>
    </row>
    <row r="16" spans="1:29">
      <c r="A16" s="380" t="s">
        <v>106</v>
      </c>
      <c r="B16" s="372" t="s">
        <v>98</v>
      </c>
      <c r="C16" s="381">
        <v>0</v>
      </c>
      <c r="D16" s="122"/>
      <c r="E16" s="244">
        <f>$C16*E14</f>
        <v>0</v>
      </c>
      <c r="F16" s="240"/>
      <c r="H16" s="136" t="s">
        <v>105</v>
      </c>
      <c r="I16" s="260"/>
      <c r="J16" s="260"/>
      <c r="K16" s="260"/>
      <c r="L16" s="260"/>
      <c r="M16" s="260"/>
      <c r="N16" s="260"/>
      <c r="V16" s="450"/>
      <c r="W16" s="450"/>
      <c r="X16" s="450"/>
      <c r="Y16" s="450"/>
      <c r="Z16" s="450"/>
      <c r="AA16" s="450"/>
      <c r="AB16" s="450"/>
      <c r="AC16" s="450"/>
    </row>
    <row r="17" spans="1:29">
      <c r="A17" s="380" t="s">
        <v>108</v>
      </c>
      <c r="B17" s="372" t="s">
        <v>98</v>
      </c>
      <c r="C17" s="381">
        <v>0</v>
      </c>
      <c r="D17" s="122"/>
      <c r="E17" s="245">
        <f>$C17*E14</f>
        <v>0</v>
      </c>
      <c r="F17" s="240"/>
      <c r="H17" s="136" t="s">
        <v>107</v>
      </c>
      <c r="I17" s="260"/>
      <c r="J17" s="260"/>
      <c r="K17" s="260"/>
      <c r="L17" s="260"/>
      <c r="M17" s="260"/>
      <c r="N17" s="260"/>
      <c r="V17" s="450"/>
      <c r="W17" s="450"/>
      <c r="X17" s="450"/>
      <c r="Y17" s="450"/>
      <c r="Z17" s="450"/>
      <c r="AA17" s="450"/>
      <c r="AB17" s="450"/>
      <c r="AC17" s="450"/>
    </row>
    <row r="18" spans="1:29">
      <c r="A18" s="375" t="s">
        <v>110</v>
      </c>
      <c r="B18" s="382"/>
      <c r="C18" s="132"/>
      <c r="D18" s="122"/>
      <c r="E18" s="242">
        <f>SUM(E14:E17)</f>
        <v>0</v>
      </c>
      <c r="F18" s="383">
        <f>IF(E18=0,0,E18/E$46)</f>
        <v>0</v>
      </c>
      <c r="H18" s="136" t="s">
        <v>109</v>
      </c>
      <c r="I18" s="260"/>
      <c r="J18" s="260"/>
      <c r="K18" s="260"/>
      <c r="L18" s="260"/>
      <c r="M18" s="260"/>
      <c r="N18" s="260"/>
      <c r="V18" s="450"/>
      <c r="W18" s="450"/>
      <c r="X18" s="450"/>
      <c r="Y18" s="450"/>
      <c r="Z18" s="450"/>
      <c r="AA18" s="450"/>
      <c r="AB18" s="450"/>
      <c r="AC18" s="450"/>
    </row>
    <row r="19" spans="1:29">
      <c r="A19" s="131"/>
      <c r="B19" s="378"/>
      <c r="C19" s="379"/>
      <c r="D19" s="122"/>
      <c r="E19" s="243"/>
      <c r="F19" s="240"/>
      <c r="V19" s="450"/>
      <c r="W19" s="450"/>
      <c r="X19" s="450"/>
      <c r="Y19" s="450"/>
      <c r="Z19" s="450"/>
      <c r="AA19" s="450"/>
      <c r="AB19" s="450"/>
      <c r="AC19" s="450"/>
    </row>
    <row r="20" spans="1:29" ht="14.25">
      <c r="A20" s="384" t="s">
        <v>112</v>
      </c>
      <c r="B20" s="385"/>
      <c r="C20" s="379"/>
      <c r="D20" s="134"/>
      <c r="E20" s="246">
        <f>E18*0.96</f>
        <v>0</v>
      </c>
      <c r="F20" s="247"/>
      <c r="G20" s="135"/>
      <c r="H20" s="195" t="s">
        <v>95</v>
      </c>
      <c r="I20" s="494" t="s">
        <v>111</v>
      </c>
      <c r="J20" s="495"/>
      <c r="K20" s="495"/>
      <c r="L20" s="495"/>
      <c r="M20" s="495"/>
      <c r="N20" s="496"/>
      <c r="W20" s="450"/>
      <c r="X20" s="450"/>
      <c r="Y20" s="450"/>
      <c r="Z20" s="450"/>
      <c r="AA20" s="450"/>
      <c r="AB20" s="450"/>
      <c r="AC20" s="450"/>
    </row>
    <row r="21" spans="1:29">
      <c r="A21" s="380" t="s">
        <v>113</v>
      </c>
      <c r="B21" s="385"/>
      <c r="C21" s="386" t="s">
        <v>114</v>
      </c>
      <c r="D21" s="122"/>
      <c r="E21" s="244" t="e">
        <f>E20*'5-Premies en opslagen'!$C24</f>
        <v>#DIV/0!</v>
      </c>
      <c r="F21" s="240"/>
      <c r="H21" s="136"/>
      <c r="I21" s="259">
        <v>1</v>
      </c>
      <c r="J21" s="259">
        <v>2</v>
      </c>
      <c r="K21" s="259">
        <v>3</v>
      </c>
      <c r="L21" s="259">
        <v>4</v>
      </c>
      <c r="M21" s="259">
        <v>5</v>
      </c>
      <c r="N21" s="259">
        <v>6</v>
      </c>
      <c r="O21" s="255"/>
      <c r="W21" s="450"/>
      <c r="X21" s="450"/>
      <c r="Y21" s="450"/>
      <c r="Z21" s="450"/>
      <c r="AA21" s="450"/>
      <c r="AB21" s="450"/>
      <c r="AC21" s="450"/>
    </row>
    <row r="22" spans="1:29" s="14" customFormat="1">
      <c r="A22" s="375" t="s">
        <v>115</v>
      </c>
      <c r="B22" s="388"/>
      <c r="C22" s="132"/>
      <c r="D22" s="122"/>
      <c r="E22" s="242" t="e">
        <f>E21+E18</f>
        <v>#DIV/0!</v>
      </c>
      <c r="F22" s="383" t="e">
        <f>IF(E22=0,0,E22/E$46)</f>
        <v>#DIV/0!</v>
      </c>
      <c r="G22" s="56"/>
      <c r="H22" s="136" t="s">
        <v>99</v>
      </c>
      <c r="I22" s="387"/>
      <c r="J22" s="387"/>
      <c r="K22" s="387"/>
      <c r="L22" s="387"/>
      <c r="M22" s="387"/>
      <c r="N22" s="387"/>
      <c r="O22" s="225"/>
      <c r="P22" s="56"/>
      <c r="Q22" s="56"/>
      <c r="R22" s="56"/>
      <c r="S22" s="56"/>
      <c r="T22" s="56"/>
      <c r="U22" s="2"/>
      <c r="W22" s="450"/>
      <c r="X22" s="450"/>
      <c r="Y22" s="450"/>
      <c r="Z22" s="450"/>
      <c r="AA22" s="450"/>
      <c r="AB22" s="450"/>
      <c r="AC22" s="450"/>
    </row>
    <row r="23" spans="1:29" ht="14.25" customHeight="1">
      <c r="A23" s="131"/>
      <c r="B23" s="382"/>
      <c r="C23" s="132"/>
      <c r="D23" s="122"/>
      <c r="E23" s="238"/>
      <c r="F23" s="240"/>
      <c r="H23" s="136" t="s">
        <v>101</v>
      </c>
      <c r="I23" s="387"/>
      <c r="J23" s="387"/>
      <c r="K23" s="387"/>
      <c r="L23" s="387"/>
      <c r="M23" s="387"/>
      <c r="N23" s="387"/>
      <c r="O23" s="225"/>
      <c r="W23" s="450"/>
      <c r="X23" s="450"/>
      <c r="Y23" s="450"/>
      <c r="Z23" s="450"/>
      <c r="AA23" s="450"/>
      <c r="AB23" s="450"/>
      <c r="AC23" s="450"/>
    </row>
    <row r="24" spans="1:29" ht="12.75" customHeight="1">
      <c r="A24" s="380" t="s">
        <v>116</v>
      </c>
      <c r="B24" s="385"/>
      <c r="C24" s="386" t="s">
        <v>114</v>
      </c>
      <c r="D24" s="122"/>
      <c r="E24" s="244" t="e">
        <f>E22*'5-Premies en opslagen'!$B53</f>
        <v>#DIV/0!</v>
      </c>
      <c r="F24" s="240"/>
      <c r="H24" s="136" t="s">
        <v>102</v>
      </c>
      <c r="I24" s="387"/>
      <c r="J24" s="387"/>
      <c r="K24" s="387"/>
      <c r="L24" s="387"/>
      <c r="M24" s="387"/>
      <c r="N24" s="387"/>
      <c r="O24" s="225"/>
      <c r="W24" s="450"/>
      <c r="X24" s="450"/>
      <c r="Y24" s="450"/>
      <c r="Z24" s="450"/>
      <c r="AA24" s="450"/>
      <c r="AB24" s="450"/>
      <c r="AC24" s="450"/>
    </row>
    <row r="25" spans="1:29" ht="12.75" customHeight="1">
      <c r="A25" s="375" t="s">
        <v>117</v>
      </c>
      <c r="B25" s="382"/>
      <c r="C25" s="132"/>
      <c r="D25" s="122"/>
      <c r="E25" s="242" t="e">
        <f>SUM(E22:E24)</f>
        <v>#DIV/0!</v>
      </c>
      <c r="F25" s="383" t="e">
        <f>IF(E25=0,0,E25/E$46)</f>
        <v>#DIV/0!</v>
      </c>
      <c r="H25" s="136" t="s">
        <v>104</v>
      </c>
      <c r="I25" s="387"/>
      <c r="J25" s="387"/>
      <c r="K25" s="387"/>
      <c r="L25" s="387"/>
      <c r="M25" s="387"/>
      <c r="N25" s="387"/>
      <c r="O25" s="225"/>
      <c r="W25" s="450"/>
      <c r="X25" s="450"/>
      <c r="Y25" s="450"/>
      <c r="Z25" s="450"/>
      <c r="AA25" s="450"/>
      <c r="AB25" s="450"/>
      <c r="AC25" s="450"/>
    </row>
    <row r="26" spans="1:29">
      <c r="A26" s="131"/>
      <c r="B26" s="382"/>
      <c r="C26" s="132"/>
      <c r="D26" s="122"/>
      <c r="E26" s="238"/>
      <c r="F26" s="240"/>
      <c r="H26" s="136" t="s">
        <v>105</v>
      </c>
      <c r="I26" s="387"/>
      <c r="J26" s="387"/>
      <c r="K26" s="387"/>
      <c r="L26" s="387"/>
      <c r="M26" s="387"/>
      <c r="N26" s="387"/>
      <c r="O26" s="225"/>
      <c r="U26" s="56"/>
    </row>
    <row r="27" spans="1:29">
      <c r="A27" s="131" t="s">
        <v>118</v>
      </c>
      <c r="B27" s="389"/>
      <c r="C27" s="374" t="s">
        <v>119</v>
      </c>
      <c r="D27" s="122"/>
      <c r="E27" s="241">
        <v>0</v>
      </c>
      <c r="F27" s="240">
        <v>0</v>
      </c>
      <c r="H27" s="136" t="s">
        <v>107</v>
      </c>
      <c r="I27" s="387"/>
      <c r="J27" s="387"/>
      <c r="K27" s="387"/>
      <c r="L27" s="387"/>
      <c r="M27" s="387"/>
      <c r="N27" s="387"/>
      <c r="O27" s="225"/>
      <c r="U27" s="56"/>
    </row>
    <row r="28" spans="1:29">
      <c r="A28" s="131" t="s">
        <v>120</v>
      </c>
      <c r="B28" s="390"/>
      <c r="C28" s="374" t="s">
        <v>119</v>
      </c>
      <c r="D28" s="122"/>
      <c r="E28" s="241">
        <v>0</v>
      </c>
      <c r="F28" s="240">
        <v>0</v>
      </c>
      <c r="H28" s="136" t="s">
        <v>109</v>
      </c>
      <c r="I28" s="387"/>
      <c r="J28" s="387"/>
      <c r="K28" s="387"/>
      <c r="L28" s="387"/>
      <c r="M28" s="387"/>
      <c r="N28" s="387"/>
      <c r="O28" s="225"/>
      <c r="U28" s="56"/>
    </row>
    <row r="29" spans="1:29">
      <c r="A29" s="131"/>
      <c r="B29" s="382"/>
      <c r="C29" s="132" t="s">
        <v>96</v>
      </c>
      <c r="D29" s="122"/>
      <c r="E29" s="238"/>
      <c r="F29" s="240"/>
      <c r="H29" s="137" t="s">
        <v>121</v>
      </c>
      <c r="I29" s="391">
        <f t="shared" ref="I29:N29" si="0">SUM(I22:I28)</f>
        <v>0</v>
      </c>
      <c r="J29" s="391">
        <f t="shared" si="0"/>
        <v>0</v>
      </c>
      <c r="K29" s="391">
        <f t="shared" si="0"/>
        <v>0</v>
      </c>
      <c r="L29" s="391">
        <f t="shared" si="0"/>
        <v>0</v>
      </c>
      <c r="M29" s="391">
        <f t="shared" si="0"/>
        <v>0</v>
      </c>
      <c r="N29" s="391">
        <f t="shared" si="0"/>
        <v>0</v>
      </c>
      <c r="O29" s="392">
        <f>SUM(I29:N29)</f>
        <v>0</v>
      </c>
    </row>
    <row r="30" spans="1:29">
      <c r="A30" s="393"/>
      <c r="B30" s="394"/>
      <c r="C30" s="395" t="s">
        <v>96</v>
      </c>
      <c r="D30" s="122"/>
      <c r="E30" s="241"/>
      <c r="F30" s="240"/>
      <c r="H30" s="135"/>
      <c r="I30" s="135"/>
      <c r="J30" s="135"/>
      <c r="K30" s="135"/>
      <c r="L30" s="135"/>
      <c r="M30" s="135"/>
      <c r="N30" s="135"/>
    </row>
    <row r="31" spans="1:29" ht="12.75" customHeight="1">
      <c r="A31" s="375" t="s">
        <v>124</v>
      </c>
      <c r="B31" s="382"/>
      <c r="C31" s="132"/>
      <c r="D31" s="122"/>
      <c r="E31" s="242" t="e">
        <f>SUM(E25:E30)</f>
        <v>#DIV/0!</v>
      </c>
      <c r="F31" s="383" t="e">
        <f>IF(E31=0,0,E31/E$46)</f>
        <v>#DIV/0!</v>
      </c>
      <c r="H31" s="195" t="s">
        <v>95</v>
      </c>
      <c r="I31" s="489" t="s">
        <v>123</v>
      </c>
      <c r="J31" s="490"/>
      <c r="K31" s="490"/>
      <c r="L31" s="490"/>
      <c r="M31" s="490"/>
      <c r="N31" s="490"/>
    </row>
    <row r="32" spans="1:29" ht="12.75" customHeight="1">
      <c r="A32" s="131"/>
      <c r="B32" s="382"/>
      <c r="C32" s="132"/>
      <c r="D32" s="122"/>
      <c r="E32" s="238"/>
      <c r="F32" s="240"/>
      <c r="H32" s="136"/>
      <c r="I32" s="259">
        <v>1</v>
      </c>
      <c r="J32" s="259">
        <v>2</v>
      </c>
      <c r="K32" s="259">
        <v>3</v>
      </c>
      <c r="L32" s="259">
        <v>4</v>
      </c>
      <c r="M32" s="259">
        <v>5</v>
      </c>
      <c r="N32" s="259">
        <v>6</v>
      </c>
    </row>
    <row r="33" spans="1:22" ht="12.75" customHeight="1">
      <c r="A33" s="131" t="s">
        <v>125</v>
      </c>
      <c r="B33" s="382"/>
      <c r="C33" s="396"/>
      <c r="D33" s="122"/>
      <c r="E33" s="241">
        <v>0</v>
      </c>
      <c r="F33" s="248" t="e">
        <f t="shared" ref="F33:F41" si="1">E33/$E$46</f>
        <v>#DIV/0!</v>
      </c>
      <c r="H33" s="136" t="s">
        <v>99</v>
      </c>
      <c r="I33" s="257">
        <f>I22*I12</f>
        <v>0</v>
      </c>
      <c r="J33" s="257">
        <f t="shared" ref="J33:N33" si="2">J22*J12</f>
        <v>0</v>
      </c>
      <c r="K33" s="257">
        <f t="shared" si="2"/>
        <v>0</v>
      </c>
      <c r="L33" s="257">
        <f t="shared" si="2"/>
        <v>0</v>
      </c>
      <c r="M33" s="257">
        <f t="shared" si="2"/>
        <v>0</v>
      </c>
      <c r="N33" s="459">
        <f t="shared" si="2"/>
        <v>0</v>
      </c>
      <c r="S33" s="69"/>
      <c r="T33" s="69"/>
      <c r="U33" s="457"/>
      <c r="V33" s="457"/>
    </row>
    <row r="34" spans="1:22" ht="12.75" customHeight="1">
      <c r="A34" s="131" t="s">
        <v>126</v>
      </c>
      <c r="B34" s="382"/>
      <c r="C34" s="396"/>
      <c r="D34" s="122"/>
      <c r="E34" s="241">
        <v>0</v>
      </c>
      <c r="F34" s="248" t="e">
        <f t="shared" si="1"/>
        <v>#DIV/0!</v>
      </c>
      <c r="H34" s="136" t="s">
        <v>101</v>
      </c>
      <c r="I34" s="257">
        <f t="shared" ref="I34:N34" si="3">I23*I13</f>
        <v>0</v>
      </c>
      <c r="J34" s="257">
        <f t="shared" si="3"/>
        <v>0</v>
      </c>
      <c r="K34" s="257">
        <f t="shared" si="3"/>
        <v>0</v>
      </c>
      <c r="L34" s="257">
        <f t="shared" si="3"/>
        <v>0</v>
      </c>
      <c r="M34" s="257">
        <f t="shared" si="3"/>
        <v>0</v>
      </c>
      <c r="N34" s="459">
        <f t="shared" si="3"/>
        <v>0</v>
      </c>
      <c r="S34" s="69"/>
      <c r="T34" s="69"/>
      <c r="U34" s="457"/>
      <c r="V34" s="457"/>
    </row>
    <row r="35" spans="1:22" ht="12.75" customHeight="1">
      <c r="A35" s="131" t="s">
        <v>127</v>
      </c>
      <c r="B35" s="382"/>
      <c r="C35" s="396"/>
      <c r="D35" s="122"/>
      <c r="E35" s="241">
        <v>0</v>
      </c>
      <c r="F35" s="248" t="e">
        <f t="shared" si="1"/>
        <v>#DIV/0!</v>
      </c>
      <c r="H35" s="136" t="s">
        <v>102</v>
      </c>
      <c r="I35" s="257">
        <f t="shared" ref="I35:N35" si="4">I24*I14</f>
        <v>0</v>
      </c>
      <c r="J35" s="257">
        <f t="shared" si="4"/>
        <v>0</v>
      </c>
      <c r="K35" s="257">
        <f t="shared" si="4"/>
        <v>0</v>
      </c>
      <c r="L35" s="257">
        <f t="shared" si="4"/>
        <v>0</v>
      </c>
      <c r="M35" s="257">
        <f t="shared" si="4"/>
        <v>0</v>
      </c>
      <c r="N35" s="459">
        <f t="shared" si="4"/>
        <v>0</v>
      </c>
      <c r="O35" s="135"/>
    </row>
    <row r="36" spans="1:22" ht="14.25" customHeight="1">
      <c r="A36" s="131" t="s">
        <v>128</v>
      </c>
      <c r="B36" s="382"/>
      <c r="C36" s="397"/>
      <c r="D36" s="122"/>
      <c r="E36" s="241">
        <v>0</v>
      </c>
      <c r="F36" s="248" t="e">
        <f t="shared" si="1"/>
        <v>#DIV/0!</v>
      </c>
      <c r="H36" s="136" t="s">
        <v>104</v>
      </c>
      <c r="I36" s="257">
        <f t="shared" ref="I36:N36" si="5">I25*I15</f>
        <v>0</v>
      </c>
      <c r="J36" s="257">
        <f t="shared" si="5"/>
        <v>0</v>
      </c>
      <c r="K36" s="257">
        <f t="shared" si="5"/>
        <v>0</v>
      </c>
      <c r="L36" s="257">
        <f t="shared" si="5"/>
        <v>0</v>
      </c>
      <c r="M36" s="257">
        <f t="shared" si="5"/>
        <v>0</v>
      </c>
      <c r="N36" s="459">
        <f t="shared" si="5"/>
        <v>0</v>
      </c>
      <c r="O36" s="135"/>
    </row>
    <row r="37" spans="1:22">
      <c r="A37" s="131" t="s">
        <v>129</v>
      </c>
      <c r="B37" s="382"/>
      <c r="C37" s="396"/>
      <c r="D37" s="122"/>
      <c r="E37" s="241">
        <v>0</v>
      </c>
      <c r="F37" s="248" t="e">
        <f t="shared" si="1"/>
        <v>#DIV/0!</v>
      </c>
      <c r="H37" s="136" t="s">
        <v>105</v>
      </c>
      <c r="I37" s="257">
        <f t="shared" ref="I37:N37" si="6">I26*I16</f>
        <v>0</v>
      </c>
      <c r="J37" s="257">
        <f t="shared" si="6"/>
        <v>0</v>
      </c>
      <c r="K37" s="257">
        <f t="shared" si="6"/>
        <v>0</v>
      </c>
      <c r="L37" s="257">
        <f t="shared" si="6"/>
        <v>0</v>
      </c>
      <c r="M37" s="257">
        <f t="shared" si="6"/>
        <v>0</v>
      </c>
      <c r="N37" s="459">
        <f t="shared" si="6"/>
        <v>0</v>
      </c>
      <c r="O37" s="135"/>
    </row>
    <row r="38" spans="1:22">
      <c r="A38" s="131" t="s">
        <v>130</v>
      </c>
      <c r="B38" s="382"/>
      <c r="C38" s="397"/>
      <c r="D38" s="122"/>
      <c r="E38" s="241">
        <v>0</v>
      </c>
      <c r="F38" s="248" t="e">
        <f t="shared" si="1"/>
        <v>#DIV/0!</v>
      </c>
      <c r="H38" s="136" t="s">
        <v>107</v>
      </c>
      <c r="I38" s="257">
        <f t="shared" ref="I38:N38" si="7">I27*I17</f>
        <v>0</v>
      </c>
      <c r="J38" s="257">
        <f t="shared" si="7"/>
        <v>0</v>
      </c>
      <c r="K38" s="257">
        <f t="shared" si="7"/>
        <v>0</v>
      </c>
      <c r="L38" s="257">
        <f t="shared" si="7"/>
        <v>0</v>
      </c>
      <c r="M38" s="257">
        <f t="shared" si="7"/>
        <v>0</v>
      </c>
      <c r="N38" s="459">
        <f t="shared" si="7"/>
        <v>0</v>
      </c>
      <c r="O38" s="135"/>
    </row>
    <row r="39" spans="1:22">
      <c r="A39" s="131" t="s">
        <v>131</v>
      </c>
      <c r="B39" s="382"/>
      <c r="C39" s="374" t="s">
        <v>119</v>
      </c>
      <c r="D39" s="122"/>
      <c r="E39" s="241">
        <v>0</v>
      </c>
      <c r="F39" s="248" t="e">
        <f t="shared" si="1"/>
        <v>#DIV/0!</v>
      </c>
      <c r="H39" s="136" t="s">
        <v>109</v>
      </c>
      <c r="I39" s="257">
        <f t="shared" ref="I39:N39" si="8">I28*I18</f>
        <v>0</v>
      </c>
      <c r="J39" s="257">
        <f t="shared" si="8"/>
        <v>0</v>
      </c>
      <c r="K39" s="257">
        <f t="shared" si="8"/>
        <v>0</v>
      </c>
      <c r="L39" s="257">
        <f t="shared" si="8"/>
        <v>0</v>
      </c>
      <c r="M39" s="257">
        <f t="shared" si="8"/>
        <v>0</v>
      </c>
      <c r="N39" s="459">
        <f t="shared" si="8"/>
        <v>0</v>
      </c>
      <c r="O39" s="135"/>
    </row>
    <row r="40" spans="1:22">
      <c r="A40" s="131" t="s">
        <v>132</v>
      </c>
      <c r="B40" s="382"/>
      <c r="C40" s="374"/>
      <c r="D40" s="122"/>
      <c r="E40" s="241">
        <v>0</v>
      </c>
      <c r="F40" s="248" t="e">
        <f t="shared" si="1"/>
        <v>#DIV/0!</v>
      </c>
      <c r="H40" s="137" t="s">
        <v>121</v>
      </c>
      <c r="I40" s="258">
        <f t="shared" ref="I40:N40" si="9">SUM(I33:I39)</f>
        <v>0</v>
      </c>
      <c r="J40" s="258">
        <f t="shared" si="9"/>
        <v>0</v>
      </c>
      <c r="K40" s="258">
        <f t="shared" si="9"/>
        <v>0</v>
      </c>
      <c r="L40" s="258">
        <f t="shared" si="9"/>
        <v>0</v>
      </c>
      <c r="M40" s="258">
        <f t="shared" si="9"/>
        <v>0</v>
      </c>
      <c r="N40" s="258">
        <f t="shared" si="9"/>
        <v>0</v>
      </c>
      <c r="O40" s="135"/>
    </row>
    <row r="41" spans="1:22">
      <c r="A41" s="393"/>
      <c r="B41" s="394"/>
      <c r="C41" s="398"/>
      <c r="D41" s="122"/>
      <c r="E41" s="241">
        <v>0</v>
      </c>
      <c r="F41" s="248" t="e">
        <f t="shared" si="1"/>
        <v>#DIV/0!</v>
      </c>
      <c r="H41" s="135"/>
      <c r="I41" s="135"/>
      <c r="J41" s="135"/>
      <c r="K41" s="135"/>
      <c r="L41" s="135"/>
      <c r="M41" s="135"/>
      <c r="N41" s="135"/>
      <c r="O41" s="135"/>
    </row>
    <row r="42" spans="1:22">
      <c r="A42" s="375" t="s">
        <v>133</v>
      </c>
      <c r="B42" s="382"/>
      <c r="C42" s="132"/>
      <c r="D42" s="122"/>
      <c r="E42" s="242" t="e">
        <f>SUM(E31:E41)</f>
        <v>#DIV/0!</v>
      </c>
      <c r="F42" s="383" t="e">
        <f>IF(E42=0,0,E42/E$46)</f>
        <v>#DIV/0!</v>
      </c>
      <c r="H42" s="135"/>
      <c r="I42" s="135"/>
      <c r="J42" s="135"/>
      <c r="K42" s="135"/>
      <c r="L42" s="135"/>
      <c r="M42" s="135"/>
      <c r="N42" s="135"/>
      <c r="O42" s="135"/>
    </row>
    <row r="43" spans="1:22" ht="42.75">
      <c r="A43" s="131"/>
      <c r="B43" s="382"/>
      <c r="C43" s="132"/>
      <c r="D43" s="122"/>
      <c r="E43" s="238"/>
      <c r="F43" s="249"/>
      <c r="H43" s="195" t="s">
        <v>134</v>
      </c>
      <c r="I43" s="367"/>
      <c r="J43" s="368"/>
      <c r="K43" s="196" t="s">
        <v>94</v>
      </c>
      <c r="L43" s="135"/>
      <c r="M43" s="135"/>
      <c r="N43" s="135"/>
    </row>
    <row r="44" spans="1:22">
      <c r="A44" s="131" t="s">
        <v>135</v>
      </c>
      <c r="B44" s="382"/>
      <c r="C44" s="397"/>
      <c r="D44" s="122"/>
      <c r="E44" s="241">
        <v>0</v>
      </c>
      <c r="F44" s="383">
        <f>(IF(E44=0,0,E44/E$46))</f>
        <v>0</v>
      </c>
      <c r="H44" s="136"/>
      <c r="I44" s="369" t="s">
        <v>96</v>
      </c>
      <c r="J44" s="370" t="s">
        <v>96</v>
      </c>
      <c r="K44" s="238"/>
      <c r="L44" s="135"/>
      <c r="M44" s="135"/>
      <c r="N44" s="135"/>
    </row>
    <row r="45" spans="1:22">
      <c r="A45" s="131"/>
      <c r="B45" s="399"/>
      <c r="C45" s="132"/>
      <c r="D45" s="122"/>
      <c r="E45" s="238"/>
      <c r="F45" s="240"/>
      <c r="H45" s="139" t="s">
        <v>103</v>
      </c>
      <c r="I45" s="140"/>
      <c r="J45" s="141"/>
      <c r="K45" s="242">
        <f>E14</f>
        <v>0</v>
      </c>
      <c r="L45" s="135"/>
      <c r="M45" s="135"/>
      <c r="N45" s="135"/>
    </row>
    <row r="46" spans="1:22" ht="30" customHeight="1">
      <c r="A46" s="375" t="s">
        <v>136</v>
      </c>
      <c r="B46" s="400"/>
      <c r="C46" s="401"/>
      <c r="D46" s="122"/>
      <c r="E46" s="250" t="e">
        <f>SUM(E42:E45)</f>
        <v>#DIV/0!</v>
      </c>
      <c r="F46" s="251" t="e">
        <f>SUM(F42:F45)</f>
        <v>#DIV/0!</v>
      </c>
      <c r="H46" s="142" t="s">
        <v>106</v>
      </c>
      <c r="I46" s="143"/>
      <c r="J46" s="144"/>
      <c r="K46" s="244">
        <f>E16</f>
        <v>0</v>
      </c>
      <c r="L46" s="135"/>
      <c r="M46" s="135"/>
      <c r="N46" s="135"/>
    </row>
    <row r="47" spans="1:22">
      <c r="B47" s="138"/>
      <c r="C47" s="402"/>
      <c r="D47" s="122"/>
      <c r="E47" s="225"/>
      <c r="F47" s="252"/>
      <c r="H47" s="380" t="s">
        <v>108</v>
      </c>
      <c r="I47" s="143"/>
      <c r="J47" s="144"/>
      <c r="K47" s="244">
        <f>E17</f>
        <v>0</v>
      </c>
      <c r="L47" s="135"/>
      <c r="M47" s="135"/>
      <c r="N47" s="135"/>
      <c r="O47" s="135"/>
    </row>
    <row r="48" spans="1:22">
      <c r="A48" s="403" t="s">
        <v>137</v>
      </c>
      <c r="B48" s="404"/>
      <c r="C48" s="405"/>
      <c r="D48" s="135"/>
      <c r="E48" s="253" t="e">
        <f>(E$25*1.3)+($E$46-$E$25)</f>
        <v>#DIV/0!</v>
      </c>
      <c r="F48" s="254"/>
      <c r="G48" s="135"/>
      <c r="H48" s="380" t="s">
        <v>113</v>
      </c>
      <c r="I48" s="143"/>
      <c r="J48" s="144"/>
      <c r="K48" s="244" t="e">
        <f>E21</f>
        <v>#DIV/0!</v>
      </c>
      <c r="L48" s="135"/>
      <c r="M48" s="135"/>
      <c r="N48" s="135"/>
      <c r="O48" s="135"/>
    </row>
    <row r="49" spans="1:21">
      <c r="A49" s="135"/>
      <c r="B49" s="145"/>
      <c r="C49" s="146"/>
      <c r="D49" s="135"/>
      <c r="E49" s="255"/>
      <c r="F49" s="255"/>
      <c r="G49" s="135"/>
      <c r="H49" s="380" t="s">
        <v>116</v>
      </c>
      <c r="I49" s="385"/>
      <c r="J49" s="386"/>
      <c r="K49" s="244" t="e">
        <f>E24</f>
        <v>#DIV/0!</v>
      </c>
      <c r="L49" s="135"/>
      <c r="M49" s="135"/>
      <c r="N49" s="135"/>
      <c r="O49" s="135"/>
      <c r="P49" s="135"/>
      <c r="Q49" s="135"/>
      <c r="R49" s="135"/>
      <c r="S49" s="135"/>
      <c r="T49" s="135"/>
      <c r="U49" s="14"/>
    </row>
    <row r="50" spans="1:21" s="14" customFormat="1">
      <c r="A50" s="403" t="s">
        <v>138</v>
      </c>
      <c r="B50" s="404"/>
      <c r="C50" s="405"/>
      <c r="D50" s="135"/>
      <c r="E50" s="253" t="e">
        <f>(E$25*1.5)+($E$46-$E$25)</f>
        <v>#DIV/0!</v>
      </c>
      <c r="F50" s="254"/>
      <c r="G50" s="135"/>
      <c r="H50" s="131" t="s">
        <v>118</v>
      </c>
      <c r="I50" s="389"/>
      <c r="J50" s="374"/>
      <c r="K50" s="239">
        <f>E27</f>
        <v>0</v>
      </c>
      <c r="L50" s="135"/>
      <c r="M50" s="135"/>
      <c r="N50" s="135"/>
      <c r="O50" s="135"/>
      <c r="P50" s="135"/>
      <c r="Q50" s="135"/>
      <c r="R50" s="135"/>
      <c r="S50" s="135"/>
      <c r="T50" s="135"/>
    </row>
    <row r="51" spans="1:21" s="14" customFormat="1">
      <c r="A51" s="135"/>
      <c r="B51" s="145"/>
      <c r="C51" s="146"/>
      <c r="D51" s="135"/>
      <c r="E51" s="255"/>
      <c r="F51" s="255"/>
      <c r="G51" s="135"/>
      <c r="H51" s="131" t="s">
        <v>120</v>
      </c>
      <c r="I51" s="390"/>
      <c r="J51" s="374"/>
      <c r="K51" s="239">
        <f t="shared" ref="K51:K52" si="10">E28</f>
        <v>0</v>
      </c>
      <c r="L51" s="135"/>
      <c r="M51" s="56"/>
      <c r="N51" s="135"/>
      <c r="O51" s="135"/>
      <c r="P51" s="135"/>
      <c r="Q51" s="135"/>
      <c r="R51" s="135"/>
      <c r="S51" s="135"/>
      <c r="T51" s="135"/>
    </row>
    <row r="52" spans="1:21" s="14" customFormat="1">
      <c r="A52" s="403" t="s">
        <v>139</v>
      </c>
      <c r="B52" s="404"/>
      <c r="C52" s="405"/>
      <c r="D52" s="135"/>
      <c r="E52" s="253" t="e">
        <f>(E$25*2.5)+($E$46-$E$25)</f>
        <v>#DIV/0!</v>
      </c>
      <c r="F52" s="255"/>
      <c r="G52" s="135"/>
      <c r="H52" s="131" t="s">
        <v>122</v>
      </c>
      <c r="I52" s="382"/>
      <c r="J52" s="132" t="s">
        <v>96</v>
      </c>
      <c r="K52" s="239">
        <f t="shared" si="10"/>
        <v>0</v>
      </c>
      <c r="L52" s="135"/>
      <c r="M52" s="56"/>
      <c r="N52" s="135"/>
      <c r="O52" s="135"/>
      <c r="P52" s="135"/>
      <c r="Q52" s="135"/>
      <c r="R52" s="135"/>
      <c r="S52" s="135"/>
      <c r="T52" s="135"/>
    </row>
    <row r="53" spans="1:21" s="14" customFormat="1">
      <c r="A53" s="135"/>
      <c r="B53" s="145"/>
      <c r="C53" s="147"/>
      <c r="D53" s="135"/>
      <c r="E53" s="135"/>
      <c r="F53" s="148"/>
      <c r="G53" s="135"/>
      <c r="H53" s="131" t="s">
        <v>125</v>
      </c>
      <c r="I53" s="382"/>
      <c r="J53" s="396"/>
      <c r="K53" s="239">
        <f>E33</f>
        <v>0</v>
      </c>
      <c r="L53" s="135"/>
      <c r="M53" s="56"/>
      <c r="N53" s="135"/>
      <c r="O53" s="135"/>
      <c r="P53" s="135"/>
      <c r="Q53" s="135"/>
      <c r="R53" s="135"/>
      <c r="S53" s="135"/>
      <c r="T53" s="135"/>
    </row>
    <row r="54" spans="1:21" s="14" customFormat="1">
      <c r="A54" s="135"/>
      <c r="B54" s="145"/>
      <c r="C54" s="147"/>
      <c r="D54" s="135"/>
      <c r="E54" s="135"/>
      <c r="F54" s="148"/>
      <c r="G54" s="135"/>
      <c r="H54" s="131" t="s">
        <v>126</v>
      </c>
      <c r="I54" s="382"/>
      <c r="J54" s="396"/>
      <c r="K54" s="239">
        <f t="shared" ref="K54:K60" si="11">E34</f>
        <v>0</v>
      </c>
      <c r="L54" s="135"/>
      <c r="M54" s="56"/>
      <c r="N54" s="135"/>
      <c r="O54" s="135"/>
      <c r="P54" s="135"/>
      <c r="Q54" s="135"/>
      <c r="R54" s="135"/>
      <c r="S54" s="135"/>
      <c r="T54" s="135"/>
    </row>
    <row r="55" spans="1:21" s="14" customFormat="1">
      <c r="A55" s="135"/>
      <c r="B55" s="135"/>
      <c r="C55" s="149"/>
      <c r="D55" s="135"/>
      <c r="E55" s="135"/>
      <c r="F55" s="148"/>
      <c r="G55" s="135"/>
      <c r="H55" s="131" t="s">
        <v>127</v>
      </c>
      <c r="I55" s="382"/>
      <c r="J55" s="396"/>
      <c r="K55" s="239">
        <f t="shared" si="11"/>
        <v>0</v>
      </c>
      <c r="L55" s="135"/>
      <c r="M55" s="56"/>
      <c r="N55" s="135"/>
      <c r="O55" s="135"/>
      <c r="P55" s="135"/>
      <c r="Q55" s="135"/>
      <c r="R55" s="135"/>
      <c r="S55" s="135"/>
      <c r="T55" s="135"/>
    </row>
    <row r="56" spans="1:21" s="14" customFormat="1">
      <c r="A56" s="135"/>
      <c r="B56" s="135"/>
      <c r="C56" s="149"/>
      <c r="D56" s="135"/>
      <c r="E56" s="135"/>
      <c r="F56" s="148"/>
      <c r="G56" s="135"/>
      <c r="H56" s="131" t="s">
        <v>128</v>
      </c>
      <c r="I56" s="382"/>
      <c r="J56" s="397"/>
      <c r="K56" s="239">
        <f t="shared" si="11"/>
        <v>0</v>
      </c>
      <c r="L56" s="135"/>
      <c r="M56" s="56"/>
      <c r="N56" s="135"/>
      <c r="O56" s="135"/>
      <c r="P56" s="135"/>
      <c r="Q56" s="135"/>
      <c r="R56" s="135"/>
      <c r="S56" s="135"/>
      <c r="T56" s="135"/>
    </row>
    <row r="57" spans="1:21" s="14" customFormat="1">
      <c r="A57" s="56"/>
      <c r="B57" s="135"/>
      <c r="C57" s="149"/>
      <c r="D57" s="135"/>
      <c r="E57" s="135"/>
      <c r="F57" s="148"/>
      <c r="G57" s="135"/>
      <c r="H57" s="131" t="s">
        <v>129</v>
      </c>
      <c r="I57" s="382"/>
      <c r="J57" s="396"/>
      <c r="K57" s="239">
        <f t="shared" si="11"/>
        <v>0</v>
      </c>
      <c r="L57" s="135"/>
      <c r="M57" s="56"/>
      <c r="N57" s="135"/>
      <c r="O57" s="135"/>
      <c r="P57" s="135"/>
      <c r="Q57" s="135"/>
      <c r="R57" s="135"/>
      <c r="S57" s="135"/>
      <c r="T57" s="135"/>
    </row>
    <row r="58" spans="1:21" s="14" customFormat="1">
      <c r="A58" s="135"/>
      <c r="B58" s="135"/>
      <c r="C58" s="149"/>
      <c r="D58" s="149"/>
      <c r="E58" s="149"/>
      <c r="F58" s="149"/>
      <c r="G58" s="135"/>
      <c r="H58" s="131" t="s">
        <v>130</v>
      </c>
      <c r="I58" s="382"/>
      <c r="J58" s="397"/>
      <c r="K58" s="239">
        <f t="shared" si="11"/>
        <v>0</v>
      </c>
      <c r="L58" s="135"/>
      <c r="M58" s="56"/>
      <c r="N58" s="56"/>
      <c r="O58" s="135"/>
      <c r="P58" s="135"/>
      <c r="Q58" s="135"/>
      <c r="R58" s="135"/>
      <c r="S58" s="135"/>
      <c r="T58" s="135"/>
    </row>
    <row r="59" spans="1:21" s="14" customFormat="1">
      <c r="A59" s="135"/>
      <c r="B59" s="135"/>
      <c r="C59" s="149"/>
      <c r="D59" s="135"/>
      <c r="E59" s="135"/>
      <c r="F59" s="148"/>
      <c r="G59" s="135"/>
      <c r="H59" s="131" t="s">
        <v>131</v>
      </c>
      <c r="I59" s="382"/>
      <c r="J59" s="374"/>
      <c r="K59" s="239">
        <f t="shared" si="11"/>
        <v>0</v>
      </c>
      <c r="L59" s="135"/>
      <c r="M59" s="56"/>
      <c r="N59" s="56"/>
      <c r="O59" s="135"/>
      <c r="P59" s="135"/>
      <c r="Q59" s="135"/>
      <c r="R59" s="135"/>
      <c r="S59" s="135"/>
      <c r="T59" s="135"/>
    </row>
    <row r="60" spans="1:21" s="14" customFormat="1">
      <c r="A60" s="135"/>
      <c r="B60" s="135"/>
      <c r="C60" s="149"/>
      <c r="D60" s="135"/>
      <c r="E60" s="135"/>
      <c r="F60" s="148"/>
      <c r="G60" s="135"/>
      <c r="H60" s="131" t="s">
        <v>132</v>
      </c>
      <c r="I60" s="382"/>
      <c r="J60" s="374"/>
      <c r="K60" s="239">
        <f t="shared" si="11"/>
        <v>0</v>
      </c>
      <c r="L60" s="135"/>
      <c r="M60" s="56"/>
      <c r="N60" s="56"/>
      <c r="O60" s="135"/>
      <c r="P60" s="135"/>
      <c r="Q60" s="135"/>
      <c r="R60" s="135"/>
      <c r="S60" s="135"/>
      <c r="T60" s="135"/>
    </row>
    <row r="61" spans="1:21" s="14" customFormat="1">
      <c r="A61" s="135"/>
      <c r="B61" s="135"/>
      <c r="C61" s="149"/>
      <c r="D61" s="135"/>
      <c r="E61" s="135"/>
      <c r="F61" s="148"/>
      <c r="G61" s="135"/>
      <c r="H61" s="131" t="s">
        <v>135</v>
      </c>
      <c r="I61" s="382"/>
      <c r="J61" s="397"/>
      <c r="K61" s="239">
        <f>E44</f>
        <v>0</v>
      </c>
      <c r="L61" s="135"/>
      <c r="M61" s="56"/>
      <c r="N61" s="56"/>
      <c r="O61" s="135"/>
      <c r="P61" s="135"/>
      <c r="Q61" s="135"/>
      <c r="R61" s="135"/>
      <c r="S61" s="135"/>
      <c r="T61" s="135"/>
    </row>
    <row r="62" spans="1:21" s="14" customFormat="1">
      <c r="A62" s="135"/>
      <c r="B62" s="135"/>
      <c r="C62" s="149"/>
      <c r="D62" s="135"/>
      <c r="E62" s="135"/>
      <c r="F62" s="148"/>
      <c r="G62" s="135"/>
      <c r="H62" s="131"/>
      <c r="I62" s="399"/>
      <c r="J62" s="132"/>
      <c r="K62" s="238"/>
      <c r="L62" s="135"/>
      <c r="M62" s="56"/>
      <c r="N62" s="56"/>
      <c r="O62" s="135"/>
      <c r="P62" s="135"/>
      <c r="Q62" s="135"/>
      <c r="R62" s="135"/>
      <c r="S62" s="135"/>
      <c r="T62" s="135"/>
    </row>
    <row r="63" spans="1:21" s="14" customFormat="1">
      <c r="A63" s="135"/>
      <c r="B63" s="135"/>
      <c r="C63" s="149"/>
      <c r="D63" s="135"/>
      <c r="E63" s="135"/>
      <c r="F63" s="148"/>
      <c r="G63" s="135"/>
      <c r="H63" s="375" t="s">
        <v>136</v>
      </c>
      <c r="I63" s="400"/>
      <c r="J63" s="401"/>
      <c r="K63" s="250" t="e">
        <f>SUM(K45:K62)</f>
        <v>#DIV/0!</v>
      </c>
      <c r="L63" s="135"/>
      <c r="M63" s="56"/>
      <c r="N63" s="56"/>
      <c r="O63" s="135"/>
      <c r="P63" s="135"/>
      <c r="Q63" s="135"/>
      <c r="R63" s="135"/>
      <c r="S63" s="135"/>
      <c r="T63" s="135"/>
    </row>
    <row r="64" spans="1:21" s="14" customFormat="1">
      <c r="A64" s="135"/>
      <c r="B64" s="135"/>
      <c r="C64" s="149"/>
      <c r="D64" s="135"/>
      <c r="E64" s="56"/>
      <c r="F64" s="148"/>
      <c r="G64" s="135"/>
      <c r="H64" s="56"/>
      <c r="I64" s="138"/>
      <c r="J64" s="402"/>
      <c r="K64" s="225"/>
      <c r="L64" s="135"/>
      <c r="M64" s="56"/>
      <c r="N64" s="56"/>
      <c r="O64" s="56"/>
      <c r="P64" s="135"/>
      <c r="Q64" s="135"/>
      <c r="R64" s="135"/>
      <c r="S64" s="135"/>
      <c r="T64" s="135"/>
    </row>
    <row r="65" spans="1:21" s="14" customFormat="1">
      <c r="A65" s="56"/>
      <c r="B65" s="56"/>
      <c r="C65" s="56"/>
      <c r="D65" s="56"/>
      <c r="E65" s="56"/>
      <c r="F65" s="56"/>
      <c r="G65" s="56"/>
      <c r="H65" s="403" t="s">
        <v>137</v>
      </c>
      <c r="I65" s="404"/>
      <c r="J65" s="405"/>
      <c r="K65" s="253" t="e">
        <f>E48</f>
        <v>#DIV/0!</v>
      </c>
      <c r="L65" s="135"/>
      <c r="M65" s="56"/>
      <c r="N65" s="56"/>
      <c r="O65" s="56"/>
      <c r="P65" s="135"/>
      <c r="Q65" s="135"/>
      <c r="R65" s="135"/>
      <c r="S65" s="135"/>
      <c r="T65" s="135"/>
    </row>
    <row r="66" spans="1:21" s="14" customFormat="1">
      <c r="A66" s="56"/>
      <c r="B66" s="56"/>
      <c r="C66" s="56"/>
      <c r="D66" s="56"/>
      <c r="E66" s="56"/>
      <c r="F66" s="56"/>
      <c r="G66" s="56"/>
      <c r="H66" s="135"/>
      <c r="I66" s="145"/>
      <c r="J66" s="146"/>
      <c r="K66" s="255"/>
      <c r="L66" s="135"/>
      <c r="M66" s="56"/>
      <c r="N66" s="56"/>
      <c r="O66" s="56"/>
      <c r="P66" s="56"/>
      <c r="Q66" s="56"/>
      <c r="R66" s="56"/>
      <c r="S66" s="56"/>
      <c r="T66" s="56"/>
      <c r="U66" s="2"/>
    </row>
    <row r="67" spans="1:21">
      <c r="H67" s="403" t="s">
        <v>138</v>
      </c>
      <c r="I67" s="404"/>
      <c r="J67" s="405"/>
      <c r="K67" s="253" t="e">
        <f>E50</f>
        <v>#DIV/0!</v>
      </c>
      <c r="L67" s="135"/>
    </row>
    <row r="68" spans="1:21">
      <c r="H68" s="135"/>
      <c r="I68" s="145"/>
      <c r="J68" s="146"/>
      <c r="K68" s="255"/>
      <c r="L68" s="135"/>
    </row>
    <row r="69" spans="1:21">
      <c r="H69" s="403" t="s">
        <v>139</v>
      </c>
      <c r="I69" s="404"/>
      <c r="J69" s="405"/>
      <c r="K69" s="253" t="e">
        <f>E52</f>
        <v>#DIV/0!</v>
      </c>
      <c r="L69" s="135"/>
    </row>
    <row r="70" spans="1:21">
      <c r="L70" s="135"/>
    </row>
    <row r="71" spans="1:21">
      <c r="L71" s="135"/>
    </row>
    <row r="72" spans="1:21">
      <c r="L72" s="135"/>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23" activePane="bottomLeft" state="frozen"/>
      <selection activeCell="B1" sqref="B1"/>
      <selection pane="bottomLeft" activeCell="K47" sqref="K47"/>
    </sheetView>
  </sheetViews>
  <sheetFormatPr defaultColWidth="11.42578125" defaultRowHeight="13.5"/>
  <cols>
    <col min="1" max="1" width="35.85546875" style="56" customWidth="1"/>
    <col min="2" max="2" width="21.28515625" style="56" customWidth="1"/>
    <col min="3" max="3" width="19.28515625" style="56" bestFit="1" customWidth="1"/>
    <col min="4" max="4" width="2" style="56" customWidth="1"/>
    <col min="5" max="5" width="14.42578125" style="56" customWidth="1"/>
    <col min="6" max="6" width="11.7109375" style="56" customWidth="1"/>
    <col min="7" max="7" width="6" style="56" customWidth="1"/>
    <col min="8" max="8" width="27.85546875" style="56" customWidth="1"/>
    <col min="9" max="15" width="11.42578125" style="56"/>
    <col min="16" max="16384" width="11.42578125" style="2"/>
  </cols>
  <sheetData>
    <row r="1" spans="1:15" ht="12.75" customHeight="1">
      <c r="A1" s="456" t="s">
        <v>4</v>
      </c>
      <c r="B1" s="93"/>
      <c r="C1" s="94"/>
      <c r="D1" s="94"/>
      <c r="E1" s="94"/>
      <c r="F1" s="94"/>
      <c r="H1" s="493"/>
      <c r="I1" s="493"/>
      <c r="J1" s="493"/>
      <c r="K1" s="493"/>
      <c r="L1" s="493"/>
      <c r="M1" s="493"/>
      <c r="N1" s="493"/>
    </row>
    <row r="2" spans="1:15">
      <c r="A2" s="94"/>
      <c r="B2" s="112"/>
      <c r="C2" s="113"/>
      <c r="D2" s="112"/>
      <c r="E2" s="114"/>
      <c r="F2" s="115"/>
      <c r="H2" s="493"/>
      <c r="I2" s="493"/>
      <c r="J2" s="493"/>
      <c r="K2" s="493"/>
      <c r="L2" s="493"/>
      <c r="M2" s="493"/>
      <c r="N2" s="493"/>
    </row>
    <row r="3" spans="1:15" ht="14.25" customHeight="1">
      <c r="A3" s="39" t="str">
        <f>'2-Kosten per locatie'!A3</f>
        <v>Naam opdrachtgever</v>
      </c>
      <c r="B3" s="116" t="str">
        <f>'2-Kosten per locatie'!B3</f>
        <v>Gemeente Hoorn</v>
      </c>
      <c r="C3" s="117"/>
      <c r="D3" s="112"/>
      <c r="E3" s="118"/>
      <c r="F3" s="119"/>
      <c r="H3" s="493"/>
      <c r="I3" s="493"/>
      <c r="J3" s="493"/>
      <c r="K3" s="493"/>
      <c r="L3" s="493"/>
      <c r="M3" s="493"/>
      <c r="N3" s="493"/>
    </row>
    <row r="4" spans="1:15" ht="15.75" customHeight="1">
      <c r="A4" s="39" t="str">
        <f>'2-Kosten per locatie'!A4</f>
        <v>Calculatie onderdeel</v>
      </c>
      <c r="B4" s="120" t="str">
        <f ca="1">MID(CELL("bestandsnaam",$C$9),SEARCH("]",CELL("bestandsnaam",$C$9),1)+1,256)</f>
        <v>7-Opbouw uurtarief toezicht</v>
      </c>
      <c r="C4" s="121"/>
      <c r="D4" s="122"/>
      <c r="H4" s="493"/>
      <c r="I4" s="493"/>
      <c r="J4" s="493"/>
      <c r="K4" s="493"/>
      <c r="L4" s="493"/>
      <c r="M4" s="493"/>
      <c r="N4" s="493"/>
    </row>
    <row r="5" spans="1:15" ht="15.75">
      <c r="A5" s="39" t="str">
        <f>'2-Kosten per locatie'!A5</f>
        <v>Gebouw/plaats</v>
      </c>
      <c r="B5" s="116" t="str">
        <f>'2-Kosten per locatie'!B5</f>
        <v>Hoorn</v>
      </c>
      <c r="C5" s="121"/>
      <c r="D5" s="122"/>
      <c r="H5" s="493"/>
      <c r="I5" s="493"/>
      <c r="J5" s="493"/>
      <c r="K5" s="493"/>
      <c r="L5" s="493"/>
      <c r="M5" s="493"/>
      <c r="N5" s="493"/>
    </row>
    <row r="6" spans="1:15" ht="15.75">
      <c r="A6" s="39" t="str">
        <f>'2-Kosten per locatie'!A6</f>
        <v>Referentie nummer</v>
      </c>
      <c r="B6" s="116" t="str">
        <f>'2-Kosten per locatie'!B6</f>
        <v>CM00005</v>
      </c>
      <c r="C6" s="121"/>
      <c r="D6" s="122"/>
      <c r="H6" s="123"/>
      <c r="I6" s="123"/>
      <c r="J6" s="123"/>
      <c r="K6" s="123"/>
      <c r="L6" s="123"/>
      <c r="M6" s="123"/>
      <c r="N6" s="123"/>
    </row>
    <row r="7" spans="1:15" ht="15.75">
      <c r="A7" s="39" t="str">
        <f>'2-Kosten per locatie'!A7</f>
        <v>Naam dienstverlener</v>
      </c>
      <c r="B7" s="116">
        <f>'2-Kosten per locatie'!B7</f>
        <v>0</v>
      </c>
      <c r="C7" s="121"/>
      <c r="D7" s="122"/>
      <c r="H7" s="123"/>
      <c r="I7" s="123"/>
      <c r="J7" s="123"/>
      <c r="K7" s="123"/>
      <c r="L7" s="123"/>
      <c r="M7" s="123"/>
      <c r="N7" s="123"/>
    </row>
    <row r="8" spans="1:15" ht="15.75">
      <c r="A8" s="39" t="str">
        <f>'2-Kosten per locatie'!A8</f>
        <v>Prijspeil</v>
      </c>
      <c r="B8" s="256">
        <f>'2-Kosten per locatie'!B8</f>
        <v>46023</v>
      </c>
      <c r="C8" s="121"/>
      <c r="D8" s="122"/>
      <c r="J8" s="123"/>
      <c r="K8" s="123"/>
      <c r="L8" s="123"/>
      <c r="M8" s="123"/>
      <c r="N8" s="123"/>
      <c r="O8" s="124"/>
    </row>
    <row r="9" spans="1:15" ht="15.75">
      <c r="A9" s="125"/>
      <c r="B9" s="126"/>
      <c r="C9" s="127"/>
      <c r="D9" s="122"/>
      <c r="E9" s="128"/>
      <c r="F9" s="129"/>
    </row>
    <row r="10" spans="1:15" s="22" customFormat="1" ht="30.75" customHeight="1">
      <c r="A10" s="406" t="s">
        <v>140</v>
      </c>
      <c r="B10" s="367"/>
      <c r="C10" s="368"/>
      <c r="D10" s="193"/>
      <c r="E10" s="491" t="s">
        <v>141</v>
      </c>
      <c r="F10" s="492"/>
      <c r="G10" s="124"/>
      <c r="H10" s="195" t="s">
        <v>95</v>
      </c>
      <c r="I10" s="489" t="s">
        <v>422</v>
      </c>
      <c r="J10" s="490"/>
      <c r="K10" s="490"/>
      <c r="L10" s="490"/>
      <c r="M10" s="490"/>
      <c r="N10" s="490"/>
      <c r="O10" s="124"/>
    </row>
    <row r="11" spans="1:15" ht="14.45" customHeight="1">
      <c r="A11" s="136"/>
      <c r="B11" s="369" t="s">
        <v>96</v>
      </c>
      <c r="C11" s="370" t="s">
        <v>96</v>
      </c>
      <c r="D11" s="122"/>
      <c r="E11" s="130"/>
      <c r="F11" s="407"/>
      <c r="H11" s="136"/>
      <c r="I11" s="259">
        <v>1</v>
      </c>
      <c r="J11" s="259">
        <v>2</v>
      </c>
      <c r="K11" s="259">
        <v>3</v>
      </c>
      <c r="L11" s="259">
        <v>4</v>
      </c>
      <c r="M11" s="259">
        <v>5</v>
      </c>
      <c r="N11" s="259">
        <v>6</v>
      </c>
    </row>
    <row r="12" spans="1:15" ht="12.75" customHeight="1">
      <c r="A12" s="136" t="s">
        <v>97</v>
      </c>
      <c r="B12" s="372" t="s">
        <v>98</v>
      </c>
      <c r="C12" s="373"/>
      <c r="D12" s="122"/>
      <c r="E12" s="239">
        <f>SUM(I31:N31)</f>
        <v>0</v>
      </c>
      <c r="F12" s="240"/>
      <c r="H12" s="136" t="s">
        <v>104</v>
      </c>
      <c r="I12" s="260"/>
      <c r="J12" s="260"/>
      <c r="K12" s="260"/>
      <c r="L12" s="260"/>
      <c r="M12" s="260"/>
      <c r="N12" s="260"/>
    </row>
    <row r="13" spans="1:15">
      <c r="A13" s="136" t="s">
        <v>100</v>
      </c>
      <c r="B13" s="372" t="s">
        <v>98</v>
      </c>
      <c r="C13" s="374"/>
      <c r="D13" s="122"/>
      <c r="E13" s="241">
        <v>0</v>
      </c>
      <c r="F13" s="240"/>
      <c r="H13" s="136" t="s">
        <v>105</v>
      </c>
      <c r="I13" s="260"/>
      <c r="J13" s="260"/>
      <c r="K13" s="260"/>
      <c r="L13" s="260"/>
      <c r="M13" s="260"/>
      <c r="N13" s="260"/>
    </row>
    <row r="14" spans="1:15">
      <c r="A14" s="375" t="s">
        <v>103</v>
      </c>
      <c r="B14" s="376"/>
      <c r="C14" s="377"/>
      <c r="D14" s="133"/>
      <c r="E14" s="242">
        <f>SUM(E12:E13)</f>
        <v>0</v>
      </c>
      <c r="F14" s="240"/>
      <c r="H14" s="136" t="s">
        <v>107</v>
      </c>
      <c r="I14" s="260"/>
      <c r="J14" s="260"/>
      <c r="K14" s="260"/>
      <c r="L14" s="260"/>
      <c r="M14" s="260"/>
      <c r="N14" s="260"/>
    </row>
    <row r="15" spans="1:15">
      <c r="A15" s="131"/>
      <c r="B15" s="378"/>
      <c r="C15" s="379"/>
      <c r="D15" s="122"/>
      <c r="E15" s="243"/>
      <c r="F15" s="240"/>
      <c r="H15" s="136" t="s">
        <v>109</v>
      </c>
      <c r="I15" s="260"/>
      <c r="J15" s="260"/>
      <c r="K15" s="260"/>
      <c r="L15" s="260"/>
      <c r="M15" s="260"/>
      <c r="N15" s="260"/>
    </row>
    <row r="16" spans="1:15">
      <c r="A16" s="380" t="s">
        <v>106</v>
      </c>
      <c r="B16" s="372" t="s">
        <v>98</v>
      </c>
      <c r="C16" s="381">
        <v>0</v>
      </c>
      <c r="D16" s="122"/>
      <c r="E16" s="244">
        <f>$C16*E14</f>
        <v>0</v>
      </c>
      <c r="F16" s="240"/>
    </row>
    <row r="17" spans="1:15" ht="14.45" customHeight="1">
      <c r="A17" s="380" t="s">
        <v>108</v>
      </c>
      <c r="B17" s="372" t="s">
        <v>98</v>
      </c>
      <c r="C17" s="381">
        <v>0</v>
      </c>
      <c r="D17" s="122"/>
      <c r="E17" s="245">
        <f>$C17*E14</f>
        <v>0</v>
      </c>
      <c r="F17" s="240"/>
      <c r="H17" s="195" t="s">
        <v>95</v>
      </c>
      <c r="I17" s="494" t="s">
        <v>111</v>
      </c>
      <c r="J17" s="497"/>
      <c r="K17" s="497"/>
      <c r="L17" s="497"/>
      <c r="M17" s="497"/>
      <c r="N17" s="498"/>
    </row>
    <row r="18" spans="1:15" ht="13.15" customHeight="1">
      <c r="A18" s="375" t="s">
        <v>110</v>
      </c>
      <c r="B18" s="382"/>
      <c r="C18" s="132"/>
      <c r="D18" s="122"/>
      <c r="E18" s="242">
        <f>SUM(E14:E17)</f>
        <v>0</v>
      </c>
      <c r="F18" s="383">
        <f>IF(E18=0,0,E18/E$46)</f>
        <v>0</v>
      </c>
      <c r="H18" s="136"/>
      <c r="I18" s="259">
        <v>1</v>
      </c>
      <c r="J18" s="259">
        <v>2</v>
      </c>
      <c r="K18" s="259">
        <v>3</v>
      </c>
      <c r="L18" s="259">
        <v>4</v>
      </c>
      <c r="M18" s="259">
        <v>5</v>
      </c>
      <c r="N18" s="259">
        <v>6</v>
      </c>
      <c r="O18" s="225"/>
    </row>
    <row r="19" spans="1:15">
      <c r="A19" s="131"/>
      <c r="B19" s="378"/>
      <c r="C19" s="379"/>
      <c r="D19" s="122"/>
      <c r="E19" s="243"/>
      <c r="F19" s="240"/>
      <c r="H19" s="136" t="s">
        <v>104</v>
      </c>
      <c r="I19" s="387"/>
      <c r="J19" s="387"/>
      <c r="K19" s="387"/>
      <c r="L19" s="387"/>
      <c r="M19" s="387"/>
      <c r="N19" s="387"/>
      <c r="O19" s="225"/>
    </row>
    <row r="20" spans="1:15">
      <c r="A20" s="384" t="s">
        <v>112</v>
      </c>
      <c r="B20" s="385"/>
      <c r="C20" s="379"/>
      <c r="D20" s="134"/>
      <c r="E20" s="246">
        <f>E18*0.96</f>
        <v>0</v>
      </c>
      <c r="F20" s="247"/>
      <c r="G20" s="135"/>
      <c r="H20" s="136" t="s">
        <v>105</v>
      </c>
      <c r="I20" s="387"/>
      <c r="J20" s="387"/>
      <c r="K20" s="387"/>
      <c r="L20" s="387"/>
      <c r="M20" s="387"/>
      <c r="N20" s="387"/>
      <c r="O20" s="255"/>
    </row>
    <row r="21" spans="1:15">
      <c r="A21" s="380" t="s">
        <v>113</v>
      </c>
      <c r="B21" s="385"/>
      <c r="C21" s="386" t="s">
        <v>114</v>
      </c>
      <c r="D21" s="122"/>
      <c r="E21" s="244" t="e">
        <f>E20*'5-Premies en opslagen'!$C24</f>
        <v>#DIV/0!</v>
      </c>
      <c r="F21" s="240"/>
      <c r="H21" s="136" t="s">
        <v>107</v>
      </c>
      <c r="I21" s="387"/>
      <c r="J21" s="387"/>
      <c r="K21" s="387"/>
      <c r="L21" s="387"/>
      <c r="M21" s="387"/>
      <c r="N21" s="387"/>
      <c r="O21" s="225"/>
    </row>
    <row r="22" spans="1:15" s="14" customFormat="1">
      <c r="A22" s="375" t="s">
        <v>115</v>
      </c>
      <c r="B22" s="388"/>
      <c r="C22" s="132"/>
      <c r="D22" s="122"/>
      <c r="E22" s="242" t="e">
        <f>E21+E18</f>
        <v>#DIV/0!</v>
      </c>
      <c r="F22" s="383" t="e">
        <f>IF(E22=0,0,E22/E$46)</f>
        <v>#DIV/0!</v>
      </c>
      <c r="G22" s="56"/>
      <c r="H22" s="136" t="s">
        <v>109</v>
      </c>
      <c r="I22" s="387"/>
      <c r="J22" s="387"/>
      <c r="K22" s="387"/>
      <c r="L22" s="387"/>
      <c r="M22" s="387"/>
      <c r="N22" s="387"/>
      <c r="O22" s="225"/>
    </row>
    <row r="23" spans="1:15" ht="14.25" customHeight="1">
      <c r="A23" s="131"/>
      <c r="B23" s="382"/>
      <c r="C23" s="132"/>
      <c r="D23" s="122"/>
      <c r="E23" s="238"/>
      <c r="F23" s="240"/>
      <c r="H23" s="137" t="s">
        <v>121</v>
      </c>
      <c r="I23" s="391">
        <f t="shared" ref="I23:N23" si="0">SUM(I19:I22)</f>
        <v>0</v>
      </c>
      <c r="J23" s="391">
        <f t="shared" si="0"/>
        <v>0</v>
      </c>
      <c r="K23" s="391">
        <f t="shared" si="0"/>
        <v>0</v>
      </c>
      <c r="L23" s="391">
        <f t="shared" si="0"/>
        <v>0</v>
      </c>
      <c r="M23" s="391">
        <f t="shared" si="0"/>
        <v>0</v>
      </c>
      <c r="N23" s="391">
        <f t="shared" si="0"/>
        <v>0</v>
      </c>
      <c r="O23" s="392">
        <f>SUM(I23:N23)</f>
        <v>0</v>
      </c>
    </row>
    <row r="24" spans="1:15" ht="12.75" customHeight="1">
      <c r="A24" s="380" t="s">
        <v>116</v>
      </c>
      <c r="B24" s="385"/>
      <c r="C24" s="386" t="s">
        <v>114</v>
      </c>
      <c r="D24" s="122"/>
      <c r="E24" s="244" t="e">
        <f>E22*'5-Premies en opslagen'!$B53</f>
        <v>#DIV/0!</v>
      </c>
      <c r="F24" s="240"/>
    </row>
    <row r="25" spans="1:15" ht="12.75" customHeight="1">
      <c r="A25" s="375" t="s">
        <v>117</v>
      </c>
      <c r="B25" s="382"/>
      <c r="C25" s="132"/>
      <c r="D25" s="122"/>
      <c r="E25" s="242" t="e">
        <f>SUM(E22:E24)</f>
        <v>#DIV/0!</v>
      </c>
      <c r="F25" s="383" t="e">
        <f>IF(E25=0,0,E25/E$46)</f>
        <v>#DIV/0!</v>
      </c>
      <c r="H25" s="195" t="s">
        <v>95</v>
      </c>
      <c r="I25" s="489" t="s">
        <v>123</v>
      </c>
      <c r="J25" s="490"/>
      <c r="K25" s="490"/>
      <c r="L25" s="490"/>
      <c r="M25" s="490"/>
      <c r="N25" s="490"/>
    </row>
    <row r="26" spans="1:15">
      <c r="A26" s="131"/>
      <c r="B26" s="382"/>
      <c r="C26" s="132"/>
      <c r="D26" s="122"/>
      <c r="E26" s="238"/>
      <c r="F26" s="240"/>
      <c r="H26" s="261"/>
      <c r="I26" s="259">
        <v>1</v>
      </c>
      <c r="J26" s="259">
        <v>2</v>
      </c>
      <c r="K26" s="259">
        <v>3</v>
      </c>
      <c r="L26" s="259">
        <v>4</v>
      </c>
      <c r="M26" s="259">
        <v>5</v>
      </c>
      <c r="N26" s="259">
        <v>6</v>
      </c>
    </row>
    <row r="27" spans="1:15" ht="13.15" customHeight="1">
      <c r="A27" s="131" t="s">
        <v>118</v>
      </c>
      <c r="B27" s="389"/>
      <c r="C27" s="374" t="s">
        <v>119</v>
      </c>
      <c r="D27" s="122"/>
      <c r="E27" s="241">
        <v>0</v>
      </c>
      <c r="F27" s="248"/>
      <c r="H27" s="136" t="s">
        <v>104</v>
      </c>
      <c r="I27" s="479">
        <f t="shared" ref="I27:N30" si="1">I19*I12</f>
        <v>0</v>
      </c>
      <c r="J27" s="479">
        <f t="shared" si="1"/>
        <v>0</v>
      </c>
      <c r="K27" s="479">
        <f t="shared" si="1"/>
        <v>0</v>
      </c>
      <c r="L27" s="479">
        <f t="shared" si="1"/>
        <v>0</v>
      </c>
      <c r="M27" s="479">
        <f t="shared" si="1"/>
        <v>0</v>
      </c>
      <c r="N27" s="479">
        <f t="shared" si="1"/>
        <v>0</v>
      </c>
    </row>
    <row r="28" spans="1:15">
      <c r="A28" s="131" t="s">
        <v>120</v>
      </c>
      <c r="B28" s="390"/>
      <c r="C28" s="374" t="s">
        <v>119</v>
      </c>
      <c r="D28" s="122"/>
      <c r="E28" s="241">
        <v>0</v>
      </c>
      <c r="F28" s="248"/>
      <c r="H28" s="136" t="s">
        <v>105</v>
      </c>
      <c r="I28" s="479">
        <f t="shared" si="1"/>
        <v>0</v>
      </c>
      <c r="J28" s="479">
        <f t="shared" si="1"/>
        <v>0</v>
      </c>
      <c r="K28" s="479">
        <f t="shared" si="1"/>
        <v>0</v>
      </c>
      <c r="L28" s="479">
        <f t="shared" si="1"/>
        <v>0</v>
      </c>
      <c r="M28" s="479">
        <f t="shared" si="1"/>
        <v>0</v>
      </c>
      <c r="N28" s="479">
        <f t="shared" si="1"/>
        <v>0</v>
      </c>
    </row>
    <row r="29" spans="1:15">
      <c r="A29" s="131"/>
      <c r="B29" s="382"/>
      <c r="C29" s="132"/>
      <c r="D29" s="122"/>
      <c r="E29" s="241"/>
      <c r="F29" s="240"/>
      <c r="H29" s="136" t="s">
        <v>107</v>
      </c>
      <c r="I29" s="479">
        <f t="shared" si="1"/>
        <v>0</v>
      </c>
      <c r="J29" s="479">
        <f t="shared" si="1"/>
        <v>0</v>
      </c>
      <c r="K29" s="479">
        <f t="shared" si="1"/>
        <v>0</v>
      </c>
      <c r="L29" s="479">
        <f t="shared" si="1"/>
        <v>0</v>
      </c>
      <c r="M29" s="479">
        <f t="shared" si="1"/>
        <v>0</v>
      </c>
      <c r="N29" s="479">
        <f t="shared" si="1"/>
        <v>0</v>
      </c>
    </row>
    <row r="30" spans="1:15">
      <c r="A30" s="393"/>
      <c r="B30" s="394"/>
      <c r="C30" s="395" t="s">
        <v>96</v>
      </c>
      <c r="D30" s="122"/>
      <c r="E30" s="241"/>
      <c r="F30" s="240"/>
      <c r="H30" s="136" t="s">
        <v>109</v>
      </c>
      <c r="I30" s="479">
        <f t="shared" si="1"/>
        <v>0</v>
      </c>
      <c r="J30" s="479">
        <f t="shared" si="1"/>
        <v>0</v>
      </c>
      <c r="K30" s="479">
        <f t="shared" si="1"/>
        <v>0</v>
      </c>
      <c r="L30" s="479">
        <f t="shared" si="1"/>
        <v>0</v>
      </c>
      <c r="M30" s="479">
        <f t="shared" si="1"/>
        <v>0</v>
      </c>
      <c r="N30" s="479">
        <f t="shared" si="1"/>
        <v>0</v>
      </c>
    </row>
    <row r="31" spans="1:15" ht="12.75" customHeight="1">
      <c r="A31" s="375" t="s">
        <v>124</v>
      </c>
      <c r="B31" s="382"/>
      <c r="C31" s="132"/>
      <c r="D31" s="122"/>
      <c r="E31" s="242" t="e">
        <f>SUM(E25:E30)</f>
        <v>#DIV/0!</v>
      </c>
      <c r="F31" s="383" t="e">
        <f>IF(E31=0,0,E31/E$46)</f>
        <v>#DIV/0!</v>
      </c>
      <c r="H31" s="137" t="s">
        <v>121</v>
      </c>
      <c r="I31" s="408">
        <f t="shared" ref="I31:N31" si="2">SUM(I27:I30)</f>
        <v>0</v>
      </c>
      <c r="J31" s="408">
        <f t="shared" si="2"/>
        <v>0</v>
      </c>
      <c r="K31" s="408">
        <f t="shared" si="2"/>
        <v>0</v>
      </c>
      <c r="L31" s="408">
        <f t="shared" si="2"/>
        <v>0</v>
      </c>
      <c r="M31" s="408">
        <f t="shared" si="2"/>
        <v>0</v>
      </c>
      <c r="N31" s="408">
        <f t="shared" si="2"/>
        <v>0</v>
      </c>
    </row>
    <row r="32" spans="1:15" ht="12.75" customHeight="1">
      <c r="A32" s="131"/>
      <c r="B32" s="382"/>
      <c r="C32" s="132"/>
      <c r="D32" s="122"/>
      <c r="E32" s="238"/>
      <c r="F32" s="240"/>
    </row>
    <row r="33" spans="1:15" ht="12.75" customHeight="1">
      <c r="A33" s="131" t="s">
        <v>125</v>
      </c>
      <c r="B33" s="382"/>
      <c r="C33" s="396"/>
      <c r="D33" s="122"/>
      <c r="E33" s="241">
        <v>0</v>
      </c>
      <c r="F33" s="248" t="e">
        <f>E33/$E$46</f>
        <v>#DIV/0!</v>
      </c>
    </row>
    <row r="34" spans="1:15" ht="12.75" customHeight="1">
      <c r="A34" s="131" t="s">
        <v>126</v>
      </c>
      <c r="B34" s="382"/>
      <c r="C34" s="396"/>
      <c r="D34" s="122"/>
      <c r="E34" s="241">
        <v>0</v>
      </c>
      <c r="F34" s="248" t="e">
        <f t="shared" ref="F34:F40" si="3">E34/$E$46</f>
        <v>#DIV/0!</v>
      </c>
    </row>
    <row r="35" spans="1:15" ht="12.75" customHeight="1">
      <c r="A35" s="131" t="s">
        <v>127</v>
      </c>
      <c r="B35" s="382"/>
      <c r="C35" s="396"/>
      <c r="D35" s="122"/>
      <c r="E35" s="241">
        <v>0</v>
      </c>
      <c r="F35" s="248" t="e">
        <f t="shared" si="3"/>
        <v>#DIV/0!</v>
      </c>
    </row>
    <row r="36" spans="1:15" ht="14.25" customHeight="1">
      <c r="A36" s="131" t="s">
        <v>128</v>
      </c>
      <c r="B36" s="382"/>
      <c r="C36" s="397"/>
      <c r="D36" s="122"/>
      <c r="E36" s="241">
        <v>0</v>
      </c>
      <c r="F36" s="248" t="e">
        <f t="shared" si="3"/>
        <v>#DIV/0!</v>
      </c>
    </row>
    <row r="37" spans="1:15">
      <c r="A37" s="131" t="s">
        <v>129</v>
      </c>
      <c r="B37" s="382"/>
      <c r="C37" s="396"/>
      <c r="D37" s="122"/>
      <c r="E37" s="241">
        <v>0</v>
      </c>
      <c r="F37" s="248" t="e">
        <f t="shared" si="3"/>
        <v>#DIV/0!</v>
      </c>
    </row>
    <row r="38" spans="1:15">
      <c r="A38" s="131" t="s">
        <v>130</v>
      </c>
      <c r="B38" s="382"/>
      <c r="C38" s="397"/>
      <c r="D38" s="122"/>
      <c r="E38" s="241">
        <v>0</v>
      </c>
      <c r="F38" s="248" t="e">
        <f t="shared" si="3"/>
        <v>#DIV/0!</v>
      </c>
    </row>
    <row r="39" spans="1:15">
      <c r="A39" s="131" t="s">
        <v>131</v>
      </c>
      <c r="B39" s="382"/>
      <c r="C39" s="374" t="s">
        <v>119</v>
      </c>
      <c r="D39" s="122"/>
      <c r="E39" s="241">
        <v>0</v>
      </c>
      <c r="F39" s="248" t="e">
        <f t="shared" si="3"/>
        <v>#DIV/0!</v>
      </c>
    </row>
    <row r="40" spans="1:15">
      <c r="A40" s="131" t="s">
        <v>132</v>
      </c>
      <c r="B40" s="382"/>
      <c r="C40" s="374"/>
      <c r="D40" s="122"/>
      <c r="E40" s="241">
        <v>0</v>
      </c>
      <c r="F40" s="248" t="e">
        <f t="shared" si="3"/>
        <v>#DIV/0!</v>
      </c>
    </row>
    <row r="41" spans="1:15">
      <c r="A41" s="393"/>
      <c r="B41" s="394"/>
      <c r="C41" s="398"/>
      <c r="D41" s="122"/>
      <c r="E41" s="241">
        <v>0</v>
      </c>
      <c r="F41" s="240"/>
      <c r="H41" s="135"/>
      <c r="I41" s="135"/>
      <c r="J41" s="135"/>
      <c r="K41" s="135"/>
      <c r="L41" s="135"/>
      <c r="M41" s="135"/>
      <c r="N41" s="135"/>
      <c r="O41" s="135"/>
    </row>
    <row r="42" spans="1:15">
      <c r="A42" s="375" t="s">
        <v>133</v>
      </c>
      <c r="B42" s="382"/>
      <c r="C42" s="132"/>
      <c r="D42" s="122"/>
      <c r="E42" s="242" t="e">
        <f>SUM(E31:E41)</f>
        <v>#DIV/0!</v>
      </c>
      <c r="F42" s="383" t="e">
        <f>IF(E42=0,0,E42/E$46)</f>
        <v>#DIV/0!</v>
      </c>
      <c r="H42" s="135"/>
      <c r="I42" s="135"/>
      <c r="J42" s="135"/>
      <c r="K42" s="135"/>
      <c r="L42" s="135"/>
      <c r="M42" s="135"/>
      <c r="N42" s="135"/>
      <c r="O42" s="135"/>
    </row>
    <row r="43" spans="1:15" ht="42.75">
      <c r="A43" s="131"/>
      <c r="B43" s="382"/>
      <c r="C43" s="132"/>
      <c r="D43" s="122"/>
      <c r="E43" s="238"/>
      <c r="F43" s="249"/>
      <c r="H43" s="406" t="s">
        <v>134</v>
      </c>
      <c r="I43" s="367"/>
      <c r="J43" s="368"/>
      <c r="K43" s="196" t="s">
        <v>94</v>
      </c>
      <c r="L43" s="135"/>
      <c r="M43" s="135"/>
      <c r="N43" s="135"/>
    </row>
    <row r="44" spans="1:15">
      <c r="A44" s="131" t="s">
        <v>135</v>
      </c>
      <c r="B44" s="382"/>
      <c r="C44" s="397"/>
      <c r="D44" s="122"/>
      <c r="E44" s="241"/>
      <c r="F44" s="383">
        <f>(IF(E44=0,0,E44/E$46))</f>
        <v>0</v>
      </c>
      <c r="H44" s="136"/>
      <c r="I44" s="369" t="s">
        <v>96</v>
      </c>
      <c r="J44" s="370" t="s">
        <v>96</v>
      </c>
      <c r="K44" s="238"/>
      <c r="L44" s="135"/>
      <c r="M44" s="135"/>
      <c r="N44" s="135"/>
    </row>
    <row r="45" spans="1:15">
      <c r="A45" s="131"/>
      <c r="B45" s="399"/>
      <c r="C45" s="132"/>
      <c r="D45" s="122"/>
      <c r="E45" s="238"/>
      <c r="F45" s="240"/>
      <c r="H45" s="139" t="s">
        <v>103</v>
      </c>
      <c r="I45" s="140"/>
      <c r="J45" s="141"/>
      <c r="K45" s="242">
        <f>E14</f>
        <v>0</v>
      </c>
      <c r="L45" s="135"/>
      <c r="M45" s="135"/>
      <c r="N45" s="135"/>
    </row>
    <row r="46" spans="1:15">
      <c r="A46" s="375" t="s">
        <v>136</v>
      </c>
      <c r="B46" s="400"/>
      <c r="C46" s="401"/>
      <c r="D46" s="122"/>
      <c r="E46" s="250" t="e">
        <f>SUM(E42:E45)</f>
        <v>#DIV/0!</v>
      </c>
      <c r="F46" s="251" t="e">
        <f>SUM(F42:F45)</f>
        <v>#DIV/0!</v>
      </c>
      <c r="H46" s="142" t="s">
        <v>106</v>
      </c>
      <c r="I46" s="143"/>
      <c r="J46" s="144"/>
      <c r="K46" s="244">
        <f>E16</f>
        <v>0</v>
      </c>
      <c r="L46" s="135"/>
      <c r="M46" s="135"/>
      <c r="N46" s="135"/>
    </row>
    <row r="47" spans="1:15">
      <c r="B47" s="138"/>
      <c r="C47" s="402"/>
      <c r="D47" s="122"/>
      <c r="E47" s="225"/>
      <c r="F47" s="252"/>
      <c r="H47" s="380" t="s">
        <v>108</v>
      </c>
      <c r="I47" s="143"/>
      <c r="J47" s="144"/>
      <c r="K47" s="244">
        <f>E17</f>
        <v>0</v>
      </c>
      <c r="L47" s="135"/>
      <c r="M47" s="135"/>
      <c r="N47" s="135"/>
      <c r="O47" s="135"/>
    </row>
    <row r="48" spans="1:15">
      <c r="A48" s="403" t="s">
        <v>137</v>
      </c>
      <c r="B48" s="404"/>
      <c r="C48" s="405"/>
      <c r="D48" s="135"/>
      <c r="E48" s="253" t="e">
        <f>(E$25*1.3)+($E$46-$E$25)</f>
        <v>#DIV/0!</v>
      </c>
      <c r="F48" s="254"/>
      <c r="G48" s="135"/>
      <c r="H48" s="380" t="s">
        <v>113</v>
      </c>
      <c r="I48" s="143"/>
      <c r="J48" s="144"/>
      <c r="K48" s="244" t="e">
        <f>E21</f>
        <v>#DIV/0!</v>
      </c>
      <c r="L48" s="135"/>
      <c r="M48" s="135"/>
      <c r="N48" s="135"/>
      <c r="O48" s="135"/>
    </row>
    <row r="49" spans="1:15">
      <c r="A49" s="135"/>
      <c r="B49" s="145"/>
      <c r="C49" s="146"/>
      <c r="D49" s="135"/>
      <c r="E49" s="255"/>
      <c r="F49" s="255"/>
      <c r="G49" s="135"/>
      <c r="H49" s="380" t="s">
        <v>116</v>
      </c>
      <c r="I49" s="385"/>
      <c r="J49" s="386"/>
      <c r="K49" s="244" t="e">
        <f>E24</f>
        <v>#DIV/0!</v>
      </c>
      <c r="L49" s="135"/>
      <c r="M49" s="135"/>
      <c r="N49" s="135"/>
      <c r="O49" s="135"/>
    </row>
    <row r="50" spans="1:15" s="14" customFormat="1">
      <c r="A50" s="403" t="s">
        <v>138</v>
      </c>
      <c r="B50" s="404"/>
      <c r="C50" s="405"/>
      <c r="D50" s="135"/>
      <c r="E50" s="253" t="e">
        <f>(E$25*1.5)+($E$46-$E$25)</f>
        <v>#DIV/0!</v>
      </c>
      <c r="F50" s="254"/>
      <c r="G50" s="135"/>
      <c r="H50" s="131" t="s">
        <v>118</v>
      </c>
      <c r="I50" s="389"/>
      <c r="J50" s="374"/>
      <c r="K50" s="239">
        <f>E27</f>
        <v>0</v>
      </c>
      <c r="L50" s="135"/>
      <c r="M50" s="135"/>
      <c r="N50" s="135"/>
      <c r="O50" s="135"/>
    </row>
    <row r="51" spans="1:15" s="14" customFormat="1">
      <c r="A51" s="135"/>
      <c r="B51" s="145"/>
      <c r="C51" s="146"/>
      <c r="D51" s="135"/>
      <c r="E51" s="255"/>
      <c r="F51" s="255"/>
      <c r="G51" s="135"/>
      <c r="H51" s="131" t="s">
        <v>120</v>
      </c>
      <c r="I51" s="390"/>
      <c r="J51" s="374"/>
      <c r="K51" s="239">
        <f t="shared" ref="K51:K52" si="4">E28</f>
        <v>0</v>
      </c>
      <c r="L51" s="135"/>
      <c r="M51" s="56"/>
      <c r="N51" s="135"/>
      <c r="O51" s="135"/>
    </row>
    <row r="52" spans="1:15" s="14" customFormat="1">
      <c r="A52" s="403" t="s">
        <v>139</v>
      </c>
      <c r="B52" s="404"/>
      <c r="C52" s="405"/>
      <c r="D52" s="135"/>
      <c r="E52" s="253" t="e">
        <f>(E$25*2.5)+($E$46-$E$25)</f>
        <v>#DIV/0!</v>
      </c>
      <c r="F52" s="255"/>
      <c r="G52" s="135"/>
      <c r="H52" s="131" t="s">
        <v>122</v>
      </c>
      <c r="I52" s="382"/>
      <c r="J52" s="132" t="s">
        <v>96</v>
      </c>
      <c r="K52" s="239">
        <f t="shared" si="4"/>
        <v>0</v>
      </c>
      <c r="L52" s="135"/>
      <c r="M52" s="56"/>
      <c r="N52" s="135"/>
      <c r="O52" s="135"/>
    </row>
    <row r="53" spans="1:15" s="14" customFormat="1">
      <c r="A53" s="135"/>
      <c r="B53" s="145"/>
      <c r="C53" s="147"/>
      <c r="D53" s="135"/>
      <c r="E53" s="135"/>
      <c r="F53" s="148"/>
      <c r="G53" s="135"/>
      <c r="H53" s="131" t="s">
        <v>125</v>
      </c>
      <c r="I53" s="382"/>
      <c r="J53" s="396"/>
      <c r="K53" s="239">
        <f>E33</f>
        <v>0</v>
      </c>
      <c r="L53" s="135"/>
      <c r="M53" s="56"/>
      <c r="N53" s="135"/>
      <c r="O53" s="135"/>
    </row>
    <row r="54" spans="1:15" s="14" customFormat="1">
      <c r="A54" s="135"/>
      <c r="B54" s="145"/>
      <c r="C54" s="147"/>
      <c r="D54" s="135"/>
      <c r="E54" s="135"/>
      <c r="F54" s="148"/>
      <c r="G54" s="135"/>
      <c r="H54" s="131" t="s">
        <v>126</v>
      </c>
      <c r="I54" s="382"/>
      <c r="J54" s="396"/>
      <c r="K54" s="239">
        <f t="shared" ref="K54:K60" si="5">E34</f>
        <v>0</v>
      </c>
      <c r="L54" s="135"/>
      <c r="M54" s="56"/>
      <c r="N54" s="135"/>
      <c r="O54" s="135"/>
    </row>
    <row r="55" spans="1:15" s="14" customFormat="1">
      <c r="A55" s="135"/>
      <c r="B55" s="135"/>
      <c r="C55" s="149"/>
      <c r="D55" s="135"/>
      <c r="E55" s="135"/>
      <c r="F55" s="148"/>
      <c r="G55" s="135"/>
      <c r="H55" s="131" t="s">
        <v>127</v>
      </c>
      <c r="I55" s="382"/>
      <c r="J55" s="396"/>
      <c r="K55" s="239">
        <f t="shared" si="5"/>
        <v>0</v>
      </c>
      <c r="L55" s="135"/>
      <c r="M55" s="56"/>
      <c r="N55" s="135"/>
      <c r="O55" s="135"/>
    </row>
    <row r="56" spans="1:15" s="14" customFormat="1">
      <c r="A56" s="135"/>
      <c r="B56" s="135"/>
      <c r="C56" s="149"/>
      <c r="D56" s="135"/>
      <c r="E56" s="135"/>
      <c r="F56" s="148"/>
      <c r="G56" s="135"/>
      <c r="H56" s="131" t="s">
        <v>128</v>
      </c>
      <c r="I56" s="382"/>
      <c r="J56" s="397"/>
      <c r="K56" s="239">
        <f t="shared" si="5"/>
        <v>0</v>
      </c>
      <c r="L56" s="135"/>
      <c r="M56" s="56"/>
      <c r="N56" s="135"/>
      <c r="O56" s="135"/>
    </row>
    <row r="57" spans="1:15" s="14" customFormat="1">
      <c r="A57" s="56"/>
      <c r="B57" s="135"/>
      <c r="C57" s="149"/>
      <c r="D57" s="135"/>
      <c r="E57" s="135"/>
      <c r="F57" s="148"/>
      <c r="G57" s="135"/>
      <c r="H57" s="131" t="s">
        <v>129</v>
      </c>
      <c r="I57" s="382"/>
      <c r="J57" s="396"/>
      <c r="K57" s="239">
        <f t="shared" si="5"/>
        <v>0</v>
      </c>
      <c r="L57" s="135"/>
      <c r="M57" s="56"/>
      <c r="N57" s="135"/>
      <c r="O57" s="135"/>
    </row>
    <row r="58" spans="1:15" s="14" customFormat="1">
      <c r="A58" s="135"/>
      <c r="B58" s="135"/>
      <c r="C58" s="149"/>
      <c r="D58" s="135"/>
      <c r="E58" s="135"/>
      <c r="F58" s="148"/>
      <c r="G58" s="135"/>
      <c r="H58" s="131" t="s">
        <v>130</v>
      </c>
      <c r="I58" s="382"/>
      <c r="J58" s="397"/>
      <c r="K58" s="239">
        <f t="shared" si="5"/>
        <v>0</v>
      </c>
      <c r="L58" s="135"/>
      <c r="M58" s="56"/>
      <c r="N58" s="56"/>
      <c r="O58" s="135"/>
    </row>
    <row r="59" spans="1:15" s="14" customFormat="1">
      <c r="A59" s="135"/>
      <c r="B59" s="135"/>
      <c r="C59" s="149"/>
      <c r="D59" s="135"/>
      <c r="E59" s="135"/>
      <c r="F59" s="148"/>
      <c r="G59" s="135"/>
      <c r="H59" s="131" t="s">
        <v>131</v>
      </c>
      <c r="I59" s="382"/>
      <c r="J59" s="374"/>
      <c r="K59" s="239">
        <f t="shared" si="5"/>
        <v>0</v>
      </c>
      <c r="L59" s="135"/>
      <c r="M59" s="56"/>
      <c r="N59" s="56"/>
      <c r="O59" s="135"/>
    </row>
    <row r="60" spans="1:15" s="14" customFormat="1">
      <c r="A60" s="135"/>
      <c r="B60" s="135"/>
      <c r="C60" s="149"/>
      <c r="D60" s="135"/>
      <c r="E60" s="135"/>
      <c r="F60" s="148"/>
      <c r="G60" s="135"/>
      <c r="H60" s="131" t="s">
        <v>132</v>
      </c>
      <c r="I60" s="382"/>
      <c r="J60" s="374"/>
      <c r="K60" s="239">
        <f t="shared" si="5"/>
        <v>0</v>
      </c>
      <c r="L60" s="135"/>
      <c r="M60" s="56"/>
      <c r="N60" s="56"/>
      <c r="O60" s="135"/>
    </row>
    <row r="61" spans="1:15" s="14" customFormat="1">
      <c r="A61" s="135"/>
      <c r="B61" s="135"/>
      <c r="C61" s="149"/>
      <c r="D61" s="135"/>
      <c r="E61" s="135"/>
      <c r="F61" s="148"/>
      <c r="G61" s="135"/>
      <c r="H61" s="131" t="s">
        <v>135</v>
      </c>
      <c r="I61" s="382"/>
      <c r="J61" s="397"/>
      <c r="K61" s="239">
        <f>E44</f>
        <v>0</v>
      </c>
      <c r="L61" s="135"/>
      <c r="M61" s="56"/>
      <c r="N61" s="56"/>
      <c r="O61" s="135"/>
    </row>
    <row r="62" spans="1:15" s="14" customFormat="1">
      <c r="A62" s="135"/>
      <c r="B62" s="135"/>
      <c r="C62" s="149"/>
      <c r="D62" s="135"/>
      <c r="E62" s="135"/>
      <c r="F62" s="148"/>
      <c r="G62" s="135"/>
      <c r="H62" s="131"/>
      <c r="I62" s="399"/>
      <c r="J62" s="132"/>
      <c r="K62" s="238"/>
      <c r="L62" s="135"/>
      <c r="M62" s="56"/>
      <c r="N62" s="56"/>
      <c r="O62" s="135"/>
    </row>
    <row r="63" spans="1:15" s="14" customFormat="1">
      <c r="A63" s="135"/>
      <c r="B63" s="135"/>
      <c r="C63" s="149"/>
      <c r="D63" s="135"/>
      <c r="E63" s="135"/>
      <c r="F63" s="148"/>
      <c r="G63" s="135"/>
      <c r="H63" s="375" t="s">
        <v>136</v>
      </c>
      <c r="I63" s="400"/>
      <c r="J63" s="401"/>
      <c r="K63" s="250" t="e">
        <f>SUM(K45:K62)</f>
        <v>#DIV/0!</v>
      </c>
      <c r="L63" s="135"/>
      <c r="M63" s="56"/>
      <c r="N63" s="56"/>
      <c r="O63" s="135"/>
    </row>
    <row r="64" spans="1:15" s="14" customFormat="1">
      <c r="A64" s="135"/>
      <c r="B64" s="135"/>
      <c r="C64" s="149"/>
      <c r="D64" s="135"/>
      <c r="E64" s="56"/>
      <c r="F64" s="148"/>
      <c r="G64" s="135"/>
      <c r="H64" s="56"/>
      <c r="I64" s="138"/>
      <c r="J64" s="402"/>
      <c r="K64" s="225"/>
      <c r="L64" s="135"/>
      <c r="M64" s="56"/>
      <c r="N64" s="56"/>
      <c r="O64" s="56"/>
    </row>
    <row r="65" spans="1:15" s="14" customFormat="1">
      <c r="A65" s="56"/>
      <c r="B65" s="56"/>
      <c r="C65" s="56"/>
      <c r="D65" s="56"/>
      <c r="E65" s="56"/>
      <c r="F65" s="56"/>
      <c r="G65" s="56"/>
      <c r="H65" s="403" t="s">
        <v>137</v>
      </c>
      <c r="I65" s="404"/>
      <c r="J65" s="405"/>
      <c r="K65" s="253" t="e">
        <f>E48</f>
        <v>#DIV/0!</v>
      </c>
      <c r="L65" s="135"/>
      <c r="M65" s="56"/>
      <c r="N65" s="56"/>
      <c r="O65" s="56"/>
    </row>
    <row r="66" spans="1:15">
      <c r="H66" s="135"/>
      <c r="I66" s="145"/>
      <c r="J66" s="146"/>
      <c r="K66" s="255"/>
      <c r="L66" s="135"/>
    </row>
    <row r="67" spans="1:15">
      <c r="H67" s="403" t="s">
        <v>138</v>
      </c>
      <c r="I67" s="404"/>
      <c r="J67" s="405"/>
      <c r="K67" s="253" t="e">
        <f>E50</f>
        <v>#DIV/0!</v>
      </c>
      <c r="L67" s="135"/>
    </row>
    <row r="68" spans="1:15">
      <c r="H68" s="135"/>
      <c r="I68" s="145"/>
      <c r="J68" s="146"/>
      <c r="K68" s="255"/>
      <c r="L68" s="135"/>
    </row>
    <row r="69" spans="1:15">
      <c r="H69" s="403" t="s">
        <v>139</v>
      </c>
      <c r="I69" s="404"/>
      <c r="J69" s="405"/>
      <c r="K69" s="253" t="e">
        <f>E52</f>
        <v>#DIV/0!</v>
      </c>
      <c r="L69" s="135"/>
    </row>
    <row r="70" spans="1:15">
      <c r="L70" s="135"/>
      <c r="O70" s="135"/>
    </row>
    <row r="71" spans="1:15">
      <c r="O71" s="135"/>
    </row>
    <row r="72" spans="1:15">
      <c r="O72" s="135"/>
    </row>
    <row r="73" spans="1:15">
      <c r="O73" s="135"/>
    </row>
    <row r="74" spans="1:15">
      <c r="O74" s="135"/>
    </row>
    <row r="75" spans="1:15">
      <c r="O75" s="135"/>
    </row>
    <row r="76" spans="1:15">
      <c r="O76" s="135"/>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L16"/>
  <sheetViews>
    <sheetView showGridLines="0" zoomScaleNormal="100" workbookViewId="0">
      <pane ySplit="10" topLeftCell="A11" activePane="bottomLeft" state="frozen"/>
      <selection activeCell="B1" sqref="B1"/>
      <selection pane="bottomLeft" activeCell="H14" sqref="H14"/>
    </sheetView>
  </sheetViews>
  <sheetFormatPr defaultColWidth="9.140625" defaultRowHeight="13.5"/>
  <cols>
    <col min="1" max="1" width="28.140625" style="56" customWidth="1"/>
    <col min="2" max="2" width="48.140625" style="56" customWidth="1"/>
    <col min="3" max="3" width="12.85546875" style="56" customWidth="1"/>
    <col min="4" max="4" width="13" style="56" customWidth="1"/>
    <col min="5" max="5" width="15.28515625" style="56" customWidth="1"/>
    <col min="6" max="6" width="12.85546875" style="56" customWidth="1"/>
    <col min="7" max="7" width="12.28515625" style="56" bestFit="1" customWidth="1"/>
    <col min="8" max="8" width="13.7109375" style="56" bestFit="1" customWidth="1"/>
    <col min="9" max="9" width="19.85546875" style="2" customWidth="1"/>
    <col min="10" max="16384" width="9.140625" style="2"/>
  </cols>
  <sheetData>
    <row r="1" spans="1:12">
      <c r="A1" s="456" t="s">
        <v>4</v>
      </c>
      <c r="I1" s="56"/>
      <c r="J1" s="56"/>
      <c r="K1" s="56"/>
      <c r="L1" s="56"/>
    </row>
    <row r="2" spans="1:12">
      <c r="A2" s="94"/>
      <c r="I2" s="56"/>
      <c r="J2" s="56"/>
      <c r="K2" s="56"/>
      <c r="L2" s="56"/>
    </row>
    <row r="3" spans="1:12" ht="15.75">
      <c r="A3" s="39" t="str">
        <f>'2-Kosten per locatie'!A3</f>
        <v>Naam opdrachtgever</v>
      </c>
      <c r="B3" s="150" t="str">
        <f>'2-Kosten per locatie'!B3</f>
        <v>Gemeente Hoorn</v>
      </c>
      <c r="I3" s="56"/>
      <c r="J3" s="56"/>
      <c r="K3" s="56"/>
      <c r="L3" s="56"/>
    </row>
    <row r="4" spans="1:12" ht="15.75">
      <c r="A4" s="39" t="str">
        <f>'2-Kosten per locatie'!A4</f>
        <v>Calculatie onderdeel</v>
      </c>
      <c r="B4" s="47" t="str">
        <f ca="1">MID(CELL("bestandsnaam",$C$9),SEARCH("]",CELL("bestandsnaam",$C$9),1)+1,256)</f>
        <v>8-Additionele kosten</v>
      </c>
      <c r="I4" s="56"/>
      <c r="J4" s="56"/>
      <c r="K4" s="56"/>
      <c r="L4" s="56"/>
    </row>
    <row r="5" spans="1:12" ht="15.75">
      <c r="A5" s="39" t="str">
        <f>'2-Kosten per locatie'!A5</f>
        <v>Gebouw/plaats</v>
      </c>
      <c r="B5" s="150" t="str">
        <f>'2-Kosten per locatie'!B5</f>
        <v>Hoorn</v>
      </c>
      <c r="I5" s="56"/>
      <c r="J5" s="56"/>
      <c r="K5" s="56"/>
      <c r="L5" s="56"/>
    </row>
    <row r="6" spans="1:12" ht="15.75">
      <c r="A6" s="39" t="str">
        <f>'2-Kosten per locatie'!A6</f>
        <v>Referentie nummer</v>
      </c>
      <c r="B6" s="150" t="str">
        <f>'2-Kosten per locatie'!B6</f>
        <v>CM00005</v>
      </c>
      <c r="I6" s="56"/>
      <c r="J6" s="56"/>
      <c r="K6" s="56"/>
      <c r="L6" s="56"/>
    </row>
    <row r="7" spans="1:12" ht="15" customHeight="1">
      <c r="A7" s="39" t="str">
        <f>'2-Kosten per locatie'!A7</f>
        <v>Naam dienstverlener</v>
      </c>
      <c r="B7" s="150">
        <f>'2-Kosten per locatie'!B7</f>
        <v>0</v>
      </c>
      <c r="I7" s="56"/>
      <c r="J7" s="56"/>
      <c r="K7" s="56"/>
      <c r="L7" s="56"/>
    </row>
    <row r="8" spans="1:12" ht="15.75">
      <c r="A8" s="39" t="str">
        <f>'2-Kosten per locatie'!A8</f>
        <v>Prijspeil</v>
      </c>
      <c r="B8" s="263">
        <f>'2-Kosten per locatie'!B8</f>
        <v>46023</v>
      </c>
      <c r="I8" s="56"/>
      <c r="J8" s="56"/>
      <c r="K8" s="56"/>
      <c r="L8" s="56"/>
    </row>
    <row r="10" spans="1:12" ht="30">
      <c r="A10" s="409" t="s">
        <v>16</v>
      </c>
      <c r="B10" s="409" t="s">
        <v>145</v>
      </c>
      <c r="C10" s="409" t="s">
        <v>146</v>
      </c>
      <c r="D10" s="409" t="s">
        <v>147</v>
      </c>
      <c r="E10" s="409" t="s">
        <v>148</v>
      </c>
      <c r="F10" s="409" t="s">
        <v>149</v>
      </c>
      <c r="G10" s="409" t="s">
        <v>150</v>
      </c>
      <c r="H10" s="409" t="s">
        <v>151</v>
      </c>
    </row>
    <row r="11" spans="1:12">
      <c r="A11" s="285" t="s">
        <v>201</v>
      </c>
      <c r="B11" s="68" t="s">
        <v>413</v>
      </c>
      <c r="C11" s="410">
        <v>150.4</v>
      </c>
      <c r="D11" s="410">
        <v>60</v>
      </c>
      <c r="E11" s="476">
        <v>0</v>
      </c>
      <c r="F11" s="411">
        <f>E11*D11</f>
        <v>0</v>
      </c>
      <c r="G11" s="262">
        <v>0</v>
      </c>
      <c r="H11" s="212">
        <f>G11*F11</f>
        <v>0</v>
      </c>
    </row>
    <row r="12" spans="1:12">
      <c r="A12" s="92"/>
      <c r="C12" s="78"/>
      <c r="D12" s="78"/>
      <c r="E12" s="78"/>
      <c r="F12" s="78"/>
      <c r="G12" s="78"/>
      <c r="H12" s="78"/>
    </row>
    <row r="13" spans="1:12" ht="30">
      <c r="A13" s="409" t="s">
        <v>16</v>
      </c>
      <c r="B13" s="197" t="s">
        <v>152</v>
      </c>
      <c r="C13" s="197"/>
      <c r="D13" s="198"/>
      <c r="E13" s="198"/>
      <c r="F13" s="198"/>
      <c r="G13" s="199"/>
      <c r="H13" s="199" t="s">
        <v>151</v>
      </c>
    </row>
    <row r="14" spans="1:12">
      <c r="A14" s="287" t="s">
        <v>22</v>
      </c>
      <c r="B14" s="68" t="s">
        <v>122</v>
      </c>
      <c r="C14" s="151"/>
      <c r="D14" s="152"/>
      <c r="E14" s="152"/>
      <c r="F14" s="152"/>
      <c r="G14" s="153"/>
      <c r="H14" s="412">
        <f>'11-Machinekosten'!Q29</f>
        <v>0</v>
      </c>
    </row>
    <row r="15" spans="1:12">
      <c r="H15" s="225"/>
    </row>
    <row r="16" spans="1:12" s="13" customFormat="1" ht="12.75">
      <c r="A16" s="338" t="s">
        <v>23</v>
      </c>
      <c r="B16" s="350"/>
      <c r="C16" s="350"/>
      <c r="D16" s="350"/>
      <c r="E16" s="350"/>
      <c r="F16" s="413">
        <f>SUM(F11:F11)</f>
        <v>0</v>
      </c>
      <c r="G16" s="350"/>
      <c r="H16" s="258">
        <f>SUM(H11:H15)</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38"/>
  <sheetViews>
    <sheetView showGridLines="0" showZeros="0" zoomScaleNormal="100" zoomScaleSheetLayoutView="75" zoomScalePageLayoutView="50" workbookViewId="0">
      <pane ySplit="10" topLeftCell="A11" activePane="bottomLeft" state="frozen"/>
      <selection activeCell="B1" sqref="B1"/>
      <selection pane="bottomLeft" activeCell="F33" sqref="F33"/>
    </sheetView>
  </sheetViews>
  <sheetFormatPr defaultColWidth="11.42578125" defaultRowHeight="13.5"/>
  <cols>
    <col min="1" max="1" width="39" style="56" customWidth="1"/>
    <col min="2" max="2" width="20.28515625" style="56" customWidth="1"/>
    <col min="3" max="6" width="17.5703125" style="56" customWidth="1"/>
    <col min="7" max="16384" width="11.42578125" style="2"/>
  </cols>
  <sheetData>
    <row r="1" spans="1:8">
      <c r="A1" s="456" t="s">
        <v>4</v>
      </c>
      <c r="B1" s="154"/>
      <c r="C1" s="154"/>
      <c r="D1" s="155"/>
    </row>
    <row r="2" spans="1:8">
      <c r="A2" s="94"/>
    </row>
    <row r="3" spans="1:8" ht="15.75">
      <c r="A3" s="39" t="str">
        <f>'2-Kosten per locatie'!A3</f>
        <v>Naam opdrachtgever</v>
      </c>
      <c r="B3" s="47" t="str">
        <f>'2-Kosten per locatie'!B3</f>
        <v>Gemeente Hoorn</v>
      </c>
      <c r="C3" s="156"/>
      <c r="D3" s="156"/>
    </row>
    <row r="4" spans="1:8" ht="15.75">
      <c r="A4" s="39" t="str">
        <f>'2-Kosten per locatie'!A4</f>
        <v>Calculatie onderdeel</v>
      </c>
      <c r="B4" s="47" t="str">
        <f ca="1">MID(CELL("bestandsnaam",$C$9),SEARCH("]",CELL("bestandsnaam",$C$9),1)+1,256)</f>
        <v>9-Afroepprijs</v>
      </c>
      <c r="C4" s="157"/>
      <c r="D4" s="158"/>
    </row>
    <row r="5" spans="1:8" ht="15.75">
      <c r="A5" s="39" t="str">
        <f>'2-Kosten per locatie'!A5</f>
        <v>Gebouw/plaats</v>
      </c>
      <c r="B5" s="47" t="str">
        <f>'2-Kosten per locatie'!B5</f>
        <v>Hoorn</v>
      </c>
      <c r="C5" s="157"/>
      <c r="D5" s="158"/>
    </row>
    <row r="6" spans="1:8" ht="15.75">
      <c r="A6" s="39" t="str">
        <f>'2-Kosten per locatie'!A6</f>
        <v>Referentie nummer</v>
      </c>
      <c r="B6" s="47" t="str">
        <f>'2-Kosten per locatie'!B6</f>
        <v>CM00005</v>
      </c>
      <c r="C6" s="157"/>
      <c r="D6" s="158"/>
    </row>
    <row r="7" spans="1:8" ht="15.75">
      <c r="A7" s="39" t="str">
        <f>'2-Kosten per locatie'!A7</f>
        <v>Naam dienstverlener</v>
      </c>
      <c r="B7" s="47">
        <f>'2-Kosten per locatie'!B7</f>
        <v>0</v>
      </c>
      <c r="C7" s="157"/>
      <c r="D7" s="157"/>
      <c r="E7" s="157"/>
      <c r="F7" s="157"/>
      <c r="G7" s="157"/>
      <c r="H7" s="157"/>
    </row>
    <row r="8" spans="1:8" ht="15.75">
      <c r="A8" s="39" t="str">
        <f>'2-Kosten per locatie'!A8</f>
        <v>Prijspeil</v>
      </c>
      <c r="B8" s="234">
        <f>'2-Kosten per locatie'!B8</f>
        <v>46023</v>
      </c>
      <c r="C8" s="157"/>
      <c r="D8" s="158"/>
    </row>
    <row r="9" spans="1:8" ht="15.75">
      <c r="A9" s="159"/>
      <c r="B9" s="160"/>
      <c r="C9" s="157"/>
      <c r="D9" s="158"/>
    </row>
    <row r="10" spans="1:8">
      <c r="A10" s="161"/>
      <c r="B10" s="162"/>
      <c r="C10" s="162"/>
      <c r="D10" s="162"/>
    </row>
    <row r="11" spans="1:8" ht="19.5">
      <c r="A11" s="414" t="s">
        <v>153</v>
      </c>
      <c r="B11" s="415"/>
      <c r="C11" s="415"/>
      <c r="D11" s="416"/>
      <c r="E11" s="416"/>
      <c r="F11" s="417"/>
    </row>
    <row r="13" spans="1:8">
      <c r="A13" s="418"/>
      <c r="B13" s="419"/>
      <c r="C13" s="499" t="s">
        <v>154</v>
      </c>
      <c r="D13" s="500"/>
      <c r="E13" s="500"/>
      <c r="F13" s="501"/>
    </row>
    <row r="14" spans="1:8">
      <c r="A14" s="420" t="s">
        <v>155</v>
      </c>
      <c r="B14" s="420" t="s">
        <v>156</v>
      </c>
      <c r="C14" s="421" t="s">
        <v>157</v>
      </c>
      <c r="D14" s="410" t="s">
        <v>158</v>
      </c>
      <c r="E14" s="410" t="s">
        <v>159</v>
      </c>
      <c r="F14" s="410" t="s">
        <v>160</v>
      </c>
    </row>
    <row r="15" spans="1:8">
      <c r="A15" s="422" t="s">
        <v>161</v>
      </c>
      <c r="B15" s="422" t="s">
        <v>162</v>
      </c>
      <c r="C15" s="423">
        <v>0</v>
      </c>
      <c r="D15" s="423">
        <v>0</v>
      </c>
      <c r="E15" s="423">
        <v>0</v>
      </c>
      <c r="F15" s="423">
        <v>0</v>
      </c>
    </row>
    <row r="16" spans="1:8">
      <c r="A16" s="422" t="s">
        <v>163</v>
      </c>
      <c r="B16" s="422" t="s">
        <v>162</v>
      </c>
      <c r="C16" s="423">
        <v>0</v>
      </c>
      <c r="D16" s="423">
        <v>0</v>
      </c>
      <c r="E16" s="423">
        <v>0</v>
      </c>
      <c r="F16" s="423">
        <v>0</v>
      </c>
    </row>
    <row r="17" spans="1:6">
      <c r="A17" s="422" t="s">
        <v>164</v>
      </c>
      <c r="B17" s="422" t="s">
        <v>165</v>
      </c>
      <c r="C17" s="423">
        <v>0</v>
      </c>
      <c r="D17" s="423">
        <v>0</v>
      </c>
      <c r="E17" s="423">
        <v>0</v>
      </c>
      <c r="F17" s="423">
        <v>0</v>
      </c>
    </row>
    <row r="18" spans="1:6">
      <c r="A18" s="420" t="s">
        <v>166</v>
      </c>
      <c r="B18" s="424"/>
      <c r="C18" s="423">
        <v>0</v>
      </c>
      <c r="D18" s="423">
        <v>0</v>
      </c>
      <c r="E18" s="423">
        <v>0</v>
      </c>
      <c r="F18" s="423">
        <v>0</v>
      </c>
    </row>
    <row r="19" spans="1:6">
      <c r="A19" s="420" t="s">
        <v>167</v>
      </c>
      <c r="B19" s="424"/>
      <c r="C19" s="423">
        <v>0</v>
      </c>
      <c r="D19" s="423">
        <v>0</v>
      </c>
      <c r="E19" s="423">
        <v>0</v>
      </c>
      <c r="F19" s="423">
        <v>0</v>
      </c>
    </row>
    <row r="21" spans="1:6" ht="19.5">
      <c r="A21" s="414" t="s">
        <v>168</v>
      </c>
      <c r="B21" s="425"/>
      <c r="C21" s="425"/>
      <c r="D21" s="425"/>
      <c r="E21" s="425"/>
      <c r="F21" s="426"/>
    </row>
    <row r="22" spans="1:6">
      <c r="A22" s="164"/>
      <c r="B22" s="163"/>
      <c r="C22" s="163"/>
      <c r="D22" s="154"/>
    </row>
    <row r="23" spans="1:6">
      <c r="A23" s="420" t="s">
        <v>155</v>
      </c>
      <c r="B23" s="418" t="s">
        <v>156</v>
      </c>
      <c r="C23" s="427"/>
      <c r="D23" s="427"/>
      <c r="E23" s="427"/>
      <c r="F23" s="428" t="s">
        <v>169</v>
      </c>
    </row>
    <row r="24" spans="1:6">
      <c r="A24" s="422" t="s">
        <v>170</v>
      </c>
      <c r="B24" s="165" t="s">
        <v>142</v>
      </c>
      <c r="C24" s="165"/>
      <c r="D24" s="165"/>
      <c r="E24" s="165"/>
      <c r="F24" s="423">
        <v>0</v>
      </c>
    </row>
    <row r="25" spans="1:6">
      <c r="A25" s="422" t="s">
        <v>170</v>
      </c>
      <c r="B25" s="165" t="s">
        <v>143</v>
      </c>
      <c r="C25" s="165"/>
      <c r="D25" s="165"/>
      <c r="E25" s="165"/>
      <c r="F25" s="423">
        <v>0</v>
      </c>
    </row>
    <row r="26" spans="1:6">
      <c r="A26" s="422" t="s">
        <v>170</v>
      </c>
      <c r="B26" s="165" t="s">
        <v>144</v>
      </c>
      <c r="C26" s="165"/>
      <c r="D26" s="165"/>
      <c r="E26" s="165"/>
      <c r="F26" s="423">
        <v>0</v>
      </c>
    </row>
    <row r="27" spans="1:6" s="12" customFormat="1">
      <c r="A27" s="163"/>
      <c r="B27" s="163"/>
      <c r="C27" s="41"/>
      <c r="D27" s="41"/>
      <c r="E27" s="41"/>
      <c r="F27" s="41"/>
    </row>
    <row r="28" spans="1:6" ht="15">
      <c r="A28" s="200" t="s">
        <v>171</v>
      </c>
      <c r="B28" s="154"/>
      <c r="C28" s="154"/>
      <c r="D28" s="163"/>
    </row>
    <row r="29" spans="1:6">
      <c r="A29" s="163" t="s">
        <v>172</v>
      </c>
    </row>
    <row r="30" spans="1:6">
      <c r="A30" s="163" t="s">
        <v>173</v>
      </c>
      <c r="B30" s="154"/>
      <c r="C30" s="154"/>
      <c r="D30" s="163"/>
    </row>
    <row r="31" spans="1:6" ht="12.75" customHeight="1">
      <c r="A31" s="163"/>
      <c r="B31" s="154"/>
      <c r="C31" s="154"/>
      <c r="D31" s="163"/>
    </row>
    <row r="32" spans="1:6">
      <c r="A32" s="163"/>
      <c r="B32" s="154"/>
      <c r="C32" s="154"/>
      <c r="D32" s="163"/>
    </row>
    <row r="33" spans="1:4">
      <c r="A33" s="163"/>
      <c r="B33" s="154"/>
      <c r="C33" s="154"/>
      <c r="D33" s="163"/>
    </row>
    <row r="35" spans="1:4">
      <c r="A35" s="166"/>
      <c r="B35" s="154"/>
      <c r="C35" s="154"/>
      <c r="D35" s="154"/>
    </row>
    <row r="36" spans="1:4">
      <c r="A36" s="166"/>
    </row>
    <row r="37" spans="1:4">
      <c r="A37" s="166"/>
    </row>
    <row r="38" spans="1:4">
      <c r="A38" s="166"/>
    </row>
  </sheetData>
  <mergeCells count="1">
    <mergeCell ref="C13:F13"/>
  </mergeCells>
  <phoneticPr fontId="11"/>
  <conditionalFormatting sqref="F24:F26">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7" ma:contentTypeDescription="Een nieuw document maken." ma:contentTypeScope="" ma:versionID="766daa1aafd0c5eac000404e02cf5a76">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5e2574012450051b7f2eed84f3f961dd"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Zaaknr" minOccurs="0"/>
                <xsd:element ref="ns2:Inkoper" minOccurs="0"/>
                <xsd:element ref="ns2:Statu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Zaaknr" ma:index="12" nillable="true" ma:displayName="Zaaknr" ma:format="Dropdown" ma:internalName="Zaaknr">
      <xsd:simpleType>
        <xsd:restriction base="dms:Text">
          <xsd:maxLength value="255"/>
        </xsd:restriction>
      </xsd:simpleType>
    </xsd:element>
    <xsd:element name="Inkoper" ma:index="13"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format="Dropdown" ma:internalName="Status">
      <xsd:simpleType>
        <xsd:restriction base="dms:Choice">
          <xsd:enumeration value="Voorbereidingsfase"/>
          <xsd:enumeration value="Aanbestedingsfase"/>
          <xsd:enumeration value="Aandacht nodig"/>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SharedWithUsers xmlns="a89afb74-1e0d-4848-88c4-4d8eb5b75cc9">
      <UserInfo>
        <DisplayName>Rob Toorenburgh</DisplayName>
        <AccountId>31</AccountId>
        <AccountType/>
      </UserInfo>
    </SharedWithUsers>
    <Zaaknr xmlns="6d51f16b-6971-42bd-ad33-5e2bb52cb201" xsi:nil="true"/>
    <Inkoper xmlns="6d51f16b-6971-42bd-ad33-5e2bb52cb201">
      <UserInfo>
        <DisplayName/>
        <AccountId xsi:nil="true"/>
        <AccountType/>
      </UserInfo>
    </Inkoper>
    <Status xmlns="6d51f16b-6971-42bd-ad33-5e2bb52cb2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83957F-BB82-4109-9513-611B6727E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1f16b-6971-42bd-ad33-5e2bb52cb201"/>
    <ds:schemaRef ds:uri="a89afb74-1e0d-4848-88c4-4d8eb5b75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 ds:uri="6d51f16b-6971-42bd-ad33-5e2bb52cb201"/>
    <ds:schemaRef ds:uri="a89afb74-1e0d-4848-88c4-4d8eb5b75cc9"/>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11-Machinekosten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Zanten, Marja van</cp:lastModifiedBy>
  <cp:revision/>
  <dcterms:created xsi:type="dcterms:W3CDTF">1999-10-05T12:28:40Z</dcterms:created>
  <dcterms:modified xsi:type="dcterms:W3CDTF">2025-04-02T12:40:12Z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MediaServiceImageTags">
    <vt:lpwstr/>
  </property>
</Properties>
</file>