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
    </mc:Choice>
  </mc:AlternateContent>
  <workbookProtection workbookAlgorithmName="SHA-512" workbookHashValue="pU30KGs6t2S+TmPwKGcpGhE1li9QtTrX9rOOqgTLyuwhVlmmEfKS9BEreOSYfYNIFJ3htXGwC4lKn8bAZB2dSA==" workbookSaltValue="jKiiiKnvykbfOVlu0gNPHg==" workbookSpinCount="100000" lockStructure="1"/>
  <bookViews>
    <workbookView xWindow="-105" yWindow="-105" windowWidth="23250" windowHeight="12450" activeTab="1"/>
  </bookViews>
  <sheets>
    <sheet name="Toelichting" sheetId="2" r:id="rId1"/>
    <sheet name="Rekenmodel transformatie" sheetId="1"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1" l="1"/>
  <c r="S19" i="1" l="1"/>
  <c r="H13" i="1"/>
  <c r="P34" i="1" l="1"/>
  <c r="Q34" i="1" s="1"/>
  <c r="Q35" i="1" s="1"/>
  <c r="P33" i="1"/>
  <c r="Q33" i="1" s="1"/>
  <c r="P32" i="1"/>
  <c r="P31" i="1"/>
  <c r="Q14" i="1"/>
  <c r="F108" i="1" l="1"/>
  <c r="C108" i="1"/>
  <c r="B108" i="1"/>
  <c r="E108" i="1" s="1"/>
  <c r="A108" i="1"/>
  <c r="F107" i="1"/>
  <c r="E107" i="1"/>
  <c r="C107" i="1"/>
  <c r="B107" i="1"/>
  <c r="A107" i="1"/>
  <c r="G8" i="1"/>
  <c r="G7" i="1"/>
  <c r="L46" i="1" l="1"/>
  <c r="L49" i="1"/>
  <c r="H16" i="1" l="1"/>
  <c r="H15" i="1"/>
  <c r="G16" i="1"/>
  <c r="F16" i="1"/>
  <c r="F15" i="1"/>
  <c r="G13" i="1"/>
  <c r="F13" i="1"/>
  <c r="E50" i="1" l="1"/>
  <c r="E51" i="1" s="1"/>
  <c r="F68" i="1"/>
  <c r="H59" i="1" s="1"/>
  <c r="AB58" i="1" l="1"/>
  <c r="Z59" i="1"/>
  <c r="AB59" i="1"/>
  <c r="X59" i="1" l="1"/>
  <c r="L111" i="1"/>
  <c r="C109" i="1"/>
  <c r="B109" i="1"/>
  <c r="L106" i="1"/>
  <c r="F106" i="1"/>
  <c r="C106" i="1"/>
  <c r="B106" i="1"/>
  <c r="E106" i="1" s="1"/>
  <c r="A106" i="1"/>
  <c r="F105" i="1"/>
  <c r="C105" i="1"/>
  <c r="B105" i="1"/>
  <c r="A105" i="1"/>
  <c r="F104" i="1"/>
  <c r="C104" i="1"/>
  <c r="B104" i="1"/>
  <c r="E104" i="1" s="1"/>
  <c r="A104" i="1"/>
  <c r="F103" i="1"/>
  <c r="C103" i="1"/>
  <c r="B103" i="1"/>
  <c r="E103" i="1" s="1"/>
  <c r="A103" i="1"/>
  <c r="F102" i="1"/>
  <c r="C102" i="1"/>
  <c r="B102" i="1"/>
  <c r="E102" i="1" s="1"/>
  <c r="A102" i="1"/>
  <c r="G85" i="1"/>
  <c r="H85" i="1" s="1"/>
  <c r="N83" i="1"/>
  <c r="G81" i="1"/>
  <c r="B81" i="1"/>
  <c r="G79" i="1"/>
  <c r="K71" i="1"/>
  <c r="H63" i="1"/>
  <c r="G67" i="1"/>
  <c r="G66" i="1"/>
  <c r="L66" i="1" s="1"/>
  <c r="G65" i="1"/>
  <c r="L65" i="1" s="1"/>
  <c r="G64" i="1"/>
  <c r="L64" i="1" s="1"/>
  <c r="G63" i="1"/>
  <c r="L63" i="1" s="1"/>
  <c r="G62" i="1"/>
  <c r="L62" i="1" s="1"/>
  <c r="G61" i="1"/>
  <c r="L61" i="1" s="1"/>
  <c r="G60" i="1"/>
  <c r="L60" i="1" s="1"/>
  <c r="G59" i="1"/>
  <c r="L54" i="1"/>
  <c r="L53" i="1"/>
  <c r="L48" i="1"/>
  <c r="L47" i="1"/>
  <c r="L45" i="1"/>
  <c r="K37" i="1"/>
  <c r="I37" i="1"/>
  <c r="K36" i="1"/>
  <c r="I36" i="1"/>
  <c r="I35" i="1"/>
  <c r="B33" i="1"/>
  <c r="H32" i="1"/>
  <c r="I31" i="1"/>
  <c r="K31" i="1" s="1"/>
  <c r="I30" i="1"/>
  <c r="K30" i="1" s="1"/>
  <c r="I29" i="1"/>
  <c r="K29" i="1" s="1"/>
  <c r="I28" i="1"/>
  <c r="K28" i="1" s="1"/>
  <c r="I27" i="1"/>
  <c r="K27" i="1" s="1"/>
  <c r="I26" i="1"/>
  <c r="S22" i="1"/>
  <c r="Q22" i="1"/>
  <c r="S21" i="1"/>
  <c r="B15" i="1"/>
  <c r="O78" i="1" s="1"/>
  <c r="V12" i="1"/>
  <c r="U12" i="1"/>
  <c r="B12" i="1"/>
  <c r="L104" i="1" s="1"/>
  <c r="O11" i="1"/>
  <c r="U16" i="1" l="1"/>
  <c r="L67" i="1"/>
  <c r="G68" i="1"/>
  <c r="F3" i="1" s="1"/>
  <c r="F7" i="1" s="1"/>
  <c r="L55" i="1"/>
  <c r="K38" i="1"/>
  <c r="H62" i="1"/>
  <c r="O65" i="1" s="1"/>
  <c r="E109" i="1"/>
  <c r="H61" i="1"/>
  <c r="H66" i="1"/>
  <c r="E105" i="1"/>
  <c r="N84" i="1"/>
  <c r="N85" i="1" s="1"/>
  <c r="L51" i="1"/>
  <c r="L113" i="1"/>
  <c r="V14" i="1"/>
  <c r="V16" i="1" s="1"/>
  <c r="Q20" i="1" s="1"/>
  <c r="U15" i="1"/>
  <c r="V15" i="1"/>
  <c r="H60" i="1"/>
  <c r="G84" i="1"/>
  <c r="P24" i="1"/>
  <c r="H65" i="1"/>
  <c r="H67" i="1"/>
  <c r="H64" i="1"/>
  <c r="F87" i="1"/>
  <c r="P25" i="1"/>
  <c r="L105" i="1"/>
  <c r="L112" i="1" s="1"/>
  <c r="L59" i="1" l="1"/>
  <c r="L68" i="1" s="1"/>
  <c r="O66" i="1"/>
  <c r="F4" i="1"/>
  <c r="F8" i="1"/>
  <c r="O62" i="1"/>
  <c r="O63" i="1"/>
  <c r="H68" i="1"/>
  <c r="Q21" i="1"/>
  <c r="L115" i="1"/>
  <c r="C91" i="1" s="1"/>
  <c r="N91" i="1" s="1"/>
  <c r="L114" i="1"/>
  <c r="L72" i="1" l="1"/>
  <c r="C78" i="1" s="1"/>
  <c r="F112" i="1" s="1"/>
  <c r="I50" i="1"/>
  <c r="C114" i="1"/>
  <c r="C89" i="1" l="1"/>
  <c r="I32" i="1"/>
  <c r="K32" i="1" s="1"/>
  <c r="K33" i="1" s="1"/>
  <c r="F109" i="1"/>
  <c r="F111" i="1" s="1"/>
  <c r="F113" i="1" s="1"/>
  <c r="F115" i="1" s="1"/>
  <c r="C81" i="1" s="1"/>
  <c r="C79" i="1"/>
  <c r="C80" i="1" s="1"/>
  <c r="K72" i="1"/>
  <c r="C82" i="1" l="1"/>
  <c r="O75" i="1" s="1"/>
  <c r="C90" i="1"/>
  <c r="C92" i="1" s="1"/>
  <c r="N88" i="1" l="1"/>
  <c r="F90" i="1"/>
  <c r="N87" i="1"/>
  <c r="N90" i="1" s="1"/>
  <c r="F92" i="1"/>
  <c r="F91" i="1"/>
  <c r="C84" i="1"/>
  <c r="G82" i="1" s="1"/>
  <c r="H84" i="1"/>
  <c r="O77" i="1"/>
  <c r="N92" i="1" l="1"/>
  <c r="J90" i="1" s="1"/>
  <c r="P90" i="1"/>
</calcChain>
</file>

<file path=xl/comments1.xml><?xml version="1.0" encoding="utf-8"?>
<comments xmlns="http://schemas.openxmlformats.org/spreadsheetml/2006/main">
  <authors>
    <author>Tajaâte, Fouzia</author>
    <author>tc={8DF745EF-905A-4358-9E6B-1864C9DF3F9C}</author>
  </authors>
  <commentList>
    <comment ref="B19" authorId="0" shapeId="0">
      <text>
        <r>
          <rPr>
            <b/>
            <sz val="9"/>
            <color indexed="81"/>
            <rFont val="Tahoma"/>
            <family val="2"/>
          </rPr>
          <t xml:space="preserve">Let op, zie opmerking over toepasselijke canonpercentage in de toelichting. </t>
        </r>
        <r>
          <rPr>
            <sz val="9"/>
            <color indexed="81"/>
            <rFont val="Tahoma"/>
            <charset val="1"/>
          </rPr>
          <t xml:space="preserve">
</t>
        </r>
      </text>
    </comment>
    <comment ref="Q24" authorId="1" shapeId="0">
      <text>
        <r>
          <rPr>
            <sz val="11"/>
            <color theme="1"/>
            <rFont val="Calibri"/>
            <family val="2"/>
            <scheme val="minor"/>
          </rPr>
          <t>[Opmerkingenthread]
U kunt deze opmerkingenthread lezen in uw versie van Excel. Eventuele wijzigingen aan de thread gaan echter verloren als het bestand wordt geopend in een nieuwere versie van Excel. Meer informatie: https://go.microsoft.com/fwlink/?linkid=870924
Opmerking:
    Zie opmerking (O14), lijkt op stand van bovenstaande input berekend te zijn. 
Hoe wordt de restantwaarde oude afkoopsom precies berekend. Met name de afkooppercentage 6 maanden voor datum restitutie roept vragen op.</t>
        </r>
      </text>
    </comment>
  </commentList>
</comments>
</file>

<file path=xl/sharedStrings.xml><?xml version="1.0" encoding="utf-8"?>
<sst xmlns="http://schemas.openxmlformats.org/spreadsheetml/2006/main" count="234" uniqueCount="182">
  <si>
    <t>LET OP: dit model is ter indicatie. Hieraan kunnen geen rechten worden ontleend</t>
  </si>
  <si>
    <t>REKENREGELS verbergen</t>
  </si>
  <si>
    <t>Datum</t>
  </si>
  <si>
    <t xml:space="preserve">LIJSTEN </t>
  </si>
  <si>
    <t>Erfpachter</t>
  </si>
  <si>
    <t>Naam erfpachter</t>
  </si>
  <si>
    <t>canonpercentage</t>
  </si>
  <si>
    <t>AB</t>
  </si>
  <si>
    <t>woningtypen</t>
  </si>
  <si>
    <t>Betreffende project</t>
  </si>
  <si>
    <t>Projectnaam</t>
  </si>
  <si>
    <t>INDEX</t>
  </si>
  <si>
    <t>AB2016</t>
  </si>
  <si>
    <t>AFKOOP</t>
  </si>
  <si>
    <t>sociaal corporatie (permanent)</t>
  </si>
  <si>
    <t>bedrijven</t>
  </si>
  <si>
    <t>Betrokken percelen/kadastralen</t>
  </si>
  <si>
    <t>perceel nr.</t>
  </si>
  <si>
    <t>VAST</t>
  </si>
  <si>
    <t>AB2000</t>
  </si>
  <si>
    <t>CANON</t>
  </si>
  <si>
    <t xml:space="preserve">detailhandel </t>
  </si>
  <si>
    <t>terreinoppervlakte</t>
  </si>
  <si>
    <t>AB1994</t>
  </si>
  <si>
    <t>Jongeren / Studenten won.</t>
  </si>
  <si>
    <t>kantoren</t>
  </si>
  <si>
    <t>AB1966</t>
  </si>
  <si>
    <t>Middelduur - marktconforme</t>
  </si>
  <si>
    <t>commerciele voorzieningen</t>
  </si>
  <si>
    <t>AB1955 en ouder</t>
  </si>
  <si>
    <t>Middelduur - marktcontraire</t>
  </si>
  <si>
    <t>Stap 1: Erfpachtrecht (zie erfpachtakte)</t>
  </si>
  <si>
    <t>Vrije sectorhuur (gestapeld)</t>
  </si>
  <si>
    <t>maatschappelijke voorzieningen</t>
  </si>
  <si>
    <t xml:space="preserve">Tijdvak </t>
  </si>
  <si>
    <t>C</t>
  </si>
  <si>
    <t>i</t>
  </si>
  <si>
    <t>Vrije sectorhuur (EGW)</t>
  </si>
  <si>
    <t xml:space="preserve">Overig… </t>
  </si>
  <si>
    <t xml:space="preserve">Start tijdvak </t>
  </si>
  <si>
    <t>index</t>
  </si>
  <si>
    <t>AB1966-94-2000</t>
  </si>
  <si>
    <t>Koopwoning (gestapeld)</t>
  </si>
  <si>
    <t>wonen (alleen oude situatie)</t>
  </si>
  <si>
    <t>Looptijd afkoop tijdvak</t>
  </si>
  <si>
    <t>jaar</t>
  </si>
  <si>
    <t>einde tijdvak</t>
  </si>
  <si>
    <t>vast</t>
  </si>
  <si>
    <t>AB &lt; 1960</t>
  </si>
  <si>
    <t>Koopwoning (EGW)</t>
  </si>
  <si>
    <t>Resterende looptijd tot einde tijdvak</t>
  </si>
  <si>
    <t>AB 2016</t>
  </si>
  <si>
    <t xml:space="preserve">AB: </t>
  </si>
  <si>
    <t>pull-down</t>
  </si>
  <si>
    <t xml:space="preserve">Betalingsregime: </t>
  </si>
  <si>
    <t>Rekeninvoer factoren afkoopinstructie</t>
  </si>
  <si>
    <t>Soort:</t>
  </si>
  <si>
    <t>O.b.v. huidige AB's</t>
  </si>
  <si>
    <t>Voor AB2000</t>
  </si>
  <si>
    <t>d</t>
  </si>
  <si>
    <t>Destijds betaalde afkoopsom oude tijdvak</t>
  </si>
  <si>
    <t>historisch bedrag uit akte; t.b.v. restitutieberekening; indien canonbetaling: € 0</t>
  </si>
  <si>
    <t>huidige jaarcanon; indien afgekocht: € 0</t>
  </si>
  <si>
    <t>(1+i)/(1+d)</t>
  </si>
  <si>
    <t>J</t>
  </si>
  <si>
    <t>(best wijz)</t>
  </si>
  <si>
    <t>(herziening)</t>
  </si>
  <si>
    <t>Stap 2: huidige programma / bestemming</t>
  </si>
  <si>
    <t>Huidige bestemming cf. akte</t>
  </si>
  <si>
    <t>Grondwaarde</t>
  </si>
  <si>
    <t>Bestemmingen</t>
  </si>
  <si>
    <t>m2 bvo</t>
  </si>
  <si>
    <t>huidige bestemming</t>
  </si>
  <si>
    <t>Canonpercentages 2020</t>
  </si>
  <si>
    <t>n.v.t.</t>
  </si>
  <si>
    <t>totaal metrage bvo</t>
  </si>
  <si>
    <t>Parkeren</t>
  </si>
  <si>
    <t>aantal p.p. cf. huidige akte</t>
  </si>
  <si>
    <t>Grondwaarde parkeren</t>
  </si>
  <si>
    <t>Maaiveld</t>
  </si>
  <si>
    <t>Gebouwd</t>
  </si>
  <si>
    <t>Stap 3: nieuwe programma / bestemming</t>
  </si>
  <si>
    <t>Nieuwe bestemming</t>
  </si>
  <si>
    <t>Grondwaarde niet-wonen</t>
  </si>
  <si>
    <t xml:space="preserve">Niet-wonen (nieuwe situatie) </t>
  </si>
  <si>
    <r>
      <t xml:space="preserve">grondwaarde/m2 </t>
    </r>
    <r>
      <rPr>
        <b/>
        <u/>
        <sz val="11"/>
        <color theme="1"/>
        <rFont val="Calibri"/>
        <family val="2"/>
      </rPr>
      <t>bvo</t>
    </r>
  </si>
  <si>
    <t>Wonen (t.b.v. depreciatie berekening)</t>
  </si>
  <si>
    <t xml:space="preserve">Totaal </t>
  </si>
  <si>
    <t>aantal p.p. nieuw</t>
  </si>
  <si>
    <t>Grondwaarde per p.p.</t>
  </si>
  <si>
    <t>Wonen (nieuwe situatie) (dropdown selectie)</t>
  </si>
  <si>
    <t>opmerking</t>
  </si>
  <si>
    <t>m2 gbo/woning</t>
  </si>
  <si>
    <t>aantal woningen</t>
  </si>
  <si>
    <t>totaal m2 gbo</t>
  </si>
  <si>
    <t>percentage woningen</t>
  </si>
  <si>
    <r>
      <t xml:space="preserve">grondwaarde/m2 </t>
    </r>
    <r>
      <rPr>
        <b/>
        <u/>
        <sz val="11"/>
        <color theme="1"/>
        <rFont val="Calibri"/>
        <family val="2"/>
      </rPr>
      <t>gbo</t>
    </r>
    <r>
      <rPr>
        <b/>
        <sz val="11"/>
        <color theme="1"/>
        <rFont val="Calibri"/>
        <family val="2"/>
      </rPr>
      <t xml:space="preserve"> (BTW n.v.t.)</t>
    </r>
  </si>
  <si>
    <t>Grondwaarde wonen</t>
  </si>
  <si>
    <t>deze categorie geldt alleen voor woningcorporaties!</t>
  </si>
  <si>
    <t>Totalen</t>
  </si>
  <si>
    <t>Erfpachtgrondwaarde</t>
  </si>
  <si>
    <t xml:space="preserve">Resultaat </t>
  </si>
  <si>
    <t>canonstijging</t>
  </si>
  <si>
    <r>
      <t>1. Bestemmings- en/of bebouwingswijziging</t>
    </r>
    <r>
      <rPr>
        <b/>
        <u/>
        <sz val="12"/>
        <rFont val="Calibri"/>
        <family val="2"/>
        <scheme val="minor"/>
      </rPr>
      <t xml:space="preserve"> (aanvraag is altijd mogelijk, indien voldaan aan de voorwaarden)</t>
    </r>
  </si>
  <si>
    <t>nieuwe canon</t>
  </si>
  <si>
    <t>Grondwaarde nieuwe bestemming</t>
  </si>
  <si>
    <t>jaar (tot CHET)</t>
  </si>
  <si>
    <t>Grondwaarde huidige bestemming</t>
  </si>
  <si>
    <t>Huidige betaalwijze</t>
  </si>
  <si>
    <t>grondwaardestijging</t>
  </si>
  <si>
    <t>depreciatie (zie onderstaand tabel A)</t>
  </si>
  <si>
    <t>Huidige canon</t>
  </si>
  <si>
    <t>Grondwaardestijging</t>
  </si>
  <si>
    <t>Canonstijging</t>
  </si>
  <si>
    <t>INDICATIE</t>
  </si>
  <si>
    <t>Nieuwe canon</t>
  </si>
  <si>
    <t>Aanvullende afkoopsom</t>
  </si>
  <si>
    <t>tot</t>
  </si>
  <si>
    <t>2. Herziening bij transformatie</t>
  </si>
  <si>
    <t>(kan alleen vanaf 30 tot 2 jaar voor einde tijdvak)</t>
  </si>
  <si>
    <t>nieuw 50-jrg tijdvak</t>
  </si>
  <si>
    <t>Grondwaarde nieuw</t>
  </si>
  <si>
    <t>Opties canonbetaling nieuwe AB2000-tijdvak</t>
  </si>
  <si>
    <t>Afkoopsom nieuwe 50-jarige AB2000-tijdvak</t>
  </si>
  <si>
    <t>minus depreciatie</t>
  </si>
  <si>
    <t>jaarlijks geïndexeerde canon</t>
  </si>
  <si>
    <t>Afkoopsom 50 jaar</t>
  </si>
  <si>
    <t>factor  50 jaar afkoop</t>
  </si>
  <si>
    <t>Restantwaarde oude afkoopsom (zie onderstaand tabel B)</t>
  </si>
  <si>
    <t>10-jaar-vaste canon</t>
  </si>
  <si>
    <t>restantwaarde oude afkoopsom</t>
  </si>
  <si>
    <t>netto nieuwe grondwaarde</t>
  </si>
  <si>
    <t>25-jaar-vaste canon</t>
  </si>
  <si>
    <t>te betalen door de erfpachter bij afkoop</t>
  </si>
  <si>
    <t xml:space="preserve">Tabel A: te hanteren depreciatie bij (bestemmings en/of bebouwingswijziging) </t>
  </si>
  <si>
    <t>Tabel B: restantwaarde Afkoopsom</t>
  </si>
  <si>
    <t>De depreciatie wordt berekend als 10% van de grondwaarde van de veranderende functies.</t>
  </si>
  <si>
    <t>Deze restantwaarde wordt berekend door de afkoopfactor (de factor voor de netto-contante waarde) te berekenen voor zowel de oude afkoopperiode als voor het aantal jaren waarmee het tijdvak wordt ingekort. De verhouding tussen deze twee factoren is het "aandeel" van de restantwaarde t.o.v. de destijds betaalde afkoopsom. Dit verhoudingsgetal wordt vermenigvuldigd met de destijds betaalde afkoopsom. Dit leidt tot de restantwaarde.</t>
  </si>
  <si>
    <t>Daartoe wordt berekend welke erfpachtbestemmingen niet wijzigen, en welke grondwaarde deze hebben.</t>
  </si>
  <si>
    <t>Dit deel van de grondwaarde wordt in mindering gebracht op de totale grondwaarde voor het nieuwe programma.</t>
  </si>
  <si>
    <t>Programma in m2 bvo</t>
  </si>
  <si>
    <t>Huidige bestemming</t>
  </si>
  <si>
    <t>gelijkblijven functies</t>
  </si>
  <si>
    <t>Oude afkoopperiode (in jaren)</t>
  </si>
  <si>
    <t>Aantal jaren dat verrekend wordt</t>
  </si>
  <si>
    <t>Destijds betaalde afkoopsom</t>
  </si>
  <si>
    <t>Wonen</t>
  </si>
  <si>
    <t>Afkoopperc. 6 mnd voor datum restitutie</t>
  </si>
  <si>
    <t>Grondwaarde gelijkblijvende functies</t>
  </si>
  <si>
    <t>(a) afkoopfactor restantperiode</t>
  </si>
  <si>
    <t>Waarvan veranderende functies</t>
  </si>
  <si>
    <t>(b) afkoopfactor oude afkoopperiode</t>
  </si>
  <si>
    <t>(a) / (b)</t>
  </si>
  <si>
    <t>Depreciatie</t>
  </si>
  <si>
    <t>Restantwaarde afkoopsom</t>
  </si>
  <si>
    <t>(dag-maand-jaar)</t>
  </si>
  <si>
    <t>m² grond</t>
  </si>
  <si>
    <t>t.b.v. depreciatie berekening o.b.v. input nieuwe programma</t>
  </si>
  <si>
    <t>gemiddelde vorm factor gbo/bvo woningbouw</t>
  </si>
  <si>
    <t>Hierdoor ontstaat de grondwaarde van de veranderende functies, waarover 10% depreciatie wordt gerekend.</t>
  </si>
  <si>
    <t>+</t>
  </si>
  <si>
    <t>=</t>
  </si>
  <si>
    <t>sociaal particulier (25 jaar)</t>
  </si>
  <si>
    <t>Gehanteerde canonpercentages:</t>
  </si>
  <si>
    <t>10/25 jr. vast</t>
  </si>
  <si>
    <t>omgerekend van afkoopsom naar erfpachtgrondwaarde</t>
  </si>
  <si>
    <t>Totale nieuwe programma</t>
  </si>
  <si>
    <t>waarvan op huidige perceel</t>
  </si>
  <si>
    <t>waarvan op perceeluitbreiding</t>
  </si>
  <si>
    <t>Parkeren Maaiveld</t>
  </si>
  <si>
    <t>Parkeren Gebouwd</t>
  </si>
  <si>
    <t>op bestaand perceel</t>
  </si>
  <si>
    <t xml:space="preserve"> erfpachtwijziging(en) volledig is. Van een volledige aanvraag is sprake als o.a. de benodigde omgevingsvergunning(en) is (zijn) </t>
  </si>
  <si>
    <t>verleend. Zie het ‘Document volledige aanvraag’ op amsterdam.nl/erfpacht voor de overige voorwaarden. Bij de indicatie is er</t>
  </si>
  <si>
    <t>4,09% - 4,30%</t>
  </si>
  <si>
    <t>Let op, aandachtspunt bij berekeningen in 2024 ten aanzien van het toepasselijke canonpercentage:</t>
  </si>
  <si>
    <t>De canon wordt berekend met het toepasselijke canonpercentage van het kwartaal waarin de schriftelijke aanvraag voor de</t>
  </si>
  <si>
    <t>Canonpercentage:</t>
  </si>
  <si>
    <t>Canonbedrag</t>
  </si>
  <si>
    <t>2,90%-4,30%</t>
  </si>
  <si>
    <t xml:space="preserve">(vaak) nog geen volledige aanvraag. Bij de definitieve berekening kan er daarom een ander canonpercentage gelden. </t>
  </si>
  <si>
    <t>Rekenmodel transformatie erfpacht: 2024v01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</si>
</sst>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2" formatCode="_ &quot;€&quot;\ * #,##0_ ;_ &quot;€&quot;\ * \-#,##0_ ;_ &quot;€&quot;\ * &quot;-&quot;_ ;_ @_ "/>
    <numFmt numFmtId="44" formatCode="_ &quot;€&quot;\ * #,##0.00_ ;_ &quot;€&quot;\ * \-#,##0.00_ ;_ &quot;€&quot;\ * &quot;-&quot;??_ ;_ @_ "/>
    <numFmt numFmtId="43" formatCode="_ * #,##0.00_ ;_ * \-#,##0.00_ ;_ * &quot;-&quot;??_ ;_ @_ "/>
    <numFmt numFmtId="164" formatCode="_ * #,##0_ ;_ * \-#,##0_ ;_ * &quot;-&quot;??_ ;_ @_ "/>
    <numFmt numFmtId="165" formatCode="_ &quot;€&quot;\ * #,##0_ ;_ &quot;€&quot;\ * \-#,##0_ ;_ &quot;€&quot;\ * &quot;-&quot;??_ ;_ @_ "/>
    <numFmt numFmtId="166" formatCode="0_ ;[Red]\-0\ "/>
    <numFmt numFmtId="167" formatCode="_ * #,##0.000_ ;_ * \-#,##0.000_ ;_ * &quot;-&quot;??_ ;_ @_ "/>
    <numFmt numFmtId="168" formatCode="#,##0.00_ ;\-#,##0.00\ "/>
    <numFmt numFmtId="169" formatCode="d\ mmmm\ yyyy"/>
    <numFmt numFmtId="170" formatCode="#,##0.0000"/>
    <numFmt numFmtId="171" formatCode="0.000"/>
    <numFmt numFmtId="172" formatCode="_-[$€-413]\ * #,##0_-;_-[$€-413]\ * #,##0\-;_-[$€-413]\ * &quot;-&quot;??_-;_-@_-"/>
  </numFmts>
  <fonts count="4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6"/>
      <color theme="0"/>
      <name val="Calibri"/>
      <family val="2"/>
      <scheme val="minor"/>
    </font>
    <font>
      <b/>
      <i/>
      <u/>
      <sz val="14"/>
      <color rgb="FFFF0000"/>
      <name val="Calibri"/>
      <family val="2"/>
    </font>
    <font>
      <b/>
      <sz val="11"/>
      <color rgb="FFFF0000"/>
      <name val="Calibri"/>
      <family val="2"/>
      <scheme val="minor"/>
    </font>
    <font>
      <b/>
      <sz val="11"/>
      <color rgb="FFFF0000"/>
      <name val="Calibri"/>
      <family val="2"/>
    </font>
    <font>
      <b/>
      <sz val="14"/>
      <color theme="0"/>
      <name val="Calibri"/>
      <family val="2"/>
      <scheme val="minor"/>
    </font>
    <font>
      <i/>
      <sz val="11"/>
      <color theme="1"/>
      <name val="Calibri"/>
      <family val="2"/>
    </font>
    <font>
      <b/>
      <sz val="11"/>
      <color theme="1"/>
      <name val="Calibri"/>
      <family val="2"/>
    </font>
    <font>
      <sz val="10"/>
      <color theme="0" tint="-0.499984740745262"/>
      <name val="Arial"/>
      <family val="2"/>
    </font>
    <font>
      <sz val="10"/>
      <color rgb="FFFF0000"/>
      <name val="Arial"/>
      <family val="2"/>
    </font>
    <font>
      <sz val="10"/>
      <name val="Arial"/>
      <family val="2"/>
    </font>
    <font>
      <sz val="11"/>
      <name val="Calibri"/>
      <family val="2"/>
    </font>
    <font>
      <i/>
      <sz val="11"/>
      <color theme="1"/>
      <name val="Calibri"/>
      <family val="2"/>
      <scheme val="minor"/>
    </font>
    <font>
      <b/>
      <u/>
      <sz val="11"/>
      <color theme="1"/>
      <name val="Calibri"/>
      <family val="2"/>
    </font>
    <font>
      <b/>
      <sz val="11"/>
      <name val="Calibri"/>
      <family val="2"/>
      <scheme val="minor"/>
    </font>
    <font>
      <b/>
      <i/>
      <sz val="11"/>
      <color rgb="FFFF0000"/>
      <name val="Calibri"/>
      <family val="2"/>
      <scheme val="minor"/>
    </font>
    <font>
      <b/>
      <u/>
      <sz val="12"/>
      <color theme="1"/>
      <name val="Calibri"/>
      <family val="2"/>
      <scheme val="minor"/>
    </font>
    <font>
      <b/>
      <u/>
      <sz val="12"/>
      <name val="Calibri"/>
      <family val="2"/>
      <scheme val="minor"/>
    </font>
    <font>
      <sz val="11"/>
      <color theme="1"/>
      <name val="Calibri"/>
      <family val="2"/>
    </font>
    <font>
      <b/>
      <u/>
      <sz val="11"/>
      <color theme="1"/>
      <name val="Calibri"/>
      <family val="2"/>
      <scheme val="minor"/>
    </font>
    <font>
      <b/>
      <sz val="10"/>
      <name val="Arial"/>
      <family val="2"/>
    </font>
    <font>
      <i/>
      <sz val="11"/>
      <color rgb="FFFF0000"/>
      <name val="Calibri"/>
      <family val="2"/>
    </font>
    <font>
      <b/>
      <u/>
      <sz val="12"/>
      <color theme="1"/>
      <name val="Calibri"/>
      <family val="2"/>
    </font>
    <font>
      <b/>
      <u/>
      <sz val="11"/>
      <name val="Calibri"/>
      <family val="2"/>
    </font>
    <font>
      <b/>
      <i/>
      <sz val="11"/>
      <color theme="1"/>
      <name val="Calibri"/>
      <family val="2"/>
    </font>
    <font>
      <sz val="11"/>
      <color indexed="8"/>
      <name val="Calibri"/>
      <family val="2"/>
    </font>
    <font>
      <b/>
      <sz val="10"/>
      <color theme="1"/>
      <name val="Arial"/>
      <family val="2"/>
    </font>
    <font>
      <b/>
      <sz val="11"/>
      <color theme="0"/>
      <name val="Calibri"/>
      <family val="2"/>
    </font>
    <font>
      <b/>
      <u/>
      <sz val="18"/>
      <color rgb="FFFF0000"/>
      <name val="Calibri"/>
      <family val="2"/>
    </font>
    <font>
      <b/>
      <u/>
      <sz val="11"/>
      <color rgb="FFFF0000"/>
      <name val="Calibri"/>
      <family val="2"/>
    </font>
    <font>
      <b/>
      <sz val="12"/>
      <color rgb="FFFF0000"/>
      <name val="Calibri"/>
      <family val="2"/>
      <scheme val="minor"/>
    </font>
    <font>
      <i/>
      <sz val="9"/>
      <color theme="1"/>
      <name val="Calibri"/>
      <family val="2"/>
      <scheme val="minor"/>
    </font>
    <font>
      <b/>
      <i/>
      <sz val="12"/>
      <color rgb="FFFF0000"/>
      <name val="Calibri"/>
      <family val="2"/>
      <scheme val="minor"/>
    </font>
    <font>
      <sz val="9"/>
      <color indexed="81"/>
      <name val="Tahoma"/>
      <charset val="1"/>
    </font>
    <font>
      <b/>
      <sz val="9"/>
      <color indexed="81"/>
      <name val="Tahoma"/>
      <family val="2"/>
    </font>
  </fonts>
  <fills count="10">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34998626667073579"/>
        <bgColor indexed="64"/>
      </patternFill>
    </fill>
  </fills>
  <borders count="31">
    <border>
      <left/>
      <right/>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cellStyleXfs>
  <cellXfs count="326">
    <xf numFmtId="0" fontId="0" fillId="0" borderId="0" xfId="0"/>
    <xf numFmtId="0" fontId="6" fillId="2" borderId="0" xfId="0" applyFont="1" applyFill="1"/>
    <xf numFmtId="0" fontId="6" fillId="2" borderId="1" xfId="0" applyFont="1" applyFill="1" applyBorder="1"/>
    <xf numFmtId="0" fontId="0" fillId="3" borderId="1" xfId="0" applyFill="1" applyBorder="1"/>
    <xf numFmtId="0" fontId="8" fillId="4" borderId="0" xfId="0" applyFont="1" applyFill="1"/>
    <xf numFmtId="10" fontId="8" fillId="4" borderId="0" xfId="0" applyNumberFormat="1" applyFont="1" applyFill="1" applyAlignment="1">
      <alignment horizontal="center"/>
    </xf>
    <xf numFmtId="10" fontId="8" fillId="4" borderId="0" xfId="0" applyNumberFormat="1" applyFont="1" applyFill="1"/>
    <xf numFmtId="0" fontId="9" fillId="4" borderId="0" xfId="0" applyFont="1" applyFill="1"/>
    <xf numFmtId="0" fontId="0" fillId="3" borderId="0" xfId="0" applyFill="1"/>
    <xf numFmtId="0" fontId="7" fillId="3" borderId="0" xfId="0" applyFont="1" applyFill="1"/>
    <xf numFmtId="0" fontId="0" fillId="5" borderId="0" xfId="0" applyFill="1"/>
    <xf numFmtId="10" fontId="0" fillId="0" borderId="0" xfId="0" applyNumberFormat="1"/>
    <xf numFmtId="164" fontId="4" fillId="3" borderId="2" xfId="1" applyNumberFormat="1" applyFont="1" applyFill="1" applyBorder="1"/>
    <xf numFmtId="14" fontId="0" fillId="5" borderId="3" xfId="1" applyNumberFormat="1" applyFont="1" applyFill="1" applyBorder="1" applyAlignment="1">
      <alignment horizontal="right"/>
    </xf>
    <xf numFmtId="10" fontId="0" fillId="0" borderId="0" xfId="0" applyNumberFormat="1" applyAlignment="1">
      <alignment horizontal="center"/>
    </xf>
    <xf numFmtId="164" fontId="0" fillId="5" borderId="3" xfId="1" applyNumberFormat="1" applyFont="1" applyFill="1" applyBorder="1" applyAlignment="1">
      <alignment horizontal="right"/>
    </xf>
    <xf numFmtId="0" fontId="0" fillId="0" borderId="3" xfId="0" applyBorder="1" applyAlignment="1">
      <alignment horizontal="center"/>
    </xf>
    <xf numFmtId="0" fontId="0" fillId="0" borderId="0" xfId="1" applyNumberFormat="1" applyFont="1"/>
    <xf numFmtId="0" fontId="6" fillId="2" borderId="4" xfId="0" applyFont="1" applyFill="1" applyBorder="1"/>
    <xf numFmtId="0" fontId="10" fillId="2" borderId="5" xfId="0" applyFont="1" applyFill="1" applyBorder="1"/>
    <xf numFmtId="43" fontId="10" fillId="2" borderId="5" xfId="1" applyFont="1" applyFill="1" applyBorder="1" applyProtection="1"/>
    <xf numFmtId="165" fontId="10" fillId="2" borderId="6" xfId="2" applyNumberFormat="1" applyFont="1" applyFill="1" applyBorder="1" applyProtection="1"/>
    <xf numFmtId="164" fontId="1" fillId="3" borderId="2" xfId="1" applyNumberFormat="1" applyFont="1" applyFill="1" applyBorder="1"/>
    <xf numFmtId="0" fontId="0" fillId="3" borderId="0" xfId="0" applyFill="1" applyAlignment="1">
      <alignment horizontal="right"/>
    </xf>
    <xf numFmtId="0" fontId="0" fillId="3" borderId="7" xfId="0" applyFill="1" applyBorder="1"/>
    <xf numFmtId="0" fontId="0" fillId="6" borderId="0" xfId="0" applyFill="1"/>
    <xf numFmtId="10" fontId="0" fillId="6" borderId="0" xfId="0" applyNumberFormat="1" applyFill="1" applyAlignment="1">
      <alignment horizontal="center"/>
    </xf>
    <xf numFmtId="164" fontId="1" fillId="3" borderId="2" xfId="1" applyNumberFormat="1" applyFont="1" applyFill="1" applyBorder="1" applyAlignment="1">
      <alignment horizontal="left" indent="1"/>
    </xf>
    <xf numFmtId="1" fontId="0" fillId="3" borderId="0" xfId="1" applyNumberFormat="1" applyFont="1" applyFill="1" applyBorder="1"/>
    <xf numFmtId="0" fontId="0" fillId="6" borderId="0" xfId="0" applyFill="1" applyAlignment="1">
      <alignment horizontal="right"/>
    </xf>
    <xf numFmtId="10" fontId="0" fillId="6" borderId="8" xfId="0" applyNumberFormat="1" applyFill="1" applyBorder="1" applyAlignment="1">
      <alignment horizontal="center"/>
    </xf>
    <xf numFmtId="10" fontId="0" fillId="6" borderId="1" xfId="0" applyNumberFormat="1" applyFill="1" applyBorder="1" applyAlignment="1">
      <alignment horizontal="center"/>
    </xf>
    <xf numFmtId="10" fontId="0" fillId="6" borderId="9" xfId="0" applyNumberFormat="1" applyFill="1" applyBorder="1" applyAlignment="1">
      <alignment horizontal="center"/>
    </xf>
    <xf numFmtId="10" fontId="0" fillId="6" borderId="0" xfId="0" applyNumberFormat="1" applyFill="1"/>
    <xf numFmtId="164" fontId="0" fillId="3" borderId="2" xfId="1" applyNumberFormat="1" applyFont="1" applyFill="1" applyBorder="1" applyAlignment="1">
      <alignment horizontal="left" indent="1"/>
    </xf>
    <xf numFmtId="10" fontId="0" fillId="6" borderId="2" xfId="0" applyNumberFormat="1" applyFill="1" applyBorder="1" applyAlignment="1">
      <alignment horizontal="center"/>
    </xf>
    <xf numFmtId="10" fontId="0" fillId="6" borderId="7" xfId="0" applyNumberFormat="1" applyFill="1" applyBorder="1" applyAlignment="1">
      <alignment horizontal="center"/>
    </xf>
    <xf numFmtId="164" fontId="0" fillId="3" borderId="0" xfId="1" applyNumberFormat="1" applyFont="1" applyFill="1" applyBorder="1"/>
    <xf numFmtId="10" fontId="0" fillId="6" borderId="10" xfId="0" applyNumberFormat="1" applyFill="1" applyBorder="1" applyAlignment="1">
      <alignment horizontal="center"/>
    </xf>
    <xf numFmtId="10" fontId="0" fillId="6" borderId="11" xfId="0" applyNumberFormat="1" applyFill="1" applyBorder="1" applyAlignment="1">
      <alignment horizontal="center"/>
    </xf>
    <xf numFmtId="10" fontId="0" fillId="6" borderId="12" xfId="0" applyNumberFormat="1" applyFill="1" applyBorder="1" applyAlignment="1">
      <alignment horizontal="center"/>
    </xf>
    <xf numFmtId="0" fontId="11" fillId="3" borderId="0" xfId="0" applyFont="1" applyFill="1"/>
    <xf numFmtId="10" fontId="12" fillId="6" borderId="0" xfId="0" applyNumberFormat="1" applyFont="1" applyFill="1"/>
    <xf numFmtId="10" fontId="0" fillId="6" borderId="0" xfId="0" applyNumberFormat="1" applyFill="1" applyAlignment="1">
      <alignment horizontal="left"/>
    </xf>
    <xf numFmtId="0" fontId="3" fillId="3" borderId="0" xfId="0" applyFont="1" applyFill="1"/>
    <xf numFmtId="10" fontId="0" fillId="6" borderId="0" xfId="0" applyNumberFormat="1" applyFill="1" applyAlignment="1">
      <alignment horizontal="right"/>
    </xf>
    <xf numFmtId="0" fontId="13" fillId="6" borderId="3" xfId="0" applyFont="1" applyFill="1" applyBorder="1" applyAlignment="1">
      <alignment horizontal="right"/>
    </xf>
    <xf numFmtId="10" fontId="13" fillId="6" borderId="3" xfId="0" applyNumberFormat="1" applyFont="1" applyFill="1" applyBorder="1"/>
    <xf numFmtId="10" fontId="14" fillId="6" borderId="3" xfId="0" applyNumberFormat="1" applyFont="1" applyFill="1" applyBorder="1"/>
    <xf numFmtId="10" fontId="14" fillId="6" borderId="0" xfId="0" applyNumberFormat="1" applyFont="1" applyFill="1"/>
    <xf numFmtId="10" fontId="0" fillId="3" borderId="0" xfId="0" applyNumberFormat="1" applyFill="1" applyAlignment="1">
      <alignment horizontal="center"/>
    </xf>
    <xf numFmtId="10" fontId="0" fillId="3" borderId="7" xfId="0" applyNumberFormat="1" applyFill="1" applyBorder="1" applyAlignment="1">
      <alignment horizontal="center"/>
    </xf>
    <xf numFmtId="10" fontId="0" fillId="5" borderId="0" xfId="0" applyNumberFormat="1" applyFill="1" applyAlignment="1">
      <alignment horizontal="center"/>
    </xf>
    <xf numFmtId="0" fontId="13" fillId="6" borderId="3" xfId="0" applyFont="1" applyFill="1" applyBorder="1"/>
    <xf numFmtId="0" fontId="14" fillId="6" borderId="3" xfId="0" applyFont="1" applyFill="1" applyBorder="1"/>
    <xf numFmtId="0" fontId="14" fillId="6" borderId="0" xfId="0" applyFont="1" applyFill="1"/>
    <xf numFmtId="0" fontId="0" fillId="3" borderId="10" xfId="0" applyFill="1" applyBorder="1"/>
    <xf numFmtId="0" fontId="0" fillId="3" borderId="11" xfId="0" applyFill="1" applyBorder="1"/>
    <xf numFmtId="0" fontId="0" fillId="3" borderId="12" xfId="0" applyFill="1" applyBorder="1"/>
    <xf numFmtId="0" fontId="13" fillId="6" borderId="0" xfId="0" applyFont="1" applyFill="1"/>
    <xf numFmtId="0" fontId="15" fillId="6" borderId="0" xfId="0" applyFont="1" applyFill="1" applyAlignment="1">
      <alignment horizontal="center"/>
    </xf>
    <xf numFmtId="10" fontId="16" fillId="6" borderId="0" xfId="0" applyNumberFormat="1" applyFont="1" applyFill="1" applyAlignment="1">
      <alignment horizontal="center"/>
    </xf>
    <xf numFmtId="166" fontId="13" fillId="6" borderId="0" xfId="0" applyNumberFormat="1" applyFont="1" applyFill="1"/>
    <xf numFmtId="164" fontId="12" fillId="3" borderId="2" xfId="1" applyNumberFormat="1" applyFont="1" applyFill="1" applyBorder="1"/>
    <xf numFmtId="0" fontId="12" fillId="3" borderId="0" xfId="0" applyFont="1" applyFill="1"/>
    <xf numFmtId="0" fontId="12" fillId="3" borderId="0" xfId="0" applyFont="1" applyFill="1" applyAlignment="1">
      <alignment horizontal="right"/>
    </xf>
    <xf numFmtId="164" fontId="0" fillId="6" borderId="0" xfId="0" applyNumberFormat="1" applyFill="1" applyAlignment="1">
      <alignment horizontal="center"/>
    </xf>
    <xf numFmtId="164" fontId="0" fillId="3" borderId="2" xfId="1" applyNumberFormat="1" applyFont="1" applyFill="1" applyBorder="1" applyAlignment="1" applyProtection="1">
      <alignment horizontal="left"/>
      <protection locked="0"/>
    </xf>
    <xf numFmtId="165" fontId="0" fillId="3" borderId="3" xfId="2" applyNumberFormat="1" applyFont="1" applyFill="1" applyBorder="1" applyAlignment="1">
      <alignment horizontal="right"/>
    </xf>
    <xf numFmtId="165" fontId="0" fillId="3" borderId="0" xfId="2" applyNumberFormat="1" applyFont="1" applyFill="1" applyBorder="1" applyProtection="1">
      <protection locked="0"/>
    </xf>
    <xf numFmtId="165" fontId="0" fillId="3" borderId="0" xfId="2" applyNumberFormat="1" applyFont="1" applyFill="1" applyBorder="1"/>
    <xf numFmtId="165" fontId="0" fillId="5" borderId="0" xfId="0" applyNumberFormat="1" applyFill="1"/>
    <xf numFmtId="164" fontId="0" fillId="7" borderId="3" xfId="0" applyNumberFormat="1" applyFill="1" applyBorder="1" applyAlignment="1">
      <alignment horizontal="center"/>
    </xf>
    <xf numFmtId="10" fontId="12" fillId="7" borderId="3" xfId="0" applyNumberFormat="1" applyFont="1" applyFill="1" applyBorder="1" applyAlignment="1">
      <alignment horizontal="center"/>
    </xf>
    <xf numFmtId="10" fontId="0" fillId="7" borderId="3" xfId="0" applyNumberFormat="1" applyFill="1" applyBorder="1"/>
    <xf numFmtId="0" fontId="17" fillId="0" borderId="3" xfId="0" applyFont="1" applyBorder="1" applyAlignment="1">
      <alignment horizontal="center"/>
    </xf>
    <xf numFmtId="164" fontId="0" fillId="3" borderId="2" xfId="0" applyNumberFormat="1" applyFill="1" applyBorder="1" applyProtection="1">
      <protection locked="0"/>
    </xf>
    <xf numFmtId="10" fontId="0" fillId="0" borderId="3" xfId="0" applyNumberFormat="1" applyBorder="1" applyAlignment="1">
      <alignment horizontal="center"/>
    </xf>
    <xf numFmtId="0" fontId="11" fillId="3" borderId="0" xfId="0" applyFont="1" applyFill="1" applyAlignment="1">
      <alignment horizontal="right"/>
    </xf>
    <xf numFmtId="165" fontId="0" fillId="3" borderId="3" xfId="2" applyNumberFormat="1" applyFont="1" applyFill="1" applyBorder="1" applyProtection="1"/>
    <xf numFmtId="0" fontId="0" fillId="3" borderId="2" xfId="0" applyFill="1" applyBorder="1"/>
    <xf numFmtId="164" fontId="12" fillId="3" borderId="0" xfId="0" applyNumberFormat="1" applyFont="1" applyFill="1"/>
    <xf numFmtId="165" fontId="12" fillId="3" borderId="14" xfId="0" applyNumberFormat="1" applyFont="1" applyFill="1" applyBorder="1"/>
    <xf numFmtId="9" fontId="0" fillId="3" borderId="0" xfId="0" applyNumberFormat="1" applyFill="1"/>
    <xf numFmtId="0" fontId="12" fillId="3" borderId="2" xfId="0" applyFont="1" applyFill="1" applyBorder="1"/>
    <xf numFmtId="9" fontId="12" fillId="3" borderId="0" xfId="3" applyFont="1" applyFill="1" applyBorder="1" applyAlignment="1">
      <alignment horizontal="left"/>
    </xf>
    <xf numFmtId="165" fontId="12" fillId="3" borderId="0" xfId="0" applyNumberFormat="1" applyFont="1" applyFill="1"/>
    <xf numFmtId="9" fontId="0" fillId="3" borderId="11" xfId="0" applyNumberFormat="1" applyFill="1" applyBorder="1"/>
    <xf numFmtId="165" fontId="12" fillId="3" borderId="11" xfId="0" applyNumberFormat="1" applyFont="1" applyFill="1" applyBorder="1"/>
    <xf numFmtId="0" fontId="12" fillId="3" borderId="7" xfId="0" applyFont="1" applyFill="1" applyBorder="1" applyAlignment="1">
      <alignment horizontal="right"/>
    </xf>
    <xf numFmtId="0" fontId="12" fillId="3" borderId="0" xfId="0" applyFont="1" applyFill="1" applyAlignment="1">
      <alignment horizontal="left"/>
    </xf>
    <xf numFmtId="165" fontId="0" fillId="3" borderId="7" xfId="2" applyNumberFormat="1" applyFont="1" applyFill="1" applyBorder="1" applyProtection="1"/>
    <xf numFmtId="164" fontId="0" fillId="3" borderId="0" xfId="0" applyNumberFormat="1" applyFill="1" applyProtection="1">
      <protection locked="0"/>
    </xf>
    <xf numFmtId="164" fontId="17" fillId="3" borderId="2" xfId="1" applyNumberFormat="1" applyFont="1" applyFill="1" applyBorder="1" applyAlignment="1" applyProtection="1">
      <alignment horizontal="left"/>
      <protection locked="0"/>
    </xf>
    <xf numFmtId="164" fontId="0" fillId="3" borderId="0" xfId="0" applyNumberFormat="1" applyFill="1"/>
    <xf numFmtId="165" fontId="0" fillId="3" borderId="0" xfId="2" applyNumberFormat="1" applyFont="1" applyFill="1" applyBorder="1" applyProtection="1"/>
    <xf numFmtId="0" fontId="4" fillId="3" borderId="2" xfId="0" applyFont="1" applyFill="1" applyBorder="1"/>
    <xf numFmtId="165" fontId="12" fillId="3" borderId="15" xfId="0" applyNumberFormat="1" applyFont="1" applyFill="1" applyBorder="1"/>
    <xf numFmtId="9" fontId="12" fillId="3" borderId="0" xfId="3" applyFont="1" applyFill="1" applyBorder="1" applyAlignment="1">
      <alignment horizontal="right"/>
    </xf>
    <xf numFmtId="0" fontId="4" fillId="3" borderId="0" xfId="0" applyFont="1" applyFill="1"/>
    <xf numFmtId="164" fontId="12" fillId="3" borderId="2" xfId="1" applyNumberFormat="1" applyFont="1" applyFill="1" applyBorder="1" applyAlignment="1">
      <alignment horizontal="left"/>
    </xf>
    <xf numFmtId="9" fontId="19" fillId="3" borderId="0" xfId="0" applyNumberFormat="1" applyFont="1" applyFill="1"/>
    <xf numFmtId="10" fontId="12" fillId="3" borderId="0" xfId="0" applyNumberFormat="1" applyFont="1" applyFill="1" applyAlignment="1">
      <alignment horizontal="center" wrapText="1"/>
    </xf>
    <xf numFmtId="0" fontId="12" fillId="3" borderId="0" xfId="0" applyFont="1" applyFill="1" applyAlignment="1">
      <alignment horizontal="right" wrapText="1"/>
    </xf>
    <xf numFmtId="0" fontId="12" fillId="3" borderId="7" xfId="0" applyFont="1" applyFill="1" applyBorder="1" applyAlignment="1">
      <alignment horizontal="right" wrapText="1"/>
    </xf>
    <xf numFmtId="9" fontId="0" fillId="3" borderId="0" xfId="0" applyNumberFormat="1" applyFill="1" applyAlignment="1">
      <alignment horizontal="center"/>
    </xf>
    <xf numFmtId="165" fontId="3" fillId="3" borderId="7" xfId="2" applyNumberFormat="1" applyFont="1" applyFill="1" applyBorder="1" applyProtection="1"/>
    <xf numFmtId="9" fontId="0" fillId="5" borderId="0" xfId="3" applyFont="1" applyFill="1" applyProtection="1"/>
    <xf numFmtId="9" fontId="12" fillId="8" borderId="0" xfId="0" applyNumberFormat="1" applyFont="1" applyFill="1" applyAlignment="1">
      <alignment horizontal="center"/>
    </xf>
    <xf numFmtId="10" fontId="11" fillId="8" borderId="0" xfId="0" applyNumberFormat="1" applyFont="1" applyFill="1" applyAlignment="1">
      <alignment horizontal="center"/>
    </xf>
    <xf numFmtId="10" fontId="0" fillId="8" borderId="0" xfId="0" applyNumberFormat="1" applyFill="1" applyAlignment="1">
      <alignment horizontal="center"/>
    </xf>
    <xf numFmtId="167" fontId="12" fillId="3" borderId="0" xfId="1" applyNumberFormat="1" applyFont="1" applyFill="1" applyBorder="1"/>
    <xf numFmtId="164" fontId="12" fillId="3" borderId="0" xfId="1" applyNumberFormat="1" applyFont="1" applyFill="1" applyBorder="1"/>
    <xf numFmtId="9" fontId="12" fillId="3" borderId="0" xfId="0" applyNumberFormat="1" applyFont="1" applyFill="1" applyAlignment="1">
      <alignment horizontal="center"/>
    </xf>
    <xf numFmtId="165" fontId="12" fillId="3" borderId="0" xfId="2" applyNumberFormat="1" applyFont="1" applyFill="1" applyBorder="1" applyProtection="1"/>
    <xf numFmtId="43" fontId="12" fillId="3" borderId="0" xfId="0" applyNumberFormat="1" applyFont="1" applyFill="1"/>
    <xf numFmtId="165" fontId="12" fillId="3" borderId="0" xfId="2" applyNumberFormat="1" applyFont="1" applyFill="1" applyBorder="1"/>
    <xf numFmtId="165" fontId="12" fillId="3" borderId="7" xfId="0" applyNumberFormat="1" applyFont="1" applyFill="1" applyBorder="1"/>
    <xf numFmtId="168" fontId="12" fillId="3" borderId="0" xfId="1" applyNumberFormat="1" applyFont="1" applyFill="1" applyBorder="1" applyProtection="1">
      <protection locked="0"/>
    </xf>
    <xf numFmtId="0" fontId="12" fillId="3" borderId="16" xfId="0" applyFont="1" applyFill="1" applyBorder="1"/>
    <xf numFmtId="0" fontId="0" fillId="3" borderId="17" xfId="0" applyFill="1" applyBorder="1"/>
    <xf numFmtId="9" fontId="12" fillId="3" borderId="17" xfId="3" applyFont="1" applyFill="1" applyBorder="1" applyAlignment="1" applyProtection="1">
      <alignment horizontal="right"/>
    </xf>
    <xf numFmtId="2" fontId="0" fillId="3" borderId="17" xfId="0" applyNumberFormat="1" applyFill="1" applyBorder="1" applyAlignment="1">
      <alignment horizontal="right"/>
    </xf>
    <xf numFmtId="0" fontId="0" fillId="3" borderId="17" xfId="0" applyFill="1" applyBorder="1" applyAlignment="1">
      <alignment horizontal="right"/>
    </xf>
    <xf numFmtId="0" fontId="12" fillId="3" borderId="17" xfId="0" applyFont="1" applyFill="1" applyBorder="1" applyAlignment="1">
      <alignment horizontal="right"/>
    </xf>
    <xf numFmtId="0" fontId="12" fillId="3" borderId="18" xfId="0" applyFont="1" applyFill="1" applyBorder="1" applyAlignment="1">
      <alignment horizontal="right"/>
    </xf>
    <xf numFmtId="0" fontId="12" fillId="3" borderId="19" xfId="0" applyFont="1" applyFill="1" applyBorder="1" applyAlignment="1">
      <alignment horizontal="right"/>
    </xf>
    <xf numFmtId="165" fontId="12" fillId="3" borderId="20" xfId="2" applyNumberFormat="1" applyFont="1" applyFill="1" applyBorder="1" applyProtection="1"/>
    <xf numFmtId="0" fontId="0" fillId="3" borderId="21" xfId="0" applyFill="1" applyBorder="1"/>
    <xf numFmtId="0" fontId="0" fillId="3" borderId="22" xfId="0" applyFill="1" applyBorder="1"/>
    <xf numFmtId="43" fontId="0" fillId="3" borderId="22" xfId="1" applyFont="1" applyFill="1" applyBorder="1" applyProtection="1"/>
    <xf numFmtId="165" fontId="0" fillId="3" borderId="23" xfId="2" applyNumberFormat="1" applyFont="1" applyFill="1" applyBorder="1" applyProtection="1"/>
    <xf numFmtId="43" fontId="0" fillId="3" borderId="0" xfId="1" applyFont="1" applyFill="1" applyProtection="1"/>
    <xf numFmtId="165" fontId="0" fillId="3" borderId="0" xfId="2" applyNumberFormat="1" applyFont="1" applyFill="1" applyProtection="1"/>
    <xf numFmtId="165" fontId="0" fillId="3" borderId="8" xfId="0" applyNumberFormat="1" applyFill="1" applyBorder="1"/>
    <xf numFmtId="165" fontId="0" fillId="3" borderId="1" xfId="0" applyNumberFormat="1" applyFill="1" applyBorder="1" applyAlignment="1">
      <alignment horizontal="left"/>
    </xf>
    <xf numFmtId="0" fontId="21" fillId="3" borderId="2" xfId="0" applyFont="1" applyFill="1" applyBorder="1"/>
    <xf numFmtId="165" fontId="23" fillId="3" borderId="7" xfId="2" applyNumberFormat="1" applyFont="1" applyFill="1" applyBorder="1" applyProtection="1"/>
    <xf numFmtId="165" fontId="23" fillId="5" borderId="0" xfId="2" applyNumberFormat="1" applyFont="1" applyFill="1" applyBorder="1" applyProtection="1"/>
    <xf numFmtId="165" fontId="0" fillId="3" borderId="2" xfId="0" applyNumberFormat="1" applyFill="1" applyBorder="1"/>
    <xf numFmtId="165" fontId="0" fillId="3" borderId="0" xfId="0" applyNumberFormat="1" applyFill="1" applyAlignment="1">
      <alignment horizontal="left"/>
    </xf>
    <xf numFmtId="0" fontId="24" fillId="3" borderId="2" xfId="0" applyFont="1" applyFill="1" applyBorder="1"/>
    <xf numFmtId="0" fontId="0" fillId="3" borderId="0" xfId="0" applyFill="1" applyAlignment="1">
      <alignment horizontal="left"/>
    </xf>
    <xf numFmtId="1" fontId="0" fillId="3" borderId="2" xfId="0" applyNumberFormat="1" applyFill="1" applyBorder="1"/>
    <xf numFmtId="0" fontId="1" fillId="3" borderId="2" xfId="0" applyFont="1" applyFill="1" applyBorder="1"/>
    <xf numFmtId="165" fontId="0" fillId="3" borderId="0" xfId="0" applyNumberFormat="1" applyFill="1"/>
    <xf numFmtId="0" fontId="12" fillId="3" borderId="0" xfId="0" quotePrefix="1" applyFont="1" applyFill="1"/>
    <xf numFmtId="165" fontId="12" fillId="3" borderId="0" xfId="2" applyNumberFormat="1" applyFont="1" applyFill="1" applyBorder="1" applyAlignment="1" applyProtection="1">
      <alignment horizontal="right"/>
    </xf>
    <xf numFmtId="165" fontId="23" fillId="0" borderId="0" xfId="2" applyNumberFormat="1" applyFont="1" applyFill="1" applyBorder="1" applyProtection="1"/>
    <xf numFmtId="9" fontId="12" fillId="3" borderId="0" xfId="3" applyFont="1" applyFill="1" applyBorder="1"/>
    <xf numFmtId="164" fontId="0" fillId="3" borderId="0" xfId="1" applyNumberFormat="1" applyFont="1" applyFill="1" applyBorder="1" applyProtection="1"/>
    <xf numFmtId="164" fontId="0" fillId="3" borderId="0" xfId="1" applyNumberFormat="1" applyFont="1" applyFill="1" applyBorder="1" applyAlignment="1" applyProtection="1">
      <alignment horizontal="right"/>
    </xf>
    <xf numFmtId="165" fontId="23" fillId="3" borderId="0" xfId="2" applyNumberFormat="1" applyFont="1" applyFill="1" applyBorder="1" applyProtection="1"/>
    <xf numFmtId="165" fontId="16" fillId="5" borderId="0" xfId="2" applyNumberFormat="1" applyFont="1" applyFill="1" applyBorder="1" applyProtection="1"/>
    <xf numFmtId="164" fontId="9" fillId="4" borderId="16" xfId="1" applyNumberFormat="1" applyFont="1" applyFill="1" applyBorder="1" applyAlignment="1" applyProtection="1">
      <alignment horizontal="left"/>
    </xf>
    <xf numFmtId="164" fontId="12" fillId="4" borderId="17" xfId="1" applyNumberFormat="1" applyFont="1" applyFill="1" applyBorder="1" applyAlignment="1" applyProtection="1">
      <alignment horizontal="right"/>
    </xf>
    <xf numFmtId="165" fontId="12" fillId="4" borderId="17" xfId="2" applyNumberFormat="1" applyFont="1" applyFill="1" applyBorder="1" applyProtection="1"/>
    <xf numFmtId="0" fontId="0" fillId="4" borderId="18" xfId="0" applyFill="1" applyBorder="1"/>
    <xf numFmtId="44" fontId="16" fillId="5" borderId="0" xfId="0" applyNumberFormat="1" applyFont="1" applyFill="1"/>
    <xf numFmtId="42" fontId="12" fillId="3" borderId="0" xfId="0" applyNumberFormat="1" applyFont="1" applyFill="1"/>
    <xf numFmtId="164" fontId="12" fillId="4" borderId="19" xfId="1" applyNumberFormat="1" applyFont="1" applyFill="1" applyBorder="1" applyAlignment="1" applyProtection="1">
      <alignment horizontal="right"/>
    </xf>
    <xf numFmtId="165" fontId="12" fillId="4" borderId="0" xfId="0" applyNumberFormat="1" applyFont="1" applyFill="1"/>
    <xf numFmtId="42" fontId="25" fillId="4" borderId="0" xfId="0" applyNumberFormat="1" applyFont="1" applyFill="1"/>
    <xf numFmtId="0" fontId="12" fillId="4" borderId="20" xfId="0" quotePrefix="1" applyFont="1" applyFill="1" applyBorder="1"/>
    <xf numFmtId="164" fontId="12" fillId="4" borderId="21" xfId="1" applyNumberFormat="1" applyFont="1" applyFill="1" applyBorder="1" applyAlignment="1" applyProtection="1">
      <alignment horizontal="right"/>
    </xf>
    <xf numFmtId="14" fontId="12" fillId="4" borderId="22" xfId="0" applyNumberFormat="1" applyFont="1" applyFill="1" applyBorder="1"/>
    <xf numFmtId="0" fontId="0" fillId="4" borderId="23" xfId="0" applyFill="1" applyBorder="1"/>
    <xf numFmtId="10" fontId="12" fillId="5" borderId="0" xfId="3" applyNumberFormat="1" applyFont="1" applyFill="1" applyBorder="1" applyAlignment="1" applyProtection="1">
      <alignment horizontal="right"/>
    </xf>
    <xf numFmtId="0" fontId="26" fillId="3" borderId="0" xfId="0" applyFont="1" applyFill="1"/>
    <xf numFmtId="0" fontId="27" fillId="3" borderId="2" xfId="0" applyFont="1" applyFill="1" applyBorder="1"/>
    <xf numFmtId="0" fontId="28" fillId="3" borderId="0" xfId="0" applyFont="1" applyFill="1"/>
    <xf numFmtId="0" fontId="29" fillId="3" borderId="15" xfId="0" applyFont="1" applyFill="1" applyBorder="1" applyAlignment="1">
      <alignment horizontal="center"/>
    </xf>
    <xf numFmtId="165" fontId="30" fillId="5" borderId="0" xfId="0" applyNumberFormat="1" applyFont="1" applyFill="1"/>
    <xf numFmtId="165" fontId="0" fillId="9" borderId="0" xfId="0" applyNumberFormat="1" applyFill="1"/>
    <xf numFmtId="10" fontId="12" fillId="9" borderId="0" xfId="3" applyNumberFormat="1" applyFont="1" applyFill="1" applyBorder="1" applyAlignment="1" applyProtection="1">
      <alignment horizontal="right"/>
    </xf>
    <xf numFmtId="10" fontId="0" fillId="9" borderId="0" xfId="0" applyNumberFormat="1" applyFill="1"/>
    <xf numFmtId="164" fontId="12" fillId="5" borderId="0" xfId="1" applyNumberFormat="1" applyFont="1" applyFill="1" applyBorder="1" applyProtection="1"/>
    <xf numFmtId="165" fontId="12" fillId="9" borderId="0" xfId="0" applyNumberFormat="1" applyFont="1" applyFill="1"/>
    <xf numFmtId="0" fontId="0" fillId="9" borderId="0" xfId="0" applyFill="1" applyAlignment="1">
      <alignment horizontal="center"/>
    </xf>
    <xf numFmtId="0" fontId="0" fillId="9" borderId="7" xfId="0" applyFill="1" applyBorder="1"/>
    <xf numFmtId="0" fontId="4" fillId="4" borderId="17" xfId="0" applyFont="1" applyFill="1" applyBorder="1"/>
    <xf numFmtId="0" fontId="0" fillId="4" borderId="17" xfId="0" applyFill="1" applyBorder="1"/>
    <xf numFmtId="0" fontId="12" fillId="4" borderId="17" xfId="0" applyFont="1" applyFill="1" applyBorder="1"/>
    <xf numFmtId="165" fontId="0" fillId="4" borderId="24" xfId="0" applyNumberFormat="1" applyFill="1" applyBorder="1"/>
    <xf numFmtId="0" fontId="0" fillId="9" borderId="0" xfId="0" applyFill="1"/>
    <xf numFmtId="0" fontId="0" fillId="9" borderId="7" xfId="0" applyFill="1" applyBorder="1" applyAlignment="1">
      <alignment horizontal="right"/>
    </xf>
    <xf numFmtId="165" fontId="12" fillId="4" borderId="21" xfId="0" applyNumberFormat="1" applyFont="1" applyFill="1" applyBorder="1"/>
    <xf numFmtId="0" fontId="12" fillId="4" borderId="22" xfId="0" applyFont="1" applyFill="1" applyBorder="1"/>
    <xf numFmtId="0" fontId="0" fillId="4" borderId="22" xfId="0" applyFill="1" applyBorder="1"/>
    <xf numFmtId="42" fontId="12" fillId="4" borderId="22" xfId="0" applyNumberFormat="1" applyFont="1" applyFill="1" applyBorder="1"/>
    <xf numFmtId="165" fontId="0" fillId="4" borderId="25" xfId="0" applyNumberFormat="1" applyFill="1" applyBorder="1"/>
    <xf numFmtId="42" fontId="25" fillId="5" borderId="0" xfId="0" applyNumberFormat="1" applyFont="1" applyFill="1"/>
    <xf numFmtId="0" fontId="12" fillId="9" borderId="0" xfId="0" applyFont="1" applyFill="1"/>
    <xf numFmtId="0" fontId="0" fillId="9" borderId="7" xfId="0" applyFill="1" applyBorder="1" applyAlignment="1">
      <alignment horizontal="left"/>
    </xf>
    <xf numFmtId="165" fontId="11" fillId="4" borderId="19" xfId="0" applyNumberFormat="1" applyFont="1" applyFill="1" applyBorder="1"/>
    <xf numFmtId="0" fontId="11" fillId="4" borderId="0" xfId="0" applyFont="1" applyFill="1"/>
    <xf numFmtId="0" fontId="0" fillId="4" borderId="0" xfId="0" applyFill="1"/>
    <xf numFmtId="0" fontId="0" fillId="4" borderId="20" xfId="0" applyFill="1" applyBorder="1"/>
    <xf numFmtId="165" fontId="0" fillId="3" borderId="7" xfId="0" applyNumberFormat="1" applyFill="1" applyBorder="1"/>
    <xf numFmtId="165" fontId="12" fillId="5" borderId="0" xfId="0" applyNumberFormat="1" applyFont="1" applyFill="1"/>
    <xf numFmtId="165" fontId="16" fillId="9" borderId="0" xfId="2" applyNumberFormat="1" applyFont="1" applyFill="1" applyBorder="1" applyProtection="1"/>
    <xf numFmtId="165" fontId="11" fillId="4" borderId="21" xfId="0" applyNumberFormat="1" applyFont="1" applyFill="1" applyBorder="1"/>
    <xf numFmtId="0" fontId="11" fillId="4" borderId="22" xfId="0" applyFont="1" applyFill="1" applyBorder="1"/>
    <xf numFmtId="42" fontId="31" fillId="5" borderId="6" xfId="0" applyNumberFormat="1" applyFont="1" applyFill="1" applyBorder="1"/>
    <xf numFmtId="0" fontId="12" fillId="9" borderId="12" xfId="0" applyFont="1" applyFill="1" applyBorder="1"/>
    <xf numFmtId="0" fontId="0" fillId="9" borderId="11" xfId="0" applyFill="1" applyBorder="1"/>
    <xf numFmtId="0" fontId="0" fillId="9" borderId="12" xfId="0" applyFill="1" applyBorder="1"/>
    <xf numFmtId="165" fontId="0" fillId="3" borderId="12" xfId="0" applyNumberFormat="1" applyFill="1" applyBorder="1"/>
    <xf numFmtId="2" fontId="0" fillId="0" borderId="0" xfId="0" applyNumberFormat="1" applyAlignment="1">
      <alignment horizontal="center"/>
    </xf>
    <xf numFmtId="10" fontId="2" fillId="2" borderId="4" xfId="0" applyNumberFormat="1" applyFont="1" applyFill="1" applyBorder="1" applyAlignment="1">
      <alignment horizontal="left"/>
    </xf>
    <xf numFmtId="10" fontId="2" fillId="2" borderId="5" xfId="0" applyNumberFormat="1" applyFont="1" applyFill="1" applyBorder="1" applyAlignment="1">
      <alignment horizontal="center"/>
    </xf>
    <xf numFmtId="10" fontId="2" fillId="2" borderId="5" xfId="0" applyNumberFormat="1" applyFont="1" applyFill="1" applyBorder="1"/>
    <xf numFmtId="10" fontId="2" fillId="2" borderId="6" xfId="0" applyNumberFormat="1" applyFont="1" applyFill="1" applyBorder="1"/>
    <xf numFmtId="0" fontId="32" fillId="2" borderId="3" xfId="0" applyFont="1" applyFill="1" applyBorder="1"/>
    <xf numFmtId="0" fontId="5" fillId="2" borderId="5" xfId="0" applyFont="1" applyFill="1" applyBorder="1"/>
    <xf numFmtId="0" fontId="5" fillId="2" borderId="6" xfId="0" applyFont="1" applyFill="1" applyBorder="1"/>
    <xf numFmtId="10" fontId="0" fillId="3" borderId="8" xfId="0" applyNumberFormat="1" applyFill="1" applyBorder="1" applyAlignment="1">
      <alignment horizontal="left"/>
    </xf>
    <xf numFmtId="10" fontId="0" fillId="3" borderId="1" xfId="0" applyNumberFormat="1" applyFill="1" applyBorder="1" applyAlignment="1">
      <alignment horizontal="center"/>
    </xf>
    <xf numFmtId="10" fontId="0" fillId="3" borderId="9" xfId="0" applyNumberFormat="1" applyFill="1" applyBorder="1" applyAlignment="1">
      <alignment horizontal="center"/>
    </xf>
    <xf numFmtId="10" fontId="0" fillId="3" borderId="2" xfId="0" applyNumberFormat="1" applyFill="1" applyBorder="1" applyAlignment="1">
      <alignment horizontal="left"/>
    </xf>
    <xf numFmtId="10" fontId="0" fillId="3" borderId="10" xfId="0" applyNumberFormat="1" applyFill="1" applyBorder="1" applyAlignment="1">
      <alignment horizontal="left"/>
    </xf>
    <xf numFmtId="10" fontId="0" fillId="3" borderId="11" xfId="0" applyNumberFormat="1" applyFill="1" applyBorder="1" applyAlignment="1">
      <alignment horizontal="center"/>
    </xf>
    <xf numFmtId="10" fontId="0" fillId="3" borderId="12" xfId="0" applyNumberFormat="1" applyFill="1" applyBorder="1" applyAlignment="1">
      <alignment horizontal="center"/>
    </xf>
    <xf numFmtId="0" fontId="0" fillId="3" borderId="4" xfId="0" applyFill="1" applyBorder="1"/>
    <xf numFmtId="0" fontId="0" fillId="3" borderId="3" xfId="0" applyFill="1" applyBorder="1" applyAlignment="1">
      <alignment horizontal="center"/>
    </xf>
    <xf numFmtId="10" fontId="0" fillId="3" borderId="5" xfId="0" applyNumberFormat="1" applyFill="1" applyBorder="1" applyAlignment="1">
      <alignment horizontal="center"/>
    </xf>
    <xf numFmtId="10" fontId="0" fillId="3" borderId="6" xfId="0" applyNumberFormat="1" applyFill="1" applyBorder="1" applyAlignment="1">
      <alignment horizontal="right"/>
    </xf>
    <xf numFmtId="10" fontId="12" fillId="0" borderId="0" xfId="0" applyNumberFormat="1" applyFont="1"/>
    <xf numFmtId="164" fontId="0" fillId="3" borderId="13" xfId="0" applyNumberFormat="1" applyFill="1" applyBorder="1" applyAlignment="1">
      <alignment horizontal="center"/>
    </xf>
    <xf numFmtId="164" fontId="0" fillId="3" borderId="1" xfId="0" applyNumberFormat="1" applyFill="1" applyBorder="1"/>
    <xf numFmtId="0" fontId="0" fillId="3" borderId="8" xfId="0" applyFill="1" applyBorder="1"/>
    <xf numFmtId="164" fontId="0" fillId="3" borderId="9" xfId="0" applyNumberFormat="1" applyFill="1" applyBorder="1"/>
    <xf numFmtId="164" fontId="0" fillId="3" borderId="26" xfId="0" applyNumberFormat="1" applyFill="1" applyBorder="1"/>
    <xf numFmtId="164" fontId="0" fillId="3" borderId="7" xfId="0" applyNumberFormat="1" applyFill="1" applyBorder="1"/>
    <xf numFmtId="0" fontId="15" fillId="3" borderId="26" xfId="0" applyFont="1" applyFill="1" applyBorder="1"/>
    <xf numFmtId="42" fontId="15" fillId="3" borderId="27" xfId="0" applyNumberFormat="1" applyFont="1" applyFill="1" applyBorder="1"/>
    <xf numFmtId="165" fontId="0" fillId="3" borderId="10" xfId="0" applyNumberFormat="1" applyFill="1" applyBorder="1"/>
    <xf numFmtId="164" fontId="0" fillId="3" borderId="27" xfId="0" applyNumberFormat="1" applyFill="1" applyBorder="1"/>
    <xf numFmtId="164" fontId="0" fillId="3" borderId="11" xfId="0" applyNumberFormat="1" applyFill="1" applyBorder="1"/>
    <xf numFmtId="164" fontId="0" fillId="3" borderId="12" xfId="0" applyNumberFormat="1" applyFill="1" applyBorder="1"/>
    <xf numFmtId="0" fontId="15" fillId="3" borderId="8" xfId="0" applyFont="1" applyFill="1" applyBorder="1"/>
    <xf numFmtId="0" fontId="0" fillId="3" borderId="9" xfId="0" applyFill="1" applyBorder="1"/>
    <xf numFmtId="169" fontId="15" fillId="3" borderId="26" xfId="0" applyNumberFormat="1" applyFont="1" applyFill="1" applyBorder="1"/>
    <xf numFmtId="165" fontId="12" fillId="3" borderId="2" xfId="0" applyNumberFormat="1" applyFont="1" applyFill="1" applyBorder="1" applyAlignment="1">
      <alignment horizontal="center"/>
    </xf>
    <xf numFmtId="0" fontId="15" fillId="3" borderId="2" xfId="0" applyFont="1" applyFill="1" applyBorder="1"/>
    <xf numFmtId="10" fontId="15" fillId="3" borderId="26" xfId="4" applyNumberFormat="1" applyFont="1" applyFill="1" applyBorder="1" applyProtection="1"/>
    <xf numFmtId="10" fontId="0" fillId="3" borderId="2" xfId="0" applyNumberFormat="1" applyFill="1" applyBorder="1" applyAlignment="1">
      <alignment horizontal="center"/>
    </xf>
    <xf numFmtId="165" fontId="12" fillId="3" borderId="0" xfId="0" applyNumberFormat="1" applyFont="1" applyFill="1" applyAlignment="1">
      <alignment horizontal="right"/>
    </xf>
    <xf numFmtId="165" fontId="12" fillId="3" borderId="7" xfId="0" applyNumberFormat="1" applyFont="1" applyFill="1" applyBorder="1" applyAlignment="1">
      <alignment horizontal="center"/>
    </xf>
    <xf numFmtId="0" fontId="15" fillId="3" borderId="10" xfId="0" applyFont="1" applyFill="1" applyBorder="1"/>
    <xf numFmtId="170" fontId="15" fillId="3" borderId="27" xfId="0" applyNumberFormat="1" applyFont="1" applyFill="1" applyBorder="1"/>
    <xf numFmtId="164" fontId="12" fillId="3" borderId="7" xfId="0" applyNumberFormat="1" applyFont="1" applyFill="1" applyBorder="1"/>
    <xf numFmtId="0" fontId="15" fillId="3" borderId="8" xfId="0" applyFont="1" applyFill="1" applyBorder="1" applyAlignment="1">
      <alignment horizontal="left"/>
    </xf>
    <xf numFmtId="171" fontId="15" fillId="3" borderId="13" xfId="0" applyNumberFormat="1" applyFont="1" applyFill="1" applyBorder="1" applyAlignment="1">
      <alignment horizontal="right"/>
    </xf>
    <xf numFmtId="10" fontId="0" fillId="3" borderId="0" xfId="0" applyNumberFormat="1" applyFill="1"/>
    <xf numFmtId="0" fontId="15" fillId="3" borderId="10" xfId="0" applyFont="1" applyFill="1" applyBorder="1" applyAlignment="1">
      <alignment horizontal="left"/>
    </xf>
    <xf numFmtId="171" fontId="15" fillId="3" borderId="27" xfId="0" applyNumberFormat="1" applyFont="1" applyFill="1" applyBorder="1" applyAlignment="1">
      <alignment horizontal="right"/>
    </xf>
    <xf numFmtId="0" fontId="15" fillId="3" borderId="4" xfId="0" applyFont="1" applyFill="1" applyBorder="1" applyAlignment="1">
      <alignment horizontal="left"/>
    </xf>
    <xf numFmtId="0" fontId="0" fillId="3" borderId="5" xfId="0" applyFill="1" applyBorder="1"/>
    <xf numFmtId="0" fontId="0" fillId="3" borderId="6" xfId="0" applyFill="1" applyBorder="1"/>
    <xf numFmtId="10" fontId="0" fillId="3" borderId="10" xfId="0" applyNumberFormat="1" applyFill="1" applyBorder="1" applyAlignment="1">
      <alignment horizontal="center"/>
    </xf>
    <xf numFmtId="165" fontId="12" fillId="3" borderId="11" xfId="0" applyNumberFormat="1" applyFont="1" applyFill="1" applyBorder="1" applyAlignment="1">
      <alignment horizontal="right"/>
    </xf>
    <xf numFmtId="10" fontId="0" fillId="3" borderId="11" xfId="0" applyNumberFormat="1" applyFill="1" applyBorder="1"/>
    <xf numFmtId="164" fontId="12" fillId="3" borderId="14" xfId="0" applyNumberFormat="1" applyFont="1" applyFill="1" applyBorder="1"/>
    <xf numFmtId="0" fontId="25" fillId="3" borderId="4" xfId="0" applyFont="1" applyFill="1" applyBorder="1"/>
    <xf numFmtId="0" fontId="17" fillId="3" borderId="0" xfId="0" applyFont="1" applyFill="1"/>
    <xf numFmtId="164" fontId="29" fillId="3" borderId="0" xfId="0" applyNumberFormat="1" applyFont="1" applyFill="1"/>
    <xf numFmtId="0" fontId="7" fillId="2" borderId="1" xfId="0" applyFont="1" applyFill="1" applyBorder="1"/>
    <xf numFmtId="0" fontId="0" fillId="2" borderId="1" xfId="0" applyFill="1" applyBorder="1"/>
    <xf numFmtId="172" fontId="25" fillId="3" borderId="3" xfId="0" applyNumberFormat="1" applyFont="1" applyFill="1" applyBorder="1"/>
    <xf numFmtId="10" fontId="15" fillId="3" borderId="27" xfId="3" applyNumberFormat="1" applyFont="1" applyFill="1" applyBorder="1" applyAlignment="1">
      <alignment horizontal="right"/>
    </xf>
    <xf numFmtId="0" fontId="33" fillId="5" borderId="0" xfId="0" applyFont="1" applyFill="1" applyAlignment="1">
      <alignment vertical="top" wrapText="1"/>
    </xf>
    <xf numFmtId="0" fontId="0" fillId="5" borderId="0" xfId="0" applyFill="1" applyAlignment="1">
      <alignment vertical="top"/>
    </xf>
    <xf numFmtId="0" fontId="0" fillId="5" borderId="0" xfId="0" applyFill="1" applyAlignment="1">
      <alignment vertical="top" wrapText="1"/>
    </xf>
    <xf numFmtId="0" fontId="35" fillId="5" borderId="0" xfId="0" applyFont="1" applyFill="1" applyAlignment="1">
      <alignment vertical="top" wrapText="1"/>
    </xf>
    <xf numFmtId="0" fontId="34" fillId="5" borderId="0" xfId="0" applyFont="1" applyFill="1" applyAlignment="1">
      <alignment vertical="top" wrapText="1"/>
    </xf>
    <xf numFmtId="0" fontId="0" fillId="5" borderId="0" xfId="0" applyFill="1" applyAlignment="1">
      <alignment horizontal="left" vertical="top" wrapText="1"/>
    </xf>
    <xf numFmtId="0" fontId="9" fillId="5" borderId="0" xfId="0" applyFont="1" applyFill="1" applyAlignment="1">
      <alignment vertical="top" wrapText="1"/>
    </xf>
    <xf numFmtId="0" fontId="0" fillId="5" borderId="0" xfId="0" quotePrefix="1" applyFill="1" applyAlignment="1">
      <alignment horizontal="left" vertical="top" wrapText="1"/>
    </xf>
    <xf numFmtId="0" fontId="0" fillId="5" borderId="0" xfId="0" quotePrefix="1" applyFill="1" applyAlignment="1">
      <alignment horizontal="left" vertical="top"/>
    </xf>
    <xf numFmtId="165" fontId="0" fillId="0" borderId="0" xfId="0" applyNumberFormat="1" applyAlignment="1">
      <alignment horizontal="center"/>
    </xf>
    <xf numFmtId="10" fontId="0" fillId="0" borderId="0" xfId="0" applyNumberFormat="1" applyAlignment="1">
      <alignment horizontal="left"/>
    </xf>
    <xf numFmtId="165" fontId="0" fillId="0" borderId="0" xfId="2" applyNumberFormat="1" applyFont="1" applyAlignment="1">
      <alignment horizontal="center"/>
    </xf>
    <xf numFmtId="9" fontId="0" fillId="0" borderId="0" xfId="3" applyFont="1" applyAlignment="1">
      <alignment horizontal="center"/>
    </xf>
    <xf numFmtId="164" fontId="0" fillId="0" borderId="0" xfId="1" applyNumberFormat="1" applyFont="1" applyAlignment="1">
      <alignment horizontal="center"/>
    </xf>
    <xf numFmtId="10" fontId="0" fillId="0" borderId="0" xfId="0" quotePrefix="1" applyNumberFormat="1" applyAlignment="1">
      <alignment horizontal="center"/>
    </xf>
    <xf numFmtId="10" fontId="0" fillId="0" borderId="0" xfId="3" applyNumberFormat="1" applyFont="1" applyAlignment="1">
      <alignment horizontal="center"/>
    </xf>
    <xf numFmtId="0" fontId="4" fillId="4" borderId="28" xfId="0" applyFont="1" applyFill="1" applyBorder="1"/>
    <xf numFmtId="0" fontId="4" fillId="4" borderId="29" xfId="0" applyFont="1" applyFill="1" applyBorder="1"/>
    <xf numFmtId="0" fontId="4" fillId="4" borderId="30" xfId="0" applyFont="1" applyFill="1" applyBorder="1"/>
    <xf numFmtId="10" fontId="0" fillId="4" borderId="16" xfId="0" applyNumberFormat="1" applyFill="1" applyBorder="1"/>
    <xf numFmtId="10" fontId="0" fillId="4" borderId="21" xfId="0" applyNumberFormat="1" applyFill="1" applyBorder="1"/>
    <xf numFmtId="0" fontId="0" fillId="4" borderId="22" xfId="0" quotePrefix="1" applyFill="1" applyBorder="1"/>
    <xf numFmtId="1" fontId="0" fillId="5" borderId="3" xfId="1" applyNumberFormat="1" applyFont="1" applyFill="1" applyBorder="1" applyAlignment="1" applyProtection="1">
      <alignment horizontal="right"/>
      <protection locked="0"/>
    </xf>
    <xf numFmtId="14" fontId="0" fillId="5" borderId="3" xfId="1" applyNumberFormat="1" applyFont="1" applyFill="1" applyBorder="1" applyAlignment="1" applyProtection="1">
      <alignment horizontal="right"/>
      <protection locked="0"/>
    </xf>
    <xf numFmtId="0" fontId="0" fillId="5" borderId="13" xfId="1" applyNumberFormat="1" applyFont="1" applyFill="1" applyBorder="1" applyAlignment="1" applyProtection="1">
      <alignment horizontal="right"/>
      <protection locked="0"/>
    </xf>
    <xf numFmtId="164" fontId="0" fillId="5" borderId="13" xfId="1" applyNumberFormat="1" applyFont="1" applyFill="1" applyBorder="1" applyAlignment="1" applyProtection="1">
      <alignment horizontal="right"/>
      <protection locked="0"/>
    </xf>
    <xf numFmtId="165" fontId="0" fillId="5" borderId="13" xfId="2" applyNumberFormat="1" applyFont="1" applyFill="1" applyBorder="1" applyAlignment="1" applyProtection="1">
      <alignment horizontal="right"/>
      <protection locked="0"/>
    </xf>
    <xf numFmtId="165" fontId="0" fillId="5" borderId="3" xfId="2" applyNumberFormat="1" applyFont="1" applyFill="1" applyBorder="1" applyAlignment="1" applyProtection="1">
      <alignment horizontal="right"/>
      <protection locked="0"/>
    </xf>
    <xf numFmtId="164" fontId="0" fillId="5" borderId="3" xfId="1" applyNumberFormat="1" applyFont="1" applyFill="1" applyBorder="1" applyAlignment="1" applyProtection="1">
      <alignment horizontal="right"/>
      <protection locked="0"/>
    </xf>
    <xf numFmtId="164" fontId="0" fillId="5" borderId="3" xfId="1" applyNumberFormat="1" applyFont="1" applyFill="1" applyBorder="1" applyAlignment="1" applyProtection="1">
      <protection locked="0"/>
    </xf>
    <xf numFmtId="43" fontId="0" fillId="5" borderId="13" xfId="1" applyFont="1" applyFill="1" applyBorder="1" applyAlignment="1" applyProtection="1">
      <alignment horizontal="right"/>
      <protection locked="0"/>
    </xf>
    <xf numFmtId="0" fontId="0" fillId="3" borderId="2" xfId="0" applyFill="1" applyBorder="1" applyAlignment="1">
      <alignment horizontal="right"/>
    </xf>
    <xf numFmtId="0" fontId="0" fillId="3" borderId="0" xfId="0" applyFill="1" applyAlignment="1">
      <alignment horizontal="center"/>
    </xf>
    <xf numFmtId="0" fontId="0" fillId="3" borderId="10" xfId="0" applyFill="1" applyBorder="1" applyAlignment="1">
      <alignment horizontal="right"/>
    </xf>
    <xf numFmtId="0" fontId="0" fillId="3" borderId="11" xfId="0" applyFill="1" applyBorder="1" applyAlignment="1">
      <alignment horizontal="center"/>
    </xf>
    <xf numFmtId="0" fontId="0" fillId="3" borderId="4" xfId="0" applyFill="1" applyBorder="1" applyAlignment="1">
      <alignment horizontal="right"/>
    </xf>
    <xf numFmtId="0" fontId="0" fillId="3" borderId="5" xfId="0" applyFill="1" applyBorder="1" applyAlignment="1">
      <alignment horizontal="center"/>
    </xf>
    <xf numFmtId="0" fontId="36" fillId="3" borderId="0" xfId="0" applyFont="1" applyFill="1"/>
    <xf numFmtId="10" fontId="0" fillId="5" borderId="3" xfId="1" applyNumberFormat="1" applyFont="1" applyFill="1" applyBorder="1" applyAlignment="1" applyProtection="1">
      <alignment horizontal="right"/>
    </xf>
    <xf numFmtId="42" fontId="15" fillId="3" borderId="26" xfId="0" applyNumberFormat="1" applyFont="1" applyFill="1" applyBorder="1"/>
    <xf numFmtId="10" fontId="4" fillId="3" borderId="0" xfId="0" applyNumberFormat="1" applyFont="1" applyFill="1"/>
    <xf numFmtId="0" fontId="37" fillId="5" borderId="0" xfId="0" applyFont="1" applyFill="1"/>
    <xf numFmtId="10" fontId="0" fillId="5" borderId="3" xfId="0" applyNumberFormat="1" applyFill="1" applyBorder="1" applyAlignment="1" applyProtection="1">
      <alignment horizontal="center"/>
      <protection locked="0"/>
    </xf>
    <xf numFmtId="164" fontId="0" fillId="3" borderId="2" xfId="1" applyNumberFormat="1" applyFont="1" applyFill="1" applyBorder="1"/>
    <xf numFmtId="10" fontId="0" fillId="5" borderId="3" xfId="3" applyNumberFormat="1" applyFont="1" applyFill="1" applyBorder="1" applyProtection="1">
      <protection locked="0"/>
    </xf>
    <xf numFmtId="164" fontId="20" fillId="5" borderId="3" xfId="1" applyNumberFormat="1" applyFont="1" applyFill="1" applyBorder="1" applyAlignment="1" applyProtection="1">
      <alignment horizontal="center"/>
      <protection locked="0"/>
    </xf>
    <xf numFmtId="0" fontId="0" fillId="3" borderId="8" xfId="0" applyFill="1" applyBorder="1" applyAlignment="1">
      <alignment horizontal="left" vertical="top" wrapText="1"/>
    </xf>
    <xf numFmtId="0" fontId="0" fillId="3" borderId="1" xfId="0" applyFill="1" applyBorder="1" applyAlignment="1">
      <alignment horizontal="left" vertical="top" wrapText="1"/>
    </xf>
    <xf numFmtId="0" fontId="0" fillId="3" borderId="9" xfId="0" applyFill="1" applyBorder="1" applyAlignment="1">
      <alignment horizontal="left" vertical="top" wrapText="1"/>
    </xf>
    <xf numFmtId="0" fontId="0" fillId="3" borderId="2" xfId="0" applyFill="1" applyBorder="1" applyAlignment="1">
      <alignment horizontal="left" vertical="top" wrapText="1"/>
    </xf>
    <xf numFmtId="0" fontId="0" fillId="3" borderId="0" xfId="0" applyFill="1" applyAlignment="1">
      <alignment horizontal="left" vertical="top" wrapText="1"/>
    </xf>
    <xf numFmtId="0" fontId="0" fillId="3" borderId="7" xfId="0" applyFill="1" applyBorder="1" applyAlignment="1">
      <alignment horizontal="left" vertical="top" wrapText="1"/>
    </xf>
    <xf numFmtId="0" fontId="0" fillId="3" borderId="10" xfId="0" applyFill="1" applyBorder="1" applyAlignment="1">
      <alignment horizontal="left" vertical="top" wrapText="1"/>
    </xf>
    <xf numFmtId="0" fontId="0" fillId="3" borderId="11" xfId="0" applyFill="1" applyBorder="1" applyAlignment="1">
      <alignment horizontal="left" vertical="top" wrapText="1"/>
    </xf>
    <xf numFmtId="0" fontId="0" fillId="3" borderId="12" xfId="0" applyFill="1" applyBorder="1" applyAlignment="1">
      <alignment horizontal="left" vertical="top" wrapText="1"/>
    </xf>
  </cellXfs>
  <cellStyles count="5">
    <cellStyle name="Komma" xfId="1" builtinId="3"/>
    <cellStyle name="Procent" xfId="3" builtinId="5"/>
    <cellStyle name="Procent 2" xfId="4"/>
    <cellStyle name="Standaard" xfId="0" builtinId="0"/>
    <cellStyle name="Valuta" xfId="2" builtinId="4"/>
  </cellStyles>
  <dxfs count="6">
    <dxf>
      <fill>
        <patternFill>
          <bgColor rgb="FF92D050"/>
        </patternFill>
      </fill>
    </dxf>
    <dxf>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43961</xdr:rowOff>
    </xdr:from>
    <xdr:to>
      <xdr:col>1</xdr:col>
      <xdr:colOff>220889</xdr:colOff>
      <xdr:row>102</xdr:row>
      <xdr:rowOff>43960</xdr:rowOff>
    </xdr:to>
    <xdr:sp macro="" textlink="">
      <xdr:nvSpPr>
        <xdr:cNvPr id="7" name="Tekstvak 6">
          <a:extLst>
            <a:ext uri="{FF2B5EF4-FFF2-40B4-BE49-F238E27FC236}">
              <a16:creationId xmlns:a16="http://schemas.microsoft.com/office/drawing/2014/main" id="{D5BD8162-932B-4D85-BA06-6C76643EC5C1}"/>
            </a:ext>
          </a:extLst>
        </xdr:cNvPr>
        <xdr:cNvSpPr txBox="1"/>
      </xdr:nvSpPr>
      <xdr:spPr>
        <a:xfrm>
          <a:off x="0" y="43961"/>
          <a:ext cx="7877524" cy="19540903"/>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600" b="1" u="sng">
              <a:solidFill>
                <a:srgbClr val="FF0000"/>
              </a:solidFill>
              <a:effectLst/>
              <a:latin typeface="+mn-lt"/>
              <a:ea typeface="+mn-ea"/>
              <a:cs typeface="+mn-cs"/>
            </a:rPr>
            <a:t>Toelichting: Rekenmodel transformatie erfpacht</a:t>
          </a:r>
          <a:r>
            <a:rPr lang="nl-NL" sz="1600">
              <a:solidFill>
                <a:srgbClr val="FF0000"/>
              </a:solidFill>
              <a:effectLst/>
              <a:latin typeface="+mn-lt"/>
              <a:ea typeface="+mn-ea"/>
              <a:cs typeface="+mn-cs"/>
            </a:rPr>
            <a:t> </a:t>
          </a:r>
        </a:p>
        <a:p>
          <a:r>
            <a:rPr lang="nl-NL" sz="1100">
              <a:solidFill>
                <a:schemeClr val="dk1"/>
              </a:solidFill>
              <a:effectLst/>
              <a:latin typeface="+mn-lt"/>
              <a:ea typeface="+mn-ea"/>
              <a:cs typeface="+mn-cs"/>
            </a:rPr>
            <a:t>Het rekenmodel transformatie erfpacht biedt de mogelijkheid aan erfpachters, ontwikkelaars, beleggers en makelaars om een indicatie te verkrijgen op de nieuwe erfpachtgrondwaarde/-stijging en de canon (verhoging) en/of (aanvullende) afkoopsom bij de transformatie van een erfpachtrecht.</a:t>
          </a:r>
        </a:p>
        <a:p>
          <a:r>
            <a:rPr lang="nl-NL" sz="1100">
              <a:solidFill>
                <a:schemeClr val="dk1"/>
              </a:solidFill>
              <a:effectLst/>
              <a:latin typeface="+mn-lt"/>
              <a:ea typeface="+mn-ea"/>
              <a:cs typeface="+mn-cs"/>
            </a:rPr>
            <a:t> </a:t>
          </a:r>
        </a:p>
        <a:p>
          <a:r>
            <a:rPr lang="nl-NL" sz="1100" b="1" u="sng">
              <a:solidFill>
                <a:srgbClr val="FF0000"/>
              </a:solidFill>
              <a:effectLst/>
              <a:latin typeface="+mn-lt"/>
              <a:ea typeface="+mn-ea"/>
              <a:cs typeface="+mn-cs"/>
            </a:rPr>
            <a:t>LET OP: dit model betreft slechts een indicatie, waaraan geen rechten kunnen worden ontleend!</a:t>
          </a:r>
          <a:endParaRPr lang="nl-NL" sz="1100">
            <a:solidFill>
              <a:srgbClr val="FF0000"/>
            </a:solidFill>
            <a:effectLst/>
            <a:latin typeface="+mn-lt"/>
            <a:ea typeface="+mn-ea"/>
            <a:cs typeface="+mn-cs"/>
          </a:endParaRPr>
        </a:p>
        <a:p>
          <a:r>
            <a:rPr lang="nl-NL" sz="1100">
              <a:solidFill>
                <a:schemeClr val="dk1"/>
              </a:solidFill>
              <a:effectLst/>
              <a:latin typeface="+mn-lt"/>
              <a:ea typeface="+mn-ea"/>
              <a:cs typeface="+mn-cs"/>
            </a:rPr>
            <a:t>U kunt geen rechten ontlenen aan de uitkomsten van het rekenmodel. Alle bedragen en resultaten uit het rekenmodel zijn indicatief. Indien u wenst te transformeren dient u bij de gemeente een officiële aanvraag met betrekking de transformatie in te dienen.</a:t>
          </a:r>
        </a:p>
        <a:p>
          <a:r>
            <a:rPr lang="nl-NL" sz="1100" u="none" strike="noStrike">
              <a:solidFill>
                <a:schemeClr val="dk1"/>
              </a:solidFill>
              <a:effectLst/>
              <a:latin typeface="+mn-lt"/>
              <a:ea typeface="+mn-ea"/>
              <a:cs typeface="+mn-cs"/>
            </a:rPr>
            <a:t> </a:t>
          </a:r>
          <a:endParaRPr lang="nl-NL" sz="1100">
            <a:solidFill>
              <a:schemeClr val="dk1"/>
            </a:solidFill>
            <a:effectLst/>
            <a:latin typeface="+mn-lt"/>
            <a:ea typeface="+mn-ea"/>
            <a:cs typeface="+mn-cs"/>
          </a:endParaRPr>
        </a:p>
        <a:p>
          <a:r>
            <a:rPr lang="nl-NL" sz="1100" u="sng">
              <a:solidFill>
                <a:schemeClr val="dk1"/>
              </a:solidFill>
              <a:effectLst/>
              <a:latin typeface="+mn-lt"/>
              <a:ea typeface="+mn-ea"/>
              <a:cs typeface="+mn-cs"/>
            </a:rPr>
            <a:t>Mocht u naar aanleiding van het rekenmodel vragen hebben, neem dan contact op met de projectleider die betrokken is bij het desbetreffende erfpachtdossier. U kunt ook een e-mail sturen aan: </a:t>
          </a:r>
          <a:r>
            <a:rPr lang="nl-NL" sz="1100" u="sng">
              <a:solidFill>
                <a:schemeClr val="dk1"/>
              </a:solidFill>
              <a:effectLst/>
              <a:latin typeface="+mn-lt"/>
              <a:ea typeface="+mn-ea"/>
              <a:cs typeface="+mn-cs"/>
              <a:hlinkClick xmlns:r="http://schemas.openxmlformats.org/officeDocument/2006/relationships" r:id=""/>
            </a:rPr>
            <a:t>erfpacht@amsterdam.nl</a:t>
          </a:r>
          <a:r>
            <a:rPr lang="nl-NL" sz="1100" u="sng">
              <a:solidFill>
                <a:schemeClr val="dk1"/>
              </a:solidFill>
              <a:effectLst/>
              <a:latin typeface="+mn-lt"/>
              <a:ea typeface="+mn-ea"/>
              <a:cs typeface="+mn-cs"/>
            </a:rPr>
            <a:t> </a:t>
          </a:r>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 </a:t>
          </a:r>
        </a:p>
        <a:p>
          <a:r>
            <a:rPr lang="nl-NL" sz="1400" b="1">
              <a:solidFill>
                <a:srgbClr val="FF0000"/>
              </a:solidFill>
              <a:effectLst/>
              <a:latin typeface="+mn-lt"/>
              <a:ea typeface="+mn-ea"/>
              <a:cs typeface="+mn-cs"/>
            </a:rPr>
            <a:t>Algemene toelichting:</a:t>
          </a:r>
          <a:endParaRPr lang="nl-NL" sz="1400">
            <a:solidFill>
              <a:srgbClr val="FF0000"/>
            </a:solidFill>
            <a:effectLst/>
            <a:latin typeface="+mn-lt"/>
            <a:ea typeface="+mn-ea"/>
            <a:cs typeface="+mn-cs"/>
          </a:endParaRPr>
        </a:p>
        <a:p>
          <a:pPr lvl="0"/>
          <a:r>
            <a:rPr lang="nl-NL" sz="1100">
              <a:solidFill>
                <a:schemeClr val="dk1"/>
              </a:solidFill>
              <a:effectLst/>
              <a:latin typeface="+mn-lt"/>
              <a:ea typeface="+mn-ea"/>
              <a:cs typeface="+mn-cs"/>
            </a:rPr>
            <a:t>Alle WITTE cellen zijn in te vullen. De verplichte invoercellen zijn aangegeven met (</a:t>
          </a:r>
          <a:r>
            <a:rPr lang="nl-NL" sz="1100">
              <a:solidFill>
                <a:srgbClr val="FF0000"/>
              </a:solidFill>
              <a:effectLst/>
              <a:latin typeface="+mn-lt"/>
              <a:ea typeface="+mn-ea"/>
              <a:cs typeface="+mn-cs"/>
            </a:rPr>
            <a:t>*</a:t>
          </a:r>
          <a:r>
            <a:rPr lang="nl-NL" sz="1100">
              <a:solidFill>
                <a:schemeClr val="dk1"/>
              </a:solidFill>
              <a:effectLst/>
              <a:latin typeface="+mn-lt"/>
              <a:ea typeface="+mn-ea"/>
              <a:cs typeface="+mn-cs"/>
            </a:rPr>
            <a:t>)</a:t>
          </a:r>
        </a:p>
        <a:p>
          <a:pPr lvl="0"/>
          <a:r>
            <a:rPr lang="nl-NL" sz="1100" b="1">
              <a:solidFill>
                <a:schemeClr val="dk1"/>
              </a:solidFill>
              <a:effectLst/>
              <a:latin typeface="+mn-lt"/>
              <a:ea typeface="+mn-ea"/>
              <a:cs typeface="+mn-cs"/>
            </a:rPr>
            <a:t>- </a:t>
          </a:r>
          <a:r>
            <a:rPr lang="nl-NL" sz="1100" u="sng">
              <a:solidFill>
                <a:schemeClr val="dk1"/>
              </a:solidFill>
              <a:effectLst/>
              <a:latin typeface="+mn-lt"/>
              <a:ea typeface="+mn-ea"/>
              <a:cs typeface="+mn-cs"/>
            </a:rPr>
            <a:t>De fiscale consequenties met betrekking tot de beoogde transformatie zijn op voorhand lastig in te schatten en deze zijn sterk afhankelijk van het betreffende dossier (o.a. betrokken partijen, staat van de grond tijdens aktepassering, fasering, programmering). </a:t>
          </a:r>
          <a:r>
            <a:rPr lang="nl-NL" sz="1100">
              <a:solidFill>
                <a:schemeClr val="dk1"/>
              </a:solidFill>
              <a:effectLst/>
              <a:latin typeface="+mn-lt"/>
              <a:ea typeface="+mn-ea"/>
              <a:cs typeface="+mn-cs"/>
            </a:rPr>
            <a:t>Een erfpachtwijziging van een bestaand erfpachtrecht is voor de Wet op de omzetbelasting 1968 (wet OB) en de Wet op belastingen voor rechtsverkeer 1970 een belastbaar feit. De gemeente Amsterdam legt de wet OB zo uit dat een wijziging van een voortdurend beperkt recht voor de Wet OB te allen tijde een levering is. De in het rekenmodel vermelde en in te voeren grondwaarden gaan uit van het (algemene) fiscale uitgangspunt dat de erfpachtwijziging(en) als een niet-BTW belaste levering wordt/worden aangemerkt. De grondwaarden voor niet-woonbestemmingen zijn exclusief BTW en de grondwaarden voor de woonbestemmingen gaan uit van het uitgangspunt waarbij BTW niet van toepassing is. Om de fiscaliteit goed te kunnen beoordelen, dient een erfpachter per project een stappenplan op te stellen. In het stappenplan staat de volgorde van de te nemen erfpachtwijzigingen en daaraan gekoppeld per </a:t>
          </a:r>
          <a:r>
            <a:rPr lang="nl-NL" sz="1100" u="sng">
              <a:solidFill>
                <a:schemeClr val="dk1"/>
              </a:solidFill>
              <a:effectLst/>
              <a:latin typeface="+mn-lt"/>
              <a:ea typeface="+mn-ea"/>
              <a:cs typeface="+mn-cs"/>
            </a:rPr>
            <a:t>erfpachtwijziging</a:t>
          </a:r>
          <a:r>
            <a:rPr lang="nl-NL" sz="1100">
              <a:solidFill>
                <a:schemeClr val="dk1"/>
              </a:solidFill>
              <a:effectLst/>
              <a:latin typeface="+mn-lt"/>
              <a:ea typeface="+mn-ea"/>
              <a:cs typeface="+mn-cs"/>
            </a:rPr>
            <a:t>  de fiscale consequenties, inclusief een motivering en planning daaromtrent. De gemeente zal voornoemde notitie vervolgens beoordelen. Indien de gemeente en erfpachter ieder een andere beoordeling maken ten aanzien van de fiscaliteit, dan treden de gemeente en erfpachter hierover in overleg om de consequenties nader te bespreken. Indien na voormelde beoordeling blijkt dat er sprake is van een BTW belaste levering, dan kan dat invloed hebben op de hoogte van de uiteindelijke canon en </a:t>
          </a:r>
          <a:r>
            <a:rPr lang="nl-NL" sz="1100" u="sng">
              <a:solidFill>
                <a:schemeClr val="dk1"/>
              </a:solidFill>
              <a:effectLst/>
              <a:latin typeface="+mn-lt"/>
              <a:ea typeface="+mn-ea"/>
              <a:cs typeface="+mn-cs"/>
            </a:rPr>
            <a:t>afkoopsom</a:t>
          </a:r>
          <a:r>
            <a:rPr lang="nl-NL" sz="1100">
              <a:solidFill>
                <a:schemeClr val="dk1"/>
              </a:solidFill>
              <a:effectLst/>
              <a:latin typeface="+mn-lt"/>
              <a:ea typeface="+mn-ea"/>
              <a:cs typeface="+mn-cs"/>
            </a:rPr>
            <a:t>.</a:t>
          </a:r>
        </a:p>
        <a:p>
          <a:pPr lvl="0"/>
          <a:r>
            <a:rPr lang="nl-NL" sz="1100">
              <a:solidFill>
                <a:schemeClr val="dk1"/>
              </a:solidFill>
              <a:effectLst/>
              <a:latin typeface="+mn-lt"/>
              <a:ea typeface="+mn-ea"/>
              <a:cs typeface="+mn-cs"/>
            </a:rPr>
            <a:t>- Dit rekenmodel werkt vanuit de fictie dat de totale afkoopsom per start tijdvak van het huidige erfpachtrecht is afgekocht. Indien het feitelijk afkoopmoment hiervan afwijkt (doordat de afkoopsom later of in delen na start tijdvak is afgekocht), dan zal dit leiden tot afwijkingen ten aanzien van de afkoopsom restitutieberekening;</a:t>
          </a:r>
        </a:p>
        <a:p>
          <a:pPr lvl="0"/>
          <a:r>
            <a:rPr lang="nl-NL" sz="1100">
              <a:solidFill>
                <a:schemeClr val="dk1"/>
              </a:solidFill>
              <a:effectLst/>
              <a:latin typeface="+mn-lt"/>
              <a:ea typeface="+mn-ea"/>
              <a:cs typeface="+mn-cs"/>
            </a:rPr>
            <a:t>- </a:t>
          </a:r>
          <a:r>
            <a:rPr lang="nl-NL" sz="1100" u="none">
              <a:solidFill>
                <a:schemeClr val="dk1"/>
              </a:solidFill>
              <a:effectLst/>
              <a:latin typeface="+mn-lt"/>
              <a:ea typeface="+mn-ea"/>
              <a:cs typeface="+mn-cs"/>
            </a:rPr>
            <a:t>Dit</a:t>
          </a:r>
          <a:r>
            <a:rPr lang="nl-NL" sz="1100">
              <a:solidFill>
                <a:schemeClr val="dk1"/>
              </a:solidFill>
              <a:effectLst/>
              <a:latin typeface="+mn-lt"/>
              <a:ea typeface="+mn-ea"/>
              <a:cs typeface="+mn-cs"/>
            </a:rPr>
            <a:t> model werkt op basis van een enigszins vereenvoudigde methode ten aanzien van de verrekening van de grondwaardestijging en restantwaarde van de reeds betaalde afkoopsom berekening. </a:t>
          </a:r>
        </a:p>
        <a:p>
          <a:pPr lvl="0"/>
          <a:r>
            <a:rPr lang="nl-NL" sz="1100">
              <a:solidFill>
                <a:schemeClr val="dk1"/>
              </a:solidFill>
              <a:effectLst/>
              <a:latin typeface="+mn-lt"/>
              <a:ea typeface="+mn-ea"/>
              <a:cs typeface="+mn-cs"/>
            </a:rPr>
            <a:t>- Dit rekenmodel is opgesteld vanuit het perspectief van één erfpachtrecht. Dit model kan niet automatisch meerdere rechten samenvoegen en de indicatieve financiële consequenties hiervan inzichtelijk maken;</a:t>
          </a:r>
        </a:p>
        <a:p>
          <a:pPr lvl="0"/>
          <a:r>
            <a:rPr lang="nl-NL" sz="1100" u="none">
              <a:solidFill>
                <a:schemeClr val="dk1"/>
              </a:solidFill>
              <a:effectLst/>
              <a:latin typeface="+mn-lt"/>
              <a:ea typeface="+mn-ea"/>
              <a:cs typeface="+mn-cs"/>
            </a:rPr>
            <a:t>- Hoe om </a:t>
          </a:r>
          <a:r>
            <a:rPr lang="nl-NL" sz="1100">
              <a:solidFill>
                <a:schemeClr val="dk1"/>
              </a:solidFill>
              <a:effectLst/>
              <a:latin typeface="+mn-lt"/>
              <a:ea typeface="+mn-ea"/>
              <a:cs typeface="+mn-cs"/>
            </a:rPr>
            <a:t>te gaan met meerdere erfpachtrechten? Praktische werkwijze:</a:t>
          </a:r>
        </a:p>
        <a:p>
          <a:pPr lvl="1"/>
          <a:r>
            <a:rPr lang="nl-NL" sz="1100" b="1">
              <a:solidFill>
                <a:schemeClr val="dk1"/>
              </a:solidFill>
              <a:effectLst/>
              <a:latin typeface="+mn-lt"/>
              <a:ea typeface="+mn-ea"/>
              <a:cs typeface="+mn-cs"/>
            </a:rPr>
            <a:t>1. </a:t>
          </a:r>
          <a:r>
            <a:rPr lang="nl-NL" sz="1100">
              <a:solidFill>
                <a:schemeClr val="dk1"/>
              </a:solidFill>
              <a:effectLst/>
              <a:latin typeface="+mn-lt"/>
              <a:ea typeface="+mn-ea"/>
              <a:cs typeface="+mn-cs"/>
            </a:rPr>
            <a:t>erfpachtrechten samenvoegen tot één fictief erfpachtrecht; of</a:t>
          </a:r>
        </a:p>
        <a:p>
          <a:pPr lvl="1"/>
          <a:r>
            <a:rPr lang="nl-NL" sz="1100" b="1">
              <a:solidFill>
                <a:schemeClr val="dk1"/>
              </a:solidFill>
              <a:effectLst/>
              <a:latin typeface="+mn-lt"/>
              <a:ea typeface="+mn-ea"/>
              <a:cs typeface="+mn-cs"/>
            </a:rPr>
            <a:t>2. </a:t>
          </a:r>
          <a:r>
            <a:rPr lang="nl-NL" sz="1100">
              <a:solidFill>
                <a:schemeClr val="dk1"/>
              </a:solidFill>
              <a:effectLst/>
              <a:latin typeface="+mn-lt"/>
              <a:ea typeface="+mn-ea"/>
              <a:cs typeface="+mn-cs"/>
            </a:rPr>
            <a:t>per erfpachtrecht de waardestijging berekenen. Bijvoorbeeld door het nieuwe programma te baseren op het ontwikkel aandeel per recht. </a:t>
          </a:r>
        </a:p>
        <a:p>
          <a:r>
            <a:rPr lang="nl-NL" sz="1100">
              <a:solidFill>
                <a:schemeClr val="dk1"/>
              </a:solidFill>
              <a:effectLst/>
              <a:latin typeface="+mn-lt"/>
              <a:ea typeface="+mn-ea"/>
              <a:cs typeface="+mn-cs"/>
            </a:rPr>
            <a:t>- Dit rekenmodel gaat ervan uit, dat de herontwikkeling plaatsvindt binnen het bestaande erfpachtperceel. </a:t>
          </a:r>
          <a:r>
            <a:rPr lang="nl-NL" sz="1100" u="none">
              <a:solidFill>
                <a:schemeClr val="dk1"/>
              </a:solidFill>
              <a:effectLst/>
              <a:latin typeface="+mn-lt"/>
              <a:ea typeface="+mn-ea"/>
              <a:cs typeface="+mn-cs"/>
            </a:rPr>
            <a:t>Bij relatief beperkte</a:t>
          </a:r>
          <a:r>
            <a:rPr lang="nl-NL" sz="1100">
              <a:solidFill>
                <a:schemeClr val="dk1"/>
              </a:solidFill>
              <a:effectLst/>
              <a:latin typeface="+mn-lt"/>
              <a:ea typeface="+mn-ea"/>
              <a:cs typeface="+mn-cs"/>
            </a:rPr>
            <a:t> perceelsuitbreidingen kunt u cel F3 invullen, en dan geeft</a:t>
          </a:r>
          <a:r>
            <a:rPr lang="nl-NL" sz="1100" baseline="0">
              <a:solidFill>
                <a:schemeClr val="dk1"/>
              </a:solidFill>
              <a:effectLst/>
              <a:latin typeface="+mn-lt"/>
              <a:ea typeface="+mn-ea"/>
              <a:cs typeface="+mn-cs"/>
            </a:rPr>
            <a:t> het model een indicatie van de </a:t>
          </a:r>
          <a:r>
            <a:rPr lang="nl-NL" sz="1100">
              <a:solidFill>
                <a:schemeClr val="dk1"/>
              </a:solidFill>
              <a:effectLst/>
              <a:latin typeface="+mn-lt"/>
              <a:ea typeface="+mn-ea"/>
              <a:cs typeface="+mn-cs"/>
            </a:rPr>
            <a:t> financiële</a:t>
          </a:r>
          <a:r>
            <a:rPr lang="nl-NL" sz="1100" baseline="0">
              <a:solidFill>
                <a:schemeClr val="dk1"/>
              </a:solidFill>
              <a:effectLst/>
              <a:latin typeface="+mn-lt"/>
              <a:ea typeface="+mn-ea"/>
              <a:cs typeface="+mn-cs"/>
            </a:rPr>
            <a:t> consequenties van de wijziging incl. de perceeluitbreiding. Bij grote perceeluitbreidingen </a:t>
          </a:r>
          <a:r>
            <a:rPr lang="nl-NL" sz="1100">
              <a:solidFill>
                <a:schemeClr val="dk1"/>
              </a:solidFill>
              <a:effectLst/>
              <a:latin typeface="+mn-lt"/>
              <a:ea typeface="+mn-ea"/>
              <a:cs typeface="+mn-cs"/>
            </a:rPr>
            <a:t>zijn de gevolgen op voorhand niet te bepalen en dient per casus in overleg met de gemeente te worden verkend.  </a:t>
          </a:r>
        </a:p>
        <a:p>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De bovenstaande uitgangspunten zijn tot stand gekomen op basis van overwegingen ten aanzien van functionaliteit, leesbaarheid en bruikbaarheid van het rekenmodel. Mocht uw erfpachtakte/-dossier hiervan afwijken, dan is dit rekenmodel </a:t>
          </a:r>
          <a:r>
            <a:rPr lang="nl-NL" sz="1100" u="sng">
              <a:solidFill>
                <a:schemeClr val="dk1"/>
              </a:solidFill>
              <a:effectLst/>
              <a:latin typeface="+mn-lt"/>
              <a:ea typeface="+mn-ea"/>
              <a:cs typeface="+mn-cs"/>
            </a:rPr>
            <a:t>nog steeds bruikbaar </a:t>
          </a:r>
          <a:r>
            <a:rPr lang="nl-NL" sz="1100">
              <a:solidFill>
                <a:schemeClr val="dk1"/>
              </a:solidFill>
              <a:effectLst/>
              <a:latin typeface="+mn-lt"/>
              <a:ea typeface="+mn-ea"/>
              <a:cs typeface="+mn-cs"/>
            </a:rPr>
            <a:t>voor het berekenen van een </a:t>
          </a:r>
          <a:r>
            <a:rPr lang="nl-NL" sz="1100" u="sng">
              <a:solidFill>
                <a:schemeClr val="dk1"/>
              </a:solidFill>
              <a:effectLst/>
              <a:latin typeface="+mn-lt"/>
              <a:ea typeface="+mn-ea"/>
              <a:cs typeface="+mn-cs"/>
            </a:rPr>
            <a:t>indicatieve</a:t>
          </a:r>
          <a:r>
            <a:rPr lang="nl-NL" sz="1100">
              <a:solidFill>
                <a:schemeClr val="dk1"/>
              </a:solidFill>
              <a:effectLst/>
              <a:latin typeface="+mn-lt"/>
              <a:ea typeface="+mn-ea"/>
              <a:cs typeface="+mn-cs"/>
            </a:rPr>
            <a:t> canon of afkoopsom. </a:t>
          </a:r>
        </a:p>
        <a:p>
          <a:r>
            <a:rPr lang="nl-NL" sz="1100">
              <a:solidFill>
                <a:schemeClr val="dk1"/>
              </a:solidFill>
              <a:effectLst/>
              <a:latin typeface="+mn-lt"/>
              <a:ea typeface="+mn-ea"/>
              <a:cs typeface="+mn-cs"/>
            </a:rPr>
            <a:t> </a:t>
          </a:r>
        </a:p>
        <a:p>
          <a:r>
            <a:rPr lang="nl-NL" sz="1400" b="1">
              <a:solidFill>
                <a:srgbClr val="FF0000"/>
              </a:solidFill>
              <a:effectLst/>
              <a:latin typeface="+mn-lt"/>
              <a:ea typeface="+mn-ea"/>
              <a:cs typeface="+mn-cs"/>
            </a:rPr>
            <a:t>Te doorlopen stappen in het model: </a:t>
          </a:r>
          <a:endParaRPr lang="nl-NL" sz="1400">
            <a:solidFill>
              <a:srgbClr val="FF0000"/>
            </a:solidFill>
            <a:effectLst/>
            <a:latin typeface="+mn-lt"/>
            <a:ea typeface="+mn-ea"/>
            <a:cs typeface="+mn-cs"/>
          </a:endParaRPr>
        </a:p>
        <a:p>
          <a:r>
            <a:rPr lang="nl-NL" sz="1100">
              <a:solidFill>
                <a:schemeClr val="dk1"/>
              </a:solidFill>
              <a:effectLst/>
              <a:latin typeface="+mn-lt"/>
              <a:ea typeface="+mn-ea"/>
              <a:cs typeface="+mn-cs"/>
            </a:rPr>
            <a:t>- In de WITTE cellen kunt u de gegevens van het bestaande erfpachtrecht en van het (door de transformatie beoogde) erfpachtrecht invullen.</a:t>
          </a:r>
        </a:p>
        <a:p>
          <a:r>
            <a:rPr lang="nl-NL" sz="1100">
              <a:solidFill>
                <a:schemeClr val="dk1"/>
              </a:solidFill>
              <a:effectLst/>
              <a:latin typeface="+mn-lt"/>
              <a:ea typeface="+mn-ea"/>
              <a:cs typeface="+mn-cs"/>
            </a:rPr>
            <a:t>- Het model werkt op basis van vier inputgegevens:</a:t>
          </a:r>
        </a:p>
        <a:p>
          <a:endParaRPr lang="nl-NL" sz="1100" u="sng">
            <a:solidFill>
              <a:schemeClr val="dk1"/>
            </a:solidFill>
            <a:effectLst/>
            <a:latin typeface="+mn-lt"/>
            <a:ea typeface="+mn-ea"/>
            <a:cs typeface="+mn-cs"/>
          </a:endParaRPr>
        </a:p>
        <a:p>
          <a:pPr lvl="1"/>
          <a:r>
            <a:rPr lang="nl-NL" sz="1100" b="1" u="sng">
              <a:solidFill>
                <a:schemeClr val="dk1"/>
              </a:solidFill>
              <a:effectLst/>
              <a:latin typeface="+mn-lt"/>
              <a:ea typeface="+mn-ea"/>
              <a:cs typeface="+mn-cs"/>
            </a:rPr>
            <a:t>1. Erfpachtrecht</a:t>
          </a:r>
          <a:r>
            <a:rPr lang="nl-NL" sz="1100">
              <a:solidFill>
                <a:schemeClr val="dk1"/>
              </a:solidFill>
              <a:effectLst/>
              <a:latin typeface="+mn-lt"/>
              <a:ea typeface="+mn-ea"/>
              <a:cs typeface="+mn-cs"/>
            </a:rPr>
            <a:t>: geef hier aan wat de bestaande erfpacht/financiële gegevens/afspraken zijn. Deze informatie kunt u vinden in de erfpachtakte; </a:t>
          </a:r>
          <a:r>
            <a:rPr lang="nl-NL" sz="1100" i="1">
              <a:solidFill>
                <a:schemeClr val="dk1"/>
              </a:solidFill>
              <a:effectLst/>
              <a:latin typeface="+mn-lt"/>
              <a:ea typeface="+mn-ea"/>
              <a:cs typeface="+mn-cs"/>
            </a:rPr>
            <a:t>let</a:t>
          </a:r>
          <a:r>
            <a:rPr lang="nl-NL" sz="1100" i="1" baseline="0">
              <a:solidFill>
                <a:schemeClr val="dk1"/>
              </a:solidFill>
              <a:effectLst/>
              <a:latin typeface="+mn-lt"/>
              <a:ea typeface="+mn-ea"/>
              <a:cs typeface="+mn-cs"/>
            </a:rPr>
            <a:t> op, in het rekenmodel is (bij stap 1) het canonpercentage van het eerste kwartaal 2024 standaard ingevuld. Dit canonpercentage kan handmatig worden aangepast als het canonpercentage van een ander kwartaal van toepassing is. Zie ook de opmerking hierover onderaan deze toelichting. </a:t>
          </a:r>
          <a:endParaRPr lang="nl-NL" sz="1100" i="1">
            <a:solidFill>
              <a:schemeClr val="dk1"/>
            </a:solidFill>
            <a:effectLst/>
            <a:latin typeface="+mn-lt"/>
            <a:ea typeface="+mn-ea"/>
            <a:cs typeface="+mn-cs"/>
          </a:endParaRPr>
        </a:p>
        <a:p>
          <a:pPr lvl="1"/>
          <a:r>
            <a:rPr lang="nl-NL" sz="1100" b="1" u="sng">
              <a:solidFill>
                <a:schemeClr val="dk1"/>
              </a:solidFill>
              <a:effectLst/>
              <a:latin typeface="+mn-lt"/>
              <a:ea typeface="+mn-ea"/>
              <a:cs typeface="+mn-cs"/>
            </a:rPr>
            <a:t>2. Wat is het huidige programma/bestemming</a:t>
          </a:r>
          <a:r>
            <a:rPr lang="nl-NL" sz="1100" b="1">
              <a:solidFill>
                <a:schemeClr val="dk1"/>
              </a:solidFill>
              <a:effectLst/>
              <a:latin typeface="+mn-lt"/>
              <a:ea typeface="+mn-ea"/>
              <a:cs typeface="+mn-cs"/>
            </a:rPr>
            <a:t>:</a:t>
          </a:r>
          <a:r>
            <a:rPr lang="nl-NL" sz="1100">
              <a:solidFill>
                <a:schemeClr val="dk1"/>
              </a:solidFill>
              <a:effectLst/>
              <a:latin typeface="+mn-lt"/>
              <a:ea typeface="+mn-ea"/>
              <a:cs typeface="+mn-cs"/>
            </a:rPr>
            <a:t> geef hier aan wat de huidige bestemmingen en programma (m2 bvo) is, ga hierbij eveneens uit van de erfpachtakte. Het model gaat bewust uit van een beperkt aantal (standaard) bestemmingen. Voor het niet-woon programma dient onderscheid gemaakt te worden naar de weergegeven functies. Het invoeren van de bestaande woningbouwprogramma dient u als totaal m2 bvo metrage op te geven. Onderscheid naar woningcategorieën is hierbij niet van belang. </a:t>
          </a:r>
        </a:p>
        <a:p>
          <a:pPr lvl="1"/>
          <a:r>
            <a:rPr lang="nl-NL" sz="1100" b="1" u="sng">
              <a:solidFill>
                <a:schemeClr val="dk1"/>
              </a:solidFill>
              <a:effectLst/>
              <a:latin typeface="+mn-lt"/>
              <a:ea typeface="+mn-ea"/>
              <a:cs typeface="+mn-cs"/>
            </a:rPr>
            <a:t>3. Wat is het nieuwe programma/bestemming</a:t>
          </a:r>
          <a:r>
            <a:rPr lang="nl-NL" sz="1100" b="1">
              <a:solidFill>
                <a:schemeClr val="dk1"/>
              </a:solidFill>
              <a:effectLst/>
              <a:latin typeface="+mn-lt"/>
              <a:ea typeface="+mn-ea"/>
              <a:cs typeface="+mn-cs"/>
            </a:rPr>
            <a:t>:</a:t>
          </a:r>
          <a:r>
            <a:rPr lang="nl-NL" sz="1100">
              <a:solidFill>
                <a:schemeClr val="dk1"/>
              </a:solidFill>
              <a:effectLst/>
              <a:latin typeface="+mn-lt"/>
              <a:ea typeface="+mn-ea"/>
              <a:cs typeface="+mn-cs"/>
            </a:rPr>
            <a:t> geef hier aan wat de nieuwe bestemmingen en het programma is. De niet-woon bestemmingen dienen op eenzelfde wijze ingevoerd te worden (zoals stap 2). Dit is van belang voor de erfpachtgrondwaardestijging analyse. Voor het invoeren van het woningbouwprogramma dient hierbij wel per categorie/segment aangegeven te worden. Maak hierbij een selectie van de woningtypes en geef per type aan wat de gemiddelde woningomvang is per m² GO en het aantal woningen;</a:t>
          </a:r>
        </a:p>
        <a:p>
          <a:pPr lvl="1"/>
          <a:r>
            <a:rPr lang="nl-NL" sz="1100" b="1" u="sng">
              <a:solidFill>
                <a:schemeClr val="dk1"/>
              </a:solidFill>
              <a:effectLst/>
              <a:latin typeface="+mn-lt"/>
              <a:ea typeface="+mn-ea"/>
              <a:cs typeface="+mn-cs"/>
            </a:rPr>
            <a:t>4. Grondwaarden</a:t>
          </a:r>
          <a:r>
            <a:rPr lang="nl-NL" sz="1100">
              <a:solidFill>
                <a:schemeClr val="dk1"/>
              </a:solidFill>
              <a:effectLst/>
              <a:latin typeface="+mn-lt"/>
              <a:ea typeface="+mn-ea"/>
              <a:cs typeface="+mn-cs"/>
            </a:rPr>
            <a:t>: ga hierbij uit van de gemeentelijke grondwaarden (indien bekend) of </a:t>
          </a:r>
          <a:r>
            <a:rPr lang="nl-NL" sz="1100" u="sng">
              <a:solidFill>
                <a:schemeClr val="dk1"/>
              </a:solidFill>
              <a:effectLst/>
              <a:latin typeface="+mn-lt"/>
              <a:ea typeface="+mn-ea"/>
              <a:cs typeface="+mn-cs"/>
            </a:rPr>
            <a:t>uw eigen grondwaarde calculatie. </a:t>
          </a:r>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 </a:t>
          </a:r>
        </a:p>
        <a:p>
          <a:r>
            <a:rPr lang="nl-NL" sz="1400" b="1">
              <a:solidFill>
                <a:srgbClr val="FF0000"/>
              </a:solidFill>
              <a:effectLst/>
              <a:latin typeface="+mn-lt"/>
              <a:ea typeface="+mn-ea"/>
              <a:cs typeface="+mn-cs"/>
            </a:rPr>
            <a:t>Resultaat: het model presenteert </a:t>
          </a:r>
          <a:r>
            <a:rPr lang="nl-NL" sz="1400" b="1" u="sng">
              <a:solidFill>
                <a:srgbClr val="FF0000"/>
              </a:solidFill>
              <a:effectLst/>
              <a:latin typeface="+mn-lt"/>
              <a:ea typeface="+mn-ea"/>
              <a:cs typeface="+mn-cs"/>
            </a:rPr>
            <a:t>twee resultaatberekeningen</a:t>
          </a:r>
          <a:r>
            <a:rPr lang="nl-NL" sz="1400" b="1">
              <a:solidFill>
                <a:srgbClr val="FF0000"/>
              </a:solidFill>
              <a:effectLst/>
              <a:latin typeface="+mn-lt"/>
              <a:ea typeface="+mn-ea"/>
              <a:cs typeface="+mn-cs"/>
            </a:rPr>
            <a:t>:</a:t>
          </a:r>
          <a:endParaRPr lang="nl-NL" sz="1400">
            <a:solidFill>
              <a:srgbClr val="FF0000"/>
            </a:solidFill>
            <a:effectLst/>
            <a:latin typeface="+mn-lt"/>
            <a:ea typeface="+mn-ea"/>
            <a:cs typeface="+mn-cs"/>
          </a:endParaRPr>
        </a:p>
        <a:p>
          <a:r>
            <a:rPr lang="nl-NL" sz="1100" b="1" u="sng">
              <a:solidFill>
                <a:schemeClr val="dk1"/>
              </a:solidFill>
              <a:effectLst/>
              <a:latin typeface="+mn-lt"/>
              <a:ea typeface="+mn-ea"/>
              <a:cs typeface="+mn-cs"/>
            </a:rPr>
            <a:t>1. Bestemmings- en/of bebouwingswijziging</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In </a:t>
          </a:r>
          <a:r>
            <a:rPr lang="nl-NL" sz="1100" u="sng">
              <a:solidFill>
                <a:schemeClr val="dk1"/>
              </a:solidFill>
              <a:effectLst/>
              <a:latin typeface="+mn-lt"/>
              <a:ea typeface="+mn-ea"/>
              <a:cs typeface="+mn-cs"/>
            </a:rPr>
            <a:t>alle gevalle</a:t>
          </a:r>
          <a:r>
            <a:rPr lang="nl-NL" sz="1100">
              <a:solidFill>
                <a:schemeClr val="dk1"/>
              </a:solidFill>
              <a:effectLst/>
              <a:latin typeface="+mn-lt"/>
              <a:ea typeface="+mn-ea"/>
              <a:cs typeface="+mn-cs"/>
            </a:rPr>
            <a:t>n kan er voor een bestemmings- en/of bebouwingswijziging gekozen worden </a:t>
          </a:r>
          <a:r>
            <a:rPr lang="nl-NL" sz="1100" u="sng">
              <a:solidFill>
                <a:schemeClr val="dk1"/>
              </a:solidFill>
              <a:effectLst/>
              <a:latin typeface="+mn-lt"/>
              <a:ea typeface="+mn-ea"/>
              <a:cs typeface="+mn-cs"/>
            </a:rPr>
            <a:t>(mits de erfpachter aan alle voorwaarden voldoet die zijn opgenomen in het beleid, waaronder dat de beoogd nieuwe situatie publiekrechtelijk is toegestaan en er zich geen ander gemeentebelang hiertegen verzet);</a:t>
          </a:r>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Het bestaande recht blijft dan gehandhaafd, algemene bepalingen en tijdvak (c.q. resterende looptijd) blijft ongewijzigd. Alleen de bestemming en/of bebouwing wijzigt. De aanvullende canon/afkoopsom wordt berekend voor de resterende looptijd en is gebaseerd op het toegevoegde programma en samenhangende grondwaardestijging. In het geel staat de indicatieve aanvullende canon/afkoopsom aangegeven; aan dit bedrag kunnen geen rechten worden ontleend, dit is slechts ter indicatie. Wanneer u een officiële verzoek indient zal de gemeente de definitieve grondwaarde berekenen op grond van het geldende beleid.</a:t>
          </a:r>
        </a:p>
        <a:p>
          <a:pPr lvl="1"/>
          <a:endParaRPr lang="nl-NL" sz="1100" u="sng">
            <a:solidFill>
              <a:schemeClr val="dk1"/>
            </a:solidFill>
            <a:effectLst/>
            <a:latin typeface="+mn-lt"/>
            <a:ea typeface="+mn-ea"/>
            <a:cs typeface="+mn-cs"/>
          </a:endParaRPr>
        </a:p>
        <a:p>
          <a:pPr lvl="1"/>
          <a:r>
            <a:rPr lang="nl-NL" sz="1100" i="1" u="sng">
              <a:solidFill>
                <a:schemeClr val="dk1"/>
              </a:solidFill>
              <a:effectLst/>
              <a:latin typeface="+mn-lt"/>
              <a:ea typeface="+mn-ea"/>
              <a:cs typeface="+mn-cs"/>
            </a:rPr>
            <a:t>Ter illustratie</a:t>
          </a:r>
          <a:r>
            <a:rPr lang="nl-NL" sz="1100">
              <a:solidFill>
                <a:schemeClr val="dk1"/>
              </a:solidFill>
              <a:effectLst/>
              <a:latin typeface="+mn-lt"/>
              <a:ea typeface="+mn-ea"/>
              <a:cs typeface="+mn-cs"/>
            </a:rPr>
            <a:t>: stel dat het nieuwe programma 500 m2 bvo kantoorprogramma bevat. In de huidige situatie is 200 m2 bvo kantoor bestemd. De grondwaarde en hoogte van de canon van dit programma (200 m2 bvo kantoren) is  vastgelegd in de bestaande akte. De totale stijging van de grondwaarde (meerwaarde) wordt berekend op 300 m2 kantoor (500 - 200 = 300 m2). Over de grondwaarde van 300 m2 bvo kantoor wordt tevens een depreciatie van 10% gehanteerd. De depreciatie wordt niet toegepast op het huidige programma waar de erfpachter al recht op had. Op basis van dit resultaat/stijging van de erfpachtgrondwaarde, wordt de indicatieve canon/afkoop berekend. </a:t>
          </a:r>
        </a:p>
        <a:p>
          <a:pPr lvl="1"/>
          <a:r>
            <a:rPr lang="nl-NL" sz="1100">
              <a:solidFill>
                <a:schemeClr val="dk1"/>
              </a:solidFill>
              <a:effectLst/>
              <a:latin typeface="+mn-lt"/>
              <a:ea typeface="+mn-ea"/>
              <a:cs typeface="+mn-cs"/>
            </a:rPr>
            <a:t>Wanneer in cel F7 wordt ingevoerd, dat een deel van het nieuwe programma niet op het huidige perceel, maar op een perceeluitbreiding wordt gerealiseerd, wordt</a:t>
          </a:r>
          <a:r>
            <a:rPr lang="nl-NL" sz="1100" baseline="0">
              <a:solidFill>
                <a:schemeClr val="dk1"/>
              </a:solidFill>
              <a:effectLst/>
              <a:latin typeface="+mn-lt"/>
              <a:ea typeface="+mn-ea"/>
              <a:cs typeface="+mn-cs"/>
            </a:rPr>
            <a:t> over het gedeelte op de perceeluitbreiding geen depreciatie gerekend.</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b="1">
              <a:solidFill>
                <a:schemeClr val="dk1"/>
              </a:solidFill>
              <a:effectLst/>
              <a:latin typeface="+mn-lt"/>
              <a:ea typeface="+mn-ea"/>
              <a:cs typeface="+mn-cs"/>
            </a:rPr>
            <a:t>2. Herziening bij transformatie</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Tussen</a:t>
          </a:r>
          <a:r>
            <a:rPr lang="nl-NL" sz="1100" u="sng">
              <a:solidFill>
                <a:schemeClr val="dk1"/>
              </a:solidFill>
              <a:effectLst/>
              <a:latin typeface="+mn-lt"/>
              <a:ea typeface="+mn-ea"/>
              <a:cs typeface="+mn-cs"/>
            </a:rPr>
            <a:t> 30 en 2 jaar voor einde van het lopende tijdvak</a:t>
          </a:r>
          <a:r>
            <a:rPr lang="nl-NL" sz="1100">
              <a:solidFill>
                <a:schemeClr val="dk1"/>
              </a:solidFill>
              <a:effectLst/>
              <a:latin typeface="+mn-lt"/>
              <a:ea typeface="+mn-ea"/>
              <a:cs typeface="+mn-cs"/>
            </a:rPr>
            <a:t>  kan er voor een 'herziening bij transformatie' worden gekozen, mits de erfpachter ook aan de overige in het betreffende erfpachtbeleid opgenomen voorwaarden voldoet en er geen sprake is van een afwijzingsgrond. De oude grondwaarde wordt dan niet in mindering gebracht op de nieuwe grondwaarde;</a:t>
          </a:r>
        </a:p>
        <a:p>
          <a:r>
            <a:rPr lang="nl-NL" sz="1100">
              <a:solidFill>
                <a:schemeClr val="dk1"/>
              </a:solidFill>
              <a:effectLst/>
              <a:latin typeface="+mn-lt"/>
              <a:ea typeface="+mn-ea"/>
              <a:cs typeface="+mn-cs"/>
            </a:rPr>
            <a:t>- Het oude recht wijzigt zodanig dat er een nieuw tijdvak ingaat van 50 jaar, waarbij AB 2000 van toepassing wordt verklaard (DUS NIET: AB2016);</a:t>
          </a:r>
        </a:p>
        <a:p>
          <a:r>
            <a:rPr lang="nl-NL" sz="1100">
              <a:solidFill>
                <a:schemeClr val="dk1"/>
              </a:solidFill>
              <a:effectLst/>
              <a:latin typeface="+mn-lt"/>
              <a:ea typeface="+mn-ea"/>
              <a:cs typeface="+mn-cs"/>
            </a:rPr>
            <a:t>- De eventuele restantwaarde van de in het verleden betaalde afkoopsom wordt wel in mindering gebracht op de nieuwe afkoopsom of indien de erfpachter voor canonbetaling kiest. De restantwaarde van de erfpachtgrondwaarde wordt hiervan afgehaald om te komen tot de grondslag van de canonbepaling;</a:t>
          </a:r>
        </a:p>
        <a:p>
          <a:r>
            <a:rPr lang="nl-NL" sz="1100">
              <a:solidFill>
                <a:schemeClr val="dk1"/>
              </a:solidFill>
              <a:effectLst/>
              <a:latin typeface="+mn-lt"/>
              <a:ea typeface="+mn-ea"/>
              <a:cs typeface="+mn-cs"/>
            </a:rPr>
            <a:t>- De canon (o.b.v. de erfpachtgrondwaarde) wordt omgerekend naar een indicatieve afkoopsom voor 50 jaar (middels de methodiek die is opgenomen in de Afkoopinstructie);</a:t>
          </a:r>
        </a:p>
        <a:p>
          <a:r>
            <a:rPr lang="nl-NL" sz="1100">
              <a:solidFill>
                <a:schemeClr val="dk1"/>
              </a:solidFill>
              <a:effectLst/>
              <a:latin typeface="+mn-lt"/>
              <a:ea typeface="+mn-ea"/>
              <a:cs typeface="+mn-cs"/>
            </a:rPr>
            <a:t>- Er kan voor zowel canon als afkoop voor een tijdvak van 50 jaar gekozen worden. Het onderste bedrag in het geel is de nieuwe indicatieve afkoopsom voor 50 jaar voor de erfpachter.</a:t>
          </a:r>
        </a:p>
        <a:p>
          <a:r>
            <a:rPr lang="nl-NL" sz="1100">
              <a:solidFill>
                <a:schemeClr val="dk1"/>
              </a:solidFill>
              <a:effectLst/>
              <a:latin typeface="+mn-lt"/>
              <a:ea typeface="+mn-ea"/>
              <a:cs typeface="+mn-cs"/>
            </a:rPr>
            <a:t> </a:t>
          </a:r>
          <a:endParaRPr lang="nl-NL" sz="1100" u="sng">
            <a:solidFill>
              <a:schemeClr val="dk1"/>
            </a:solidFill>
            <a:effectLst/>
            <a:latin typeface="+mn-lt"/>
            <a:ea typeface="+mn-ea"/>
            <a:cs typeface="+mn-cs"/>
          </a:endParaRPr>
        </a:p>
        <a:p>
          <a:r>
            <a:rPr lang="nl-NL" sz="1400" b="1" u="none">
              <a:solidFill>
                <a:srgbClr val="FF0000"/>
              </a:solidFill>
              <a:effectLst/>
              <a:latin typeface="+mn-lt"/>
              <a:ea typeface="+mn-ea"/>
              <a:cs typeface="+mn-cs"/>
            </a:rPr>
            <a:t>Overige</a:t>
          </a:r>
          <a:r>
            <a:rPr lang="nl-NL" sz="1400">
              <a:solidFill>
                <a:srgbClr val="FF0000"/>
              </a:solidFill>
              <a:effectLst/>
              <a:latin typeface="+mn-lt"/>
              <a:ea typeface="+mn-ea"/>
              <a:cs typeface="+mn-cs"/>
            </a:rPr>
            <a:t> </a:t>
          </a:r>
          <a:r>
            <a:rPr lang="nl-NL" sz="1400" b="1">
              <a:solidFill>
                <a:srgbClr val="FF0000"/>
              </a:solidFill>
              <a:effectLst/>
              <a:latin typeface="+mn-lt"/>
              <a:ea typeface="+mn-ea"/>
              <a:cs typeface="+mn-cs"/>
            </a:rPr>
            <a:t>opmerkingen:</a:t>
          </a:r>
          <a:endParaRPr lang="nl-NL" sz="1400">
            <a:solidFill>
              <a:srgbClr val="FF0000"/>
            </a:solidFill>
            <a:effectLst/>
            <a:latin typeface="+mn-lt"/>
            <a:ea typeface="+mn-ea"/>
            <a:cs typeface="+mn-cs"/>
          </a:endParaRPr>
        </a:p>
        <a:p>
          <a:r>
            <a:rPr lang="nl-NL" sz="1100">
              <a:solidFill>
                <a:schemeClr val="dk1"/>
              </a:solidFill>
              <a:effectLst/>
              <a:latin typeface="+mn-lt"/>
              <a:ea typeface="+mn-ea"/>
              <a:cs typeface="+mn-cs"/>
            </a:rPr>
            <a:t>- Dit rekenmodel en de hierin opgenomen uitgangspunten en methoden zijn enkel bruikbaar voor transformatieprojecten. De resultaten geven enkel een </a:t>
          </a:r>
          <a:r>
            <a:rPr lang="nl-NL" sz="1100" u="sng">
              <a:solidFill>
                <a:schemeClr val="dk1"/>
              </a:solidFill>
              <a:effectLst/>
              <a:latin typeface="+mn-lt"/>
              <a:ea typeface="+mn-ea"/>
              <a:cs typeface="+mn-cs"/>
            </a:rPr>
            <a:t>indicatie</a:t>
          </a:r>
          <a:r>
            <a:rPr lang="nl-NL" sz="1100">
              <a:solidFill>
                <a:schemeClr val="dk1"/>
              </a:solidFill>
              <a:effectLst/>
              <a:latin typeface="+mn-lt"/>
              <a:ea typeface="+mn-ea"/>
              <a:cs typeface="+mn-cs"/>
            </a:rPr>
            <a:t> van de canon/afkoopsom inzake transformatieprojecten en zijn niet van toepassing voor andere doeleinden.  </a:t>
          </a:r>
        </a:p>
        <a:p>
          <a:r>
            <a:rPr lang="nl-NL" sz="1100">
              <a:solidFill>
                <a:schemeClr val="dk1"/>
              </a:solidFill>
              <a:effectLst/>
              <a:latin typeface="+mn-lt"/>
              <a:ea typeface="+mn-ea"/>
              <a:cs typeface="+mn-cs"/>
            </a:rPr>
            <a:t>- Dit rekenmodel is niet bruikbaar voor de canon/afkoopsom indicaties voor overige projecten (nieuwe uitgiften en/of herziening bestaande erfpachtrechten). </a:t>
          </a:r>
        </a:p>
        <a:p>
          <a:r>
            <a:rPr lang="nl-NL" sz="1100">
              <a:solidFill>
                <a:schemeClr val="dk1"/>
              </a:solidFill>
              <a:effectLst/>
              <a:latin typeface="+mn-lt"/>
              <a:ea typeface="+mn-ea"/>
              <a:cs typeface="+mn-cs"/>
            </a:rPr>
            <a:t>- Bij transformatie van voortdurende erfpachtrechten blijft het erfpachtrecht voortdurend. Wanneer een woningkoper</a:t>
          </a:r>
          <a:r>
            <a:rPr lang="nl-NL" sz="1100" baseline="0">
              <a:solidFill>
                <a:schemeClr val="dk1"/>
              </a:solidFill>
              <a:effectLst/>
              <a:latin typeface="+mn-lt"/>
              <a:ea typeface="+mn-ea"/>
              <a:cs typeface="+mn-cs"/>
            </a:rPr>
            <a:t> en/of belegger voor woningen de eeuwigdurende AB2016 wil, kan hij (direct) na de transformatie een overstapaanvraag naar de AB2016 indienen.</a:t>
          </a:r>
          <a:r>
            <a:rPr lang="nl-NL" sz="1100">
              <a:solidFill>
                <a:schemeClr val="dk1"/>
              </a:solidFill>
              <a:effectLst/>
              <a:latin typeface="+mn-lt"/>
              <a:ea typeface="+mn-ea"/>
              <a:cs typeface="+mn-cs"/>
            </a:rPr>
            <a:t> Deze optie is niet in dit model verwerkt.</a:t>
          </a:r>
        </a:p>
        <a:p>
          <a:endParaRPr lang="nl-NL" sz="11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2606843</xdr:colOff>
      <xdr:row>12</xdr:row>
      <xdr:rowOff>183463</xdr:rowOff>
    </xdr:from>
    <xdr:ext cx="254942" cy="214314"/>
    <xdr:sp macro="" textlink="">
      <xdr:nvSpPr>
        <xdr:cNvPr id="9" name="Tekstvak 8">
          <a:extLst>
            <a:ext uri="{FF2B5EF4-FFF2-40B4-BE49-F238E27FC236}">
              <a16:creationId xmlns:a16="http://schemas.microsoft.com/office/drawing/2014/main" id="{8A8B1327-4051-4A2F-AC99-7F5F800C019D}"/>
            </a:ext>
          </a:extLst>
        </xdr:cNvPr>
        <xdr:cNvSpPr txBox="1"/>
      </xdr:nvSpPr>
      <xdr:spPr>
        <a:xfrm>
          <a:off x="2606843" y="2669989"/>
          <a:ext cx="254942" cy="2143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nl-NL" sz="1100" b="1">
              <a:solidFill>
                <a:srgbClr val="FF0000"/>
              </a:solidFill>
            </a:rPr>
            <a:t>*</a:t>
          </a:r>
        </a:p>
      </xdr:txBody>
    </xdr:sp>
    <xdr:clientData/>
  </xdr:oneCellAnchor>
  <xdr:oneCellAnchor>
    <xdr:from>
      <xdr:col>0</xdr:col>
      <xdr:colOff>2602197</xdr:colOff>
      <xdr:row>11</xdr:row>
      <xdr:rowOff>177867</xdr:rowOff>
    </xdr:from>
    <xdr:ext cx="254942" cy="214314"/>
    <xdr:sp macro="" textlink="">
      <xdr:nvSpPr>
        <xdr:cNvPr id="10" name="Tekstvak 9">
          <a:extLst>
            <a:ext uri="{FF2B5EF4-FFF2-40B4-BE49-F238E27FC236}">
              <a16:creationId xmlns:a16="http://schemas.microsoft.com/office/drawing/2014/main" id="{172F2D63-AAA4-4A2D-A0C2-2F22CE3BC8DC}"/>
            </a:ext>
          </a:extLst>
        </xdr:cNvPr>
        <xdr:cNvSpPr txBox="1"/>
      </xdr:nvSpPr>
      <xdr:spPr>
        <a:xfrm>
          <a:off x="2602197" y="2473893"/>
          <a:ext cx="254942" cy="2143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nl-NL" sz="1100" b="1">
              <a:solidFill>
                <a:srgbClr val="FF0000"/>
              </a:solidFill>
            </a:rPr>
            <a:t>*</a:t>
          </a:r>
        </a:p>
      </xdr:txBody>
    </xdr:sp>
    <xdr:clientData/>
  </xdr:oneCellAnchor>
  <xdr:oneCellAnchor>
    <xdr:from>
      <xdr:col>0</xdr:col>
      <xdr:colOff>2606843</xdr:colOff>
      <xdr:row>14</xdr:row>
      <xdr:rowOff>173221</xdr:rowOff>
    </xdr:from>
    <xdr:ext cx="254942" cy="214314"/>
    <xdr:sp macro="" textlink="">
      <xdr:nvSpPr>
        <xdr:cNvPr id="11" name="Tekstvak 10">
          <a:extLst>
            <a:ext uri="{FF2B5EF4-FFF2-40B4-BE49-F238E27FC236}">
              <a16:creationId xmlns:a16="http://schemas.microsoft.com/office/drawing/2014/main" id="{9F165A9E-E8DE-4209-AB39-3132F005DD9D}"/>
            </a:ext>
          </a:extLst>
        </xdr:cNvPr>
        <xdr:cNvSpPr txBox="1"/>
      </xdr:nvSpPr>
      <xdr:spPr>
        <a:xfrm>
          <a:off x="2606843" y="3040747"/>
          <a:ext cx="254942" cy="2143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nl-NL" sz="1100" b="1">
              <a:solidFill>
                <a:srgbClr val="FF0000"/>
              </a:solidFill>
            </a:rPr>
            <a:t>*</a:t>
          </a:r>
        </a:p>
      </xdr:txBody>
    </xdr:sp>
    <xdr:clientData/>
  </xdr:oneCellAnchor>
  <xdr:oneCellAnchor>
    <xdr:from>
      <xdr:col>0</xdr:col>
      <xdr:colOff>2606843</xdr:colOff>
      <xdr:row>15</xdr:row>
      <xdr:rowOff>173221</xdr:rowOff>
    </xdr:from>
    <xdr:ext cx="254942" cy="214314"/>
    <xdr:sp macro="" textlink="">
      <xdr:nvSpPr>
        <xdr:cNvPr id="12" name="Tekstvak 11">
          <a:extLst>
            <a:ext uri="{FF2B5EF4-FFF2-40B4-BE49-F238E27FC236}">
              <a16:creationId xmlns:a16="http://schemas.microsoft.com/office/drawing/2014/main" id="{C582EC54-930D-4228-BFC3-C6651F10A5AC}"/>
            </a:ext>
          </a:extLst>
        </xdr:cNvPr>
        <xdr:cNvSpPr txBox="1"/>
      </xdr:nvSpPr>
      <xdr:spPr>
        <a:xfrm>
          <a:off x="2606843" y="3231247"/>
          <a:ext cx="254942" cy="2143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nl-NL" sz="1100" b="1">
              <a:solidFill>
                <a:srgbClr val="FF0000"/>
              </a:solidFill>
            </a:rPr>
            <a:t>*</a:t>
          </a:r>
        </a:p>
      </xdr:txBody>
    </xdr:sp>
    <xdr:clientData/>
  </xdr:oneCellAnchor>
  <xdr:oneCellAnchor>
    <xdr:from>
      <xdr:col>0</xdr:col>
      <xdr:colOff>2606843</xdr:colOff>
      <xdr:row>16</xdr:row>
      <xdr:rowOff>177867</xdr:rowOff>
    </xdr:from>
    <xdr:ext cx="254942" cy="214314"/>
    <xdr:sp macro="" textlink="">
      <xdr:nvSpPr>
        <xdr:cNvPr id="13" name="Tekstvak 12">
          <a:extLst>
            <a:ext uri="{FF2B5EF4-FFF2-40B4-BE49-F238E27FC236}">
              <a16:creationId xmlns:a16="http://schemas.microsoft.com/office/drawing/2014/main" id="{5CBFA90B-B6F3-4FB7-A9DE-ECE227F0A952}"/>
            </a:ext>
          </a:extLst>
        </xdr:cNvPr>
        <xdr:cNvSpPr txBox="1"/>
      </xdr:nvSpPr>
      <xdr:spPr>
        <a:xfrm>
          <a:off x="2606843" y="3426393"/>
          <a:ext cx="254942" cy="2143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nl-NL" sz="1100" b="1">
              <a:solidFill>
                <a:srgbClr val="FF0000"/>
              </a:solidFill>
            </a:rPr>
            <a:t>*</a:t>
          </a:r>
        </a:p>
      </xdr:txBody>
    </xdr:sp>
    <xdr:clientData/>
  </xdr:oneCellAnchor>
  <xdr:oneCellAnchor>
    <xdr:from>
      <xdr:col>0</xdr:col>
      <xdr:colOff>2606843</xdr:colOff>
      <xdr:row>18</xdr:row>
      <xdr:rowOff>177867</xdr:rowOff>
    </xdr:from>
    <xdr:ext cx="254942" cy="214314"/>
    <xdr:sp macro="" textlink="">
      <xdr:nvSpPr>
        <xdr:cNvPr id="14" name="Tekstvak 13">
          <a:extLst>
            <a:ext uri="{FF2B5EF4-FFF2-40B4-BE49-F238E27FC236}">
              <a16:creationId xmlns:a16="http://schemas.microsoft.com/office/drawing/2014/main" id="{1CDE289F-5212-4BBD-B22C-0661A7ADABDC}"/>
            </a:ext>
          </a:extLst>
        </xdr:cNvPr>
        <xdr:cNvSpPr txBox="1"/>
      </xdr:nvSpPr>
      <xdr:spPr>
        <a:xfrm>
          <a:off x="2606843" y="3807393"/>
          <a:ext cx="254942" cy="2143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nl-NL" sz="1100" b="1">
              <a:solidFill>
                <a:srgbClr val="FF0000"/>
              </a:solidFill>
            </a:rPr>
            <a:t>*</a:t>
          </a:r>
        </a:p>
      </xdr:txBody>
    </xdr:sp>
    <xdr:clientData/>
  </xdr:oneCellAnchor>
  <xdr:oneCellAnchor>
    <xdr:from>
      <xdr:col>0</xdr:col>
      <xdr:colOff>2606843</xdr:colOff>
      <xdr:row>19</xdr:row>
      <xdr:rowOff>177867</xdr:rowOff>
    </xdr:from>
    <xdr:ext cx="254942" cy="214314"/>
    <xdr:sp macro="" textlink="">
      <xdr:nvSpPr>
        <xdr:cNvPr id="15" name="Tekstvak 14">
          <a:extLst>
            <a:ext uri="{FF2B5EF4-FFF2-40B4-BE49-F238E27FC236}">
              <a16:creationId xmlns:a16="http://schemas.microsoft.com/office/drawing/2014/main" id="{ABBD2880-D673-4710-9C00-BF3BFCD0B7E2}"/>
            </a:ext>
          </a:extLst>
        </xdr:cNvPr>
        <xdr:cNvSpPr txBox="1"/>
      </xdr:nvSpPr>
      <xdr:spPr>
        <a:xfrm>
          <a:off x="2606843" y="3997893"/>
          <a:ext cx="254942" cy="2143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nl-NL" sz="1100" b="1">
              <a:solidFill>
                <a:srgbClr val="FF0000"/>
              </a:solidFill>
            </a:rPr>
            <a:t>*</a:t>
          </a:r>
        </a:p>
      </xdr:txBody>
    </xdr:sp>
    <xdr:clientData/>
  </xdr:oneCellAnchor>
</xdr:wsDr>
</file>

<file path=xl/persons/person.xml><?xml version="1.0" encoding="utf-8"?>
<personList xmlns="http://schemas.microsoft.com/office/spreadsheetml/2018/threadedcomments" xmlns:x="http://schemas.openxmlformats.org/spreadsheetml/2006/main">
  <person displayName="Chee-Key" id="{1DC34C9C-ABA5-4D63-B73C-4D8BE8599DE6}" userId="S::c.teoh@amsterdam.nl::f03add51-9899-4dd8-83a1-0b6caf26de2f"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Q24" dT="2020-09-18T06:31:32.89" personId="{1DC34C9C-ABA5-4D63-B73C-4D8BE8599DE6}" id="{8DF745EF-905A-4358-9E6B-1864C9DF3F9C}">
    <text>Zie opmerking (O14), lijkt op stand van bovenstaande input berekend te zijn. 
Hoe wordt de restantwaarde oude afkoopsom precies berekend. Met name de afkooppercentage 6 maanden voor datum restitutie roept vragen op.</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8"/>
  <sheetViews>
    <sheetView topLeftCell="A71" zoomScale="130" zoomScaleNormal="130" workbookViewId="0">
      <selection activeCell="A108" sqref="A108"/>
    </sheetView>
  </sheetViews>
  <sheetFormatPr defaultColWidth="0" defaultRowHeight="15" zeroHeight="1" x14ac:dyDescent="0.25"/>
  <cols>
    <col min="1" max="1" width="114.85546875" customWidth="1"/>
    <col min="2" max="2" width="9.140625" customWidth="1"/>
    <col min="3" max="16384" width="9.140625" hidden="1"/>
  </cols>
  <sheetData>
    <row r="1" spans="1:2" ht="23.25" x14ac:dyDescent="0.25">
      <c r="A1" s="271"/>
      <c r="B1" s="272"/>
    </row>
    <row r="2" spans="1:2" x14ac:dyDescent="0.25">
      <c r="A2" s="273"/>
      <c r="B2" s="272"/>
    </row>
    <row r="3" spans="1:2" x14ac:dyDescent="0.25">
      <c r="A3" s="273"/>
      <c r="B3" s="272"/>
    </row>
    <row r="4" spans="1:2" x14ac:dyDescent="0.25">
      <c r="A4" s="273"/>
      <c r="B4" s="272"/>
    </row>
    <row r="5" spans="1:2" x14ac:dyDescent="0.25">
      <c r="A5" s="273"/>
      <c r="B5" s="272"/>
    </row>
    <row r="6" spans="1:2" x14ac:dyDescent="0.25">
      <c r="A6" s="273"/>
      <c r="B6" s="272"/>
    </row>
    <row r="7" spans="1:2" x14ac:dyDescent="0.25">
      <c r="A7" s="273"/>
      <c r="B7" s="272"/>
    </row>
    <row r="8" spans="1:2" x14ac:dyDescent="0.25">
      <c r="A8" s="273"/>
      <c r="B8" s="272"/>
    </row>
    <row r="9" spans="1:2" x14ac:dyDescent="0.25">
      <c r="A9" s="273"/>
      <c r="B9" s="272"/>
    </row>
    <row r="10" spans="1:2" x14ac:dyDescent="0.25">
      <c r="A10" s="273"/>
      <c r="B10" s="272"/>
    </row>
    <row r="11" spans="1:2" x14ac:dyDescent="0.25">
      <c r="A11" s="273"/>
      <c r="B11" s="272"/>
    </row>
    <row r="12" spans="1:2" x14ac:dyDescent="0.25">
      <c r="A12" s="273"/>
      <c r="B12" s="272"/>
    </row>
    <row r="13" spans="1:2" x14ac:dyDescent="0.25">
      <c r="A13" s="273"/>
      <c r="B13" s="272"/>
    </row>
    <row r="14" spans="1:2" x14ac:dyDescent="0.25">
      <c r="A14" s="273"/>
      <c r="B14" s="272"/>
    </row>
    <row r="15" spans="1:2" x14ac:dyDescent="0.25">
      <c r="A15" s="273"/>
      <c r="B15" s="272"/>
    </row>
    <row r="16" spans="1:2" x14ac:dyDescent="0.25">
      <c r="A16" s="273"/>
      <c r="B16" s="272"/>
    </row>
    <row r="17" spans="1:2" x14ac:dyDescent="0.25">
      <c r="A17" s="273"/>
      <c r="B17" s="272"/>
    </row>
    <row r="18" spans="1:2" x14ac:dyDescent="0.25">
      <c r="A18" s="273"/>
      <c r="B18" s="272"/>
    </row>
    <row r="19" spans="1:2" x14ac:dyDescent="0.25">
      <c r="A19" s="273"/>
      <c r="B19" s="272"/>
    </row>
    <row r="20" spans="1:2" x14ac:dyDescent="0.25">
      <c r="A20" s="273"/>
      <c r="B20" s="272"/>
    </row>
    <row r="21" spans="1:2" x14ac:dyDescent="0.25">
      <c r="A21" s="273"/>
      <c r="B21" s="272"/>
    </row>
    <row r="22" spans="1:2" x14ac:dyDescent="0.25">
      <c r="A22" s="273"/>
      <c r="B22" s="272"/>
    </row>
    <row r="23" spans="1:2" x14ac:dyDescent="0.25">
      <c r="A23" s="273"/>
      <c r="B23" s="272"/>
    </row>
    <row r="24" spans="1:2" x14ac:dyDescent="0.25">
      <c r="A24" s="273"/>
      <c r="B24" s="272"/>
    </row>
    <row r="25" spans="1:2" x14ac:dyDescent="0.25">
      <c r="A25" s="273"/>
      <c r="B25" s="272"/>
    </row>
    <row r="26" spans="1:2" ht="15.75" x14ac:dyDescent="0.25">
      <c r="A26" s="274"/>
      <c r="B26" s="272"/>
    </row>
    <row r="27" spans="1:2" x14ac:dyDescent="0.25">
      <c r="A27" s="275"/>
      <c r="B27" s="272"/>
    </row>
    <row r="28" spans="1:2" x14ac:dyDescent="0.25">
      <c r="A28" s="276"/>
      <c r="B28" s="272"/>
    </row>
    <row r="29" spans="1:2" x14ac:dyDescent="0.25">
      <c r="A29" s="276"/>
      <c r="B29" s="272"/>
    </row>
    <row r="30" spans="1:2" x14ac:dyDescent="0.25">
      <c r="A30" s="276"/>
      <c r="B30" s="272"/>
    </row>
    <row r="31" spans="1:2" x14ac:dyDescent="0.25">
      <c r="A31" s="273"/>
      <c r="B31" s="272"/>
    </row>
    <row r="32" spans="1:2" x14ac:dyDescent="0.25">
      <c r="A32" s="277"/>
      <c r="B32" s="272"/>
    </row>
    <row r="33" spans="1:2" x14ac:dyDescent="0.25">
      <c r="A33" s="278"/>
      <c r="B33" s="272"/>
    </row>
    <row r="34" spans="1:2" x14ac:dyDescent="0.25">
      <c r="A34" s="278"/>
      <c r="B34" s="272"/>
    </row>
    <row r="35" spans="1:2" x14ac:dyDescent="0.25">
      <c r="A35" s="278"/>
      <c r="B35" s="272"/>
    </row>
    <row r="36" spans="1:2" x14ac:dyDescent="0.25">
      <c r="A36" s="278"/>
      <c r="B36" s="272"/>
    </row>
    <row r="37" spans="1:2" x14ac:dyDescent="0.25">
      <c r="A37" s="278"/>
      <c r="B37" s="272"/>
    </row>
    <row r="38" spans="1:2" x14ac:dyDescent="0.25">
      <c r="A38" s="273"/>
      <c r="B38" s="272"/>
    </row>
    <row r="39" spans="1:2" x14ac:dyDescent="0.25">
      <c r="A39" s="277"/>
      <c r="B39" s="272"/>
    </row>
    <row r="40" spans="1:2" x14ac:dyDescent="0.25">
      <c r="A40" s="278"/>
      <c r="B40" s="272"/>
    </row>
    <row r="41" spans="1:2" x14ac:dyDescent="0.25">
      <c r="A41" s="278"/>
      <c r="B41" s="272"/>
    </row>
    <row r="42" spans="1:2" x14ac:dyDescent="0.25">
      <c r="A42" s="278"/>
      <c r="B42" s="272"/>
    </row>
    <row r="43" spans="1:2" x14ac:dyDescent="0.25">
      <c r="A43" s="278"/>
      <c r="B43" s="272"/>
    </row>
    <row r="44" spans="1:2" x14ac:dyDescent="0.25">
      <c r="A44" s="278"/>
      <c r="B44" s="272"/>
    </row>
    <row r="45" spans="1:2" x14ac:dyDescent="0.25">
      <c r="A45" s="278"/>
      <c r="B45" s="272"/>
    </row>
    <row r="46" spans="1:2" x14ac:dyDescent="0.25">
      <c r="A46" s="278"/>
      <c r="B46" s="272"/>
    </row>
    <row r="47" spans="1:2" x14ac:dyDescent="0.25">
      <c r="A47" s="273"/>
      <c r="B47" s="279"/>
    </row>
    <row r="48" spans="1:2" x14ac:dyDescent="0.25">
      <c r="A48" s="275"/>
      <c r="B48" s="272"/>
    </row>
    <row r="49" spans="1:2" x14ac:dyDescent="0.25">
      <c r="A49" s="273"/>
      <c r="B49" s="272"/>
    </row>
    <row r="50" spans="1:2" x14ac:dyDescent="0.25">
      <c r="A50" s="273"/>
      <c r="B50" s="272"/>
    </row>
    <row r="51" spans="1:2" x14ac:dyDescent="0.25">
      <c r="A51" s="273"/>
      <c r="B51" s="272"/>
    </row>
    <row r="52" spans="1:2" x14ac:dyDescent="0.25">
      <c r="A52" s="273"/>
      <c r="B52" s="272"/>
    </row>
    <row r="53" spans="1:2" x14ac:dyDescent="0.25">
      <c r="A53" s="273"/>
      <c r="B53" s="272"/>
    </row>
    <row r="54" spans="1:2" x14ac:dyDescent="0.25">
      <c r="A54" s="273"/>
      <c r="B54" s="272"/>
    </row>
    <row r="55" spans="1:2" x14ac:dyDescent="0.25">
      <c r="A55" s="273"/>
      <c r="B55" s="272"/>
    </row>
    <row r="56" spans="1:2" x14ac:dyDescent="0.25">
      <c r="A56" s="273"/>
      <c r="B56" s="272"/>
    </row>
    <row r="57" spans="1:2" x14ac:dyDescent="0.25">
      <c r="A57" s="273"/>
      <c r="B57" s="272"/>
    </row>
    <row r="58" spans="1:2" x14ac:dyDescent="0.25">
      <c r="A58" s="273"/>
      <c r="B58" s="272"/>
    </row>
    <row r="59" spans="1:2" x14ac:dyDescent="0.25">
      <c r="A59" s="273"/>
      <c r="B59" s="272"/>
    </row>
    <row r="60" spans="1:2" x14ac:dyDescent="0.25">
      <c r="A60" s="273"/>
      <c r="B60" s="272"/>
    </row>
    <row r="61" spans="1:2" x14ac:dyDescent="0.25">
      <c r="A61" s="10"/>
      <c r="B61" s="10"/>
    </row>
    <row r="62" spans="1:2" x14ac:dyDescent="0.25">
      <c r="A62" s="10"/>
      <c r="B62" s="10"/>
    </row>
    <row r="63" spans="1:2" x14ac:dyDescent="0.25">
      <c r="A63" s="10"/>
      <c r="B63" s="10"/>
    </row>
    <row r="64" spans="1:2" x14ac:dyDescent="0.25">
      <c r="A64" s="10"/>
      <c r="B64" s="10"/>
    </row>
    <row r="65" spans="1:2" x14ac:dyDescent="0.25">
      <c r="A65" s="10"/>
      <c r="B65" s="10"/>
    </row>
    <row r="66" spans="1:2" x14ac:dyDescent="0.25">
      <c r="A66" s="10"/>
      <c r="B66" s="10"/>
    </row>
    <row r="67" spans="1:2" x14ac:dyDescent="0.25">
      <c r="A67" s="10"/>
      <c r="B67" s="10"/>
    </row>
    <row r="68" spans="1:2" x14ac:dyDescent="0.25">
      <c r="A68" s="10"/>
      <c r="B68" s="10"/>
    </row>
    <row r="69" spans="1:2" x14ac:dyDescent="0.25">
      <c r="A69" s="10"/>
      <c r="B69" s="10"/>
    </row>
    <row r="70" spans="1:2" x14ac:dyDescent="0.25">
      <c r="A70" s="10"/>
      <c r="B70" s="10"/>
    </row>
    <row r="71" spans="1:2" x14ac:dyDescent="0.25">
      <c r="A71" s="10"/>
      <c r="B71" s="10"/>
    </row>
    <row r="72" spans="1:2" x14ac:dyDescent="0.25">
      <c r="A72" s="10"/>
      <c r="B72" s="10"/>
    </row>
    <row r="73" spans="1:2" x14ac:dyDescent="0.25">
      <c r="A73" s="10"/>
      <c r="B73" s="10"/>
    </row>
    <row r="74" spans="1:2" x14ac:dyDescent="0.25">
      <c r="A74" s="10"/>
      <c r="B74" s="10"/>
    </row>
    <row r="75" spans="1:2" x14ac:dyDescent="0.25">
      <c r="A75" s="10"/>
      <c r="B75" s="10"/>
    </row>
    <row r="76" spans="1:2" x14ac:dyDescent="0.25">
      <c r="A76" s="10"/>
      <c r="B76" s="10"/>
    </row>
    <row r="77" spans="1:2" x14ac:dyDescent="0.25">
      <c r="A77" s="10"/>
      <c r="B77" s="10"/>
    </row>
    <row r="78" spans="1:2" x14ac:dyDescent="0.25">
      <c r="A78" s="10"/>
      <c r="B78" s="10"/>
    </row>
    <row r="79" spans="1:2" x14ac:dyDescent="0.25">
      <c r="A79" s="10"/>
      <c r="B79" s="10"/>
    </row>
    <row r="80" spans="1:2" x14ac:dyDescent="0.25">
      <c r="A80" s="10"/>
      <c r="B80" s="10"/>
    </row>
    <row r="81" spans="1:2" x14ac:dyDescent="0.25">
      <c r="A81" s="10"/>
      <c r="B81" s="10"/>
    </row>
    <row r="82" spans="1:2" x14ac:dyDescent="0.25">
      <c r="A82" s="10"/>
      <c r="B82" s="10"/>
    </row>
    <row r="83" spans="1:2" x14ac:dyDescent="0.25">
      <c r="A83" s="10"/>
      <c r="B83" s="10"/>
    </row>
    <row r="84" spans="1:2" x14ac:dyDescent="0.25">
      <c r="A84" s="10"/>
      <c r="B84" s="10"/>
    </row>
    <row r="85" spans="1:2" x14ac:dyDescent="0.25">
      <c r="A85" s="10"/>
      <c r="B85" s="10"/>
    </row>
    <row r="86" spans="1:2" x14ac:dyDescent="0.25">
      <c r="A86" s="10"/>
      <c r="B86" s="10"/>
    </row>
    <row r="87" spans="1:2" x14ac:dyDescent="0.25">
      <c r="A87" s="10"/>
      <c r="B87" s="10"/>
    </row>
    <row r="88" spans="1:2" x14ac:dyDescent="0.25">
      <c r="A88" s="10"/>
      <c r="B88" s="10"/>
    </row>
    <row r="89" spans="1:2" x14ac:dyDescent="0.25">
      <c r="A89" s="10"/>
      <c r="B89" s="10"/>
    </row>
    <row r="90" spans="1:2" x14ac:dyDescent="0.25">
      <c r="A90" s="10"/>
      <c r="B90" s="10"/>
    </row>
    <row r="91" spans="1:2" x14ac:dyDescent="0.25">
      <c r="A91" s="10"/>
      <c r="B91" s="10"/>
    </row>
    <row r="92" spans="1:2" x14ac:dyDescent="0.25">
      <c r="A92" s="10"/>
      <c r="B92" s="10"/>
    </row>
    <row r="93" spans="1:2" x14ac:dyDescent="0.25">
      <c r="A93" s="10"/>
      <c r="B93" s="10"/>
    </row>
    <row r="94" spans="1:2" x14ac:dyDescent="0.25">
      <c r="A94" s="10"/>
      <c r="B94" s="10"/>
    </row>
    <row r="95" spans="1:2" x14ac:dyDescent="0.25">
      <c r="A95" s="10"/>
      <c r="B95" s="10"/>
    </row>
    <row r="96" spans="1:2" x14ac:dyDescent="0.25">
      <c r="A96" s="10"/>
      <c r="B96" s="10"/>
    </row>
    <row r="97" spans="1:2" x14ac:dyDescent="0.25">
      <c r="A97" s="10"/>
      <c r="B97" s="10"/>
    </row>
    <row r="98" spans="1:2" x14ac:dyDescent="0.25">
      <c r="A98" s="10"/>
      <c r="B98" s="10"/>
    </row>
    <row r="99" spans="1:2" x14ac:dyDescent="0.25">
      <c r="A99" s="10"/>
      <c r="B99" s="10"/>
    </row>
    <row r="100" spans="1:2" x14ac:dyDescent="0.25">
      <c r="A100" s="10"/>
      <c r="B100" s="10"/>
    </row>
    <row r="101" spans="1:2" x14ac:dyDescent="0.25">
      <c r="A101" s="10"/>
      <c r="B101" s="10"/>
    </row>
    <row r="102" spans="1:2" x14ac:dyDescent="0.25">
      <c r="A102" s="10"/>
      <c r="B102" s="10"/>
    </row>
    <row r="103" spans="1:2" x14ac:dyDescent="0.25">
      <c r="A103" s="10"/>
      <c r="B103" s="10"/>
    </row>
    <row r="104" spans="1:2" ht="15.75" x14ac:dyDescent="0.25">
      <c r="A104" s="312" t="s">
        <v>175</v>
      </c>
      <c r="B104" s="10"/>
    </row>
    <row r="105" spans="1:2" x14ac:dyDescent="0.25">
      <c r="A105" s="10" t="s">
        <v>176</v>
      </c>
      <c r="B105" s="10"/>
    </row>
    <row r="106" spans="1:2" x14ac:dyDescent="0.25">
      <c r="A106" s="10" t="s">
        <v>172</v>
      </c>
      <c r="B106" s="10"/>
    </row>
    <row r="107" spans="1:2" x14ac:dyDescent="0.25">
      <c r="A107" s="10" t="s">
        <v>173</v>
      </c>
      <c r="B107" s="10"/>
    </row>
    <row r="108" spans="1:2" x14ac:dyDescent="0.25">
      <c r="A108" s="10" t="s">
        <v>180</v>
      </c>
      <c r="B108" s="10"/>
    </row>
    <row r="109" spans="1:2" x14ac:dyDescent="0.25">
      <c r="A109" s="10"/>
      <c r="B109" s="10"/>
    </row>
    <row r="110" spans="1:2" hidden="1" x14ac:dyDescent="0.25">
      <c r="A110" s="10"/>
      <c r="B110" s="10"/>
    </row>
    <row r="111" spans="1:2" hidden="1" x14ac:dyDescent="0.25">
      <c r="A111" s="10"/>
      <c r="B111" s="10"/>
    </row>
    <row r="112" spans="1:2" hidden="1" x14ac:dyDescent="0.25">
      <c r="A112" s="10"/>
      <c r="B112" s="10"/>
    </row>
    <row r="113" spans="1:2" hidden="1" x14ac:dyDescent="0.25">
      <c r="A113" s="10"/>
      <c r="B113" s="10"/>
    </row>
    <row r="114" spans="1:2" hidden="1" x14ac:dyDescent="0.25">
      <c r="A114" s="10"/>
      <c r="B114" s="10"/>
    </row>
    <row r="115" spans="1:2" hidden="1" x14ac:dyDescent="0.25">
      <c r="A115" s="10"/>
      <c r="B115" s="10"/>
    </row>
    <row r="116" spans="1:2" x14ac:dyDescent="0.25"/>
    <row r="117" spans="1:2" x14ac:dyDescent="0.25"/>
    <row r="118" spans="1:2" x14ac:dyDescent="0.25"/>
  </sheetData>
  <sheetProtection algorithmName="SHA-512" hashValue="EczEZ/VP/VgJ/lBFRKqBEOPsnjo5dnp3MJTkrEcRteS1KgTluLy4PWBbnylQvb2ywFJpe2P13dPp9zWzTpNCKw==" saltValue="GAn6u7kmMFqqqDOwquvtHw==" spinCount="100000" sheet="1" objects="1" scenarios="1"/>
  <conditionalFormatting sqref="B30">
    <cfRule type="cellIs" dxfId="5" priority="1" operator="notEqual">
      <formula>#REF!</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116"/>
  <sheetViews>
    <sheetView tabSelected="1" zoomScaleNormal="100" workbookViewId="0">
      <selection activeCell="J59" sqref="J59"/>
    </sheetView>
  </sheetViews>
  <sheetFormatPr defaultColWidth="9.140625" defaultRowHeight="15" zeroHeight="1" x14ac:dyDescent="0.25"/>
  <cols>
    <col min="1" max="1" width="43" customWidth="1"/>
    <col min="2" max="3" width="33.7109375" customWidth="1"/>
    <col min="4" max="4" width="9.140625" customWidth="1"/>
    <col min="5" max="5" width="17.28515625" customWidth="1"/>
    <col min="6" max="6" width="20.140625" customWidth="1"/>
    <col min="7" max="9" width="19.85546875" customWidth="1"/>
    <col min="10" max="10" width="21.85546875" customWidth="1"/>
    <col min="11" max="12" width="26" customWidth="1"/>
    <col min="13" max="22" width="15" hidden="1" customWidth="1"/>
    <col min="23" max="23" width="9.140625" customWidth="1"/>
    <col min="24" max="24" width="9.140625" hidden="1" customWidth="1"/>
    <col min="25" max="25" width="11.5703125" hidden="1" customWidth="1"/>
    <col min="26" max="26" width="11.7109375" hidden="1" customWidth="1"/>
    <col min="27" max="29" width="9.140625" hidden="1" customWidth="1"/>
    <col min="30" max="30" width="9.140625" customWidth="1"/>
    <col min="31" max="31" width="9.140625" hidden="1" customWidth="1"/>
    <col min="32" max="32" width="16" hidden="1" customWidth="1"/>
    <col min="33" max="35" width="9.140625" hidden="1" customWidth="1"/>
    <col min="36" max="36" width="29.42578125" hidden="1" customWidth="1"/>
    <col min="37" max="37" width="9.140625" hidden="1" customWidth="1"/>
    <col min="38" max="38" width="30.42578125" hidden="1" customWidth="1"/>
  </cols>
  <sheetData>
    <row r="1" spans="1:38" ht="21" x14ac:dyDescent="0.35">
      <c r="A1" s="1" t="s">
        <v>181</v>
      </c>
      <c r="B1" s="2"/>
      <c r="C1" s="267" t="s">
        <v>0</v>
      </c>
      <c r="D1" s="267"/>
      <c r="E1" s="268"/>
      <c r="F1" s="268"/>
      <c r="G1" s="268"/>
      <c r="H1" s="268"/>
      <c r="I1" s="268"/>
      <c r="J1" s="268"/>
      <c r="K1" s="268"/>
      <c r="L1" s="268"/>
      <c r="M1" s="4" t="s">
        <v>1</v>
      </c>
      <c r="N1" s="5"/>
      <c r="O1" s="5"/>
      <c r="P1" s="6"/>
      <c r="Q1" s="6"/>
      <c r="R1" s="6"/>
      <c r="S1" s="7"/>
      <c r="T1" s="4"/>
      <c r="U1" s="4"/>
      <c r="V1" s="4"/>
    </row>
    <row r="2" spans="1:38" ht="18.75" x14ac:dyDescent="0.3">
      <c r="A2" s="8"/>
      <c r="B2" s="8"/>
      <c r="C2" s="9"/>
      <c r="D2" s="9"/>
      <c r="E2" s="8"/>
      <c r="F2" s="8"/>
      <c r="G2" s="8"/>
      <c r="H2" s="8"/>
      <c r="I2" s="8"/>
      <c r="J2" s="8"/>
      <c r="K2" s="8"/>
      <c r="L2" s="8"/>
      <c r="M2" s="10"/>
      <c r="N2" s="10"/>
      <c r="Q2" s="11"/>
      <c r="R2" s="11"/>
      <c r="S2" s="11"/>
    </row>
    <row r="3" spans="1:38" x14ac:dyDescent="0.25">
      <c r="A3" s="12" t="s">
        <v>2</v>
      </c>
      <c r="B3" s="13">
        <v>44197</v>
      </c>
      <c r="C3" s="265" t="s">
        <v>155</v>
      </c>
      <c r="D3" s="8"/>
      <c r="E3" s="23" t="s">
        <v>166</v>
      </c>
      <c r="F3" s="15">
        <f>E51+G68/E70</f>
        <v>0</v>
      </c>
      <c r="G3" s="8" t="s">
        <v>71</v>
      </c>
      <c r="H3" s="8"/>
      <c r="I3" s="8"/>
      <c r="J3" s="8"/>
      <c r="K3" s="8"/>
      <c r="L3" s="8"/>
      <c r="M3" s="10"/>
      <c r="O3" s="14"/>
      <c r="Q3" s="11"/>
      <c r="R3" s="11"/>
      <c r="S3" s="11"/>
      <c r="AE3" t="s">
        <v>3</v>
      </c>
    </row>
    <row r="4" spans="1:38" x14ac:dyDescent="0.25">
      <c r="A4" s="12" t="s">
        <v>4</v>
      </c>
      <c r="B4" s="15" t="s">
        <v>5</v>
      </c>
      <c r="C4" s="8"/>
      <c r="D4" s="8"/>
      <c r="E4" s="23" t="s">
        <v>167</v>
      </c>
      <c r="F4" s="299">
        <f>F3-F5</f>
        <v>0</v>
      </c>
      <c r="G4" s="8" t="s">
        <v>71</v>
      </c>
      <c r="H4" s="8"/>
      <c r="I4" s="8"/>
      <c r="J4" s="8"/>
      <c r="K4" s="8"/>
      <c r="L4" s="8"/>
      <c r="M4" s="10"/>
      <c r="O4" s="14"/>
      <c r="P4" s="14"/>
      <c r="Q4" s="11"/>
      <c r="R4" s="11"/>
      <c r="S4" s="11"/>
      <c r="AE4" s="10" t="s">
        <v>6</v>
      </c>
      <c r="AF4" t="s">
        <v>7</v>
      </c>
      <c r="AJ4" t="s">
        <v>8</v>
      </c>
    </row>
    <row r="5" spans="1:38" x14ac:dyDescent="0.25">
      <c r="A5" s="12" t="s">
        <v>9</v>
      </c>
      <c r="B5" s="15" t="s">
        <v>10</v>
      </c>
      <c r="C5" s="8"/>
      <c r="D5" s="8"/>
      <c r="E5" s="23" t="s">
        <v>168</v>
      </c>
      <c r="F5" s="299">
        <v>0</v>
      </c>
      <c r="G5" s="8" t="s">
        <v>71</v>
      </c>
      <c r="H5" s="8"/>
      <c r="I5" s="8"/>
      <c r="J5" s="8"/>
      <c r="K5" s="8"/>
      <c r="L5" s="8"/>
      <c r="M5" s="10"/>
      <c r="O5" s="14"/>
      <c r="P5" s="14"/>
      <c r="Q5" s="11"/>
      <c r="R5" s="11"/>
      <c r="S5" s="11"/>
      <c r="AE5" s="10" t="s">
        <v>11</v>
      </c>
      <c r="AF5" s="16" t="s">
        <v>12</v>
      </c>
      <c r="AG5">
        <v>2016</v>
      </c>
      <c r="AH5" t="s">
        <v>13</v>
      </c>
      <c r="AJ5" t="s">
        <v>14</v>
      </c>
      <c r="AL5" t="s">
        <v>15</v>
      </c>
    </row>
    <row r="6" spans="1:38" x14ac:dyDescent="0.25">
      <c r="A6" s="12" t="s">
        <v>16</v>
      </c>
      <c r="B6" s="15" t="s">
        <v>17</v>
      </c>
      <c r="C6" s="8"/>
      <c r="D6" s="8"/>
      <c r="E6" s="8"/>
      <c r="F6" s="8"/>
      <c r="G6" s="8"/>
      <c r="H6" s="8"/>
      <c r="I6" s="8"/>
      <c r="J6" s="8"/>
      <c r="K6" s="8"/>
      <c r="L6" s="8"/>
      <c r="M6" s="10"/>
      <c r="O6" s="14"/>
      <c r="P6" s="14"/>
      <c r="Q6" s="11"/>
      <c r="R6" s="11"/>
      <c r="S6" s="11"/>
      <c r="AE6" s="10" t="s">
        <v>18</v>
      </c>
      <c r="AF6" s="16" t="s">
        <v>19</v>
      </c>
      <c r="AG6">
        <v>2000</v>
      </c>
      <c r="AH6" t="s">
        <v>20</v>
      </c>
      <c r="AJ6" t="s">
        <v>162</v>
      </c>
      <c r="AL6" t="s">
        <v>21</v>
      </c>
    </row>
    <row r="7" spans="1:38" x14ac:dyDescent="0.25">
      <c r="A7" s="12" t="s">
        <v>22</v>
      </c>
      <c r="B7" s="15"/>
      <c r="C7" s="265" t="s">
        <v>156</v>
      </c>
      <c r="D7" s="8"/>
      <c r="E7" s="8"/>
      <c r="F7" s="309" t="e">
        <f>F5/F3</f>
        <v>#DIV/0!</v>
      </c>
      <c r="G7" s="23" t="str">
        <f>E5</f>
        <v>waarvan op perceeluitbreiding</v>
      </c>
      <c r="H7" s="8"/>
      <c r="I7" s="8"/>
      <c r="J7" s="8"/>
      <c r="K7" s="8"/>
      <c r="L7" s="8"/>
      <c r="M7" s="10"/>
      <c r="N7" s="10"/>
      <c r="O7" s="14"/>
      <c r="P7" s="14"/>
      <c r="Q7" s="11"/>
      <c r="R7" s="11"/>
      <c r="S7" s="11"/>
      <c r="AE7" s="10"/>
      <c r="AF7" s="16" t="s">
        <v>23</v>
      </c>
      <c r="AG7">
        <v>1994</v>
      </c>
      <c r="AJ7" t="s">
        <v>24</v>
      </c>
      <c r="AL7" t="s">
        <v>25</v>
      </c>
    </row>
    <row r="8" spans="1:38" x14ac:dyDescent="0.25">
      <c r="A8" s="8"/>
      <c r="B8" s="8"/>
      <c r="C8" s="8"/>
      <c r="D8" s="8"/>
      <c r="E8" s="8"/>
      <c r="F8" s="254" t="e">
        <f>1-F7</f>
        <v>#DIV/0!</v>
      </c>
      <c r="G8" s="23" t="str">
        <f>E4</f>
        <v>waarvan op huidige perceel</v>
      </c>
      <c r="H8" s="8"/>
      <c r="I8" s="8"/>
      <c r="J8" s="8"/>
      <c r="K8" s="8"/>
      <c r="L8" s="8"/>
      <c r="M8" s="10"/>
      <c r="O8" s="14"/>
      <c r="P8" s="14"/>
      <c r="Q8" s="11"/>
      <c r="R8" s="11"/>
      <c r="S8" s="11"/>
      <c r="AF8" s="16" t="s">
        <v>26</v>
      </c>
      <c r="AG8">
        <v>1966</v>
      </c>
      <c r="AJ8" t="s">
        <v>27</v>
      </c>
      <c r="AL8" t="s">
        <v>28</v>
      </c>
    </row>
    <row r="9" spans="1:38" x14ac:dyDescent="0.25">
      <c r="A9" s="8"/>
      <c r="B9" s="8"/>
      <c r="C9" s="8"/>
      <c r="D9" s="8"/>
      <c r="E9" s="8"/>
      <c r="F9" s="8"/>
      <c r="G9" s="8"/>
      <c r="H9" s="8"/>
      <c r="I9" s="8"/>
      <c r="J9" s="8"/>
      <c r="K9" s="8"/>
      <c r="L9" s="8"/>
      <c r="M9" s="10"/>
      <c r="N9" s="10"/>
      <c r="O9" s="14"/>
      <c r="P9" s="14"/>
      <c r="Q9" s="11"/>
      <c r="S9" s="17"/>
      <c r="AF9" s="16" t="s">
        <v>29</v>
      </c>
      <c r="AG9">
        <v>1955</v>
      </c>
      <c r="AJ9" t="s">
        <v>30</v>
      </c>
    </row>
    <row r="10" spans="1:38" ht="21" x14ac:dyDescent="0.35">
      <c r="A10" s="18" t="s">
        <v>31</v>
      </c>
      <c r="B10" s="19"/>
      <c r="C10" s="19"/>
      <c r="D10" s="19"/>
      <c r="E10" s="19"/>
      <c r="F10" s="19"/>
      <c r="G10" s="19"/>
      <c r="H10" s="19"/>
      <c r="I10" s="19"/>
      <c r="J10" s="19"/>
      <c r="K10" s="20"/>
      <c r="L10" s="21"/>
      <c r="M10" s="10"/>
      <c r="N10" s="10"/>
      <c r="O10" s="14"/>
      <c r="P10" s="14"/>
      <c r="Q10" s="11"/>
      <c r="R10" s="11"/>
      <c r="S10" s="14"/>
      <c r="T10" s="14"/>
      <c r="U10" s="14"/>
      <c r="V10" s="14"/>
      <c r="AJ10" t="s">
        <v>32</v>
      </c>
      <c r="AL10" t="s">
        <v>33</v>
      </c>
    </row>
    <row r="11" spans="1:38" x14ac:dyDescent="0.25">
      <c r="A11" s="22" t="s">
        <v>34</v>
      </c>
      <c r="B11" s="23"/>
      <c r="C11" s="8"/>
      <c r="D11" s="8"/>
      <c r="E11" s="8"/>
      <c r="F11" s="8"/>
      <c r="G11" s="8"/>
      <c r="H11" s="8"/>
      <c r="I11" s="8"/>
      <c r="J11" s="8"/>
      <c r="K11" s="8"/>
      <c r="L11" s="24"/>
      <c r="M11" s="10"/>
      <c r="N11" s="10"/>
      <c r="O11" s="25">
        <f>SUMIF(AF5:AF9,B16,AG5:AG9)</f>
        <v>2000</v>
      </c>
      <c r="P11" s="25"/>
      <c r="Q11" s="26" t="s">
        <v>35</v>
      </c>
      <c r="R11" s="26"/>
      <c r="S11" s="26" t="s">
        <v>36</v>
      </c>
      <c r="T11" s="26"/>
      <c r="U11" s="25"/>
      <c r="V11" s="25"/>
      <c r="AJ11" t="s">
        <v>37</v>
      </c>
      <c r="AL11" t="s">
        <v>38</v>
      </c>
    </row>
    <row r="12" spans="1:38" x14ac:dyDescent="0.25">
      <c r="A12" s="27" t="s">
        <v>39</v>
      </c>
      <c r="B12" s="28">
        <f>YEAR(B14)-B13</f>
        <v>1985</v>
      </c>
      <c r="C12" s="8"/>
      <c r="D12" s="8"/>
      <c r="E12" s="8"/>
      <c r="F12" s="306"/>
      <c r="G12" s="307" t="s">
        <v>163</v>
      </c>
      <c r="H12" s="259"/>
      <c r="I12" s="8"/>
      <c r="J12" s="8"/>
      <c r="K12" s="8"/>
      <c r="L12" s="24"/>
      <c r="M12" s="10"/>
      <c r="N12" s="10"/>
      <c r="O12" s="29" t="s">
        <v>40</v>
      </c>
      <c r="P12" s="29" t="s">
        <v>41</v>
      </c>
      <c r="Q12" s="30">
        <v>3.3000000000000002E-2</v>
      </c>
      <c r="R12" s="31"/>
      <c r="S12" s="32">
        <v>0.01</v>
      </c>
      <c r="T12" s="26"/>
      <c r="U12" s="33">
        <f>IF(B18="vast",Q14,Q12)</f>
        <v>3.3000000000000002E-2</v>
      </c>
      <c r="V12" s="33">
        <f>IF(B18="index",S12,0)</f>
        <v>0.01</v>
      </c>
      <c r="AJ12" t="s">
        <v>42</v>
      </c>
      <c r="AL12" t="s">
        <v>43</v>
      </c>
    </row>
    <row r="13" spans="1:38" x14ac:dyDescent="0.25">
      <c r="A13" s="34" t="s">
        <v>44</v>
      </c>
      <c r="B13" s="293">
        <v>50</v>
      </c>
      <c r="C13" s="265" t="s">
        <v>45</v>
      </c>
      <c r="D13" s="8"/>
      <c r="E13" s="8"/>
      <c r="F13" s="302" t="str">
        <f>O12</f>
        <v>index</v>
      </c>
      <c r="G13" s="303" t="str">
        <f>P12</f>
        <v>AB1966-94-2000</v>
      </c>
      <c r="H13" s="313">
        <f>Q12</f>
        <v>3.3000000000000002E-2</v>
      </c>
      <c r="I13" s="8"/>
      <c r="J13" s="8"/>
      <c r="K13" s="8"/>
      <c r="L13" s="24"/>
      <c r="M13" s="10"/>
      <c r="N13" s="10"/>
      <c r="O13" s="29"/>
      <c r="P13" s="29"/>
      <c r="Q13" s="35"/>
      <c r="R13" s="26"/>
      <c r="S13" s="36"/>
      <c r="T13" s="26"/>
      <c r="U13" s="33"/>
      <c r="V13" s="33"/>
    </row>
    <row r="14" spans="1:38" x14ac:dyDescent="0.25">
      <c r="A14" s="27" t="s">
        <v>46</v>
      </c>
      <c r="B14" s="294">
        <v>49658</v>
      </c>
      <c r="C14" s="8"/>
      <c r="D14" s="8"/>
      <c r="E14" s="8"/>
      <c r="F14" s="302" t="s">
        <v>164</v>
      </c>
      <c r="G14" s="303" t="s">
        <v>19</v>
      </c>
      <c r="H14" s="313" t="s">
        <v>174</v>
      </c>
      <c r="I14" s="8"/>
      <c r="J14" s="8"/>
      <c r="K14" s="8"/>
      <c r="L14" s="24"/>
      <c r="M14" s="10"/>
      <c r="N14" s="10"/>
      <c r="O14" s="29" t="s">
        <v>47</v>
      </c>
      <c r="P14" s="29" t="s">
        <v>48</v>
      </c>
      <c r="Q14" s="35">
        <f>Q12*1.25</f>
        <v>4.1250000000000002E-2</v>
      </c>
      <c r="R14" s="26"/>
      <c r="S14" s="36">
        <v>0</v>
      </c>
      <c r="T14" s="26"/>
      <c r="U14" s="33">
        <v>0</v>
      </c>
      <c r="V14" s="33">
        <f>IF(O11&lt;1960,S14,0)</f>
        <v>0</v>
      </c>
      <c r="AJ14" t="s">
        <v>49</v>
      </c>
    </row>
    <row r="15" spans="1:38" x14ac:dyDescent="0.25">
      <c r="A15" s="27" t="s">
        <v>50</v>
      </c>
      <c r="B15" s="37">
        <f ca="1">DATEDIF(TODAY(),B14,"y")</f>
        <v>11</v>
      </c>
      <c r="C15" s="265" t="s">
        <v>45</v>
      </c>
      <c r="D15" s="8"/>
      <c r="E15" s="8"/>
      <c r="F15" s="302" t="str">
        <f>O14</f>
        <v>vast</v>
      </c>
      <c r="G15" s="303" t="s">
        <v>29</v>
      </c>
      <c r="H15" s="51">
        <f>Q14</f>
        <v>4.1250000000000002E-2</v>
      </c>
      <c r="I15" s="8"/>
      <c r="J15" s="8"/>
      <c r="K15" s="8"/>
      <c r="L15" s="24"/>
      <c r="M15" s="10"/>
      <c r="N15" s="10"/>
      <c r="O15" s="29" t="s">
        <v>40</v>
      </c>
      <c r="P15" s="29" t="s">
        <v>51</v>
      </c>
      <c r="Q15" s="38">
        <v>2.4899999999999999E-2</v>
      </c>
      <c r="R15" s="39"/>
      <c r="S15" s="40">
        <v>0.02</v>
      </c>
      <c r="T15" s="26"/>
      <c r="U15" s="33">
        <f>IF(O11=2016,Q15,0)</f>
        <v>0</v>
      </c>
      <c r="V15" s="33">
        <f>IF(O11=2016,S15,0)</f>
        <v>0</v>
      </c>
    </row>
    <row r="16" spans="1:38" x14ac:dyDescent="0.25">
      <c r="A16" s="22" t="s">
        <v>52</v>
      </c>
      <c r="B16" s="295" t="s">
        <v>19</v>
      </c>
      <c r="C16" s="41" t="s">
        <v>53</v>
      </c>
      <c r="D16" s="41"/>
      <c r="E16" s="8"/>
      <c r="F16" s="304" t="str">
        <f>O15</f>
        <v>index</v>
      </c>
      <c r="G16" s="305" t="str">
        <f>P15</f>
        <v>AB 2016</v>
      </c>
      <c r="H16" s="222">
        <f>Q15</f>
        <v>2.4899999999999999E-2</v>
      </c>
      <c r="I16" s="8"/>
      <c r="J16" s="8"/>
      <c r="K16" s="8"/>
      <c r="L16" s="24"/>
      <c r="M16" s="10"/>
      <c r="N16" s="10"/>
      <c r="O16" s="25"/>
      <c r="P16" s="26"/>
      <c r="Q16" s="26"/>
      <c r="R16" s="26"/>
      <c r="S16" s="25"/>
      <c r="T16" s="25"/>
      <c r="U16" s="42">
        <f>IF(O11=2016,U15,SUM(U12:U14))</f>
        <v>3.3000000000000002E-2</v>
      </c>
      <c r="V16" s="42">
        <f>IF(B16=2016,V15,SUM(V12:V14))</f>
        <v>0.01</v>
      </c>
    </row>
    <row r="17" spans="1:38" x14ac:dyDescent="0.25">
      <c r="A17" s="22" t="s">
        <v>54</v>
      </c>
      <c r="B17" s="296" t="s">
        <v>13</v>
      </c>
      <c r="C17" s="8"/>
      <c r="D17" s="8"/>
      <c r="E17" s="8"/>
      <c r="F17" s="8"/>
      <c r="G17" s="8"/>
      <c r="H17" s="8"/>
      <c r="I17" s="8"/>
      <c r="J17" s="8"/>
      <c r="K17" s="8"/>
      <c r="L17" s="24"/>
      <c r="M17" s="10"/>
      <c r="N17" s="10"/>
      <c r="O17" s="25"/>
      <c r="P17" s="26"/>
      <c r="Q17" s="43" t="s">
        <v>55</v>
      </c>
      <c r="R17" s="43"/>
      <c r="S17" s="43"/>
      <c r="T17" s="43"/>
      <c r="U17" s="42"/>
      <c r="V17" s="42"/>
    </row>
    <row r="18" spans="1:38" x14ac:dyDescent="0.25">
      <c r="A18" s="22" t="s">
        <v>56</v>
      </c>
      <c r="B18" s="296" t="s">
        <v>11</v>
      </c>
      <c r="C18" s="44"/>
      <c r="D18" s="8"/>
      <c r="E18" s="8"/>
      <c r="F18" s="8"/>
      <c r="G18" s="8"/>
      <c r="H18" s="8"/>
      <c r="I18" s="8"/>
      <c r="J18" s="8"/>
      <c r="K18" s="8"/>
      <c r="L18" s="24"/>
      <c r="M18" s="10"/>
      <c r="N18" s="10"/>
      <c r="O18" s="25"/>
      <c r="P18" s="26"/>
      <c r="Q18" s="45" t="s">
        <v>57</v>
      </c>
      <c r="R18" s="45"/>
      <c r="S18" s="45" t="s">
        <v>58</v>
      </c>
      <c r="T18" s="45"/>
      <c r="U18" s="42"/>
      <c r="V18" s="42"/>
    </row>
    <row r="19" spans="1:38" x14ac:dyDescent="0.25">
      <c r="A19" s="314" t="s">
        <v>177</v>
      </c>
      <c r="B19" s="315">
        <f>U16</f>
        <v>3.3000000000000002E-2</v>
      </c>
      <c r="C19" s="8"/>
      <c r="D19" s="8"/>
      <c r="E19" s="8"/>
      <c r="F19" s="8"/>
      <c r="G19" s="8"/>
      <c r="H19" s="8"/>
      <c r="I19" s="8"/>
      <c r="J19" s="8"/>
      <c r="K19" s="8"/>
      <c r="L19" s="24"/>
      <c r="M19" s="10"/>
      <c r="N19" s="10"/>
      <c r="O19" s="25"/>
      <c r="P19" s="46" t="s">
        <v>59</v>
      </c>
      <c r="Q19" s="47">
        <v>4.5999999999999999E-2</v>
      </c>
      <c r="R19" s="47"/>
      <c r="S19" s="48">
        <f>Q19</f>
        <v>4.5999999999999999E-2</v>
      </c>
      <c r="T19" s="49"/>
      <c r="U19" s="33"/>
      <c r="V19" s="25">
        <v>3.8319999999999999</v>
      </c>
    </row>
    <row r="20" spans="1:38" x14ac:dyDescent="0.25">
      <c r="A20" s="22" t="s">
        <v>60</v>
      </c>
      <c r="B20" s="297"/>
      <c r="C20" s="41" t="s">
        <v>61</v>
      </c>
      <c r="D20" s="41"/>
      <c r="E20" s="8"/>
      <c r="F20" s="8"/>
      <c r="G20" s="8"/>
      <c r="H20" s="8"/>
      <c r="I20" s="8"/>
      <c r="J20" s="8"/>
      <c r="K20" s="8"/>
      <c r="L20" s="24"/>
      <c r="M20" s="10"/>
      <c r="N20" s="10"/>
      <c r="O20" s="25"/>
      <c r="P20" s="46" t="s">
        <v>36</v>
      </c>
      <c r="Q20" s="47">
        <f>V16</f>
        <v>0.01</v>
      </c>
      <c r="R20" s="47"/>
      <c r="S20" s="48">
        <v>0.01</v>
      </c>
      <c r="T20" s="49"/>
      <c r="U20" s="25"/>
      <c r="V20" s="25">
        <v>5.8579999999999997</v>
      </c>
    </row>
    <row r="21" spans="1:38" x14ac:dyDescent="0.25">
      <c r="A21" s="314" t="s">
        <v>178</v>
      </c>
      <c r="B21" s="298">
        <v>0</v>
      </c>
      <c r="C21" s="41" t="s">
        <v>62</v>
      </c>
      <c r="D21" s="41"/>
      <c r="E21" s="8"/>
      <c r="F21" s="50"/>
      <c r="G21" s="50"/>
      <c r="H21" s="50"/>
      <c r="I21" s="50"/>
      <c r="J21" s="50"/>
      <c r="K21" s="50"/>
      <c r="L21" s="51"/>
      <c r="M21" s="10"/>
      <c r="N21" s="52"/>
      <c r="O21" s="25"/>
      <c r="P21" s="46" t="s">
        <v>63</v>
      </c>
      <c r="Q21" s="47">
        <f>(1+Q20)/(1+Q19)</f>
        <v>0.96558317399617588</v>
      </c>
      <c r="R21" s="53"/>
      <c r="S21" s="54">
        <f>(1+S20)/(1+S19)</f>
        <v>0.96558317399617588</v>
      </c>
      <c r="T21" s="55"/>
      <c r="U21" s="25"/>
      <c r="V21" s="25">
        <v>5.0990000000000002</v>
      </c>
      <c r="W21" s="14"/>
      <c r="X21" s="14"/>
      <c r="Y21" s="14"/>
      <c r="Z21" s="14"/>
      <c r="AA21" s="14"/>
      <c r="AB21" s="14"/>
      <c r="AC21" s="14"/>
      <c r="AD21" s="14"/>
      <c r="AE21" s="14"/>
      <c r="AF21" s="14"/>
      <c r="AG21" s="14"/>
      <c r="AH21" s="14"/>
      <c r="AI21" s="14"/>
      <c r="AJ21" s="14"/>
      <c r="AK21" s="14"/>
      <c r="AL21" s="14"/>
    </row>
    <row r="22" spans="1:38" x14ac:dyDescent="0.25">
      <c r="A22" s="56"/>
      <c r="B22" s="57"/>
      <c r="C22" s="57"/>
      <c r="D22" s="57"/>
      <c r="E22" s="57"/>
      <c r="F22" s="57"/>
      <c r="G22" s="57"/>
      <c r="H22" s="57"/>
      <c r="I22" s="57"/>
      <c r="J22" s="57"/>
      <c r="K22" s="57"/>
      <c r="L22" s="58"/>
      <c r="M22" s="10"/>
      <c r="N22" s="10"/>
      <c r="O22" s="25"/>
      <c r="P22" s="46" t="s">
        <v>64</v>
      </c>
      <c r="Q22" s="53">
        <f>0.5+0.5/(1+Q19)^0.5</f>
        <v>0.98888212908396156</v>
      </c>
      <c r="R22" s="53"/>
      <c r="S22" s="54">
        <f>0.5+0.5/(1+S19)^0.5</f>
        <v>0.98888212908396156</v>
      </c>
      <c r="T22" s="55"/>
      <c r="U22" s="25"/>
      <c r="V22" s="25"/>
      <c r="W22" s="14"/>
      <c r="X22" s="14"/>
      <c r="Y22" s="14"/>
      <c r="Z22" s="14"/>
      <c r="AA22" s="14"/>
      <c r="AB22" s="14"/>
      <c r="AC22" s="14"/>
      <c r="AD22" s="14"/>
      <c r="AE22" s="14"/>
      <c r="AF22" s="14"/>
      <c r="AG22" s="14"/>
      <c r="AH22" s="14"/>
      <c r="AI22" s="14"/>
      <c r="AJ22" s="14"/>
      <c r="AK22" s="14"/>
      <c r="AL22" s="14"/>
    </row>
    <row r="23" spans="1:38" x14ac:dyDescent="0.25">
      <c r="A23" s="8"/>
      <c r="B23" s="8"/>
      <c r="C23" s="8"/>
      <c r="D23" s="8"/>
      <c r="E23" s="8"/>
      <c r="F23" s="8"/>
      <c r="G23" s="8"/>
      <c r="H23" s="8"/>
      <c r="I23" s="8"/>
      <c r="J23" s="8"/>
      <c r="K23" s="8"/>
      <c r="L23" s="8"/>
      <c r="M23" s="10"/>
      <c r="N23" s="10"/>
      <c r="O23" s="25"/>
      <c r="P23" s="59"/>
      <c r="Q23" s="60" t="s">
        <v>65</v>
      </c>
      <c r="R23" s="60"/>
      <c r="S23" s="61" t="s">
        <v>66</v>
      </c>
      <c r="T23" s="61"/>
      <c r="U23" s="25"/>
      <c r="V23" s="25"/>
      <c r="W23" s="14"/>
      <c r="X23" s="14"/>
      <c r="Y23" s="14"/>
      <c r="Z23" s="14"/>
      <c r="AA23" s="14"/>
      <c r="AB23" s="14"/>
      <c r="AC23" s="14"/>
      <c r="AD23" s="14"/>
      <c r="AE23" s="14"/>
      <c r="AF23" s="14"/>
      <c r="AG23" s="14"/>
      <c r="AH23" s="14"/>
      <c r="AI23" s="14"/>
      <c r="AJ23" s="14"/>
      <c r="AK23" s="14"/>
      <c r="AL23" s="14"/>
    </row>
    <row r="24" spans="1:38" ht="21" x14ac:dyDescent="0.35">
      <c r="A24" s="18" t="s">
        <v>67</v>
      </c>
      <c r="B24" s="19"/>
      <c r="C24" s="19"/>
      <c r="D24" s="19"/>
      <c r="E24" s="19"/>
      <c r="F24" s="19"/>
      <c r="G24" s="19"/>
      <c r="H24" s="19"/>
      <c r="I24" s="19"/>
      <c r="J24" s="19"/>
      <c r="K24" s="20"/>
      <c r="L24" s="21"/>
      <c r="M24" s="10"/>
      <c r="N24" s="10"/>
      <c r="O24" s="25"/>
      <c r="P24" s="62">
        <f>YEAR(B14)-B12</f>
        <v>50</v>
      </c>
      <c r="Q24" s="59">
        <v>1.0327999999999999</v>
      </c>
      <c r="R24" s="59"/>
      <c r="S24" s="33"/>
      <c r="T24" s="33"/>
      <c r="U24" s="25"/>
      <c r="V24" s="25"/>
      <c r="W24" s="14"/>
      <c r="X24" s="14"/>
      <c r="Y24" s="14"/>
      <c r="Z24" s="14"/>
      <c r="AA24" s="14"/>
      <c r="AB24" s="14"/>
      <c r="AC24" s="14"/>
      <c r="AD24" s="14"/>
      <c r="AE24" s="14"/>
      <c r="AF24" s="14"/>
      <c r="AG24" s="14"/>
      <c r="AH24" s="14"/>
      <c r="AI24" s="14"/>
      <c r="AJ24" s="14"/>
      <c r="AK24" s="14"/>
      <c r="AL24" s="14"/>
    </row>
    <row r="25" spans="1:38" x14ac:dyDescent="0.25">
      <c r="A25" s="63"/>
      <c r="B25" s="64" t="s">
        <v>68</v>
      </c>
      <c r="C25" s="8"/>
      <c r="D25" s="8"/>
      <c r="E25" s="50"/>
      <c r="F25" s="50"/>
      <c r="G25" s="8"/>
      <c r="H25" s="8"/>
      <c r="I25" s="8"/>
      <c r="J25" s="8"/>
      <c r="K25" s="65" t="s">
        <v>69</v>
      </c>
      <c r="L25" s="24"/>
      <c r="M25" s="10"/>
      <c r="N25" s="10"/>
      <c r="O25" s="25"/>
      <c r="P25" s="66">
        <f ca="1">B15</f>
        <v>11</v>
      </c>
      <c r="Q25" s="33"/>
      <c r="R25" s="33"/>
      <c r="S25" s="33"/>
      <c r="T25" s="33"/>
      <c r="U25" s="25"/>
      <c r="V25" s="25"/>
      <c r="W25" s="14"/>
      <c r="X25" s="14"/>
      <c r="Y25" s="14"/>
      <c r="Z25" s="14"/>
      <c r="AA25" s="14"/>
      <c r="AB25" s="14"/>
      <c r="AC25" s="14"/>
      <c r="AD25" s="14"/>
      <c r="AE25" s="14"/>
      <c r="AF25" s="14"/>
      <c r="AG25" s="14"/>
      <c r="AH25" s="14"/>
      <c r="AI25" s="14"/>
      <c r="AJ25" s="14"/>
      <c r="AK25" s="14"/>
      <c r="AL25" s="14"/>
    </row>
    <row r="26" spans="1:38" x14ac:dyDescent="0.25">
      <c r="A26" s="63" t="s">
        <v>70</v>
      </c>
      <c r="B26" s="65" t="s">
        <v>71</v>
      </c>
      <c r="C26" s="8"/>
      <c r="D26" s="8"/>
      <c r="E26" s="50"/>
      <c r="F26" s="50"/>
      <c r="G26" s="8"/>
      <c r="H26" s="8"/>
      <c r="I26" s="65" t="str">
        <f t="shared" ref="I26:I31" si="0">I44</f>
        <v>grondwaarde/m2 bvo</v>
      </c>
      <c r="J26" s="8"/>
      <c r="K26" s="65" t="s">
        <v>72</v>
      </c>
      <c r="L26" s="51"/>
      <c r="M26" s="10"/>
      <c r="N26" s="10"/>
      <c r="W26" s="14"/>
      <c r="X26" s="14"/>
      <c r="Y26" s="14"/>
      <c r="Z26" s="14"/>
      <c r="AA26" s="14"/>
      <c r="AB26" s="14"/>
      <c r="AC26" s="14"/>
      <c r="AD26" s="14"/>
      <c r="AE26" s="14"/>
      <c r="AF26" s="14"/>
      <c r="AG26" s="14"/>
      <c r="AH26" s="14"/>
      <c r="AI26" s="14"/>
      <c r="AJ26" s="14"/>
      <c r="AK26" s="14"/>
      <c r="AL26" s="14"/>
    </row>
    <row r="27" spans="1:38" x14ac:dyDescent="0.25">
      <c r="A27" s="67" t="s">
        <v>15</v>
      </c>
      <c r="B27" s="299">
        <v>0</v>
      </c>
      <c r="C27" s="8"/>
      <c r="D27" s="8"/>
      <c r="E27" s="50"/>
      <c r="F27" s="50"/>
      <c r="G27" s="8"/>
      <c r="H27" s="8"/>
      <c r="I27" s="68">
        <f t="shared" si="0"/>
        <v>0</v>
      </c>
      <c r="J27" s="69"/>
      <c r="K27" s="70">
        <f t="shared" ref="K27:K31" si="1">B27*I27</f>
        <v>0</v>
      </c>
      <c r="L27" s="51"/>
      <c r="M27" s="10"/>
      <c r="N27" s="10"/>
      <c r="O27" s="14"/>
      <c r="P27" s="14"/>
      <c r="Q27" s="14"/>
      <c r="R27" s="14"/>
      <c r="S27" s="14"/>
      <c r="T27" s="14"/>
      <c r="U27" s="14"/>
      <c r="V27" s="14"/>
      <c r="W27" s="14"/>
      <c r="X27" s="14"/>
      <c r="Y27" s="14"/>
      <c r="Z27" s="14"/>
      <c r="AA27" s="14"/>
      <c r="AB27" s="14"/>
      <c r="AC27" s="14"/>
      <c r="AD27" s="14"/>
      <c r="AE27" s="14"/>
      <c r="AF27" s="14"/>
      <c r="AG27" s="14"/>
      <c r="AH27" s="14"/>
      <c r="AI27" s="14"/>
      <c r="AJ27" s="14"/>
      <c r="AK27" s="14"/>
      <c r="AL27" s="14"/>
    </row>
    <row r="28" spans="1:38" x14ac:dyDescent="0.25">
      <c r="A28" s="67" t="s">
        <v>25</v>
      </c>
      <c r="B28" s="299">
        <v>0</v>
      </c>
      <c r="C28" s="8"/>
      <c r="D28" s="8"/>
      <c r="E28" s="50"/>
      <c r="F28" s="50"/>
      <c r="G28" s="8"/>
      <c r="H28" s="8"/>
      <c r="I28" s="68">
        <f t="shared" si="0"/>
        <v>0</v>
      </c>
      <c r="J28" s="69"/>
      <c r="K28" s="70">
        <f t="shared" si="1"/>
        <v>0</v>
      </c>
      <c r="L28" s="51"/>
      <c r="M28" s="10"/>
      <c r="N28" s="10"/>
      <c r="O28" s="14"/>
      <c r="P28" s="14"/>
      <c r="Q28" s="11"/>
      <c r="R28" s="11"/>
      <c r="S28" s="11"/>
      <c r="U28" s="11"/>
      <c r="V28" s="11"/>
      <c r="W28" s="14"/>
      <c r="X28" s="14"/>
      <c r="Y28" s="14"/>
      <c r="Z28" s="14"/>
      <c r="AA28" s="14"/>
      <c r="AB28" s="14"/>
      <c r="AC28" s="14"/>
      <c r="AD28" s="14"/>
      <c r="AE28" s="14"/>
      <c r="AF28" s="14"/>
      <c r="AG28" s="14"/>
      <c r="AH28" s="14"/>
      <c r="AI28" s="14"/>
      <c r="AJ28" s="14"/>
      <c r="AK28" s="14"/>
      <c r="AL28" s="14"/>
    </row>
    <row r="29" spans="1:38" x14ac:dyDescent="0.25">
      <c r="A29" s="67" t="s">
        <v>28</v>
      </c>
      <c r="B29" s="299">
        <v>0</v>
      </c>
      <c r="C29" s="8"/>
      <c r="D29" s="8"/>
      <c r="E29" s="50"/>
      <c r="F29" s="50"/>
      <c r="G29" s="8"/>
      <c r="H29" s="8"/>
      <c r="I29" s="68">
        <f t="shared" si="0"/>
        <v>0</v>
      </c>
      <c r="J29" s="69"/>
      <c r="K29" s="70">
        <f t="shared" si="1"/>
        <v>0</v>
      </c>
      <c r="L29" s="51"/>
      <c r="M29" s="10"/>
      <c r="N29" s="71"/>
      <c r="O29" s="72"/>
      <c r="P29" s="73" t="s">
        <v>73</v>
      </c>
      <c r="Q29" s="74"/>
      <c r="R29" s="14"/>
      <c r="S29" s="281"/>
      <c r="T29" s="14"/>
      <c r="U29" s="14"/>
      <c r="V29" s="14"/>
      <c r="W29" s="14"/>
      <c r="X29" s="14"/>
      <c r="Y29" s="14"/>
      <c r="Z29" s="14"/>
      <c r="AA29" s="14"/>
      <c r="AB29" s="14"/>
      <c r="AC29" s="14"/>
      <c r="AD29" s="14"/>
      <c r="AE29" s="14"/>
      <c r="AF29" s="14"/>
      <c r="AG29" s="14"/>
      <c r="AH29" s="14"/>
      <c r="AI29" s="14"/>
      <c r="AJ29" s="14"/>
      <c r="AK29" s="14"/>
      <c r="AL29" s="14"/>
    </row>
    <row r="30" spans="1:38" x14ac:dyDescent="0.25">
      <c r="A30" s="67" t="s">
        <v>33</v>
      </c>
      <c r="B30" s="299">
        <v>0</v>
      </c>
      <c r="C30" s="8"/>
      <c r="D30" s="8"/>
      <c r="E30" s="50"/>
      <c r="F30" s="50"/>
      <c r="G30" s="8"/>
      <c r="H30" s="8"/>
      <c r="I30" s="68">
        <f t="shared" si="0"/>
        <v>0</v>
      </c>
      <c r="J30" s="69"/>
      <c r="K30" s="70">
        <f t="shared" si="1"/>
        <v>0</v>
      </c>
      <c r="L30" s="51"/>
      <c r="M30" s="10"/>
      <c r="N30" s="10"/>
      <c r="O30" s="16"/>
      <c r="P30" s="75" t="s">
        <v>40</v>
      </c>
      <c r="Q30" s="75" t="s">
        <v>47</v>
      </c>
      <c r="R30" s="14"/>
      <c r="S30" s="284"/>
      <c r="T30" s="14"/>
      <c r="U30" s="14"/>
      <c r="V30" s="14"/>
      <c r="W30" s="14"/>
      <c r="X30" s="14"/>
      <c r="Y30" s="14"/>
      <c r="Z30" s="14"/>
      <c r="AA30" s="14"/>
      <c r="AB30" s="14"/>
      <c r="AC30" s="14"/>
      <c r="AD30" s="14"/>
      <c r="AE30" s="14"/>
      <c r="AF30" s="14"/>
      <c r="AG30" s="14"/>
      <c r="AH30" s="14"/>
      <c r="AI30" s="14"/>
      <c r="AJ30" s="14"/>
      <c r="AK30" s="14"/>
      <c r="AL30" s="14"/>
    </row>
    <row r="31" spans="1:38" x14ac:dyDescent="0.25">
      <c r="A31" s="76" t="s">
        <v>38</v>
      </c>
      <c r="B31" s="299">
        <v>0</v>
      </c>
      <c r="C31" s="8"/>
      <c r="D31" s="8"/>
      <c r="E31" s="50"/>
      <c r="F31" s="50"/>
      <c r="G31" s="8"/>
      <c r="H31" s="8"/>
      <c r="I31" s="68">
        <f t="shared" si="0"/>
        <v>0</v>
      </c>
      <c r="J31" s="69"/>
      <c r="K31" s="70">
        <f t="shared" si="1"/>
        <v>0</v>
      </c>
      <c r="L31" s="51"/>
      <c r="M31" s="10"/>
      <c r="N31" s="71"/>
      <c r="O31" s="16" t="s">
        <v>12</v>
      </c>
      <c r="P31" s="77">
        <f>Q15</f>
        <v>2.4899999999999999E-2</v>
      </c>
      <c r="Q31" s="16" t="s">
        <v>74</v>
      </c>
      <c r="R31" s="14"/>
      <c r="S31" s="284"/>
      <c r="T31" s="14"/>
      <c r="U31" s="14"/>
      <c r="V31" s="14"/>
      <c r="W31" s="14"/>
      <c r="X31" s="14"/>
      <c r="Y31" s="14"/>
      <c r="Z31" s="14"/>
      <c r="AA31" s="14"/>
      <c r="AB31" s="14"/>
      <c r="AC31" s="14"/>
      <c r="AD31" s="14"/>
      <c r="AE31" s="14"/>
      <c r="AF31" s="14"/>
      <c r="AG31" s="14"/>
      <c r="AH31" s="14"/>
      <c r="AI31" s="14"/>
      <c r="AJ31" s="14"/>
      <c r="AK31" s="14"/>
      <c r="AL31" s="14"/>
    </row>
    <row r="32" spans="1:38" ht="15.75" thickBot="1" x14ac:dyDescent="0.3">
      <c r="A32" s="67" t="s">
        <v>43</v>
      </c>
      <c r="B32" s="299">
        <v>0</v>
      </c>
      <c r="C32" s="265" t="s">
        <v>75</v>
      </c>
      <c r="D32" s="8"/>
      <c r="E32" s="50"/>
      <c r="F32" s="50"/>
      <c r="G32" s="8"/>
      <c r="H32" s="78" t="str">
        <f t="shared" ref="H32" si="2">H50</f>
        <v>t.b.v. depreciatie berekening o.b.v. input nieuwe programma</v>
      </c>
      <c r="I32" s="79">
        <f>I50</f>
        <v>0</v>
      </c>
      <c r="J32" s="8"/>
      <c r="K32" s="70">
        <f>B32*I32</f>
        <v>0</v>
      </c>
      <c r="L32" s="51"/>
      <c r="M32" s="10"/>
      <c r="N32" s="71"/>
      <c r="O32" s="16" t="s">
        <v>19</v>
      </c>
      <c r="P32" s="77">
        <f>Q12</f>
        <v>3.3000000000000002E-2</v>
      </c>
      <c r="Q32" s="16" t="s">
        <v>179</v>
      </c>
      <c r="R32" s="14"/>
      <c r="T32" s="14"/>
      <c r="U32" s="281"/>
      <c r="V32" s="14"/>
      <c r="W32" s="14"/>
      <c r="X32" s="14"/>
      <c r="Y32" s="14"/>
      <c r="Z32" s="14"/>
      <c r="AA32" s="14"/>
      <c r="AB32" s="14"/>
      <c r="AD32" s="14"/>
      <c r="AE32" s="14"/>
      <c r="AF32" s="14"/>
      <c r="AG32" s="14"/>
      <c r="AH32" s="14"/>
      <c r="AI32" s="14"/>
      <c r="AJ32" s="14"/>
      <c r="AK32" s="14"/>
      <c r="AL32" s="14"/>
    </row>
    <row r="33" spans="1:38" ht="15.75" thickBot="1" x14ac:dyDescent="0.3">
      <c r="A33" s="80"/>
      <c r="B33" s="81">
        <f>SUM(B27:B32)</f>
        <v>0</v>
      </c>
      <c r="C33" s="266" t="s">
        <v>71</v>
      </c>
      <c r="D33" s="81"/>
      <c r="E33" s="50"/>
      <c r="F33" s="50"/>
      <c r="G33" s="50"/>
      <c r="H33" s="8"/>
      <c r="I33" s="8"/>
      <c r="J33" s="8"/>
      <c r="K33" s="82">
        <f>SUM(K27:K32)</f>
        <v>0</v>
      </c>
      <c r="L33" s="51"/>
      <c r="M33" s="10"/>
      <c r="N33" s="10"/>
      <c r="O33" s="16" t="s">
        <v>23</v>
      </c>
      <c r="P33" s="77">
        <f>Q12</f>
        <v>3.3000000000000002E-2</v>
      </c>
      <c r="Q33" s="77">
        <f>P33*1.25</f>
        <v>4.1250000000000002E-2</v>
      </c>
      <c r="R33" s="14"/>
      <c r="S33" s="280"/>
      <c r="T33" s="14"/>
      <c r="U33" s="14"/>
      <c r="V33" s="14"/>
      <c r="W33" s="14"/>
      <c r="X33" s="284"/>
      <c r="Y33" s="285"/>
      <c r="Z33" s="11"/>
      <c r="AA33" s="14"/>
      <c r="AC33" s="14"/>
      <c r="AD33" s="14"/>
      <c r="AE33" s="14"/>
      <c r="AF33" s="284"/>
      <c r="AG33" s="285"/>
      <c r="AH33" s="14"/>
      <c r="AI33" s="14"/>
      <c r="AJ33" s="14"/>
      <c r="AK33" s="14"/>
      <c r="AL33" s="14"/>
    </row>
    <row r="34" spans="1:38" x14ac:dyDescent="0.25">
      <c r="A34" s="80"/>
      <c r="B34" s="83"/>
      <c r="C34" s="8"/>
      <c r="D34" s="8"/>
      <c r="E34" s="50"/>
      <c r="F34" s="50"/>
      <c r="G34" s="8"/>
      <c r="H34" s="8"/>
      <c r="I34" s="8"/>
      <c r="J34" s="8"/>
      <c r="K34" s="8"/>
      <c r="L34" s="51"/>
      <c r="M34" s="10"/>
      <c r="N34" s="10"/>
      <c r="O34" s="16" t="s">
        <v>26</v>
      </c>
      <c r="P34" s="77">
        <f>Q12</f>
        <v>3.3000000000000002E-2</v>
      </c>
      <c r="Q34" s="77">
        <f>P34*1.25</f>
        <v>4.1250000000000002E-2</v>
      </c>
      <c r="R34" s="14"/>
      <c r="T34" s="282"/>
      <c r="U34" s="14"/>
      <c r="V34" s="14"/>
      <c r="W34" s="14"/>
      <c r="X34" s="14"/>
      <c r="Y34" s="14"/>
      <c r="Z34" s="283"/>
      <c r="AA34" s="14"/>
      <c r="AB34" s="14"/>
      <c r="AC34" s="14"/>
      <c r="AD34" s="14"/>
      <c r="AE34" s="14"/>
      <c r="AF34" s="286"/>
      <c r="AG34" s="14"/>
      <c r="AH34" s="14"/>
      <c r="AI34" s="14"/>
      <c r="AJ34" s="14"/>
      <c r="AK34" s="14"/>
      <c r="AL34" s="14"/>
    </row>
    <row r="35" spans="1:38" x14ac:dyDescent="0.25">
      <c r="A35" s="84" t="s">
        <v>76</v>
      </c>
      <c r="B35" s="85" t="s">
        <v>77</v>
      </c>
      <c r="C35" s="8"/>
      <c r="D35" s="8"/>
      <c r="E35" s="50"/>
      <c r="F35" s="50"/>
      <c r="G35" s="8"/>
      <c r="H35" s="8"/>
      <c r="I35" s="65" t="str">
        <f>I53</f>
        <v>Grondwaarde per p.p.</v>
      </c>
      <c r="J35" s="8"/>
      <c r="K35" s="64" t="s">
        <v>78</v>
      </c>
      <c r="L35" s="51"/>
      <c r="M35" s="10"/>
      <c r="N35" s="10"/>
      <c r="O35" s="16" t="s">
        <v>29</v>
      </c>
      <c r="P35" s="16" t="s">
        <v>74</v>
      </c>
      <c r="Q35" s="77">
        <f>Q34</f>
        <v>4.1250000000000002E-2</v>
      </c>
      <c r="R35" s="14"/>
      <c r="S35" s="14"/>
      <c r="T35" s="14"/>
      <c r="U35" s="14"/>
      <c r="V35" s="14"/>
      <c r="W35" s="14"/>
      <c r="X35" s="14"/>
      <c r="Y35" s="14"/>
      <c r="Z35" s="14"/>
      <c r="AA35" s="14"/>
      <c r="AB35" s="14"/>
      <c r="AC35" s="14"/>
      <c r="AD35" s="14"/>
      <c r="AE35" s="14"/>
      <c r="AF35" s="14"/>
      <c r="AG35" s="14"/>
      <c r="AH35" s="14"/>
      <c r="AI35" s="14"/>
      <c r="AJ35" s="14"/>
      <c r="AK35" s="14"/>
      <c r="AL35" s="14"/>
    </row>
    <row r="36" spans="1:38" x14ac:dyDescent="0.25">
      <c r="A36" s="80" t="s">
        <v>169</v>
      </c>
      <c r="B36" s="299">
        <v>0</v>
      </c>
      <c r="C36" s="8"/>
      <c r="D36" s="8"/>
      <c r="E36" s="50"/>
      <c r="F36" s="50"/>
      <c r="G36" s="8"/>
      <c r="H36" s="8"/>
      <c r="I36" s="68">
        <f>I54</f>
        <v>0</v>
      </c>
      <c r="J36" s="8"/>
      <c r="K36" s="70">
        <f>B36*I54</f>
        <v>0</v>
      </c>
      <c r="L36" s="51"/>
      <c r="M36" s="10"/>
      <c r="N36" s="10"/>
      <c r="O36" s="14"/>
      <c r="P36" s="14"/>
      <c r="Q36" s="14"/>
      <c r="R36" s="14"/>
      <c r="S36" s="14"/>
      <c r="T36" s="14"/>
      <c r="U36" s="14"/>
      <c r="V36" s="14"/>
      <c r="W36" s="14"/>
      <c r="X36" s="14"/>
      <c r="Y36" s="14"/>
      <c r="Z36" s="14"/>
      <c r="AA36" s="14"/>
      <c r="AB36" s="14"/>
      <c r="AC36" s="14"/>
      <c r="AD36" s="14"/>
      <c r="AE36" s="14"/>
      <c r="AF36" s="14"/>
      <c r="AG36" s="14"/>
      <c r="AH36" s="14"/>
      <c r="AI36" s="14"/>
      <c r="AJ36" s="14"/>
      <c r="AK36" s="14"/>
      <c r="AL36" s="14"/>
    </row>
    <row r="37" spans="1:38" ht="15.75" thickBot="1" x14ac:dyDescent="0.3">
      <c r="A37" s="80" t="s">
        <v>170</v>
      </c>
      <c r="B37" s="299">
        <v>0</v>
      </c>
      <c r="C37" s="8"/>
      <c r="D37" s="8"/>
      <c r="E37" s="50"/>
      <c r="F37" s="50"/>
      <c r="G37" s="8"/>
      <c r="H37" s="8"/>
      <c r="I37" s="68">
        <f>I55</f>
        <v>0</v>
      </c>
      <c r="J37" s="8"/>
      <c r="K37" s="70">
        <f>B37*I55</f>
        <v>0</v>
      </c>
      <c r="L37" s="51"/>
      <c r="M37" s="10"/>
      <c r="N37" s="10"/>
      <c r="O37" s="14"/>
      <c r="P37" s="14"/>
      <c r="Q37" s="14"/>
      <c r="R37" s="14"/>
      <c r="S37" s="14"/>
      <c r="T37" s="14"/>
      <c r="U37" s="14"/>
      <c r="V37" s="14"/>
      <c r="W37" s="14"/>
      <c r="X37" s="14"/>
      <c r="Y37" s="14"/>
      <c r="Z37" s="14"/>
      <c r="AA37" s="14"/>
      <c r="AB37" s="14"/>
      <c r="AC37" s="14"/>
      <c r="AD37" s="14"/>
      <c r="AE37" s="14"/>
      <c r="AF37" s="14"/>
      <c r="AG37" s="14"/>
      <c r="AH37" s="14"/>
      <c r="AI37" s="14"/>
      <c r="AJ37" s="14"/>
      <c r="AK37" s="14"/>
      <c r="AL37" s="14"/>
    </row>
    <row r="38" spans="1:38" ht="15.75" thickBot="1" x14ac:dyDescent="0.3">
      <c r="A38" s="80"/>
      <c r="B38" s="83"/>
      <c r="C38" s="8"/>
      <c r="D38" s="8"/>
      <c r="E38" s="8"/>
      <c r="F38" s="8"/>
      <c r="G38" s="8"/>
      <c r="H38" s="8"/>
      <c r="I38" s="8"/>
      <c r="J38" s="8"/>
      <c r="K38" s="82">
        <f>SUM(K36:K37)</f>
        <v>0</v>
      </c>
      <c r="L38" s="24"/>
      <c r="M38" s="10"/>
      <c r="N38" s="10"/>
      <c r="O38" s="14"/>
      <c r="P38" s="14"/>
      <c r="Q38" s="11"/>
      <c r="R38" s="11"/>
      <c r="S38" s="11"/>
      <c r="V38" s="14"/>
      <c r="W38" s="14"/>
      <c r="X38" s="14"/>
      <c r="Y38" s="14"/>
      <c r="Z38" s="14"/>
    </row>
    <row r="39" spans="1:38" x14ac:dyDescent="0.25">
      <c r="A39" s="80"/>
      <c r="B39" s="83"/>
      <c r="C39" s="8"/>
      <c r="D39" s="8"/>
      <c r="E39" s="8"/>
      <c r="F39" s="8"/>
      <c r="G39" s="8"/>
      <c r="H39" s="8"/>
      <c r="I39" s="8"/>
      <c r="J39" s="8"/>
      <c r="K39" s="86"/>
      <c r="L39" s="24"/>
      <c r="M39" s="10"/>
      <c r="N39" s="10"/>
      <c r="O39" s="14"/>
      <c r="P39" s="14"/>
      <c r="Q39" s="11"/>
      <c r="R39" s="11"/>
      <c r="S39" s="11"/>
      <c r="U39" s="11"/>
      <c r="V39" s="14"/>
      <c r="W39" s="14"/>
      <c r="X39" s="14"/>
      <c r="Y39" s="14"/>
      <c r="Z39" s="14"/>
    </row>
    <row r="40" spans="1:38" x14ac:dyDescent="0.25">
      <c r="A40" s="56"/>
      <c r="B40" s="87"/>
      <c r="C40" s="57"/>
      <c r="D40" s="57"/>
      <c r="E40" s="57"/>
      <c r="F40" s="57"/>
      <c r="G40" s="57"/>
      <c r="H40" s="57"/>
      <c r="I40" s="57"/>
      <c r="J40" s="57"/>
      <c r="K40" s="88"/>
      <c r="L40" s="58"/>
      <c r="M40" s="10"/>
      <c r="N40" s="10"/>
      <c r="O40" s="14"/>
      <c r="P40" s="14"/>
      <c r="Q40" s="11"/>
      <c r="R40" s="11"/>
      <c r="S40" s="11"/>
      <c r="U40" s="11"/>
      <c r="V40" s="14"/>
      <c r="W40" s="14"/>
      <c r="X40" s="14"/>
      <c r="Y40" s="14"/>
      <c r="Z40" s="14"/>
    </row>
    <row r="41" spans="1:38" x14ac:dyDescent="0.25">
      <c r="A41" s="8"/>
      <c r="B41" s="8"/>
      <c r="C41" s="8"/>
      <c r="D41" s="8"/>
      <c r="E41" s="8"/>
      <c r="F41" s="8"/>
      <c r="G41" s="8"/>
      <c r="H41" s="8"/>
      <c r="I41" s="8"/>
      <c r="J41" s="8"/>
      <c r="K41" s="8"/>
      <c r="L41" s="8"/>
      <c r="M41" s="10"/>
      <c r="N41" s="10"/>
      <c r="O41" s="14"/>
      <c r="P41" s="14"/>
      <c r="Q41" s="11"/>
      <c r="R41" s="11"/>
      <c r="S41" s="11"/>
      <c r="U41" s="11"/>
      <c r="V41" s="14"/>
      <c r="W41" s="14"/>
      <c r="X41" s="14"/>
      <c r="Y41" s="14"/>
      <c r="Z41" s="14"/>
    </row>
    <row r="42" spans="1:38" ht="21" x14ac:dyDescent="0.35">
      <c r="A42" s="18" t="s">
        <v>81</v>
      </c>
      <c r="B42" s="19"/>
      <c r="C42" s="19"/>
      <c r="D42" s="19"/>
      <c r="E42" s="19"/>
      <c r="F42" s="19"/>
      <c r="G42" s="19"/>
      <c r="H42" s="19"/>
      <c r="I42" s="19"/>
      <c r="J42" s="19"/>
      <c r="K42" s="20"/>
      <c r="L42" s="21"/>
      <c r="M42" s="10"/>
      <c r="N42" s="10"/>
      <c r="O42" s="14"/>
      <c r="P42" s="14"/>
      <c r="Q42" s="11"/>
      <c r="R42" s="11"/>
      <c r="S42" s="11"/>
      <c r="U42" s="11"/>
      <c r="V42" s="14"/>
      <c r="W42" s="14"/>
      <c r="X42" s="14"/>
      <c r="Y42" s="14"/>
      <c r="Z42" s="14"/>
    </row>
    <row r="43" spans="1:38" x14ac:dyDescent="0.25">
      <c r="A43" s="63"/>
      <c r="B43" s="83"/>
      <c r="C43" s="8"/>
      <c r="D43" s="8"/>
      <c r="E43" s="64" t="s">
        <v>82</v>
      </c>
      <c r="F43" s="64"/>
      <c r="G43" s="8"/>
      <c r="H43" s="8"/>
      <c r="I43" s="8"/>
      <c r="J43" s="8"/>
      <c r="K43" s="8"/>
      <c r="L43" s="89" t="s">
        <v>83</v>
      </c>
      <c r="M43" s="10"/>
      <c r="N43" s="10"/>
      <c r="O43" s="14"/>
      <c r="P43" s="14"/>
      <c r="Q43" s="11"/>
      <c r="R43" s="11"/>
      <c r="S43" s="11"/>
      <c r="U43" s="11"/>
      <c r="V43" s="14"/>
      <c r="W43" s="14"/>
      <c r="X43" s="14"/>
      <c r="Y43" s="14"/>
      <c r="Z43" s="14"/>
    </row>
    <row r="44" spans="1:38" x14ac:dyDescent="0.25">
      <c r="A44" s="84" t="s">
        <v>84</v>
      </c>
      <c r="B44" s="83"/>
      <c r="C44" s="8"/>
      <c r="D44" s="8"/>
      <c r="E44" s="65" t="s">
        <v>71</v>
      </c>
      <c r="F44" s="90"/>
      <c r="G44" s="8"/>
      <c r="H44" s="8"/>
      <c r="I44" s="65" t="s">
        <v>85</v>
      </c>
      <c r="J44" s="8"/>
      <c r="K44" s="8"/>
      <c r="L44" s="8"/>
      <c r="M44" s="10"/>
      <c r="N44" s="10"/>
      <c r="O44" s="14"/>
      <c r="P44" s="14"/>
      <c r="Q44" s="11"/>
      <c r="R44" s="11"/>
      <c r="S44" s="11"/>
      <c r="T44" s="11"/>
      <c r="U44" s="11"/>
      <c r="V44" s="11"/>
    </row>
    <row r="45" spans="1:38" x14ac:dyDescent="0.25">
      <c r="A45" s="67" t="s">
        <v>15</v>
      </c>
      <c r="B45" s="83"/>
      <c r="C45" s="8"/>
      <c r="D45" s="8"/>
      <c r="E45" s="299"/>
      <c r="F45" s="92"/>
      <c r="G45" s="8"/>
      <c r="H45" s="8"/>
      <c r="I45" s="298"/>
      <c r="J45" s="8"/>
      <c r="K45" s="8"/>
      <c r="L45" s="91">
        <f>E45*I45</f>
        <v>0</v>
      </c>
      <c r="M45" s="10"/>
      <c r="N45" s="10"/>
      <c r="O45" s="14"/>
      <c r="P45" s="14"/>
      <c r="Q45" s="11"/>
      <c r="R45" s="11"/>
      <c r="S45" s="11"/>
      <c r="T45" s="11"/>
      <c r="U45" s="11"/>
      <c r="V45" s="11"/>
    </row>
    <row r="46" spans="1:38" x14ac:dyDescent="0.25">
      <c r="A46" s="67" t="s">
        <v>25</v>
      </c>
      <c r="B46" s="83"/>
      <c r="C46" s="8"/>
      <c r="D46" s="8"/>
      <c r="E46" s="299"/>
      <c r="F46" s="92"/>
      <c r="G46" s="8"/>
      <c r="H46" s="8"/>
      <c r="I46" s="298"/>
      <c r="J46" s="8"/>
      <c r="K46" s="8"/>
      <c r="L46" s="91">
        <f>E46*I46</f>
        <v>0</v>
      </c>
      <c r="M46" s="10"/>
      <c r="N46" s="10"/>
      <c r="O46" s="14"/>
      <c r="P46" s="14"/>
      <c r="Q46" s="11"/>
      <c r="R46" s="11"/>
      <c r="S46" s="11"/>
      <c r="T46" s="11"/>
      <c r="U46" s="11"/>
      <c r="V46" s="11"/>
    </row>
    <row r="47" spans="1:38" x14ac:dyDescent="0.25">
      <c r="A47" s="67" t="s">
        <v>28</v>
      </c>
      <c r="B47" s="83"/>
      <c r="C47" s="8"/>
      <c r="D47" s="8"/>
      <c r="E47" s="299"/>
      <c r="F47" s="92"/>
      <c r="G47" s="8"/>
      <c r="H47" s="8"/>
      <c r="I47" s="298"/>
      <c r="J47" s="8"/>
      <c r="K47" s="8"/>
      <c r="L47" s="91">
        <f>E47*I47</f>
        <v>0</v>
      </c>
      <c r="M47" s="10"/>
      <c r="N47" s="10"/>
      <c r="O47" s="14"/>
      <c r="P47" s="14"/>
      <c r="Q47" s="11"/>
      <c r="R47" s="11"/>
      <c r="S47" s="11"/>
      <c r="T47" s="11"/>
      <c r="U47" s="11"/>
      <c r="V47" s="11"/>
    </row>
    <row r="48" spans="1:38" x14ac:dyDescent="0.25">
      <c r="A48" s="67" t="s">
        <v>33</v>
      </c>
      <c r="B48" s="83"/>
      <c r="C48" s="8"/>
      <c r="D48" s="8"/>
      <c r="E48" s="299"/>
      <c r="F48" s="92"/>
      <c r="G48" s="8"/>
      <c r="H48" s="8"/>
      <c r="I48" s="298"/>
      <c r="J48" s="8"/>
      <c r="K48" s="8"/>
      <c r="L48" s="91">
        <f>E48*I48</f>
        <v>0</v>
      </c>
      <c r="M48" s="10"/>
      <c r="N48" s="10"/>
      <c r="O48" s="14"/>
      <c r="P48" s="14"/>
      <c r="Q48" s="11"/>
      <c r="R48" s="11"/>
      <c r="S48" s="11"/>
      <c r="T48" s="11"/>
      <c r="U48" s="11"/>
      <c r="V48" s="11"/>
    </row>
    <row r="49" spans="1:28" x14ac:dyDescent="0.25">
      <c r="A49" s="76" t="s">
        <v>38</v>
      </c>
      <c r="B49" s="83"/>
      <c r="C49" s="8"/>
      <c r="D49" s="8"/>
      <c r="E49" s="299"/>
      <c r="F49" s="92"/>
      <c r="G49" s="8"/>
      <c r="H49" s="8"/>
      <c r="I49" s="298"/>
      <c r="J49" s="8"/>
      <c r="K49" s="8"/>
      <c r="L49" s="91">
        <f>E49*I49</f>
        <v>0</v>
      </c>
      <c r="M49" s="10"/>
      <c r="N49" s="10"/>
      <c r="O49" s="14"/>
      <c r="P49" s="14"/>
      <c r="Q49" s="11"/>
      <c r="R49" s="11"/>
      <c r="S49" s="11"/>
      <c r="T49" s="11"/>
      <c r="U49" s="11"/>
      <c r="V49" s="11"/>
    </row>
    <row r="50" spans="1:28" ht="15.75" thickBot="1" x14ac:dyDescent="0.3">
      <c r="A50" s="93" t="s">
        <v>86</v>
      </c>
      <c r="B50" s="83"/>
      <c r="C50" s="8"/>
      <c r="D50" s="8"/>
      <c r="E50" s="94">
        <f>SUMPRODUCT(E59:E67,F59:F67)/E70</f>
        <v>0</v>
      </c>
      <c r="F50" s="94"/>
      <c r="G50" s="8"/>
      <c r="H50" s="78" t="s">
        <v>157</v>
      </c>
      <c r="I50" s="8">
        <f>IF(G68&gt;0,L68/G68*E70,0)</f>
        <v>0</v>
      </c>
      <c r="J50" s="8"/>
      <c r="K50" s="8"/>
      <c r="L50" s="91">
        <v>0</v>
      </c>
      <c r="M50" s="10"/>
      <c r="N50" s="10"/>
      <c r="O50" s="11"/>
      <c r="P50" s="11"/>
      <c r="Q50" s="11"/>
      <c r="R50" s="11"/>
      <c r="S50" s="11"/>
      <c r="T50" s="11"/>
      <c r="U50" s="11"/>
      <c r="V50" s="11"/>
    </row>
    <row r="51" spans="1:28" ht="15.75" thickBot="1" x14ac:dyDescent="0.3">
      <c r="A51" s="96" t="s">
        <v>87</v>
      </c>
      <c r="B51" s="83"/>
      <c r="C51" s="8"/>
      <c r="D51" s="8"/>
      <c r="E51" s="81">
        <f>SUM(E45:E50)</f>
        <v>0</v>
      </c>
      <c r="F51" s="81" t="s">
        <v>71</v>
      </c>
      <c r="G51" s="8"/>
      <c r="H51" s="8"/>
      <c r="I51" s="8"/>
      <c r="J51" s="8"/>
      <c r="K51" s="8"/>
      <c r="L51" s="97">
        <f>SUM(L45:L50)</f>
        <v>0</v>
      </c>
      <c r="M51" s="10"/>
      <c r="N51" s="10"/>
      <c r="O51" s="11"/>
      <c r="P51" s="11"/>
      <c r="Q51" s="11"/>
      <c r="R51" s="11"/>
      <c r="S51" s="11"/>
      <c r="T51" s="11"/>
      <c r="U51" s="11"/>
      <c r="V51" s="11"/>
    </row>
    <row r="52" spans="1:28" x14ac:dyDescent="0.25">
      <c r="A52" s="80"/>
      <c r="B52" s="83"/>
      <c r="C52" s="8"/>
      <c r="D52" s="8"/>
      <c r="E52" s="8"/>
      <c r="F52" s="8"/>
      <c r="G52" s="8"/>
      <c r="H52" s="8"/>
      <c r="I52" s="8"/>
      <c r="J52" s="8"/>
      <c r="K52" s="8"/>
      <c r="L52" s="24"/>
      <c r="M52" s="10"/>
      <c r="N52" s="10"/>
      <c r="O52" s="11"/>
      <c r="P52" s="11"/>
      <c r="Q52" s="11"/>
      <c r="R52" s="11"/>
      <c r="S52" s="11"/>
      <c r="T52" s="11"/>
      <c r="U52" s="11"/>
      <c r="V52" s="11"/>
    </row>
    <row r="53" spans="1:28" x14ac:dyDescent="0.25">
      <c r="A53" s="84" t="s">
        <v>76</v>
      </c>
      <c r="B53" s="83"/>
      <c r="C53" s="8"/>
      <c r="D53" s="8"/>
      <c r="E53" s="98" t="s">
        <v>88</v>
      </c>
      <c r="F53" s="98"/>
      <c r="G53" s="8"/>
      <c r="H53" s="8"/>
      <c r="I53" s="65" t="s">
        <v>89</v>
      </c>
      <c r="J53" s="8"/>
      <c r="K53" s="8"/>
      <c r="L53" s="91">
        <f>E54*I54</f>
        <v>0</v>
      </c>
      <c r="M53" s="10"/>
      <c r="N53" s="10"/>
      <c r="O53" s="11"/>
      <c r="P53" s="11"/>
      <c r="Q53" s="11"/>
      <c r="R53" s="11"/>
      <c r="S53" s="11"/>
      <c r="T53" s="11"/>
      <c r="U53" s="11"/>
      <c r="V53" s="11"/>
    </row>
    <row r="54" spans="1:28" ht="15.75" thickBot="1" x14ac:dyDescent="0.3">
      <c r="A54" s="80" t="s">
        <v>79</v>
      </c>
      <c r="B54" s="83"/>
      <c r="C54" s="8"/>
      <c r="D54" s="8"/>
      <c r="E54" s="299"/>
      <c r="F54" s="8"/>
      <c r="G54" s="8"/>
      <c r="H54" s="8"/>
      <c r="I54" s="298"/>
      <c r="J54" s="8"/>
      <c r="K54" s="8"/>
      <c r="L54" s="91">
        <f>E55*I55</f>
        <v>0</v>
      </c>
      <c r="M54" s="10"/>
      <c r="N54" s="10"/>
      <c r="O54" s="11"/>
      <c r="P54" s="11"/>
      <c r="Q54" s="11"/>
      <c r="R54" s="11"/>
      <c r="S54" s="11"/>
      <c r="T54" s="11"/>
      <c r="U54" s="11"/>
      <c r="V54" s="11"/>
    </row>
    <row r="55" spans="1:28" ht="15.75" thickBot="1" x14ac:dyDescent="0.3">
      <c r="A55" s="80" t="s">
        <v>80</v>
      </c>
      <c r="B55" s="83"/>
      <c r="C55" s="8"/>
      <c r="D55" s="8"/>
      <c r="E55" s="299"/>
      <c r="F55" s="8"/>
      <c r="G55" s="8"/>
      <c r="H55" s="8"/>
      <c r="I55" s="298"/>
      <c r="J55" s="8"/>
      <c r="K55" s="8"/>
      <c r="L55" s="97">
        <f>SUM(L53:L54)</f>
        <v>0</v>
      </c>
      <c r="M55" s="10"/>
      <c r="N55" s="10"/>
      <c r="O55" s="14"/>
      <c r="P55" s="14"/>
      <c r="Q55" s="11"/>
      <c r="R55" s="11"/>
      <c r="S55" s="11"/>
      <c r="T55" s="11"/>
      <c r="U55" s="11"/>
      <c r="V55" s="11"/>
    </row>
    <row r="56" spans="1:28" ht="15.75" thickBot="1" x14ac:dyDescent="0.3">
      <c r="A56" s="80"/>
      <c r="B56" s="83"/>
      <c r="C56" s="8"/>
      <c r="D56" s="8"/>
      <c r="E56" s="8"/>
      <c r="F56" s="8"/>
      <c r="G56" s="8"/>
      <c r="H56" s="8"/>
      <c r="I56" s="8"/>
      <c r="J56" s="8"/>
      <c r="K56" s="8"/>
      <c r="L56" s="24"/>
      <c r="M56" s="10"/>
      <c r="N56" s="10"/>
      <c r="O56" s="14"/>
      <c r="P56" s="14"/>
      <c r="Q56" s="11"/>
      <c r="R56" s="14"/>
      <c r="S56" s="11"/>
      <c r="T56" s="14"/>
      <c r="U56" s="11"/>
      <c r="V56" s="11"/>
    </row>
    <row r="57" spans="1:28" ht="15.75" thickBot="1" x14ac:dyDescent="0.3">
      <c r="A57" s="80"/>
      <c r="B57" s="83"/>
      <c r="C57" s="8"/>
      <c r="D57" s="8"/>
      <c r="E57" s="99"/>
      <c r="F57" s="8"/>
      <c r="G57" s="8"/>
      <c r="H57" s="8"/>
      <c r="I57" s="8"/>
      <c r="J57" s="8"/>
      <c r="K57" s="8"/>
      <c r="L57" s="24"/>
      <c r="M57" s="10"/>
      <c r="N57" s="10"/>
      <c r="O57" s="14"/>
      <c r="P57" s="14"/>
      <c r="Q57" s="11"/>
      <c r="R57" s="11"/>
      <c r="S57" s="11"/>
      <c r="T57" s="14"/>
      <c r="U57" s="11"/>
      <c r="V57" s="11"/>
      <c r="X57" s="287" t="s">
        <v>64</v>
      </c>
      <c r="Y57" s="288"/>
      <c r="Z57" s="288"/>
      <c r="AA57" s="288"/>
      <c r="AB57" s="289"/>
    </row>
    <row r="58" spans="1:28" ht="30" x14ac:dyDescent="0.25">
      <c r="A58" s="100" t="s">
        <v>90</v>
      </c>
      <c r="B58" s="101" t="s">
        <v>91</v>
      </c>
      <c r="C58" s="8"/>
      <c r="D58" s="8"/>
      <c r="E58" s="65" t="s">
        <v>92</v>
      </c>
      <c r="F58" s="65" t="s">
        <v>93</v>
      </c>
      <c r="G58" s="65" t="s">
        <v>94</v>
      </c>
      <c r="H58" s="102" t="s">
        <v>95</v>
      </c>
      <c r="I58" s="103" t="s">
        <v>96</v>
      </c>
      <c r="J58" s="8"/>
      <c r="K58" s="50"/>
      <c r="L58" s="104" t="s">
        <v>97</v>
      </c>
      <c r="M58" s="10"/>
      <c r="N58" s="10"/>
      <c r="O58" s="14"/>
      <c r="P58" s="14"/>
      <c r="Q58" s="11"/>
      <c r="R58" s="11"/>
      <c r="S58" s="11"/>
      <c r="T58" s="14"/>
      <c r="U58" s="11"/>
      <c r="X58" s="290"/>
      <c r="Y58" s="181"/>
      <c r="Z58" s="181"/>
      <c r="AA58" s="181"/>
      <c r="AB58" s="157">
        <f>0.5</f>
        <v>0.5</v>
      </c>
    </row>
    <row r="59" spans="1:28" ht="15.75" thickBot="1" x14ac:dyDescent="0.3">
      <c r="A59" s="300" t="s">
        <v>14</v>
      </c>
      <c r="B59" s="316" t="s">
        <v>98</v>
      </c>
      <c r="C59" s="316"/>
      <c r="D59" s="8"/>
      <c r="E59" s="299"/>
      <c r="F59" s="299"/>
      <c r="G59" s="37">
        <f t="shared" ref="G59:G67" si="3">E59*F59</f>
        <v>0</v>
      </c>
      <c r="H59" s="105" t="e">
        <f>F59/$F$68</f>
        <v>#DIV/0!</v>
      </c>
      <c r="I59" s="298"/>
      <c r="J59" s="308" t="s">
        <v>165</v>
      </c>
      <c r="K59" s="95"/>
      <c r="L59" s="106">
        <f>I59*G59/N85</f>
        <v>0</v>
      </c>
      <c r="M59" s="10"/>
      <c r="N59" s="107"/>
      <c r="O59" s="14"/>
      <c r="P59" s="14"/>
      <c r="Q59" s="11"/>
      <c r="R59" s="11"/>
      <c r="S59" s="11"/>
      <c r="T59" s="14"/>
      <c r="U59" s="11"/>
      <c r="X59" s="291">
        <f>Z59+(AB58/AB59)</f>
        <v>1</v>
      </c>
      <c r="Y59" s="292" t="s">
        <v>161</v>
      </c>
      <c r="Z59" s="188">
        <f>0.5</f>
        <v>0.5</v>
      </c>
      <c r="AA59" s="188" t="s">
        <v>160</v>
      </c>
      <c r="AB59" s="166">
        <f>(1+Y41)^0.5</f>
        <v>1</v>
      </c>
    </row>
    <row r="60" spans="1:28" x14ac:dyDescent="0.25">
      <c r="A60" s="300" t="s">
        <v>162</v>
      </c>
      <c r="B60" s="316"/>
      <c r="C60" s="316"/>
      <c r="D60" s="8"/>
      <c r="E60" s="299"/>
      <c r="F60" s="299"/>
      <c r="G60" s="37">
        <f t="shared" si="3"/>
        <v>0</v>
      </c>
      <c r="H60" s="105" t="e">
        <f t="shared" ref="H60:H67" si="4">F60/$F$68</f>
        <v>#DIV/0!</v>
      </c>
      <c r="I60" s="298"/>
      <c r="J60" s="8"/>
      <c r="K60" s="95"/>
      <c r="L60" s="91">
        <f t="shared" ref="L60:L67" si="5">I60*G60</f>
        <v>0</v>
      </c>
      <c r="M60" s="10"/>
      <c r="N60" s="107"/>
      <c r="O60" s="14"/>
      <c r="P60" s="14"/>
      <c r="Q60" s="11"/>
      <c r="R60" s="11"/>
      <c r="S60" s="11"/>
      <c r="T60" s="14"/>
      <c r="U60" s="11"/>
      <c r="V60" s="11"/>
    </row>
    <row r="61" spans="1:28" x14ac:dyDescent="0.25">
      <c r="A61" s="300" t="s">
        <v>24</v>
      </c>
      <c r="B61" s="316"/>
      <c r="C61" s="316"/>
      <c r="D61" s="8"/>
      <c r="E61" s="299"/>
      <c r="F61" s="299"/>
      <c r="G61" s="37">
        <f t="shared" si="3"/>
        <v>0</v>
      </c>
      <c r="H61" s="105" t="e">
        <f t="shared" si="4"/>
        <v>#DIV/0!</v>
      </c>
      <c r="I61" s="298"/>
      <c r="J61" s="8"/>
      <c r="K61" s="95"/>
      <c r="L61" s="91">
        <f t="shared" si="5"/>
        <v>0</v>
      </c>
      <c r="M61" s="10"/>
      <c r="N61" s="107"/>
      <c r="O61" s="14"/>
      <c r="P61" s="14"/>
      <c r="Q61" s="11"/>
      <c r="R61" s="11"/>
      <c r="S61" s="11"/>
      <c r="T61" s="14"/>
      <c r="U61" s="11"/>
      <c r="V61" s="11"/>
    </row>
    <row r="62" spans="1:28" x14ac:dyDescent="0.25">
      <c r="A62" s="300" t="s">
        <v>27</v>
      </c>
      <c r="B62" s="316"/>
      <c r="C62" s="316"/>
      <c r="D62" s="8"/>
      <c r="E62" s="299"/>
      <c r="F62" s="299"/>
      <c r="G62" s="37">
        <f t="shared" si="3"/>
        <v>0</v>
      </c>
      <c r="H62" s="105" t="e">
        <f t="shared" si="4"/>
        <v>#DIV/0!</v>
      </c>
      <c r="I62" s="298"/>
      <c r="J62" s="8"/>
      <c r="K62" s="95"/>
      <c r="L62" s="91">
        <f t="shared" si="5"/>
        <v>0</v>
      </c>
      <c r="M62" s="10"/>
      <c r="N62" s="107"/>
      <c r="O62" s="108" t="e">
        <f>H59+H60+H61</f>
        <v>#DIV/0!</v>
      </c>
      <c r="P62" s="14"/>
      <c r="Q62" s="11"/>
      <c r="R62" s="11"/>
      <c r="S62" s="11"/>
      <c r="T62" s="14"/>
      <c r="U62" s="11"/>
      <c r="V62" s="11"/>
    </row>
    <row r="63" spans="1:28" x14ac:dyDescent="0.25">
      <c r="A63" s="300" t="s">
        <v>30</v>
      </c>
      <c r="B63" s="316"/>
      <c r="C63" s="316"/>
      <c r="D63" s="8"/>
      <c r="E63" s="299"/>
      <c r="F63" s="299"/>
      <c r="G63" s="37">
        <f t="shared" si="3"/>
        <v>0</v>
      </c>
      <c r="H63" s="105" t="e">
        <f t="shared" si="4"/>
        <v>#DIV/0!</v>
      </c>
      <c r="I63" s="298"/>
      <c r="J63" s="8"/>
      <c r="K63" s="95"/>
      <c r="L63" s="91">
        <f t="shared" si="5"/>
        <v>0</v>
      </c>
      <c r="M63" s="10"/>
      <c r="N63" s="107"/>
      <c r="O63" s="109" t="e">
        <f>IF((H59+H60+H61)&lt;0.4,"minder dan 40% sociaal", "voldoet aan 40% sociaal")</f>
        <v>#DIV/0!</v>
      </c>
      <c r="P63" s="14"/>
      <c r="Q63" s="11"/>
      <c r="R63" s="11"/>
      <c r="S63" s="11"/>
      <c r="T63" s="14"/>
      <c r="U63" s="11"/>
      <c r="V63" s="11"/>
    </row>
    <row r="64" spans="1:28" x14ac:dyDescent="0.25">
      <c r="A64" s="300" t="s">
        <v>32</v>
      </c>
      <c r="B64" s="316"/>
      <c r="C64" s="316"/>
      <c r="D64" s="8"/>
      <c r="E64" s="299"/>
      <c r="F64" s="299"/>
      <c r="G64" s="37">
        <f t="shared" si="3"/>
        <v>0</v>
      </c>
      <c r="H64" s="105" t="e">
        <f t="shared" si="4"/>
        <v>#DIV/0!</v>
      </c>
      <c r="I64" s="298"/>
      <c r="J64" s="8"/>
      <c r="K64" s="95"/>
      <c r="L64" s="91">
        <f t="shared" si="5"/>
        <v>0</v>
      </c>
      <c r="M64" s="10"/>
      <c r="N64" s="107"/>
      <c r="O64" s="110"/>
      <c r="P64" s="14"/>
      <c r="Q64" s="11"/>
      <c r="R64" s="11"/>
      <c r="S64" s="11"/>
      <c r="T64" s="14"/>
      <c r="U64" s="11"/>
      <c r="V64" s="11"/>
    </row>
    <row r="65" spans="1:22" x14ac:dyDescent="0.25">
      <c r="A65" s="300" t="s">
        <v>32</v>
      </c>
      <c r="B65" s="316"/>
      <c r="C65" s="316"/>
      <c r="D65" s="8"/>
      <c r="E65" s="299"/>
      <c r="F65" s="299"/>
      <c r="G65" s="37">
        <f t="shared" si="3"/>
        <v>0</v>
      </c>
      <c r="H65" s="105" t="e">
        <f t="shared" si="4"/>
        <v>#DIV/0!</v>
      </c>
      <c r="I65" s="298"/>
      <c r="J65" s="8"/>
      <c r="K65" s="95"/>
      <c r="L65" s="91">
        <f t="shared" si="5"/>
        <v>0</v>
      </c>
      <c r="M65" s="10"/>
      <c r="N65" s="107"/>
      <c r="O65" s="108" t="e">
        <f>H62+H63</f>
        <v>#DIV/0!</v>
      </c>
      <c r="P65" s="14"/>
      <c r="Q65" s="11"/>
      <c r="R65" s="11"/>
      <c r="S65" s="11"/>
      <c r="T65" s="14"/>
      <c r="U65" s="11"/>
      <c r="V65" s="11"/>
    </row>
    <row r="66" spans="1:22" x14ac:dyDescent="0.25">
      <c r="A66" s="300" t="s">
        <v>37</v>
      </c>
      <c r="B66" s="316"/>
      <c r="C66" s="316"/>
      <c r="D66" s="8"/>
      <c r="E66" s="299"/>
      <c r="F66" s="299"/>
      <c r="G66" s="37">
        <f t="shared" si="3"/>
        <v>0</v>
      </c>
      <c r="H66" s="105" t="e">
        <f t="shared" si="4"/>
        <v>#DIV/0!</v>
      </c>
      <c r="I66" s="298"/>
      <c r="J66" s="8"/>
      <c r="K66" s="95"/>
      <c r="L66" s="91">
        <f t="shared" si="5"/>
        <v>0</v>
      </c>
      <c r="M66" s="10"/>
      <c r="N66" s="107"/>
      <c r="O66" s="109" t="e">
        <f>IF((H62+H63)&lt;0.4,"minder dan 40% middelduur", "voldoet aan 40% middelduur")</f>
        <v>#DIV/0!</v>
      </c>
      <c r="P66" s="14"/>
      <c r="Q66" s="11"/>
      <c r="R66" s="11"/>
      <c r="S66" s="11"/>
      <c r="T66" s="14"/>
      <c r="U66" s="11"/>
      <c r="V66" s="11"/>
    </row>
    <row r="67" spans="1:22" ht="15.75" thickBot="1" x14ac:dyDescent="0.3">
      <c r="A67" s="300" t="s">
        <v>42</v>
      </c>
      <c r="B67" s="316"/>
      <c r="C67" s="316"/>
      <c r="D67" s="8"/>
      <c r="E67" s="299"/>
      <c r="F67" s="299"/>
      <c r="G67" s="37">
        <f t="shared" si="3"/>
        <v>0</v>
      </c>
      <c r="H67" s="105" t="e">
        <f t="shared" si="4"/>
        <v>#DIV/0!</v>
      </c>
      <c r="I67" s="298"/>
      <c r="J67" s="8"/>
      <c r="K67" s="95"/>
      <c r="L67" s="91">
        <f t="shared" si="5"/>
        <v>0</v>
      </c>
      <c r="M67" s="10"/>
      <c r="N67" s="107"/>
      <c r="O67" s="14"/>
      <c r="P67" s="14"/>
      <c r="Q67" s="11"/>
      <c r="R67" s="11"/>
      <c r="S67" s="11"/>
      <c r="T67" s="14"/>
      <c r="U67" s="11"/>
      <c r="V67" s="11"/>
    </row>
    <row r="68" spans="1:22" ht="15.75" thickBot="1" x14ac:dyDescent="0.3">
      <c r="A68" s="100" t="s">
        <v>99</v>
      </c>
      <c r="B68" s="8"/>
      <c r="C68" s="8"/>
      <c r="D68" s="8"/>
      <c r="E68" s="111"/>
      <c r="F68" s="112">
        <f>SUM(F59:F67)</f>
        <v>0</v>
      </c>
      <c r="G68" s="112">
        <f>SUM(G59:G67)</f>
        <v>0</v>
      </c>
      <c r="H68" s="113" t="e">
        <f>SUM(H59:H67)</f>
        <v>#DIV/0!</v>
      </c>
      <c r="I68" s="50"/>
      <c r="J68" s="50"/>
      <c r="K68" s="114"/>
      <c r="L68" s="97">
        <f>SUM(L59:L67)</f>
        <v>0</v>
      </c>
      <c r="M68" s="10"/>
      <c r="N68" s="10"/>
      <c r="O68" s="14"/>
      <c r="P68" s="14"/>
      <c r="Q68" s="11"/>
      <c r="R68" s="11"/>
      <c r="S68" s="11"/>
      <c r="T68" s="14"/>
      <c r="U68" s="11"/>
    </row>
    <row r="69" spans="1:22" x14ac:dyDescent="0.25">
      <c r="A69" s="81"/>
      <c r="B69" s="81"/>
      <c r="C69" s="81"/>
      <c r="D69" s="81"/>
      <c r="E69" s="112"/>
      <c r="F69" s="112"/>
      <c r="G69" s="115"/>
      <c r="H69" s="112"/>
      <c r="I69" s="112"/>
      <c r="J69" s="116"/>
      <c r="K69" s="114"/>
      <c r="L69" s="117"/>
      <c r="M69" s="10"/>
      <c r="N69" s="10"/>
      <c r="O69" s="14"/>
      <c r="P69" s="14"/>
      <c r="Q69" s="11"/>
      <c r="R69" s="11"/>
      <c r="S69" s="11"/>
      <c r="T69" s="14"/>
      <c r="U69" s="11"/>
      <c r="V69" s="11"/>
    </row>
    <row r="70" spans="1:22" ht="15.75" thickBot="1" x14ac:dyDescent="0.3">
      <c r="A70" s="100"/>
      <c r="B70" s="65"/>
      <c r="C70" s="8"/>
      <c r="D70" s="8"/>
      <c r="E70" s="301">
        <v>0.8</v>
      </c>
      <c r="F70" s="118" t="s">
        <v>158</v>
      </c>
      <c r="G70" s="115"/>
      <c r="H70" s="112"/>
      <c r="I70" s="112"/>
      <c r="J70" s="116"/>
      <c r="K70" s="114"/>
      <c r="L70" s="117"/>
      <c r="M70" s="10"/>
      <c r="N70" s="10"/>
      <c r="O70" s="14"/>
      <c r="P70" s="14"/>
      <c r="Q70" s="11"/>
      <c r="R70" s="11"/>
      <c r="S70" s="11"/>
      <c r="T70" s="14"/>
      <c r="U70" s="11"/>
      <c r="V70" s="11"/>
    </row>
    <row r="71" spans="1:22" x14ac:dyDescent="0.25">
      <c r="A71" s="119"/>
      <c r="B71" s="120"/>
      <c r="C71" s="121"/>
      <c r="D71" s="121"/>
      <c r="E71" s="122"/>
      <c r="F71" s="122"/>
      <c r="G71" s="123"/>
      <c r="H71" s="123"/>
      <c r="I71" s="120"/>
      <c r="J71" s="124"/>
      <c r="K71" s="124" t="str">
        <f>K26</f>
        <v>huidige bestemming</v>
      </c>
      <c r="L71" s="125" t="s">
        <v>82</v>
      </c>
      <c r="M71" s="10"/>
      <c r="N71" s="10"/>
      <c r="O71" s="14"/>
      <c r="P71" s="14"/>
      <c r="Q71" s="11"/>
      <c r="R71" s="11"/>
      <c r="S71" s="11"/>
      <c r="T71" s="14"/>
      <c r="U71" s="11"/>
      <c r="V71" s="11"/>
    </row>
    <row r="72" spans="1:22" x14ac:dyDescent="0.25">
      <c r="A72" s="126" t="s">
        <v>100</v>
      </c>
      <c r="B72" s="8"/>
      <c r="C72" s="8"/>
      <c r="D72" s="8"/>
      <c r="E72" s="8"/>
      <c r="F72" s="8"/>
      <c r="G72" s="8"/>
      <c r="H72" s="8"/>
      <c r="I72" s="8"/>
      <c r="J72" s="8"/>
      <c r="K72" s="114">
        <f>K33+K38</f>
        <v>0</v>
      </c>
      <c r="L72" s="127">
        <f>L51+L68+L55</f>
        <v>0</v>
      </c>
      <c r="M72" s="10"/>
      <c r="N72" s="71"/>
      <c r="O72" s="14"/>
      <c r="P72" s="14"/>
      <c r="Q72" s="11"/>
      <c r="R72" s="11"/>
      <c r="S72" s="11"/>
      <c r="T72" s="14"/>
      <c r="U72" s="11"/>
      <c r="V72" s="11"/>
    </row>
    <row r="73" spans="1:22" ht="15.75" thickBot="1" x14ac:dyDescent="0.3">
      <c r="A73" s="128"/>
      <c r="B73" s="129"/>
      <c r="C73" s="129"/>
      <c r="D73" s="129"/>
      <c r="E73" s="129"/>
      <c r="F73" s="129"/>
      <c r="G73" s="129"/>
      <c r="H73" s="129"/>
      <c r="I73" s="129"/>
      <c r="J73" s="129"/>
      <c r="K73" s="130"/>
      <c r="L73" s="131"/>
      <c r="M73" s="10"/>
      <c r="N73" s="10"/>
      <c r="O73" s="14"/>
      <c r="P73" s="14"/>
      <c r="Q73" s="11"/>
      <c r="R73" s="11"/>
      <c r="S73" s="11"/>
      <c r="T73" s="14"/>
      <c r="U73" s="11"/>
      <c r="V73" s="11"/>
    </row>
    <row r="74" spans="1:22" x14ac:dyDescent="0.25">
      <c r="A74" s="8"/>
      <c r="B74" s="8"/>
      <c r="C74" s="8"/>
      <c r="D74" s="8"/>
      <c r="E74" s="8"/>
      <c r="F74" s="8"/>
      <c r="G74" s="8"/>
      <c r="H74" s="8"/>
      <c r="I74" s="8"/>
      <c r="J74" s="8"/>
      <c r="K74" s="132"/>
      <c r="L74" s="133"/>
      <c r="M74" s="10"/>
      <c r="N74" s="10"/>
      <c r="O74" s="14"/>
      <c r="P74" s="14"/>
      <c r="Q74" s="11"/>
      <c r="R74" s="11"/>
      <c r="S74" s="11"/>
      <c r="U74" s="11"/>
      <c r="V74" s="11"/>
    </row>
    <row r="75" spans="1:22" ht="21" x14ac:dyDescent="0.35">
      <c r="A75" s="18" t="s">
        <v>101</v>
      </c>
      <c r="B75" s="19"/>
      <c r="C75" s="19"/>
      <c r="D75" s="19"/>
      <c r="E75" s="19"/>
      <c r="F75" s="19"/>
      <c r="G75" s="19"/>
      <c r="H75" s="19"/>
      <c r="I75" s="19"/>
      <c r="J75" s="19"/>
      <c r="K75" s="20"/>
      <c r="L75" s="21"/>
      <c r="M75" s="10"/>
      <c r="N75" s="10"/>
      <c r="O75" s="134" t="e">
        <f>C82*B19</f>
        <v>#DIV/0!</v>
      </c>
      <c r="P75" s="135" t="s">
        <v>102</v>
      </c>
      <c r="Q75" s="11"/>
      <c r="R75" s="11"/>
      <c r="S75" s="11"/>
      <c r="U75" s="11"/>
      <c r="V75" s="11"/>
    </row>
    <row r="76" spans="1:22" ht="15.75" x14ac:dyDescent="0.25">
      <c r="A76" s="136" t="s">
        <v>103</v>
      </c>
      <c r="B76" s="64"/>
      <c r="C76" s="8"/>
      <c r="D76" s="8"/>
      <c r="E76" s="83"/>
      <c r="F76" s="83"/>
      <c r="G76" s="83"/>
      <c r="H76" s="83"/>
      <c r="I76" s="83"/>
      <c r="J76" s="8"/>
      <c r="K76" s="8"/>
      <c r="L76" s="137"/>
      <c r="M76" s="10"/>
      <c r="N76" s="138"/>
      <c r="O76" s="139"/>
      <c r="P76" s="140"/>
      <c r="Q76" s="11"/>
      <c r="R76" s="11"/>
      <c r="S76" s="11"/>
    </row>
    <row r="77" spans="1:22" x14ac:dyDescent="0.25">
      <c r="A77" s="141"/>
      <c r="B77" s="64"/>
      <c r="C77" s="8"/>
      <c r="D77" s="8"/>
      <c r="E77" s="83"/>
      <c r="F77" s="83"/>
      <c r="G77" s="83"/>
      <c r="H77" s="83"/>
      <c r="I77" s="83"/>
      <c r="J77" s="83"/>
      <c r="K77" s="83"/>
      <c r="L77" s="137"/>
      <c r="M77" s="10"/>
      <c r="N77" s="138"/>
      <c r="O77" s="139" t="e">
        <f>O75+B21</f>
        <v>#DIV/0!</v>
      </c>
      <c r="P77" s="142" t="s">
        <v>104</v>
      </c>
      <c r="Q77" s="11"/>
      <c r="R77" s="11"/>
      <c r="S77" s="11"/>
    </row>
    <row r="78" spans="1:22" x14ac:dyDescent="0.25">
      <c r="A78" s="96" t="s">
        <v>105</v>
      </c>
      <c r="B78" s="64"/>
      <c r="C78" s="86">
        <f>L72</f>
        <v>0</v>
      </c>
      <c r="D78" s="86"/>
      <c r="E78" s="83"/>
      <c r="F78" s="83"/>
      <c r="G78" s="83"/>
      <c r="H78" s="83"/>
      <c r="I78" s="83"/>
      <c r="J78" s="83"/>
      <c r="K78" s="83"/>
      <c r="L78" s="137"/>
      <c r="M78" s="10"/>
      <c r="N78" s="138"/>
      <c r="O78" s="143">
        <f ca="1">B15</f>
        <v>11</v>
      </c>
      <c r="P78" s="8" t="s">
        <v>106</v>
      </c>
      <c r="Q78" s="11"/>
      <c r="R78" s="11"/>
      <c r="S78" s="11"/>
    </row>
    <row r="79" spans="1:22" x14ac:dyDescent="0.25">
      <c r="A79" s="144" t="s">
        <v>107</v>
      </c>
      <c r="B79" s="8"/>
      <c r="C79" s="145">
        <f>K33+K38</f>
        <v>0</v>
      </c>
      <c r="D79" s="145"/>
      <c r="E79" s="23"/>
      <c r="F79" s="23" t="s">
        <v>108</v>
      </c>
      <c r="G79" s="114" t="str">
        <f>B17</f>
        <v>AFKOOP</v>
      </c>
      <c r="H79" s="64"/>
      <c r="I79" s="83"/>
      <c r="J79" s="83"/>
      <c r="K79" s="83"/>
      <c r="L79" s="24"/>
      <c r="M79" s="10"/>
      <c r="N79" s="138"/>
      <c r="O79" s="8"/>
      <c r="P79" s="146"/>
      <c r="Q79" s="11"/>
      <c r="R79" s="11"/>
      <c r="S79" s="11"/>
    </row>
    <row r="80" spans="1:22" x14ac:dyDescent="0.25">
      <c r="A80" s="84" t="s">
        <v>109</v>
      </c>
      <c r="B80" s="64"/>
      <c r="C80" s="86">
        <f>C78-C79</f>
        <v>0</v>
      </c>
      <c r="D80" s="86"/>
      <c r="E80" s="65"/>
      <c r="F80" s="65"/>
      <c r="G80" s="147"/>
      <c r="H80" s="64"/>
      <c r="I80" s="8"/>
      <c r="J80" s="83"/>
      <c r="K80" s="83"/>
      <c r="L80" s="24"/>
      <c r="M80" s="10"/>
      <c r="N80" s="138"/>
      <c r="O80" s="148"/>
      <c r="S80" s="11"/>
    </row>
    <row r="81" spans="1:19" x14ac:dyDescent="0.25">
      <c r="A81" s="8" t="s">
        <v>110</v>
      </c>
      <c r="B81" s="149">
        <f>C115</f>
        <v>-0.1</v>
      </c>
      <c r="C81" s="145" t="e">
        <f>F115</f>
        <v>#DIV/0!</v>
      </c>
      <c r="D81" s="145"/>
      <c r="E81" s="150"/>
      <c r="F81" s="151" t="s">
        <v>111</v>
      </c>
      <c r="G81" s="145">
        <f>B21</f>
        <v>0</v>
      </c>
      <c r="H81" s="152"/>
      <c r="I81" s="8"/>
      <c r="J81" s="83"/>
      <c r="K81" s="83"/>
      <c r="L81" s="24"/>
      <c r="M81" s="10"/>
      <c r="N81" s="138"/>
      <c r="O81" s="148"/>
      <c r="S81" s="11"/>
    </row>
    <row r="82" spans="1:19" ht="15.75" thickBot="1" x14ac:dyDescent="0.3">
      <c r="A82" s="84" t="s">
        <v>112</v>
      </c>
      <c r="B82" s="8"/>
      <c r="C82" s="114" t="e">
        <f>C80+C81</f>
        <v>#DIV/0!</v>
      </c>
      <c r="D82" s="114"/>
      <c r="E82" s="150"/>
      <c r="F82" s="151" t="s">
        <v>113</v>
      </c>
      <c r="G82" s="145" t="e">
        <f>C84</f>
        <v>#DIV/0!</v>
      </c>
      <c r="H82" s="152"/>
      <c r="I82" s="8"/>
      <c r="J82" s="8"/>
      <c r="K82" s="8"/>
      <c r="L82" s="24"/>
      <c r="M82" s="10"/>
      <c r="N82" s="153">
        <v>100000</v>
      </c>
      <c r="O82" s="148"/>
      <c r="S82" s="11"/>
    </row>
    <row r="83" spans="1:19" x14ac:dyDescent="0.25">
      <c r="A83" s="141"/>
      <c r="B83" s="64"/>
      <c r="C83" s="8"/>
      <c r="D83" s="8"/>
      <c r="E83" s="150"/>
      <c r="F83" s="154" t="s">
        <v>114</v>
      </c>
      <c r="G83" s="155" t="s">
        <v>115</v>
      </c>
      <c r="H83" s="156" t="s">
        <v>116</v>
      </c>
      <c r="I83" s="157"/>
      <c r="J83" s="8"/>
      <c r="K83" s="8"/>
      <c r="L83" s="24"/>
      <c r="M83" s="10"/>
      <c r="N83" s="158">
        <f>N82*P32</f>
        <v>3300</v>
      </c>
      <c r="O83" s="148"/>
      <c r="S83" s="11"/>
    </row>
    <row r="84" spans="1:19" x14ac:dyDescent="0.25">
      <c r="A84" s="96" t="s">
        <v>113</v>
      </c>
      <c r="B84" s="64"/>
      <c r="C84" s="159" t="e">
        <f>C82*U16</f>
        <v>#DIV/0!</v>
      </c>
      <c r="D84" s="159"/>
      <c r="E84" s="150"/>
      <c r="F84" s="160"/>
      <c r="G84" s="161">
        <f>ROUND(IF(G79="afkoop",0,G81+G82),-3)</f>
        <v>0</v>
      </c>
      <c r="H84" s="162" t="e">
        <f ca="1">ROUND(IF(G79="afkoop",(O75*Q22*(1-Q21^O78)/(1-Q21)),0),-4)</f>
        <v>#DIV/0!</v>
      </c>
      <c r="I84" s="163"/>
      <c r="J84" s="8"/>
      <c r="K84" s="8"/>
      <c r="L84" s="24"/>
      <c r="M84" s="10"/>
      <c r="N84" s="153">
        <f>N83*S22*(1-S21^P88)/(1-S21)</f>
        <v>78359.502140802957</v>
      </c>
      <c r="O84" s="148"/>
      <c r="S84" s="11"/>
    </row>
    <row r="85" spans="1:19" ht="15.75" thickBot="1" x14ac:dyDescent="0.3">
      <c r="A85" s="141"/>
      <c r="B85" s="64"/>
      <c r="C85" s="8"/>
      <c r="D85" s="8"/>
      <c r="E85" s="150"/>
      <c r="F85" s="164" t="s">
        <v>117</v>
      </c>
      <c r="G85" s="165">
        <f>B14</f>
        <v>49658</v>
      </c>
      <c r="H85" s="165">
        <f>G85</f>
        <v>49658</v>
      </c>
      <c r="I85" s="166"/>
      <c r="J85" s="8"/>
      <c r="K85" s="8"/>
      <c r="L85" s="24"/>
      <c r="M85" s="10"/>
      <c r="N85" s="167">
        <f>N84/N82</f>
        <v>0.78359502140802961</v>
      </c>
      <c r="O85" s="14"/>
      <c r="P85" s="14"/>
      <c r="Q85" s="11"/>
      <c r="S85" s="11"/>
    </row>
    <row r="86" spans="1:19" ht="15.75" thickBot="1" x14ac:dyDescent="0.3">
      <c r="A86" s="141"/>
      <c r="B86" s="64"/>
      <c r="C86" s="8"/>
      <c r="D86" s="8"/>
      <c r="E86" s="168"/>
      <c r="F86" s="168"/>
      <c r="G86" s="95"/>
      <c r="H86" s="95"/>
      <c r="I86" s="8"/>
      <c r="J86" s="8"/>
      <c r="K86" s="8"/>
      <c r="L86" s="24"/>
      <c r="M86" s="10"/>
      <c r="N86" s="138"/>
      <c r="O86" s="14"/>
      <c r="P86" s="14"/>
      <c r="Q86" s="11"/>
      <c r="S86" s="11"/>
    </row>
    <row r="87" spans="1:19" ht="16.5" thickBot="1" x14ac:dyDescent="0.3">
      <c r="A87" s="169" t="s">
        <v>118</v>
      </c>
      <c r="B87" s="170" t="s">
        <v>119</v>
      </c>
      <c r="C87" s="8"/>
      <c r="D87" s="8"/>
      <c r="E87" s="8"/>
      <c r="F87" s="171" t="str">
        <f ca="1">IF(B15&gt;30,"VH niet mogelijk","is mogelijk")</f>
        <v>is mogelijk</v>
      </c>
      <c r="G87" s="8"/>
      <c r="H87" s="8"/>
      <c r="I87" s="8"/>
      <c r="J87" s="8"/>
      <c r="K87" s="8"/>
      <c r="L87" s="24"/>
      <c r="M87" s="10"/>
      <c r="N87" s="172" t="e">
        <f ca="1">(C92-C91)*Q12</f>
        <v>#DIV/0!</v>
      </c>
      <c r="O87" s="173" t="s">
        <v>104</v>
      </c>
      <c r="P87" s="174"/>
      <c r="Q87" s="175"/>
      <c r="S87" s="11"/>
    </row>
    <row r="88" spans="1:19" ht="15.75" thickBot="1" x14ac:dyDescent="0.3">
      <c r="A88" s="80"/>
      <c r="B88" s="8"/>
      <c r="C88" s="8"/>
      <c r="D88" s="8"/>
      <c r="E88" s="8"/>
      <c r="F88" s="8"/>
      <c r="G88" s="8"/>
      <c r="H88" s="8"/>
      <c r="I88" s="8"/>
      <c r="J88" s="8"/>
      <c r="K88" s="8"/>
      <c r="L88" s="24"/>
      <c r="M88" s="10"/>
      <c r="N88" s="176" t="e">
        <f ca="1">(C92+N91)*Q12</f>
        <v>#DIV/0!</v>
      </c>
      <c r="O88" s="177" t="s">
        <v>104</v>
      </c>
      <c r="P88" s="178">
        <v>50</v>
      </c>
      <c r="Q88" s="179" t="s">
        <v>120</v>
      </c>
      <c r="S88" s="11"/>
    </row>
    <row r="89" spans="1:19" x14ac:dyDescent="0.25">
      <c r="A89" s="84" t="s">
        <v>121</v>
      </c>
      <c r="B89" s="8"/>
      <c r="C89" s="86">
        <f>L72</f>
        <v>0</v>
      </c>
      <c r="D89" s="86"/>
      <c r="E89" s="8"/>
      <c r="F89" s="154" t="s">
        <v>114</v>
      </c>
      <c r="G89" s="180" t="s">
        <v>122</v>
      </c>
      <c r="H89" s="181"/>
      <c r="I89" s="157"/>
      <c r="J89" s="182" t="s">
        <v>123</v>
      </c>
      <c r="K89" s="181"/>
      <c r="L89" s="183"/>
      <c r="M89" s="10"/>
      <c r="N89" s="10"/>
      <c r="O89" s="184"/>
      <c r="P89" s="174"/>
      <c r="Q89" s="185"/>
      <c r="S89" s="11"/>
    </row>
    <row r="90" spans="1:19" ht="15.75" thickBot="1" x14ac:dyDescent="0.3">
      <c r="A90" s="80" t="s">
        <v>124</v>
      </c>
      <c r="B90" s="8"/>
      <c r="C90" s="145" t="e">
        <f>-10%*C89*F8</f>
        <v>#DIV/0!</v>
      </c>
      <c r="D90" s="145"/>
      <c r="E90" s="8"/>
      <c r="F90" s="186" t="e">
        <f ca="1">ROUND($C$92*0.03,-3)</f>
        <v>#DIV/0!</v>
      </c>
      <c r="G90" s="187" t="s">
        <v>125</v>
      </c>
      <c r="H90" s="188"/>
      <c r="I90" s="166"/>
      <c r="J90" s="189" t="e">
        <f ca="1">ROUND(N92,-4)</f>
        <v>#DIV/0!</v>
      </c>
      <c r="K90" s="188"/>
      <c r="L90" s="190"/>
      <c r="M90" s="10"/>
      <c r="N90" s="191" t="e">
        <f ca="1">N87*S22*(1-S21^P88)/(1-S21)</f>
        <v>#DIV/0!</v>
      </c>
      <c r="O90" s="192" t="s">
        <v>126</v>
      </c>
      <c r="P90" s="174" t="e">
        <f ca="1">N90/(C92-C91)</f>
        <v>#DIV/0!</v>
      </c>
      <c r="Q90" s="193" t="s">
        <v>127</v>
      </c>
      <c r="S90" s="11"/>
    </row>
    <row r="91" spans="1:19" x14ac:dyDescent="0.25">
      <c r="A91" s="80" t="s">
        <v>128</v>
      </c>
      <c r="B91" s="8"/>
      <c r="C91" s="145">
        <f ca="1">-IF(B17="afkoop",L115,0)</f>
        <v>0</v>
      </c>
      <c r="D91" s="145"/>
      <c r="E91" s="8"/>
      <c r="F91" s="194" t="e">
        <f ca="1">ROUND($C$92*0.029,-3)</f>
        <v>#DIV/0!</v>
      </c>
      <c r="G91" s="195" t="s">
        <v>129</v>
      </c>
      <c r="H91" s="196"/>
      <c r="I91" s="197"/>
      <c r="J91" s="8"/>
      <c r="K91" s="8"/>
      <c r="L91" s="198"/>
      <c r="M91" s="10"/>
      <c r="N91" s="199">
        <f ca="1">C91</f>
        <v>0</v>
      </c>
      <c r="O91" s="192" t="s">
        <v>130</v>
      </c>
      <c r="P91" s="200"/>
      <c r="Q91" s="179"/>
      <c r="S91" s="11"/>
    </row>
    <row r="92" spans="1:19" ht="15.75" thickBot="1" x14ac:dyDescent="0.3">
      <c r="A92" s="84" t="s">
        <v>131</v>
      </c>
      <c r="B92" s="8"/>
      <c r="C92" s="86" t="e">
        <f ca="1">C89+C90+C91</f>
        <v>#DIV/0!</v>
      </c>
      <c r="D92" s="86"/>
      <c r="E92" s="8"/>
      <c r="F92" s="201" t="e">
        <f ca="1">ROUND($C$92*0.0325,-3)</f>
        <v>#DIV/0!</v>
      </c>
      <c r="G92" s="202" t="s">
        <v>132</v>
      </c>
      <c r="H92" s="188"/>
      <c r="I92" s="166"/>
      <c r="J92" s="8"/>
      <c r="K92" s="8"/>
      <c r="L92" s="198"/>
      <c r="M92" s="10"/>
      <c r="N92" s="203" t="e">
        <f ca="1">N90+N91</f>
        <v>#DIV/0!</v>
      </c>
      <c r="O92" s="204" t="s">
        <v>133</v>
      </c>
      <c r="P92" s="205"/>
      <c r="Q92" s="206"/>
      <c r="S92" s="11"/>
    </row>
    <row r="93" spans="1:19" x14ac:dyDescent="0.25">
      <c r="A93" s="56"/>
      <c r="B93" s="57"/>
      <c r="C93" s="57"/>
      <c r="D93" s="57"/>
      <c r="E93" s="57"/>
      <c r="F93" s="57"/>
      <c r="G93" s="57"/>
      <c r="H93" s="57"/>
      <c r="I93" s="57"/>
      <c r="J93" s="57"/>
      <c r="K93" s="57"/>
      <c r="L93" s="207"/>
      <c r="M93" s="10"/>
      <c r="N93" s="10"/>
    </row>
    <row r="94" spans="1:19" x14ac:dyDescent="0.25">
      <c r="A94" s="8"/>
      <c r="B94" s="8"/>
      <c r="C94" s="8"/>
      <c r="D94" s="8"/>
      <c r="E94" s="8"/>
      <c r="F94" s="8"/>
      <c r="G94" s="8"/>
      <c r="H94" s="8"/>
      <c r="I94" s="168"/>
      <c r="J94" s="168"/>
      <c r="K94" s="8"/>
      <c r="L94" s="8"/>
      <c r="M94" s="10"/>
      <c r="N94" s="10"/>
      <c r="O94" s="14"/>
      <c r="P94" s="208"/>
      <c r="Q94" s="11"/>
      <c r="S94" s="11"/>
    </row>
    <row r="95" spans="1:19" x14ac:dyDescent="0.25">
      <c r="A95" s="8"/>
      <c r="B95" s="8"/>
      <c r="C95" s="8"/>
      <c r="D95" s="8"/>
      <c r="E95" s="8"/>
      <c r="F95" s="8"/>
      <c r="G95" s="8"/>
      <c r="H95" s="8"/>
      <c r="I95" s="8"/>
      <c r="J95" s="8"/>
      <c r="K95" s="8"/>
      <c r="L95" s="8"/>
      <c r="M95" s="10"/>
      <c r="N95" s="10"/>
      <c r="O95" s="14"/>
      <c r="P95" s="14"/>
      <c r="Q95" s="11"/>
      <c r="S95" s="11"/>
    </row>
    <row r="96" spans="1:19" x14ac:dyDescent="0.25">
      <c r="A96" s="209" t="s">
        <v>134</v>
      </c>
      <c r="B96" s="210"/>
      <c r="C96" s="211"/>
      <c r="D96" s="211"/>
      <c r="E96" s="211"/>
      <c r="F96" s="212"/>
      <c r="G96" s="8"/>
      <c r="H96" s="213" t="s">
        <v>135</v>
      </c>
      <c r="I96" s="214"/>
      <c r="J96" s="214"/>
      <c r="K96" s="214"/>
      <c r="L96" s="215"/>
      <c r="M96" s="10"/>
      <c r="N96" s="10"/>
      <c r="O96" s="14"/>
      <c r="P96" s="14"/>
      <c r="Q96" s="11"/>
      <c r="S96" s="11"/>
    </row>
    <row r="97" spans="1:19" x14ac:dyDescent="0.25">
      <c r="A97" s="216" t="s">
        <v>136</v>
      </c>
      <c r="B97" s="217"/>
      <c r="C97" s="217"/>
      <c r="D97" s="8"/>
      <c r="E97" s="217"/>
      <c r="F97" s="218"/>
      <c r="G97" s="8"/>
      <c r="H97" s="317" t="s">
        <v>137</v>
      </c>
      <c r="I97" s="318"/>
      <c r="J97" s="318"/>
      <c r="K97" s="318"/>
      <c r="L97" s="319"/>
      <c r="M97" s="10"/>
      <c r="N97" s="10"/>
      <c r="O97" s="14"/>
      <c r="P97" s="14"/>
      <c r="Q97" s="11"/>
      <c r="R97" s="11"/>
      <c r="S97" s="11"/>
    </row>
    <row r="98" spans="1:19" x14ac:dyDescent="0.25">
      <c r="A98" s="219" t="s">
        <v>138</v>
      </c>
      <c r="B98" s="50"/>
      <c r="C98" s="50"/>
      <c r="D98" s="8"/>
      <c r="E98" s="50"/>
      <c r="F98" s="51"/>
      <c r="G98" s="8"/>
      <c r="H98" s="320"/>
      <c r="I98" s="321"/>
      <c r="J98" s="321"/>
      <c r="K98" s="321"/>
      <c r="L98" s="322"/>
      <c r="M98" s="10"/>
      <c r="N98" s="10"/>
      <c r="O98" s="14"/>
      <c r="P98" s="14"/>
      <c r="Q98" s="11"/>
      <c r="R98" s="11"/>
      <c r="S98" s="11"/>
    </row>
    <row r="99" spans="1:19" x14ac:dyDescent="0.25">
      <c r="A99" s="219" t="s">
        <v>139</v>
      </c>
      <c r="B99" s="50"/>
      <c r="C99" s="50"/>
      <c r="D99" s="8"/>
      <c r="E99" s="50"/>
      <c r="F99" s="51"/>
      <c r="G99" s="8"/>
      <c r="H99" s="320"/>
      <c r="I99" s="321"/>
      <c r="J99" s="321"/>
      <c r="K99" s="321"/>
      <c r="L99" s="322"/>
      <c r="M99" s="10"/>
      <c r="N99" s="10"/>
      <c r="O99" s="14"/>
      <c r="P99" s="14"/>
      <c r="Q99" s="11"/>
      <c r="R99" s="11"/>
      <c r="S99" s="11"/>
    </row>
    <row r="100" spans="1:19" x14ac:dyDescent="0.25">
      <c r="A100" s="220" t="s">
        <v>159</v>
      </c>
      <c r="B100" s="221"/>
      <c r="C100" s="221"/>
      <c r="D100" s="8"/>
      <c r="E100" s="50"/>
      <c r="F100" s="222"/>
      <c r="G100" s="8"/>
      <c r="H100" s="320"/>
      <c r="I100" s="321"/>
      <c r="J100" s="321"/>
      <c r="K100" s="321"/>
      <c r="L100" s="322"/>
      <c r="M100" s="10"/>
      <c r="N100" s="10"/>
      <c r="O100" s="14"/>
      <c r="P100" s="14"/>
      <c r="Q100" s="11"/>
      <c r="R100" s="11"/>
      <c r="S100" s="11"/>
    </row>
    <row r="101" spans="1:19" x14ac:dyDescent="0.25">
      <c r="A101" s="223" t="s">
        <v>140</v>
      </c>
      <c r="B101" s="224" t="s">
        <v>141</v>
      </c>
      <c r="C101" s="225" t="s">
        <v>82</v>
      </c>
      <c r="D101" s="223"/>
      <c r="E101" s="226" t="s">
        <v>142</v>
      </c>
      <c r="F101" s="226" t="s">
        <v>69</v>
      </c>
      <c r="G101" s="8"/>
      <c r="H101" s="320"/>
      <c r="I101" s="321"/>
      <c r="J101" s="321"/>
      <c r="K101" s="321"/>
      <c r="L101" s="322"/>
      <c r="M101" s="10"/>
      <c r="N101" s="10"/>
      <c r="O101" s="14"/>
      <c r="P101" s="14"/>
      <c r="Q101" s="11"/>
      <c r="R101" s="11"/>
      <c r="S101" s="227"/>
    </row>
    <row r="102" spans="1:19" x14ac:dyDescent="0.25">
      <c r="A102" s="134" t="str">
        <f t="shared" ref="A102:B106" si="6">A27</f>
        <v>bedrijven</v>
      </c>
      <c r="B102" s="228">
        <f t="shared" si="6"/>
        <v>0</v>
      </c>
      <c r="C102" s="229">
        <f>E45</f>
        <v>0</v>
      </c>
      <c r="D102" s="230"/>
      <c r="E102" s="231">
        <f t="shared" ref="E102:E109" si="7">MIN(B102:C102)</f>
        <v>0</v>
      </c>
      <c r="F102" s="231">
        <f>MIN(B27,E45)*I45</f>
        <v>0</v>
      </c>
      <c r="G102" s="8"/>
      <c r="H102" s="320"/>
      <c r="I102" s="321"/>
      <c r="J102" s="321"/>
      <c r="K102" s="321"/>
      <c r="L102" s="322"/>
      <c r="M102" s="10"/>
      <c r="N102" s="10"/>
      <c r="O102" s="14"/>
      <c r="P102" s="14"/>
      <c r="Q102" s="11"/>
      <c r="R102" s="11"/>
      <c r="S102" s="11"/>
    </row>
    <row r="103" spans="1:19" x14ac:dyDescent="0.25">
      <c r="A103" s="139" t="str">
        <f t="shared" si="6"/>
        <v>kantoren</v>
      </c>
      <c r="B103" s="232">
        <f t="shared" si="6"/>
        <v>0</v>
      </c>
      <c r="C103" s="94">
        <f>E46</f>
        <v>0</v>
      </c>
      <c r="D103" s="80"/>
      <c r="E103" s="233">
        <f t="shared" si="7"/>
        <v>0</v>
      </c>
      <c r="F103" s="233">
        <f t="shared" ref="F103:F106" si="8">MIN(B28,E46)*I46</f>
        <v>0</v>
      </c>
      <c r="G103" s="8"/>
      <c r="H103" s="323"/>
      <c r="I103" s="324"/>
      <c r="J103" s="324"/>
      <c r="K103" s="324"/>
      <c r="L103" s="325"/>
      <c r="M103" s="10"/>
      <c r="N103" s="10"/>
      <c r="O103" s="14"/>
      <c r="P103" s="14"/>
      <c r="Q103" s="11"/>
      <c r="R103" s="11"/>
      <c r="S103" s="11"/>
    </row>
    <row r="104" spans="1:19" x14ac:dyDescent="0.25">
      <c r="A104" s="139" t="str">
        <f t="shared" si="6"/>
        <v>commerciele voorzieningen</v>
      </c>
      <c r="B104" s="232">
        <f t="shared" si="6"/>
        <v>0</v>
      </c>
      <c r="C104" s="94">
        <f>E47</f>
        <v>0</v>
      </c>
      <c r="D104" s="80"/>
      <c r="E104" s="233">
        <f t="shared" si="7"/>
        <v>0</v>
      </c>
      <c r="F104" s="233">
        <f t="shared" si="8"/>
        <v>0</v>
      </c>
      <c r="G104" s="8"/>
      <c r="H104" s="234" t="s">
        <v>143</v>
      </c>
      <c r="I104" s="8"/>
      <c r="J104" s="8"/>
      <c r="K104" s="8"/>
      <c r="L104" s="234">
        <f>YEAR(B14)-B12</f>
        <v>50</v>
      </c>
      <c r="M104" s="10"/>
      <c r="N104" s="10"/>
      <c r="O104" s="14"/>
      <c r="P104" s="14"/>
      <c r="Q104" s="11"/>
      <c r="R104" s="11"/>
      <c r="S104" s="11"/>
    </row>
    <row r="105" spans="1:19" x14ac:dyDescent="0.25">
      <c r="A105" s="139" t="str">
        <f t="shared" si="6"/>
        <v>maatschappelijke voorzieningen</v>
      </c>
      <c r="B105" s="232">
        <f t="shared" si="6"/>
        <v>0</v>
      </c>
      <c r="C105" s="94">
        <f>E48</f>
        <v>0</v>
      </c>
      <c r="D105" s="80"/>
      <c r="E105" s="233">
        <f t="shared" si="7"/>
        <v>0</v>
      </c>
      <c r="F105" s="233">
        <f t="shared" si="8"/>
        <v>0</v>
      </c>
      <c r="G105" s="8"/>
      <c r="H105" s="234" t="s">
        <v>144</v>
      </c>
      <c r="I105" s="8"/>
      <c r="J105" s="8"/>
      <c r="K105" s="8"/>
      <c r="L105" s="234">
        <f ca="1">B15</f>
        <v>11</v>
      </c>
      <c r="M105" s="10"/>
      <c r="N105" s="10"/>
      <c r="O105" s="14"/>
      <c r="P105" s="14"/>
      <c r="Q105" s="11"/>
      <c r="R105" s="11"/>
      <c r="S105" s="11"/>
    </row>
    <row r="106" spans="1:19" x14ac:dyDescent="0.25">
      <c r="A106" s="139" t="str">
        <f t="shared" si="6"/>
        <v xml:space="preserve">Overig… </v>
      </c>
      <c r="B106" s="232">
        <f t="shared" si="6"/>
        <v>0</v>
      </c>
      <c r="C106" s="94">
        <f>E49</f>
        <v>0</v>
      </c>
      <c r="D106" s="80"/>
      <c r="E106" s="233">
        <f t="shared" si="7"/>
        <v>0</v>
      </c>
      <c r="F106" s="233">
        <f t="shared" si="8"/>
        <v>0</v>
      </c>
      <c r="G106" s="8"/>
      <c r="H106" s="234" t="s">
        <v>145</v>
      </c>
      <c r="I106" s="8"/>
      <c r="J106" s="8"/>
      <c r="K106" s="8"/>
      <c r="L106" s="235">
        <f>B20</f>
        <v>0</v>
      </c>
      <c r="M106" s="10"/>
      <c r="N106" s="10"/>
      <c r="O106" s="14"/>
      <c r="P106" s="14"/>
      <c r="Q106" s="11"/>
      <c r="R106" s="11"/>
      <c r="S106" s="11"/>
    </row>
    <row r="107" spans="1:19" x14ac:dyDescent="0.25">
      <c r="A107" s="139" t="str">
        <f>A36</f>
        <v>Parkeren Maaiveld</v>
      </c>
      <c r="B107" s="232">
        <f>B36</f>
        <v>0</v>
      </c>
      <c r="C107" s="94">
        <f>E54</f>
        <v>0</v>
      </c>
      <c r="D107" s="80"/>
      <c r="E107" s="233">
        <f t="shared" si="7"/>
        <v>0</v>
      </c>
      <c r="F107" s="233">
        <f>MIN(B36,E54)*I54</f>
        <v>0</v>
      </c>
      <c r="G107" s="8"/>
      <c r="H107" s="244"/>
      <c r="I107" s="8"/>
      <c r="J107" s="8"/>
      <c r="K107" s="8"/>
      <c r="L107" s="310"/>
      <c r="M107" s="10"/>
      <c r="N107" s="10"/>
      <c r="O107" s="14"/>
      <c r="P107" s="14"/>
      <c r="Q107" s="11"/>
      <c r="R107" s="11"/>
      <c r="S107" s="11"/>
    </row>
    <row r="108" spans="1:19" x14ac:dyDescent="0.25">
      <c r="A108" s="139" t="str">
        <f>A37</f>
        <v>Parkeren Gebouwd</v>
      </c>
      <c r="B108" s="232">
        <f>B37</f>
        <v>0</v>
      </c>
      <c r="C108" s="94">
        <f>E55</f>
        <v>0</v>
      </c>
      <c r="D108" s="80"/>
      <c r="E108" s="233">
        <f t="shared" si="7"/>
        <v>0</v>
      </c>
      <c r="F108" s="233">
        <f>MIN(B37,E55)*I55</f>
        <v>0</v>
      </c>
      <c r="G108" s="8"/>
      <c r="H108" s="244"/>
      <c r="I108" s="8"/>
      <c r="J108" s="8"/>
      <c r="K108" s="8"/>
      <c r="L108" s="310"/>
      <c r="M108" s="10"/>
      <c r="N108" s="10"/>
      <c r="O108" s="14"/>
      <c r="P108" s="14"/>
      <c r="Q108" s="11"/>
      <c r="R108" s="11"/>
      <c r="S108" s="11"/>
    </row>
    <row r="109" spans="1:19" x14ac:dyDescent="0.25">
      <c r="A109" s="236" t="s">
        <v>146</v>
      </c>
      <c r="B109" s="237">
        <f>B32</f>
        <v>0</v>
      </c>
      <c r="C109" s="238">
        <f>SUMPRODUCT(E59:E67,F59:F67)/E70</f>
        <v>0</v>
      </c>
      <c r="D109" s="56"/>
      <c r="E109" s="239">
        <f t="shared" si="7"/>
        <v>0</v>
      </c>
      <c r="F109" s="239">
        <f>MIN(B32,E50)*I50</f>
        <v>0</v>
      </c>
      <c r="G109" s="8"/>
      <c r="H109" s="240"/>
      <c r="I109" s="3"/>
      <c r="J109" s="3"/>
      <c r="K109" s="241"/>
      <c r="L109" s="242"/>
      <c r="M109" s="10"/>
      <c r="N109" s="10"/>
      <c r="O109" s="14"/>
      <c r="P109" s="14"/>
      <c r="Q109" s="11"/>
      <c r="R109" s="11"/>
      <c r="S109" s="11"/>
    </row>
    <row r="110" spans="1:19" x14ac:dyDescent="0.25">
      <c r="A110" s="243"/>
      <c r="B110" s="50"/>
      <c r="C110" s="50"/>
      <c r="D110" s="8"/>
      <c r="E110" s="50"/>
      <c r="F110" s="233"/>
      <c r="G110" s="8"/>
      <c r="H110" s="244" t="s">
        <v>147</v>
      </c>
      <c r="I110" s="8"/>
      <c r="J110" s="8"/>
      <c r="K110" s="24"/>
      <c r="L110" s="245">
        <v>3.2800000000000003E-2</v>
      </c>
      <c r="M110" s="10"/>
      <c r="N110" s="10"/>
      <c r="O110" s="14"/>
      <c r="P110" s="14"/>
      <c r="Q110" s="11"/>
      <c r="R110" s="11"/>
      <c r="S110" s="11"/>
    </row>
    <row r="111" spans="1:19" x14ac:dyDescent="0.25">
      <c r="A111" s="246"/>
      <c r="B111" s="247" t="s">
        <v>148</v>
      </c>
      <c r="C111" s="50"/>
      <c r="D111" s="8"/>
      <c r="E111" s="50"/>
      <c r="F111" s="248">
        <f>SUM(F102:F110)</f>
        <v>0</v>
      </c>
      <c r="G111" s="8"/>
      <c r="H111" s="249"/>
      <c r="I111" s="57"/>
      <c r="J111" s="57"/>
      <c r="K111" s="58"/>
      <c r="L111" s="250">
        <f>1+L110</f>
        <v>1.0327999999999999</v>
      </c>
      <c r="M111" s="10"/>
      <c r="N111" s="10"/>
      <c r="O111" s="14"/>
      <c r="P111" s="14"/>
      <c r="Q111" s="11"/>
      <c r="R111" s="11"/>
      <c r="S111" s="11"/>
    </row>
    <row r="112" spans="1:19" x14ac:dyDescent="0.25">
      <c r="A112" s="246"/>
      <c r="B112" s="247" t="s">
        <v>105</v>
      </c>
      <c r="C112" s="50"/>
      <c r="D112" s="8"/>
      <c r="E112" s="50"/>
      <c r="F112" s="251">
        <f>C78</f>
        <v>0</v>
      </c>
      <c r="G112" s="8"/>
      <c r="H112" s="252" t="s">
        <v>149</v>
      </c>
      <c r="I112" s="3"/>
      <c r="J112" s="3"/>
      <c r="K112" s="241"/>
      <c r="L112" s="253">
        <f ca="1">(L111^L105-1) / (L111^L105) * (L111^0.5) / (L111^0.5-1)/2</f>
        <v>9.3342836754716156</v>
      </c>
      <c r="M112" s="10"/>
      <c r="N112" s="10"/>
      <c r="O112" s="14"/>
      <c r="P112" s="14"/>
      <c r="Q112" s="14"/>
      <c r="R112" s="14"/>
      <c r="S112" s="14"/>
    </row>
    <row r="113" spans="1:19" x14ac:dyDescent="0.25">
      <c r="A113" s="246"/>
      <c r="B113" s="247" t="s">
        <v>150</v>
      </c>
      <c r="C113" s="254"/>
      <c r="D113" s="8"/>
      <c r="E113" s="254"/>
      <c r="F113" s="251">
        <f>F112-F111</f>
        <v>0</v>
      </c>
      <c r="G113" s="8"/>
      <c r="H113" s="255" t="s">
        <v>151</v>
      </c>
      <c r="I113" s="57"/>
      <c r="J113" s="57"/>
      <c r="K113" s="58"/>
      <c r="L113" s="256">
        <f>(L111^L104-1) / (L111^L104) * (L111^0.5) / (L111^0.5-1)/2</f>
        <v>25.015062848218101</v>
      </c>
      <c r="M113" s="10"/>
      <c r="N113" s="10"/>
      <c r="O113" s="14"/>
      <c r="P113" s="14"/>
      <c r="Q113" s="14"/>
      <c r="R113" s="14"/>
      <c r="S113" s="14"/>
    </row>
    <row r="114" spans="1:19" ht="15.75" thickBot="1" x14ac:dyDescent="0.3">
      <c r="A114" s="246"/>
      <c r="B114" s="247"/>
      <c r="C114" s="311" t="e">
        <f>F8</f>
        <v>#DIV/0!</v>
      </c>
      <c r="D114" s="99" t="s">
        <v>171</v>
      </c>
      <c r="E114" s="254"/>
      <c r="F114" s="251"/>
      <c r="G114" s="8"/>
      <c r="H114" s="257" t="s">
        <v>152</v>
      </c>
      <c r="I114" s="258"/>
      <c r="J114" s="258"/>
      <c r="K114" s="259"/>
      <c r="L114" s="270">
        <f ca="1">L112/L113</f>
        <v>0.37314652104248164</v>
      </c>
      <c r="M114" s="10"/>
      <c r="N114" s="52"/>
      <c r="O114" s="14"/>
      <c r="P114" s="14"/>
      <c r="Q114" s="14"/>
      <c r="R114" s="14"/>
      <c r="S114" s="14"/>
    </row>
    <row r="115" spans="1:19" ht="15.75" thickBot="1" x14ac:dyDescent="0.3">
      <c r="A115" s="260"/>
      <c r="B115" s="261" t="s">
        <v>153</v>
      </c>
      <c r="C115" s="87">
        <v>-0.1</v>
      </c>
      <c r="D115" s="57"/>
      <c r="E115" s="262"/>
      <c r="F115" s="263" t="e">
        <f>F113*C115*C114</f>
        <v>#DIV/0!</v>
      </c>
      <c r="G115" s="8"/>
      <c r="H115" s="264" t="s">
        <v>154</v>
      </c>
      <c r="I115" s="57"/>
      <c r="J115" s="57"/>
      <c r="K115" s="57"/>
      <c r="L115" s="269">
        <f ca="1">B20*L112/L113</f>
        <v>0</v>
      </c>
      <c r="M115" s="10"/>
      <c r="N115" s="52"/>
      <c r="O115" s="14"/>
      <c r="P115" s="14"/>
      <c r="Q115" s="14"/>
      <c r="R115" s="14"/>
      <c r="S115" s="14"/>
    </row>
    <row r="116" spans="1:19" x14ac:dyDescent="0.25">
      <c r="A116" s="50"/>
      <c r="B116" s="50"/>
      <c r="C116" s="50"/>
      <c r="D116" s="50"/>
      <c r="E116" s="50"/>
      <c r="F116" s="50"/>
      <c r="G116" s="8"/>
      <c r="H116" s="50"/>
      <c r="I116" s="8"/>
      <c r="J116" s="8"/>
      <c r="K116" s="8"/>
      <c r="L116" s="8"/>
      <c r="M116" s="10"/>
      <c r="N116" s="52"/>
      <c r="O116" s="14"/>
      <c r="P116" s="14"/>
      <c r="Q116" s="14"/>
      <c r="R116" s="14"/>
      <c r="S116" s="14"/>
    </row>
  </sheetData>
  <sheetProtection algorithmName="SHA-512" hashValue="/nzxnkwsf1mC4tKh5aADdbKki2W1nxaEX9mGYMztzsQzUH4kui3e9ofaM1wJjmjzkQZD+1PAj9o6LPw25Za5Dg==" saltValue="aBN+eaAkc6AvF3dKGDhJbg==" spinCount="100000" sheet="1" objects="1" scenarios="1"/>
  <protectedRanges>
    <protectedRange sqref="B3:B7" name="Bereik2"/>
    <protectedRange sqref="B13:B14 B16:B18 B20:B21 E45:E49 I45:I49 E54:E55 I54:I55 I59:I67 E59:F67 E70 A59:C67 B27:B32 B36:B37" name="Bereik1" securityDescriptor="O:WDG:WDD:(A;;CC;;;AC)"/>
    <protectedRange sqref="F3:F5 F7" name="Bereik2_1"/>
  </protectedRanges>
  <mergeCells count="10">
    <mergeCell ref="B65:C65"/>
    <mergeCell ref="B66:C66"/>
    <mergeCell ref="B67:C67"/>
    <mergeCell ref="H97:L103"/>
    <mergeCell ref="B59:C59"/>
    <mergeCell ref="B60:C60"/>
    <mergeCell ref="B61:C61"/>
    <mergeCell ref="B62:C62"/>
    <mergeCell ref="B63:C63"/>
    <mergeCell ref="B64:C64"/>
  </mergeCells>
  <conditionalFormatting sqref="B33">
    <cfRule type="cellIs" dxfId="4" priority="3" operator="notEqual">
      <formula>#REF!</formula>
    </cfRule>
  </conditionalFormatting>
  <conditionalFormatting sqref="C33:D33">
    <cfRule type="cellIs" dxfId="3" priority="2" operator="notEqual">
      <formula>#REF!</formula>
    </cfRule>
  </conditionalFormatting>
  <conditionalFormatting sqref="F51">
    <cfRule type="cellIs" dxfId="2" priority="1" operator="notEqual">
      <formula>#REF!</formula>
    </cfRule>
  </conditionalFormatting>
  <conditionalFormatting sqref="F87">
    <cfRule type="containsText" dxfId="1" priority="4" operator="containsText" text="VH niet mogelijk">
      <formula>NOT(ISERROR(SEARCH("VH niet mogelijk",F87)))</formula>
    </cfRule>
    <cfRule type="containsText" dxfId="0" priority="5" operator="containsText" text="is mogelijk">
      <formula>NOT(ISERROR(SEARCH("is mogelijk",F87)))</formula>
    </cfRule>
  </conditionalFormatting>
  <dataValidations count="4">
    <dataValidation type="list" allowBlank="1" showInputMessage="1" showErrorMessage="1" sqref="B17">
      <formula1>$AH$5:$AH$6</formula1>
    </dataValidation>
    <dataValidation type="list" allowBlank="1" showInputMessage="1" showErrorMessage="1" sqref="A59:A67">
      <formula1>$AJ$5:$AJ$14</formula1>
    </dataValidation>
    <dataValidation type="list" allowBlank="1" showInputMessage="1" showErrorMessage="1" sqref="B16">
      <formula1>$AF$5:$AF$9</formula1>
    </dataValidation>
    <dataValidation type="list" allowBlank="1" showInputMessage="1" showErrorMessage="1" sqref="B18">
      <formula1>$AE$5:$AE$6</formula1>
    </dataValidation>
  </dataValidation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A r g o G u i d   x m l n s : x s d = " h t t p : / / w w w . w 3 . o r g / 2 0 0 1 / X M L S c h e m a "   x m l n s : x s i = " h t t p : / / w w w . w 3 . o r g / 2 0 0 1 / X M L S c h e m a - i n s t a n c e "   x m l n s = " h t t p : / / w w w . b o o z a l l e n . c o m / a r g o / g u i d " > 0 d c 0 2 e 2 c - 6 2 d 0 - 4 8 b f - a 2 6 8 - 6 7 a 9 2 7 0 f 6 2 f b < / A r g o G u i d > 
</file>

<file path=customXml/item2.xml><?xml version="1.0" encoding="utf-8"?>
<ct:contentTypeSchema xmlns:ct="http://schemas.microsoft.com/office/2006/metadata/contentType" xmlns:ma="http://schemas.microsoft.com/office/2006/metadata/properties/metaAttributes" ct:_="" ma:_="" ma:contentTypeName="Document" ma:contentTypeID="0x010100D02B763E967E754BBA495DAD491EF900" ma:contentTypeVersion="7" ma:contentTypeDescription="Create a new document." ma:contentTypeScope="" ma:versionID="ed89df692c8b7e59fa90d8d803f4b8ba">
  <xsd:schema xmlns:xsd="http://www.w3.org/2001/XMLSchema" xmlns:xs="http://www.w3.org/2001/XMLSchema" xmlns:p="http://schemas.microsoft.com/office/2006/metadata/properties" xmlns:ns3="3a3e272e-8ce3-46dc-af83-586e5a64e4d7" xmlns:ns4="4ca28270-1de4-475b-bc28-771fad77e0b6" targetNamespace="http://schemas.microsoft.com/office/2006/metadata/properties" ma:root="true" ma:fieldsID="5e955973d493682f565d8e0aeb4a2f9b" ns3:_="" ns4:_="">
    <xsd:import namespace="3a3e272e-8ce3-46dc-af83-586e5a64e4d7"/>
    <xsd:import namespace="4ca28270-1de4-475b-bc28-771fad77e0b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ObjectDetectorVersion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3e272e-8ce3-46dc-af83-586e5a64e4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_activity" ma:index="14"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a28270-1de4-475b-bc28-771fad77e0b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activity xmlns="3a3e272e-8ce3-46dc-af83-586e5a64e4d7" xsi:nil="true"/>
  </documentManagement>
</p:properties>
</file>

<file path=customXml/itemProps1.xml><?xml version="1.0" encoding="utf-8"?>
<ds:datastoreItem xmlns:ds="http://schemas.openxmlformats.org/officeDocument/2006/customXml" ds:itemID="{25CC34A9-4F87-43E7-8E7D-BE09EF0790FF}">
  <ds:schemaRefs>
    <ds:schemaRef ds:uri="http://www.w3.org/2001/XMLSchema"/>
    <ds:schemaRef ds:uri="http://www.boozallen.com/argo/guid"/>
  </ds:schemaRefs>
</ds:datastoreItem>
</file>

<file path=customXml/itemProps2.xml><?xml version="1.0" encoding="utf-8"?>
<ds:datastoreItem xmlns:ds="http://schemas.openxmlformats.org/officeDocument/2006/customXml" ds:itemID="{D16A9415-1ABB-44EE-AA4C-DB53D69F62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3e272e-8ce3-46dc-af83-586e5a64e4d7"/>
    <ds:schemaRef ds:uri="4ca28270-1de4-475b-bc28-771fad77e0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C860FB-8497-4E54-9DDE-1603A3FA2BAD}">
  <ds:schemaRefs>
    <ds:schemaRef ds:uri="http://schemas.microsoft.com/sharepoint/v3/contenttype/forms"/>
  </ds:schemaRefs>
</ds:datastoreItem>
</file>

<file path=customXml/itemProps4.xml><?xml version="1.0" encoding="utf-8"?>
<ds:datastoreItem xmlns:ds="http://schemas.openxmlformats.org/officeDocument/2006/customXml" ds:itemID="{F47778F1-CB48-4ACE-BF9D-578BE0B6E070}">
  <ds:schemaRefs>
    <ds:schemaRef ds:uri="3a3e272e-8ce3-46dc-af83-586e5a64e4d7"/>
    <ds:schemaRef ds:uri="http://schemas.microsoft.com/office/2006/metadata/properties"/>
    <ds:schemaRef ds:uri="http://purl.org/dc/elements/1.1/"/>
    <ds:schemaRef ds:uri="4ca28270-1de4-475b-bc28-771fad77e0b6"/>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Rekenmodel transformatie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Teoh, Chee-Key</dc:creator>
  <cp:lastModifiedBy>Tajaâte, Fouzia</cp:lastModifiedBy>
  <dcterms:created xsi:type="dcterms:W3CDTF">2020-10-30T13:07:47Z</dcterms:created>
  <dcterms:modified xsi:type="dcterms:W3CDTF">2024-01-08T09:10:24Z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0x010100D02B763E967E754BBA495DAD491EF900</vt:lpwstr>
  </property>
</Properties>
</file>