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venlo.lan\Private$\home\ksslsl01\Mijn Documenten\"/>
    </mc:Choice>
  </mc:AlternateContent>
  <xr:revisionPtr revIDLastSave="0" documentId="8_{02B911EC-A9E7-4A57-AE58-FFCE3BE200F5}" xr6:coauthVersionLast="47" xr6:coauthVersionMax="47" xr10:uidLastSave="{00000000-0000-0000-0000-000000000000}"/>
  <bookViews>
    <workbookView xWindow="-108" yWindow="-108" windowWidth="23256" windowHeight="12456" activeTab="1" xr2:uid="{00000000-000D-0000-FFFF-FFFF00000000}"/>
  </bookViews>
  <sheets>
    <sheet name="prijscomponent A" sheetId="1" r:id="rId1"/>
    <sheet name="prijscomponent B"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8" i="2" l="1"/>
  <c r="T17" i="2"/>
  <c r="T16" i="2"/>
  <c r="T15" i="2"/>
  <c r="T14" i="2"/>
  <c r="T8" i="2"/>
  <c r="T6" i="2"/>
  <c r="F8" i="2"/>
  <c r="F7" i="2"/>
  <c r="F6" i="2"/>
  <c r="P19" i="2"/>
  <c r="S18" i="2"/>
  <c r="S17" i="2"/>
  <c r="S16" i="2"/>
  <c r="S15" i="2"/>
  <c r="S14" i="2"/>
  <c r="P10" i="2"/>
  <c r="S9" i="2"/>
  <c r="T9" i="2" s="1"/>
  <c r="S8" i="2"/>
  <c r="S7" i="2"/>
  <c r="T7" i="2" s="1"/>
  <c r="S6" i="2"/>
  <c r="S5" i="2"/>
  <c r="T5" i="2" s="1"/>
  <c r="D4" i="1"/>
  <c r="E4" i="1" s="1"/>
  <c r="T19" i="2" l="1"/>
  <c r="T10" i="2"/>
  <c r="E5" i="2" l="1"/>
  <c r="F5" i="2" s="1"/>
  <c r="E6" i="2"/>
  <c r="E7" i="2"/>
  <c r="E8" i="2"/>
  <c r="I19" i="2" l="1"/>
  <c r="L18" i="2"/>
  <c r="M18" i="2" s="1"/>
  <c r="L17" i="2"/>
  <c r="M17" i="2" s="1"/>
  <c r="L16" i="2"/>
  <c r="M16" i="2" s="1"/>
  <c r="L15" i="2"/>
  <c r="M15" i="2" s="1"/>
  <c r="L14" i="2"/>
  <c r="M14" i="2" s="1"/>
  <c r="I10" i="2"/>
  <c r="L9" i="2"/>
  <c r="M9" i="2" s="1"/>
  <c r="L8" i="2"/>
  <c r="M8" i="2" s="1"/>
  <c r="L7" i="2"/>
  <c r="M7" i="2" s="1"/>
  <c r="L6" i="2"/>
  <c r="M6" i="2" s="1"/>
  <c r="L5" i="2"/>
  <c r="M5" i="2" s="1"/>
  <c r="B19" i="2"/>
  <c r="E18" i="2"/>
  <c r="F18" i="2" s="1"/>
  <c r="E17" i="2"/>
  <c r="F17" i="2" s="1"/>
  <c r="E16" i="2"/>
  <c r="F16" i="2" s="1"/>
  <c r="E15" i="2"/>
  <c r="F15" i="2" s="1"/>
  <c r="E14" i="2"/>
  <c r="F14" i="2" s="1"/>
  <c r="B9" i="2"/>
  <c r="F9" i="2" l="1"/>
  <c r="F19" i="2"/>
  <c r="M10" i="2"/>
  <c r="M19" i="2"/>
  <c r="T21" i="2" l="1"/>
</calcChain>
</file>

<file path=xl/sharedStrings.xml><?xml version="1.0" encoding="utf-8"?>
<sst xmlns="http://schemas.openxmlformats.org/spreadsheetml/2006/main" count="96" uniqueCount="67">
  <si>
    <t>1 pas</t>
  </si>
  <si>
    <t>totaal over 2 jaar</t>
  </si>
  <si>
    <t>Korting brandstof</t>
  </si>
  <si>
    <t>prijs per liter na korting</t>
  </si>
  <si>
    <t>0 - 300</t>
  </si>
  <si>
    <t>301 - 600</t>
  </si>
  <si>
    <t>601 - 900</t>
  </si>
  <si>
    <t>20001 - 40000</t>
  </si>
  <si>
    <t>40001 - 60000</t>
  </si>
  <si>
    <t>60001 - 80000</t>
  </si>
  <si>
    <t>80001 - 100000</t>
  </si>
  <si>
    <t>100001 - 120000</t>
  </si>
  <si>
    <t>weging</t>
  </si>
  <si>
    <t>fictieve prijs</t>
  </si>
  <si>
    <t>kortingspercentage</t>
  </si>
  <si>
    <t>1000 - 2000</t>
  </si>
  <si>
    <t>2001 - 3000</t>
  </si>
  <si>
    <t>3001 - 4000</t>
  </si>
  <si>
    <t>4001 - 5000</t>
  </si>
  <si>
    <t>5001 - 6000</t>
  </si>
  <si>
    <t>CNG</t>
  </si>
  <si>
    <t>901 - 1200</t>
  </si>
  <si>
    <t>totaal</t>
  </si>
  <si>
    <t>kortings-percentage</t>
  </si>
  <si>
    <t>Euro/kg na korting</t>
  </si>
  <si>
    <t>0 - 5000</t>
  </si>
  <si>
    <t>5001 - 10000</t>
  </si>
  <si>
    <t>15001 - 20000</t>
  </si>
  <si>
    <t>20001 - 25000</t>
  </si>
  <si>
    <t>kosten vervanging pas</t>
  </si>
  <si>
    <t>staffel liters</t>
  </si>
  <si>
    <t>staffel Euro/kg</t>
  </si>
  <si>
    <t>10001 - 15000</t>
  </si>
  <si>
    <t>Kosten per Pas en administratieve afhandeling verbruik</t>
  </si>
  <si>
    <t>benzine Euro  95 (E10)</t>
  </si>
  <si>
    <t>diesel (B7)</t>
  </si>
  <si>
    <t>A</t>
  </si>
  <si>
    <t>B</t>
  </si>
  <si>
    <t>C</t>
  </si>
  <si>
    <t>D</t>
  </si>
  <si>
    <t>E</t>
  </si>
  <si>
    <t>Korting elektrisch opladen</t>
  </si>
  <si>
    <t>kWh</t>
  </si>
  <si>
    <t>Euro/kWh na korting</t>
  </si>
  <si>
    <t>Aantal passen*</t>
  </si>
  <si>
    <t>* dit aantal is variabel en kan toe- of afnemen</t>
  </si>
  <si>
    <t>Fictief totaalbedrag over 2 jaar</t>
  </si>
  <si>
    <t>staffel Euro/kWh</t>
  </si>
  <si>
    <t>0 - 2000</t>
  </si>
  <si>
    <t>2001 - 4000</t>
  </si>
  <si>
    <t>4001 - 6000</t>
  </si>
  <si>
    <t>6001 - 8000</t>
  </si>
  <si>
    <t>8001 - 10000</t>
  </si>
  <si>
    <t>totaalprijs per maand, inclusief administratieve afhandeling</t>
  </si>
  <si>
    <t>totaalprijs per maand inclusief administratieve afhandeling</t>
  </si>
  <si>
    <t>kosten pas en vervanging pas (deze kosten zijn ter informatie en worden niet meegenomen in de beoordeling. Vanzelfsprekend dienen de bedragen correct te zijn en te worden gehanteerd bij eventuele gunning)</t>
  </si>
  <si>
    <t xml:space="preserve">benzine Super plus  98 (E5) </t>
  </si>
  <si>
    <t>TOTALE FICTIEVE PRIJS A+B+C+D+E+F</t>
  </si>
  <si>
    <t>HVO 100</t>
  </si>
  <si>
    <t>ALLE GELE CELLEN INVULLEN
NB: DOOR HET INVULLEN VAN DE PERCENTAGES VERANDEREN DE BEDRAGEN IN KOLOMMEN E EN F etc.</t>
  </si>
  <si>
    <t>Prijs per liter voor korting (Literprijs op basis van GLA Super plus  98 (E5) per (27 november 2024)</t>
  </si>
  <si>
    <t>Prijs per liter voor korting (Literprijs op basis van GLA diesel (B7) per 27 november 2024)</t>
  </si>
  <si>
    <t xml:space="preserve">Euro/kWh voor korting (prijs per 27 november 2024 </t>
  </si>
  <si>
    <t>Prijs per liter voor korting (Literprijs op basis van GLA Euro 95 (E10) per 27 november  2024)</t>
  </si>
  <si>
    <t xml:space="preserve">Euro/kg voor korting (prijs per 27 november 2024 </t>
  </si>
  <si>
    <t>Prijs per liter voor korting (Literprijs op basis van GLA HVO 100 per 27 november 2024)</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</si>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</sst>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_-"/>
    <numFmt numFmtId="165" formatCode="_ &quot;€&quot;\ * #,##0.000_ ;_ &quot;€&quot;\ * \-#,##0.000_ ;_ &quot;€&quot;\ * &quot;-&quot;???_ ;_ @_ "/>
    <numFmt numFmtId="166" formatCode="_ * #,##0.000_ ;_ * \-#,##0.000_ ;_ * &quot;-&quot;???_ ;_ @_ "/>
  </numFmts>
  <fonts count="12" x14ac:knownFonts="1">
    <font>
      <sz val="11"/>
      <color theme="1"/>
      <name val="Calibri"/>
      <family val="2"/>
      <scheme val="minor"/>
    </font>
    <font>
      <b/>
      <sz val="11"/>
      <color theme="1"/>
      <name val="Calibri"/>
      <family val="2"/>
      <scheme val="minor"/>
    </font>
    <font>
      <sz val="9"/>
      <color theme="1"/>
      <name val="Calibri"/>
      <family val="2"/>
      <scheme val="minor"/>
    </font>
    <font>
      <b/>
      <sz val="11"/>
      <color theme="0"/>
      <name val="Calibri"/>
      <family val="2"/>
      <scheme val="minor"/>
    </font>
    <font>
      <sz val="10"/>
      <color theme="1"/>
      <name val="Calibri"/>
      <family val="2"/>
      <scheme val="minor"/>
    </font>
    <font>
      <sz val="8"/>
      <color theme="1"/>
      <name val="Calibri"/>
      <family val="2"/>
      <scheme val="minor"/>
    </font>
    <font>
      <b/>
      <sz val="9"/>
      <color theme="0"/>
      <name val="Calibri"/>
      <family val="2"/>
      <scheme val="minor"/>
    </font>
    <font>
      <b/>
      <sz val="11"/>
      <color rgb="FFFF0000"/>
      <name val="Calibri"/>
      <family val="2"/>
      <scheme val="minor"/>
    </font>
    <font>
      <b/>
      <sz val="36"/>
      <color theme="0"/>
      <name val="Calibri"/>
      <family val="2"/>
      <scheme val="minor"/>
    </font>
    <font>
      <i/>
      <sz val="9"/>
      <color theme="1"/>
      <name val="Calibri"/>
      <family val="2"/>
      <scheme val="minor"/>
    </font>
    <font>
      <sz val="9"/>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1" tint="4.9989318521683403E-2"/>
        <bgColor indexed="64"/>
      </patternFill>
    </fill>
    <fill>
      <patternFill patternType="solid">
        <fgColor rgb="FF0070C0"/>
        <bgColor indexed="64"/>
      </patternFill>
    </fill>
    <fill>
      <patternFill patternType="solid">
        <fgColor rgb="FF002060"/>
        <bgColor indexed="64"/>
      </patternFill>
    </fill>
    <fill>
      <patternFill patternType="solid">
        <fgColor rgb="FF00B050"/>
        <bgColor indexed="64"/>
      </patternFill>
    </fill>
    <fill>
      <patternFill patternType="solid">
        <fgColor rgb="FFFFFFCC"/>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Font="1" applyAlignment="1">
      <alignment vertical="top" wrapText="1"/>
    </xf>
    <xf numFmtId="0" fontId="0" fillId="0" borderId="3" xfId="0" applyFont="1" applyFill="1" applyBorder="1" applyAlignment="1">
      <alignment vertical="top" wrapText="1"/>
    </xf>
    <xf numFmtId="0" fontId="2" fillId="0" borderId="3" xfId="0" applyFont="1" applyBorder="1" applyAlignment="1">
      <alignment vertical="top" wrapText="1"/>
    </xf>
    <xf numFmtId="0" fontId="0" fillId="0" borderId="3" xfId="0" applyFont="1" applyBorder="1" applyAlignment="1">
      <alignment vertical="top" wrapText="1"/>
    </xf>
    <xf numFmtId="0" fontId="0" fillId="0" borderId="0" xfId="0" applyFont="1" applyAlignment="1">
      <alignment horizontal="left" vertical="top" wrapText="1"/>
    </xf>
    <xf numFmtId="0" fontId="0"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2" borderId="1" xfId="0" applyFont="1" applyFill="1" applyBorder="1" applyAlignment="1">
      <alignment horizontal="left" vertical="top" wrapText="1"/>
    </xf>
    <xf numFmtId="44"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164" fontId="0" fillId="6" borderId="1" xfId="0" applyNumberFormat="1" applyFont="1" applyFill="1" applyBorder="1" applyAlignment="1">
      <alignment horizontal="left" vertical="top" wrapText="1"/>
    </xf>
    <xf numFmtId="0" fontId="0" fillId="3" borderId="0" xfId="0" applyFont="1" applyFill="1" applyAlignment="1">
      <alignment horizontal="left" vertical="top" wrapText="1"/>
    </xf>
    <xf numFmtId="0" fontId="2" fillId="0" borderId="0" xfId="0" applyFont="1" applyBorder="1" applyAlignment="1">
      <alignment horizontal="left" vertical="top" wrapText="1"/>
    </xf>
    <xf numFmtId="0" fontId="10" fillId="0" borderId="1" xfId="0" applyFont="1" applyBorder="1" applyAlignment="1">
      <alignment horizontal="left" vertical="top" wrapText="1"/>
    </xf>
    <xf numFmtId="164" fontId="2" fillId="7" borderId="1" xfId="0" applyNumberFormat="1" applyFont="1" applyFill="1" applyBorder="1" applyAlignment="1" applyProtection="1">
      <alignment horizontal="left" vertical="top" wrapText="1"/>
      <protection locked="0"/>
    </xf>
    <xf numFmtId="44" fontId="2" fillId="7" borderId="1" xfId="0" applyNumberFormat="1" applyFont="1" applyFill="1" applyBorder="1" applyAlignment="1" applyProtection="1">
      <alignment horizontal="left" vertical="top" wrapText="1"/>
      <protection locked="0"/>
    </xf>
    <xf numFmtId="10" fontId="0" fillId="7" borderId="1" xfId="0" applyNumberFormat="1" applyFont="1" applyFill="1" applyBorder="1" applyAlignment="1" applyProtection="1">
      <alignment vertical="top" wrapText="1"/>
      <protection locked="0"/>
    </xf>
    <xf numFmtId="2" fontId="0" fillId="0" borderId="0" xfId="0" applyNumberFormat="1" applyFont="1" applyAlignment="1" applyProtection="1">
      <alignment vertical="top" wrapText="1"/>
    </xf>
    <xf numFmtId="2" fontId="8" fillId="4" borderId="0" xfId="0" applyNumberFormat="1" applyFont="1" applyFill="1" applyAlignment="1" applyProtection="1">
      <alignment horizontal="left" vertical="top" wrapText="1"/>
    </xf>
    <xf numFmtId="2" fontId="3" fillId="4" borderId="0" xfId="0" applyNumberFormat="1" applyFont="1" applyFill="1" applyBorder="1" applyAlignment="1" applyProtection="1">
      <alignment vertical="top" wrapText="1"/>
    </xf>
    <xf numFmtId="2" fontId="8" fillId="4" borderId="0" xfId="0" applyNumberFormat="1" applyFont="1" applyFill="1" applyAlignment="1" applyProtection="1">
      <alignment vertical="top" wrapText="1"/>
    </xf>
    <xf numFmtId="2" fontId="3" fillId="4" borderId="0" xfId="0" applyNumberFormat="1" applyFont="1" applyFill="1" applyAlignment="1" applyProtection="1">
      <alignment vertical="top" wrapText="1"/>
    </xf>
    <xf numFmtId="2" fontId="0" fillId="4" borderId="0" xfId="0" applyNumberFormat="1" applyFont="1" applyFill="1" applyAlignment="1" applyProtection="1">
      <alignment vertical="top" wrapText="1"/>
    </xf>
    <xf numFmtId="2" fontId="0" fillId="2" borderId="1" xfId="0" applyNumberFormat="1" applyFont="1" applyFill="1" applyBorder="1" applyAlignment="1" applyProtection="1">
      <alignment vertical="top" wrapText="1"/>
    </xf>
    <xf numFmtId="2" fontId="11" fillId="2" borderId="1" xfId="0" applyNumberFormat="1" applyFont="1" applyFill="1" applyBorder="1" applyAlignment="1" applyProtection="1">
      <alignment vertical="top" wrapText="1"/>
    </xf>
    <xf numFmtId="2" fontId="11" fillId="0" borderId="1" xfId="0" applyNumberFormat="1" applyFont="1" applyBorder="1" applyAlignment="1" applyProtection="1">
      <alignment vertical="top" wrapText="1"/>
    </xf>
    <xf numFmtId="1" fontId="11" fillId="0" borderId="1" xfId="0" applyNumberFormat="1" applyFont="1" applyBorder="1" applyAlignment="1" applyProtection="1">
      <alignment vertical="top" wrapText="1"/>
    </xf>
    <xf numFmtId="165" fontId="11" fillId="0" borderId="1" xfId="0" applyNumberFormat="1" applyFont="1" applyBorder="1" applyAlignment="1" applyProtection="1">
      <alignment vertical="top" wrapText="1"/>
    </xf>
    <xf numFmtId="166" fontId="0" fillId="0" borderId="1" xfId="0" applyNumberFormat="1" applyFont="1" applyBorder="1" applyAlignment="1" applyProtection="1">
      <alignment vertical="top" wrapText="1"/>
    </xf>
    <xf numFmtId="44" fontId="0" fillId="0" borderId="1" xfId="0" applyNumberFormat="1" applyFont="1" applyBorder="1" applyAlignment="1" applyProtection="1">
      <alignment vertical="top" wrapText="1"/>
    </xf>
    <xf numFmtId="164" fontId="0" fillId="0" borderId="1" xfId="0" applyNumberFormat="1" applyFont="1" applyBorder="1" applyAlignment="1" applyProtection="1">
      <alignment vertical="top" wrapText="1"/>
    </xf>
    <xf numFmtId="2" fontId="0" fillId="0" borderId="0" xfId="0" applyNumberFormat="1" applyFont="1" applyBorder="1" applyAlignment="1" applyProtection="1">
      <alignment vertical="top" wrapText="1"/>
    </xf>
    <xf numFmtId="1" fontId="0" fillId="0" borderId="1" xfId="0" applyNumberFormat="1" applyFont="1" applyBorder="1" applyAlignment="1" applyProtection="1">
      <alignment vertical="top" wrapText="1"/>
    </xf>
    <xf numFmtId="2" fontId="1" fillId="0" borderId="0" xfId="0" applyNumberFormat="1" applyFont="1" applyBorder="1" applyAlignment="1" applyProtection="1">
      <alignment vertical="top" wrapText="1"/>
    </xf>
    <xf numFmtId="166" fontId="0" fillId="0" borderId="0" xfId="0" applyNumberFormat="1" applyFont="1" applyAlignment="1" applyProtection="1">
      <alignment vertical="top" wrapText="1"/>
    </xf>
    <xf numFmtId="44" fontId="0" fillId="6" borderId="0" xfId="0" applyNumberFormat="1" applyFont="1" applyFill="1" applyBorder="1" applyAlignment="1" applyProtection="1">
      <alignment vertical="top" wrapText="1"/>
    </xf>
    <xf numFmtId="165" fontId="0" fillId="0" borderId="1" xfId="0" applyNumberFormat="1" applyFont="1" applyBorder="1" applyAlignment="1" applyProtection="1">
      <alignment vertical="top" wrapText="1"/>
    </xf>
    <xf numFmtId="44" fontId="0" fillId="6" borderId="0" xfId="0" applyNumberFormat="1" applyFont="1" applyFill="1" applyAlignment="1" applyProtection="1">
      <alignment vertical="top" wrapText="1"/>
    </xf>
    <xf numFmtId="0" fontId="6" fillId="5" borderId="4" xfId="0" applyFont="1" applyFill="1" applyBorder="1" applyAlignment="1">
      <alignment horizontal="center" vertical="top" wrapText="1"/>
    </xf>
    <xf numFmtId="0" fontId="6" fillId="5" borderId="5" xfId="0" applyFont="1" applyFill="1" applyBorder="1" applyAlignment="1">
      <alignment horizontal="center" vertical="top" wrapText="1"/>
    </xf>
    <xf numFmtId="0" fontId="6" fillId="5" borderId="6" xfId="0" applyFont="1" applyFill="1" applyBorder="1" applyAlignment="1">
      <alignment horizontal="center" vertical="top" wrapText="1"/>
    </xf>
    <xf numFmtId="0" fontId="5" fillId="0" borderId="2"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9" fillId="0" borderId="7" xfId="0" applyFont="1" applyBorder="1" applyAlignment="1">
      <alignment horizontal="left" vertical="top" wrapText="1"/>
    </xf>
    <xf numFmtId="0" fontId="5"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2" fontId="3" fillId="4" borderId="2" xfId="0" applyNumberFormat="1" applyFont="1" applyFill="1" applyBorder="1" applyAlignment="1" applyProtection="1">
      <alignment vertical="top" wrapText="1"/>
    </xf>
    <xf numFmtId="0" fontId="0" fillId="0" borderId="2" xfId="0" applyBorder="1" applyAlignment="1" applyProtection="1">
      <alignment vertical="top" wrapText="1"/>
    </xf>
    <xf numFmtId="2" fontId="1" fillId="8" borderId="0" xfId="0" applyNumberFormat="1" applyFont="1" applyFill="1" applyAlignment="1" applyProtection="1">
      <alignment vertical="top" wrapText="1"/>
    </xf>
    <xf numFmtId="0" fontId="0" fillId="8" borderId="0" xfId="0" applyFill="1" applyAlignment="1" applyProtection="1">
      <alignment vertical="top" wrapText="1"/>
    </xf>
    <xf numFmtId="2" fontId="7" fillId="0" borderId="0" xfId="0" applyNumberFormat="1" applyFont="1" applyAlignment="1" applyProtection="1">
      <alignment horizontal="center" vertical="top" wrapText="1"/>
    </xf>
    <xf numFmtId="0" fontId="0" fillId="0" borderId="0" xfId="0" applyAlignment="1" applyProtection="1">
      <alignment vertical="top" wrapText="1"/>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zoomScale="120" zoomScaleNormal="120" workbookViewId="0">
      <selection activeCell="F10" sqref="F10"/>
    </sheetView>
  </sheetViews>
  <sheetFormatPr defaultColWidth="9.109375" defaultRowHeight="14.4" x14ac:dyDescent="0.3"/>
  <cols>
    <col min="1" max="1" width="15.88671875" style="1" customWidth="1"/>
    <col min="2" max="2" width="14.109375" style="1" customWidth="1"/>
    <col min="3" max="3" width="14.44140625" style="1" customWidth="1"/>
    <col min="4" max="4" width="10.44140625" style="1" customWidth="1"/>
    <col min="5" max="5" width="14.109375" style="1" customWidth="1"/>
    <col min="6" max="6" width="9.109375" style="1"/>
    <col min="7" max="7" width="23.33203125" style="1" customWidth="1"/>
    <col min="8" max="16384" width="9.109375" style="1"/>
  </cols>
  <sheetData>
    <row r="1" spans="1:5" ht="24.75" customHeight="1" thickBot="1" x14ac:dyDescent="0.35">
      <c r="A1" s="40" t="s">
        <v>33</v>
      </c>
      <c r="B1" s="41"/>
      <c r="C1" s="41"/>
      <c r="D1" s="41"/>
      <c r="E1" s="42"/>
    </row>
    <row r="2" spans="1:5" x14ac:dyDescent="0.3">
      <c r="A2" s="2"/>
      <c r="B2" s="3"/>
      <c r="C2" s="3"/>
      <c r="D2" s="4"/>
      <c r="E2" s="4"/>
    </row>
    <row r="3" spans="1:5" ht="52.5" customHeight="1" x14ac:dyDescent="0.3">
      <c r="A3" s="5"/>
      <c r="B3" s="6" t="s">
        <v>44</v>
      </c>
      <c r="C3" s="7" t="s">
        <v>53</v>
      </c>
      <c r="D3" s="8" t="s">
        <v>1</v>
      </c>
      <c r="E3" s="8" t="s">
        <v>46</v>
      </c>
    </row>
    <row r="4" spans="1:5" x14ac:dyDescent="0.3">
      <c r="A4" s="9"/>
      <c r="B4" s="15">
        <v>110</v>
      </c>
      <c r="C4" s="16">
        <v>0</v>
      </c>
      <c r="D4" s="10">
        <f>(C4*B4)*24</f>
        <v>0</v>
      </c>
      <c r="E4" s="12">
        <f>D4</f>
        <v>0</v>
      </c>
    </row>
    <row r="5" spans="1:5" x14ac:dyDescent="0.3">
      <c r="A5" s="5"/>
      <c r="B5" s="46" t="s">
        <v>45</v>
      </c>
      <c r="C5" s="46"/>
      <c r="D5" s="46"/>
      <c r="E5" s="5"/>
    </row>
    <row r="6" spans="1:5" ht="9" customHeight="1" x14ac:dyDescent="0.3">
      <c r="A6" s="13"/>
      <c r="B6" s="13"/>
      <c r="C6" s="13"/>
      <c r="D6" s="13"/>
      <c r="E6" s="13"/>
    </row>
    <row r="7" spans="1:5" ht="16.5" customHeight="1" x14ac:dyDescent="0.3">
      <c r="A7" s="43"/>
      <c r="B7" s="44"/>
      <c r="C7" s="45"/>
      <c r="D7" s="5"/>
      <c r="E7" s="5"/>
    </row>
    <row r="8" spans="1:5" ht="48" x14ac:dyDescent="0.3">
      <c r="A8" s="6"/>
      <c r="B8" s="11" t="s">
        <v>54</v>
      </c>
      <c r="C8" s="47" t="s">
        <v>55</v>
      </c>
      <c r="D8" s="48"/>
      <c r="E8" s="49"/>
    </row>
    <row r="9" spans="1:5" x14ac:dyDescent="0.3">
      <c r="A9" s="8" t="s">
        <v>0</v>
      </c>
      <c r="B9" s="16">
        <v>0</v>
      </c>
      <c r="C9" s="5"/>
      <c r="D9" s="14"/>
      <c r="E9" s="5"/>
    </row>
    <row r="10" spans="1:5" ht="24" x14ac:dyDescent="0.3">
      <c r="A10" s="8" t="s">
        <v>29</v>
      </c>
      <c r="B10" s="17">
        <v>0</v>
      </c>
      <c r="C10" s="5"/>
      <c r="D10" s="5"/>
      <c r="E10" s="5"/>
    </row>
  </sheetData>
  <sheetProtection algorithmName="SHA-512" hashValue="nvwUCUlyGPV0uyVGsdJ3Bhocm483LxxMUimNQ3UM5A/eqf0xsW2m4uBAvkYHSZEWREPCuN0b9M6DAUVA98SOFw==" saltValue="yTSCXYLUJIczumNIjLyi0g==" spinCount="100000" sheet="1" objects="1" scenarios="1"/>
  <mergeCells count="4">
    <mergeCell ref="A1:E1"/>
    <mergeCell ref="A7:C7"/>
    <mergeCell ref="B5:D5"/>
    <mergeCell ref="C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7"/>
  <sheetViews>
    <sheetView tabSelected="1" topLeftCell="A4" zoomScale="50" zoomScaleNormal="50" workbookViewId="0">
      <selection activeCell="W17" sqref="W17"/>
    </sheetView>
  </sheetViews>
  <sheetFormatPr defaultColWidth="9.109375" defaultRowHeight="14.4" x14ac:dyDescent="0.3"/>
  <cols>
    <col min="1" max="1" width="8.5546875" style="19" bestFit="1" customWidth="1"/>
    <col min="2" max="2" width="9.44140625" style="19" bestFit="1" customWidth="1"/>
    <col min="3" max="3" width="12.88671875" style="19" customWidth="1"/>
    <col min="4" max="4" width="9.44140625" style="19" bestFit="1" customWidth="1"/>
    <col min="5" max="5" width="11.88671875" style="19" bestFit="1" customWidth="1"/>
    <col min="6" max="6" width="12.44140625" style="19" bestFit="1" customWidth="1"/>
    <col min="7" max="7" width="1.88671875" style="19" customWidth="1"/>
    <col min="8" max="8" width="7.6640625" style="19" bestFit="1" customWidth="1"/>
    <col min="9" max="9" width="9.5546875" style="19" bestFit="1" customWidth="1"/>
    <col min="10" max="10" width="14" style="19" customWidth="1"/>
    <col min="11" max="12" width="9.109375" style="19"/>
    <col min="13" max="13" width="13.5546875" style="19" bestFit="1" customWidth="1"/>
    <col min="14" max="14" width="1.88671875" style="19" customWidth="1"/>
    <col min="15" max="15" width="10.33203125" style="19" customWidth="1"/>
    <col min="16" max="16" width="9.5546875" style="19" bestFit="1" customWidth="1"/>
    <col min="17" max="17" width="15" style="19" customWidth="1"/>
    <col min="18" max="19" width="9.109375" style="19"/>
    <col min="20" max="20" width="13.5546875" style="19" bestFit="1" customWidth="1"/>
    <col min="21" max="21" width="1.44140625" style="19" customWidth="1"/>
    <col min="22" max="22" width="8.5546875" style="19" bestFit="1" customWidth="1"/>
    <col min="23" max="23" width="41.5546875" style="19" customWidth="1"/>
    <col min="24" max="24" width="8.6640625" style="19" bestFit="1" customWidth="1"/>
    <col min="25" max="26" width="9.109375" style="19"/>
    <col min="27" max="27" width="14.6640625" style="19" customWidth="1"/>
    <col min="28" max="29" width="13.5546875" style="19" bestFit="1" customWidth="1"/>
    <col min="30" max="30" width="9.44140625" style="19" customWidth="1"/>
    <col min="31" max="31" width="10.6640625" style="19" customWidth="1"/>
    <col min="32" max="32" width="9.109375" style="19"/>
    <col min="33" max="33" width="10.44140625" style="19" customWidth="1"/>
    <col min="34" max="34" width="13.5546875" style="19" bestFit="1" customWidth="1"/>
    <col min="35" max="16384" width="9.109375" style="19"/>
  </cols>
  <sheetData>
    <row r="1" spans="1:20" ht="42" customHeight="1" x14ac:dyDescent="0.3">
      <c r="B1" s="54" t="s">
        <v>59</v>
      </c>
      <c r="C1" s="54"/>
      <c r="D1" s="54"/>
      <c r="E1" s="54"/>
      <c r="F1" s="54"/>
      <c r="G1" s="55"/>
      <c r="H1" s="55"/>
      <c r="I1" s="55"/>
      <c r="J1" s="55"/>
      <c r="K1" s="55"/>
      <c r="L1" s="55"/>
      <c r="M1" s="55"/>
      <c r="N1" s="55"/>
      <c r="O1" s="55"/>
      <c r="P1" s="55"/>
      <c r="Q1" s="55"/>
      <c r="R1" s="55"/>
      <c r="S1" s="55"/>
      <c r="T1" s="55"/>
    </row>
    <row r="2" spans="1:20" ht="10.5" customHeight="1" x14ac:dyDescent="0.3"/>
    <row r="3" spans="1:20" ht="43.5" customHeight="1" x14ac:dyDescent="0.3">
      <c r="A3" s="20" t="s">
        <v>36</v>
      </c>
      <c r="B3" s="21" t="s">
        <v>2</v>
      </c>
      <c r="C3" s="50" t="s">
        <v>56</v>
      </c>
      <c r="D3" s="51"/>
      <c r="E3" s="51"/>
      <c r="F3" s="51"/>
      <c r="H3" s="22" t="s">
        <v>38</v>
      </c>
      <c r="I3" s="21" t="s">
        <v>2</v>
      </c>
      <c r="J3" s="23" t="s">
        <v>35</v>
      </c>
      <c r="K3" s="24"/>
      <c r="L3" s="24"/>
      <c r="M3" s="24"/>
      <c r="O3" s="22" t="s">
        <v>40</v>
      </c>
      <c r="P3" s="21" t="s">
        <v>41</v>
      </c>
      <c r="Q3" s="23" t="s">
        <v>42</v>
      </c>
      <c r="R3" s="24"/>
      <c r="S3" s="24"/>
      <c r="T3" s="24"/>
    </row>
    <row r="4" spans="1:20" ht="142.5" customHeight="1" x14ac:dyDescent="0.3">
      <c r="A4" s="25" t="s">
        <v>30</v>
      </c>
      <c r="B4" s="25" t="s">
        <v>12</v>
      </c>
      <c r="C4" s="26" t="s">
        <v>60</v>
      </c>
      <c r="D4" s="25" t="s">
        <v>14</v>
      </c>
      <c r="E4" s="25" t="s">
        <v>3</v>
      </c>
      <c r="F4" s="25" t="s">
        <v>22</v>
      </c>
      <c r="H4" s="25" t="s">
        <v>30</v>
      </c>
      <c r="I4" s="25" t="s">
        <v>12</v>
      </c>
      <c r="J4" s="26" t="s">
        <v>61</v>
      </c>
      <c r="K4" s="25" t="s">
        <v>23</v>
      </c>
      <c r="L4" s="25" t="s">
        <v>3</v>
      </c>
      <c r="M4" s="25"/>
      <c r="O4" s="25" t="s">
        <v>47</v>
      </c>
      <c r="P4" s="25" t="s">
        <v>12</v>
      </c>
      <c r="Q4" s="26" t="s">
        <v>62</v>
      </c>
      <c r="R4" s="25" t="s">
        <v>23</v>
      </c>
      <c r="S4" s="25" t="s">
        <v>43</v>
      </c>
      <c r="T4" s="25"/>
    </row>
    <row r="5" spans="1:20" ht="28.8" x14ac:dyDescent="0.3">
      <c r="A5" s="27" t="s">
        <v>4</v>
      </c>
      <c r="B5" s="28">
        <v>4</v>
      </c>
      <c r="C5" s="29">
        <v>2.359</v>
      </c>
      <c r="D5" s="18">
        <v>0</v>
      </c>
      <c r="E5" s="30">
        <f>C5 -(D5*C5)</f>
        <v>2.359</v>
      </c>
      <c r="F5" s="31">
        <f>E5*150*4</f>
        <v>1415.4</v>
      </c>
      <c r="H5" s="27" t="s">
        <v>7</v>
      </c>
      <c r="I5" s="28">
        <v>1</v>
      </c>
      <c r="J5" s="29">
        <v>1.9530000000000001</v>
      </c>
      <c r="K5" s="18">
        <v>0</v>
      </c>
      <c r="L5" s="32">
        <f>J5 -(K5*J5)</f>
        <v>1.9530000000000001</v>
      </c>
      <c r="M5" s="31">
        <f>L5*3000*1</f>
        <v>5859</v>
      </c>
      <c r="O5" s="27" t="s">
        <v>48</v>
      </c>
      <c r="P5" s="28">
        <v>1</v>
      </c>
      <c r="Q5" s="29">
        <v>0.85</v>
      </c>
      <c r="R5" s="18">
        <v>0</v>
      </c>
      <c r="S5" s="32">
        <f>Q5 -(R5*Q5)</f>
        <v>0.85</v>
      </c>
      <c r="T5" s="31">
        <f>S5*1000*1</f>
        <v>850</v>
      </c>
    </row>
    <row r="6" spans="1:20" ht="28.8" x14ac:dyDescent="0.3">
      <c r="A6" s="27" t="s">
        <v>5</v>
      </c>
      <c r="B6" s="28">
        <v>3</v>
      </c>
      <c r="C6" s="29">
        <v>2.359</v>
      </c>
      <c r="D6" s="18">
        <v>0</v>
      </c>
      <c r="E6" s="30">
        <f>C6 -(D6*C6)</f>
        <v>2.359</v>
      </c>
      <c r="F6" s="31">
        <f>E6*450*3</f>
        <v>3184.6499999999996</v>
      </c>
      <c r="H6" s="27" t="s">
        <v>8</v>
      </c>
      <c r="I6" s="28">
        <v>1</v>
      </c>
      <c r="J6" s="29">
        <v>1.9530000000000001</v>
      </c>
      <c r="K6" s="18">
        <v>0</v>
      </c>
      <c r="L6" s="32">
        <f>J6 -(K6*J6)</f>
        <v>1.9530000000000001</v>
      </c>
      <c r="M6" s="31">
        <f>L6*5000*1</f>
        <v>9765</v>
      </c>
      <c r="O6" s="27" t="s">
        <v>49</v>
      </c>
      <c r="P6" s="28">
        <v>1</v>
      </c>
      <c r="Q6" s="29">
        <v>0.85</v>
      </c>
      <c r="R6" s="18">
        <v>0</v>
      </c>
      <c r="S6" s="32">
        <f>Q6 -(R6*Q6)</f>
        <v>0.85</v>
      </c>
      <c r="T6" s="31">
        <f>S6*3000*1</f>
        <v>2550</v>
      </c>
    </row>
    <row r="7" spans="1:20" ht="28.8" x14ac:dyDescent="0.3">
      <c r="A7" s="27" t="s">
        <v>6</v>
      </c>
      <c r="B7" s="28">
        <v>2</v>
      </c>
      <c r="C7" s="29">
        <v>2.359</v>
      </c>
      <c r="D7" s="18">
        <v>0</v>
      </c>
      <c r="E7" s="30">
        <f>C7 -(D7*C7)</f>
        <v>2.359</v>
      </c>
      <c r="F7" s="31">
        <f>E7*750*2</f>
        <v>3538.5</v>
      </c>
      <c r="H7" s="27" t="s">
        <v>9</v>
      </c>
      <c r="I7" s="28">
        <v>2</v>
      </c>
      <c r="J7" s="29">
        <v>1.9530000000000001</v>
      </c>
      <c r="K7" s="18">
        <v>0</v>
      </c>
      <c r="L7" s="32">
        <f>J7 -(K7*J7)</f>
        <v>1.9530000000000001</v>
      </c>
      <c r="M7" s="31">
        <f>L7*7000*2</f>
        <v>27342</v>
      </c>
      <c r="O7" s="27" t="s">
        <v>50</v>
      </c>
      <c r="P7" s="28">
        <v>4</v>
      </c>
      <c r="Q7" s="29">
        <v>0.85</v>
      </c>
      <c r="R7" s="18">
        <v>0</v>
      </c>
      <c r="S7" s="32">
        <f>Q7 -(R7*Q7)</f>
        <v>0.85</v>
      </c>
      <c r="T7" s="31">
        <f>S7*5000*4</f>
        <v>17000</v>
      </c>
    </row>
    <row r="8" spans="1:20" ht="28.8" x14ac:dyDescent="0.3">
      <c r="A8" s="27" t="s">
        <v>21</v>
      </c>
      <c r="B8" s="28">
        <v>1</v>
      </c>
      <c r="C8" s="29">
        <v>2.359</v>
      </c>
      <c r="D8" s="18">
        <v>0</v>
      </c>
      <c r="E8" s="30">
        <f>C8 -(D8*C8)</f>
        <v>2.359</v>
      </c>
      <c r="F8" s="31">
        <f>E8*1050*1</f>
        <v>2476.9499999999998</v>
      </c>
      <c r="H8" s="27" t="s">
        <v>10</v>
      </c>
      <c r="I8" s="28">
        <v>4</v>
      </c>
      <c r="J8" s="29">
        <v>1.9530000000000001</v>
      </c>
      <c r="K8" s="18">
        <v>0</v>
      </c>
      <c r="L8" s="32">
        <f>J8 -(K8*J8)</f>
        <v>1.9530000000000001</v>
      </c>
      <c r="M8" s="31">
        <f>L8*9000*4</f>
        <v>70308</v>
      </c>
      <c r="O8" s="27" t="s">
        <v>51</v>
      </c>
      <c r="P8" s="28">
        <v>3</v>
      </c>
      <c r="Q8" s="29">
        <v>0.85</v>
      </c>
      <c r="R8" s="18">
        <v>0</v>
      </c>
      <c r="S8" s="32">
        <f>Q8 -(R8*Q8)</f>
        <v>0.85</v>
      </c>
      <c r="T8" s="31">
        <f>S8*7000*3</f>
        <v>17850</v>
      </c>
    </row>
    <row r="9" spans="1:20" ht="45.75" customHeight="1" x14ac:dyDescent="0.3">
      <c r="A9" s="33"/>
      <c r="B9" s="34">
        <f>SUM(B5:B8)</f>
        <v>10</v>
      </c>
      <c r="D9" s="35" t="s">
        <v>13</v>
      </c>
      <c r="E9" s="36"/>
      <c r="F9" s="37">
        <f>SUM(F5:F8)</f>
        <v>10615.5</v>
      </c>
      <c r="H9" s="27" t="s">
        <v>11</v>
      </c>
      <c r="I9" s="28">
        <v>2</v>
      </c>
      <c r="J9" s="29">
        <v>1.9530000000000001</v>
      </c>
      <c r="K9" s="18">
        <v>0</v>
      </c>
      <c r="L9" s="32">
        <f>J9 -(K9*J9)</f>
        <v>1.9530000000000001</v>
      </c>
      <c r="M9" s="31">
        <f>L9*11000*2</f>
        <v>42966</v>
      </c>
      <c r="O9" s="27" t="s">
        <v>52</v>
      </c>
      <c r="P9" s="28">
        <v>1</v>
      </c>
      <c r="Q9" s="29">
        <v>0.85</v>
      </c>
      <c r="R9" s="18">
        <v>0</v>
      </c>
      <c r="S9" s="32">
        <f>Q9 -(R9*Q9)</f>
        <v>0.85</v>
      </c>
      <c r="T9" s="31">
        <f>S9*9000*1</f>
        <v>7650</v>
      </c>
    </row>
    <row r="10" spans="1:20" ht="28.8" x14ac:dyDescent="0.3">
      <c r="A10" s="33"/>
      <c r="B10" s="33"/>
      <c r="D10" s="33"/>
      <c r="E10" s="33"/>
      <c r="I10" s="34">
        <f>SUM(I5:I9)</f>
        <v>10</v>
      </c>
      <c r="K10" s="35" t="s">
        <v>13</v>
      </c>
      <c r="M10" s="37">
        <f>SUM(M5:M9)</f>
        <v>156240</v>
      </c>
      <c r="P10" s="34">
        <f>SUM(P5:P9)</f>
        <v>10</v>
      </c>
      <c r="R10" s="35" t="s">
        <v>13</v>
      </c>
      <c r="T10" s="37">
        <f>SUM(T5:T9)</f>
        <v>45900</v>
      </c>
    </row>
    <row r="12" spans="1:20" ht="42" customHeight="1" x14ac:dyDescent="0.3">
      <c r="A12" s="22" t="s">
        <v>37</v>
      </c>
      <c r="B12" s="21" t="s">
        <v>2</v>
      </c>
      <c r="C12" s="23" t="s">
        <v>34</v>
      </c>
      <c r="D12" s="24"/>
      <c r="E12" s="24"/>
      <c r="F12" s="24"/>
      <c r="H12" s="22" t="s">
        <v>39</v>
      </c>
      <c r="I12" s="21" t="s">
        <v>2</v>
      </c>
      <c r="J12" s="23" t="s">
        <v>20</v>
      </c>
      <c r="K12" s="24"/>
      <c r="L12" s="24"/>
      <c r="M12" s="24"/>
      <c r="O12" s="22" t="s">
        <v>66</v>
      </c>
      <c r="P12" s="21" t="s">
        <v>2</v>
      </c>
      <c r="Q12" s="23" t="s">
        <v>58</v>
      </c>
      <c r="R12" s="24"/>
      <c r="S12" s="24"/>
      <c r="T12" s="24"/>
    </row>
    <row r="13" spans="1:20" ht="115.2" x14ac:dyDescent="0.3">
      <c r="A13" s="25" t="s">
        <v>30</v>
      </c>
      <c r="B13" s="25" t="s">
        <v>12</v>
      </c>
      <c r="C13" s="26" t="s">
        <v>63</v>
      </c>
      <c r="D13" s="25" t="s">
        <v>23</v>
      </c>
      <c r="E13" s="25" t="s">
        <v>3</v>
      </c>
      <c r="F13" s="25"/>
      <c r="H13" s="25" t="s">
        <v>31</v>
      </c>
      <c r="I13" s="25" t="s">
        <v>12</v>
      </c>
      <c r="J13" s="26" t="s">
        <v>64</v>
      </c>
      <c r="K13" s="25" t="s">
        <v>23</v>
      </c>
      <c r="L13" s="25" t="s">
        <v>24</v>
      </c>
      <c r="M13" s="25"/>
      <c r="O13" s="25" t="s">
        <v>30</v>
      </c>
      <c r="P13" s="25" t="s">
        <v>12</v>
      </c>
      <c r="Q13" s="26" t="s">
        <v>65</v>
      </c>
      <c r="R13" s="25" t="s">
        <v>23</v>
      </c>
      <c r="S13" s="25" t="s">
        <v>3</v>
      </c>
      <c r="T13" s="25"/>
    </row>
    <row r="14" spans="1:20" ht="28.8" x14ac:dyDescent="0.3">
      <c r="A14" s="27" t="s">
        <v>15</v>
      </c>
      <c r="B14" s="28">
        <v>1</v>
      </c>
      <c r="C14" s="29">
        <v>2.1779999999999999</v>
      </c>
      <c r="D14" s="18">
        <v>0</v>
      </c>
      <c r="E14" s="38">
        <f>C14 -(D14*C14)</f>
        <v>2.1779999999999999</v>
      </c>
      <c r="F14" s="31">
        <f>E14*1500*1</f>
        <v>3267</v>
      </c>
      <c r="H14" s="27" t="s">
        <v>25</v>
      </c>
      <c r="I14" s="28">
        <v>1</v>
      </c>
      <c r="J14" s="29">
        <v>1.7989999999999999</v>
      </c>
      <c r="K14" s="18">
        <v>0</v>
      </c>
      <c r="L14" s="32">
        <f>J14 -(K14*J14)</f>
        <v>1.7989999999999999</v>
      </c>
      <c r="M14" s="31">
        <f>L14*2500*1</f>
        <v>4497.5</v>
      </c>
      <c r="O14" s="27" t="s">
        <v>48</v>
      </c>
      <c r="P14" s="28">
        <v>1</v>
      </c>
      <c r="Q14" s="29">
        <v>2.048</v>
      </c>
      <c r="R14" s="18">
        <v>0</v>
      </c>
      <c r="S14" s="32">
        <f>Q14 -(R14*Q14)</f>
        <v>2.048</v>
      </c>
      <c r="T14" s="31">
        <f>S14*1000*1</f>
        <v>2048</v>
      </c>
    </row>
    <row r="15" spans="1:20" ht="28.8" x14ac:dyDescent="0.3">
      <c r="A15" s="27" t="s">
        <v>16</v>
      </c>
      <c r="B15" s="28">
        <v>1</v>
      </c>
      <c r="C15" s="29">
        <v>2.1779999999999999</v>
      </c>
      <c r="D15" s="18">
        <v>0</v>
      </c>
      <c r="E15" s="38">
        <f>C15 -(D15*C15)</f>
        <v>2.1779999999999999</v>
      </c>
      <c r="F15" s="31">
        <f>E15*2500*1</f>
        <v>5445</v>
      </c>
      <c r="H15" s="27" t="s">
        <v>26</v>
      </c>
      <c r="I15" s="28">
        <v>2</v>
      </c>
      <c r="J15" s="29">
        <v>1.7989999999999999</v>
      </c>
      <c r="K15" s="18">
        <v>0</v>
      </c>
      <c r="L15" s="32">
        <f>J15 -(K15*J15)</f>
        <v>1.7989999999999999</v>
      </c>
      <c r="M15" s="31">
        <f>L15*7500*2</f>
        <v>26985</v>
      </c>
      <c r="O15" s="27" t="s">
        <v>49</v>
      </c>
      <c r="P15" s="28">
        <v>2</v>
      </c>
      <c r="Q15" s="29">
        <v>2.048</v>
      </c>
      <c r="R15" s="18">
        <v>0</v>
      </c>
      <c r="S15" s="32">
        <f>Q15 -(R15*Q15)</f>
        <v>2.048</v>
      </c>
      <c r="T15" s="31">
        <f>S15*3000*2</f>
        <v>12288</v>
      </c>
    </row>
    <row r="16" spans="1:20" ht="28.8" x14ac:dyDescent="0.3">
      <c r="A16" s="27" t="s">
        <v>17</v>
      </c>
      <c r="B16" s="28">
        <v>2</v>
      </c>
      <c r="C16" s="29">
        <v>2.1779999999999999</v>
      </c>
      <c r="D16" s="18">
        <v>0</v>
      </c>
      <c r="E16" s="38">
        <f>C16 -(D16*C16)</f>
        <v>2.1779999999999999</v>
      </c>
      <c r="F16" s="31">
        <f>E16*3500*2</f>
        <v>15246</v>
      </c>
      <c r="H16" s="27" t="s">
        <v>32</v>
      </c>
      <c r="I16" s="28">
        <v>4</v>
      </c>
      <c r="J16" s="29">
        <v>1.7989999999999999</v>
      </c>
      <c r="K16" s="18">
        <v>0</v>
      </c>
      <c r="L16" s="32">
        <f>J16 -(K16*J16)</f>
        <v>1.7989999999999999</v>
      </c>
      <c r="M16" s="31">
        <f>L16*12500*4</f>
        <v>89950</v>
      </c>
      <c r="O16" s="27" t="s">
        <v>50</v>
      </c>
      <c r="P16" s="28">
        <v>4</v>
      </c>
      <c r="Q16" s="29">
        <v>2.048</v>
      </c>
      <c r="R16" s="18">
        <v>0</v>
      </c>
      <c r="S16" s="32">
        <f>Q16 -(R16*Q16)</f>
        <v>2.048</v>
      </c>
      <c r="T16" s="31">
        <f>S16*5000*4</f>
        <v>40960</v>
      </c>
    </row>
    <row r="17" spans="1:20" ht="28.8" x14ac:dyDescent="0.3">
      <c r="A17" s="27" t="s">
        <v>18</v>
      </c>
      <c r="B17" s="28">
        <v>4</v>
      </c>
      <c r="C17" s="29">
        <v>2.1779999999999999</v>
      </c>
      <c r="D17" s="18">
        <v>0</v>
      </c>
      <c r="E17" s="38">
        <f>C17 -(D17*C17)</f>
        <v>2.1779999999999999</v>
      </c>
      <c r="F17" s="31">
        <f>E17*4500*4</f>
        <v>39204</v>
      </c>
      <c r="H17" s="27" t="s">
        <v>27</v>
      </c>
      <c r="I17" s="28">
        <v>2</v>
      </c>
      <c r="J17" s="29">
        <v>1.7989999999999999</v>
      </c>
      <c r="K17" s="18">
        <v>0</v>
      </c>
      <c r="L17" s="32">
        <f>J17 -(K17*J17)</f>
        <v>1.7989999999999999</v>
      </c>
      <c r="M17" s="31">
        <f>L17*17500*2</f>
        <v>62965</v>
      </c>
      <c r="O17" s="27" t="s">
        <v>51</v>
      </c>
      <c r="P17" s="28">
        <v>2</v>
      </c>
      <c r="Q17" s="29">
        <v>2.048</v>
      </c>
      <c r="R17" s="18">
        <v>0</v>
      </c>
      <c r="S17" s="32">
        <f>Q17 -(R17*Q17)</f>
        <v>2.048</v>
      </c>
      <c r="T17" s="31">
        <f>S17*7000*2</f>
        <v>28672</v>
      </c>
    </row>
    <row r="18" spans="1:20" ht="28.8" x14ac:dyDescent="0.3">
      <c r="A18" s="27" t="s">
        <v>19</v>
      </c>
      <c r="B18" s="28">
        <v>2</v>
      </c>
      <c r="C18" s="29">
        <v>2.1779999999999999</v>
      </c>
      <c r="D18" s="18">
        <v>0</v>
      </c>
      <c r="E18" s="38">
        <f>C18 -(D18*C18)</f>
        <v>2.1779999999999999</v>
      </c>
      <c r="F18" s="31">
        <f>E18*5500*2</f>
        <v>23958</v>
      </c>
      <c r="H18" s="27" t="s">
        <v>28</v>
      </c>
      <c r="I18" s="28">
        <v>1</v>
      </c>
      <c r="J18" s="29">
        <v>1.7989999999999999</v>
      </c>
      <c r="K18" s="18">
        <v>0</v>
      </c>
      <c r="L18" s="32">
        <f>J18 -(K18*J18)</f>
        <v>1.7989999999999999</v>
      </c>
      <c r="M18" s="31">
        <f>L18*22500*1</f>
        <v>40477.5</v>
      </c>
      <c r="O18" s="27" t="s">
        <v>52</v>
      </c>
      <c r="P18" s="28">
        <v>1</v>
      </c>
      <c r="Q18" s="29">
        <v>2.048</v>
      </c>
      <c r="R18" s="18">
        <v>0</v>
      </c>
      <c r="S18" s="32">
        <f>Q18 -(R18*Q18)</f>
        <v>2.048</v>
      </c>
      <c r="T18" s="31">
        <f>S18*9000*1</f>
        <v>18432</v>
      </c>
    </row>
    <row r="19" spans="1:20" ht="28.8" x14ac:dyDescent="0.3">
      <c r="B19" s="34">
        <f>SUM(B14:B18)</f>
        <v>10</v>
      </c>
      <c r="D19" s="35" t="s">
        <v>13</v>
      </c>
      <c r="F19" s="37">
        <f>SUM(F14:F18)</f>
        <v>87120</v>
      </c>
      <c r="I19" s="34">
        <f>SUM(I14:I18)</f>
        <v>10</v>
      </c>
      <c r="K19" s="35" t="s">
        <v>13</v>
      </c>
      <c r="M19" s="37">
        <f>SUM(M14:M18)</f>
        <v>224875</v>
      </c>
      <c r="P19" s="34">
        <f>SUM(P14:P18)</f>
        <v>10</v>
      </c>
      <c r="R19" s="35" t="s">
        <v>13</v>
      </c>
      <c r="T19" s="37">
        <f>SUM(T14:T18)</f>
        <v>102400</v>
      </c>
    </row>
    <row r="21" spans="1:20" ht="78" customHeight="1" x14ac:dyDescent="0.3">
      <c r="R21" s="52" t="s">
        <v>57</v>
      </c>
      <c r="S21" s="53"/>
      <c r="T21" s="39">
        <f>SUM(F9,F19,M10,M19,T10,T19)</f>
        <v>627150.5</v>
      </c>
    </row>
    <row r="37" spans="2:6" x14ac:dyDescent="0.3">
      <c r="B37" s="33"/>
      <c r="D37" s="35"/>
      <c r="F37" s="33"/>
    </row>
  </sheetData>
  <sheetProtection algorithmName="SHA-512" hashValue="AjtXZ+pH8jxxbhoxFAf2Hi1fA8y2FtOEMm+aMSDbaCeLDfNjwcqUt6YcZv5UkmPWCwDUIgzXVujVwKKHhi/asg==" saltValue="reQaaO5/tC95VkVSQrczUg==" spinCount="100000" sheet="1" objects="1" scenarios="1"/>
  <mergeCells count="3">
    <mergeCell ref="C3:F3"/>
    <mergeCell ref="R21:S21"/>
    <mergeCell ref="B1:T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30" ma:contentTypeDescription="Een nieuw document maken." ma:contentTypeScope="" ma:versionID="637081cef9a75dfbf6f6439991946fde">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2726a0a71e86b2cf269a0a8c048ce68"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element ref="ns3:qnh_Vertrouwelijkhe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element name="qnh_Vertrouwelijkheid" ma:index="94" nillable="true" ma:displayName="Vertrouwelijkheid" ma:default="Openbaar" ma:internalName="qnh_Vertrouwelijkheid" ma:readOnly="false">
      <xsd:simpleType>
        <xsd:restriction base="dms:Choice">
          <xsd:enumeration value="Openbaar"/>
          <xsd:enumeration value="Niet openbaar"/>
          <xsd:enumeration value="Vertrouwelijk"/>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element name="SharedWithUsers" ma:index="9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gendastuk xmlns="53e03589-35d4-4a45-a49d-0ea6bf1af4b3">false</qnh_Agendastuk>
    <qnh_AfzenderHuisnummer xmlns="53e03589-35d4-4a45-a49d-0ea6bf1af4b3" xsi:nil="true"/>
    <qnh_AfzenderNaam xmlns="53e03589-35d4-4a45-a49d-0ea6bf1af4b3" xsi:nil="true"/>
    <qnh_Richting xmlns="53e03589-35d4-4a45-a49d-0ea6bf1af4b3">Uitgaand</qnh_Richting>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1208994</qnh_RegistratieNummer>
    <vnl_AfzenderGebruikerUserID xmlns="53e03589-35d4-4a45-a49d-0ea6bf1af4b3" xsi:nil="true"/>
    <qnh_AfzenderHuisLetter xmlns="53e03589-35d4-4a45-a49d-0ea6bf1af4b3" xsi:nil="true"/>
    <qnh_AfzenderNaamvrij xmlns="53e03589-35d4-4a45-a49d-0ea6bf1af4b3" xsi:nil="true"/>
    <qnh_DocumentType xmlns="53e03589-35d4-4a45-a49d-0ea6bf1af4b3">Inschrijvingsleidraad</qnh_DocumentTyp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1695716</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2021-03-01T07:00:00+00:00</qnh_DatumOntvangstVerzonden>
    <qnh_Documentdatum xmlns="53e03589-35d4-4a45-a49d-0ea6bf1af4b3">2021-03-01T07:00:00+00:00</qnh_Documentdatum>
    <qnh_Hoofdcategorie xmlns="53e03589-35d4-4a45-a49d-0ea6bf1af4b3" xsi:nil="true"/>
    <qnh_Medewerker xmlns="53e03589-35d4-4a45-a49d-0ea6bf1af4b3" xsi:nil="true"/>
    <qnh_Ondertekend xmlns="53e03589-35d4-4a45-a49d-0ea6bf1af4b3" xsi:nil="true"/>
    <qnh_Vertrouwelijkheid xmlns="53e03589-35d4-4a45-a49d-0ea6bf1af4b3">Openbaar</qnh_Vertrouwelijkheid>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46</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VENLOZAAK-669-520-974</_dlc_DocId>
    <_dlc_DocIdUrl xmlns="1ac1c52f-12bd-4579-b768-2bbe27d3d2d8">
      <Url>http://vnlvsvappl005:81/_layouts/15/DocIdRedir.aspx?ID=VENLOZAAK-669-520-974</Url>
      <Description>VENLOZAAK-669-520-974</Description>
    </_dlc_DocIdUrl>
  </documentManagement>
</p:properties>
</file>

<file path=customXml/itemProps1.xml><?xml version="1.0" encoding="utf-8"?>
<ds:datastoreItem xmlns:ds="http://schemas.openxmlformats.org/officeDocument/2006/customXml" ds:itemID="{4C39D5F0-8F50-4A3A-B21F-B98BB1A77ED0}">
  <ds:schemaRefs>
    <ds:schemaRef ds:uri="http://schemas.microsoft.com/sharepoint/v3/contenttype/forms"/>
  </ds:schemaRefs>
</ds:datastoreItem>
</file>

<file path=customXml/itemProps2.xml><?xml version="1.0" encoding="utf-8"?>
<ds:datastoreItem xmlns:ds="http://schemas.openxmlformats.org/officeDocument/2006/customXml" ds:itemID="{4E9A9207-5DA9-476A-8E93-91B9A2DB76B3}">
  <ds:schemaRefs>
    <ds:schemaRef ds:uri="http://schemas.microsoft.com/sharepoint/events"/>
  </ds:schemaRefs>
</ds:datastoreItem>
</file>

<file path=customXml/itemProps3.xml><?xml version="1.0" encoding="utf-8"?>
<ds:datastoreItem xmlns:ds="http://schemas.openxmlformats.org/officeDocument/2006/customXml" ds:itemID="{4E3BE16F-29F7-4321-8931-0DC0288B8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1c52f-12bd-4579-b768-2bbe27d3d2d8"/>
    <ds:schemaRef ds:uri="53e03589-35d4-4a45-a49d-0ea6bf1af4b3"/>
    <ds:schemaRef ds:uri="d10cd6cb-9711-40de-8da4-c1daa204fbb3"/>
    <ds:schemaRef ds:uri="fce754d3-67a6-4a1d-9c43-d451af98d6ad"/>
    <ds:schemaRef ds:uri="c774dfb6-a45d-4726-8970-554c12400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509953-C472-40BF-9A95-0142987E4909}">
  <ds:schemaRefs>
    <ds:schemaRef ds:uri="http://schemas.microsoft.com/office/2006/documentManagement/types"/>
    <ds:schemaRef ds:uri="d10cd6cb-9711-40de-8da4-c1daa204fbb3"/>
    <ds:schemaRef ds:uri="http://schemas.microsoft.com/office/2006/metadata/properties"/>
    <ds:schemaRef ds:uri="http://schemas.microsoft.com/office/infopath/2007/PartnerControls"/>
    <ds:schemaRef ds:uri="http://schemas.openxmlformats.org/package/2006/metadata/core-properties"/>
    <ds:schemaRef ds:uri="c774dfb6-a45d-4726-8970-554c124004a3"/>
    <ds:schemaRef ds:uri="http://purl.org/dc/terms/"/>
    <ds:schemaRef ds:uri="fce754d3-67a6-4a1d-9c43-d451af98d6ad"/>
    <ds:schemaRef ds:uri="http://purl.org/dc/elements/1.1/"/>
    <ds:schemaRef ds:uri="http://purl.org/dc/dcmitype/"/>
    <ds:schemaRef ds:uri="53e03589-35d4-4a45-a49d-0ea6bf1af4b3"/>
    <ds:schemaRef ds:uri="1ac1c52f-12bd-4579-b768-2bbe27d3d2d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prijscomponent A</vt:lpstr>
      <vt:lpstr>prijscomponent B</vt:lpstr>
    </vt:vector>
  </TitlesOfParts>
  <Company>Gemeente Venlo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IL Bijlage 5 prijzenblad brandstof en passysteem.xlsx</dc:title>
  <dc:creator>Epema, Bonnie (B)</dc:creator>
  <cp:lastModifiedBy>Kessels, Luc (LWJ)</cp:lastModifiedBy>
  <dcterms:created xsi:type="dcterms:W3CDTF">2013-12-12T15:15:16Z</dcterms:created>
  <dcterms:modified xsi:type="dcterms:W3CDTF">2025-03-05T11:33:23Z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qnh_Zaaktype">
    <vt:lpwstr>46;#Contract|db2d0ac0-c022-4ebc-8093-32b9bfd3d456</vt:lpwstr>
  </property>
  <property fmtid="{D5CDD505-2E9C-101B-9397-08002B2CF9AE}" pid="4" name="qnh_ZaaktypeTaxHTField0">
    <vt:lpwstr>Contract|db2d0ac0-c022-4ebc-8093-32b9bfd3d456</vt:lpwstr>
  </property>
  <property fmtid="{D5CDD505-2E9C-101B-9397-08002B2CF9AE}" pid="5" name="_dlc_DocIdItemGuid">
    <vt:lpwstr>8d31e2da-1413-41e4-9f5e-b7d86e6356a0</vt:lpwstr>
  </property>
  <property fmtid="{D5CDD505-2E9C-101B-9397-08002B2CF9AE}" pid="6" name="_docset_NoMedatataSyncRequired">
    <vt:lpwstr>False</vt:lpwstr>
  </property>
</Properties>
</file>