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R:\Public polis en sluiting\Sluiting\PVE\2025\"/>
    </mc:Choice>
  </mc:AlternateContent>
  <xr:revisionPtr revIDLastSave="0" documentId="13_ncr:1_{45FB20F5-2EE0-4536-AA5B-D764EFCE38EC}" xr6:coauthVersionLast="47" xr6:coauthVersionMax="47" xr10:uidLastSave="{00000000-0000-0000-0000-000000000000}"/>
  <bookViews>
    <workbookView xWindow="13050" yWindow="105" windowWidth="15390" windowHeight="15585" xr2:uid="{00000000-000D-0000-FFFF-FFFF00000000}"/>
  </bookViews>
  <sheets>
    <sheet name="Totaal" sheetId="1" r:id="rId1"/>
    <sheet name="Gem Bezit" sheetId="2" r:id="rId2"/>
    <sheet name="PO en VO" sheetId="3" r:id="rId3"/>
    <sheet name="kunst" sheetId="4" r:id="rId4"/>
    <sheet name="Dataplace ICT" sheetId="6" r:id="rId5"/>
    <sheet name="Lingewaard ICT" sheetId="7" r:id="rId6"/>
  </sheets>
  <externalReferences>
    <externalReference r:id="rId7"/>
  </externalReferences>
  <definedNames>
    <definedName name="_xlnm._FilterDatabase" localSheetId="1" hidden="1">'Gem Bezit'!$A$1:$AA$87</definedName>
    <definedName name="_xlnm._FilterDatabase" localSheetId="2" hidden="1">'PO en VO'!$A$1:$H$33</definedName>
    <definedName name="_xlnm.Print_Area" localSheetId="1">'Gem Bezit'!$B$1:$O$87</definedName>
    <definedName name="_xlnm.Print_Area" localSheetId="3">kunst!$B$1:$F$21</definedName>
    <definedName name="_xlnm.Print_Area" localSheetId="2">'PO en VO'!$B$1:$V$32</definedName>
    <definedName name="_xlnm.Print_Area" localSheetId="0">Totaal!$A$1:$D$9</definedName>
    <definedName name="_xlnm.Print_Titles" localSheetId="1">'Gem Bezit'!$1:$2</definedName>
    <definedName name="_xlnm.Print_Titles" localSheetId="2">'PO en VO'!$1:$2</definedName>
    <definedName name="ign">'[1]General Info'!$C$6</definedName>
    <definedName name="igo">'[1]General Info'!$C$7</definedName>
    <definedName name="iin">'[1]General Info'!$C$8</definedName>
    <definedName name="iio">'[1]General Info'!$C$9</definedName>
    <definedName name="pg">'[1]General Info'!$C$15</definedName>
    <definedName name="premie2007">'[1]General Info'!$C$20</definedName>
    <definedName name="premie2008">'[1]General Info'!$C$22</definedName>
    <definedName name="Z_7F5D1218_4D93_4B14_B25A_0C03ABC4F8A6_.wvu.Cols" localSheetId="1" hidden="1">'Gem Bezit'!$C:$D,'Gem Bezit'!#REF!</definedName>
    <definedName name="Z_7F5D1218_4D93_4B14_B25A_0C03ABC4F8A6_.wvu.Cols" localSheetId="2" hidden="1">'PO en VO'!$C:$D,'PO en VO'!$H:$H</definedName>
    <definedName name="Z_7F5D1218_4D93_4B14_B25A_0C03ABC4F8A6_.wvu.FilterData" localSheetId="1" hidden="1">'Gem Bezit'!$A$1:$P$87</definedName>
    <definedName name="Z_7F5D1218_4D93_4B14_B25A_0C03ABC4F8A6_.wvu.FilterData" localSheetId="2" hidden="1">'PO en VO'!$A$1:$H$33</definedName>
    <definedName name="Z_7F5D1218_4D93_4B14_B25A_0C03ABC4F8A6_.wvu.PrintArea" localSheetId="1" hidden="1">'Gem Bezit'!$B$1:$G$87</definedName>
    <definedName name="Z_7F5D1218_4D93_4B14_B25A_0C03ABC4F8A6_.wvu.PrintArea" localSheetId="3" hidden="1">kunst!$B$1:$F$20</definedName>
    <definedName name="Z_7F5D1218_4D93_4B14_B25A_0C03ABC4F8A6_.wvu.PrintArea" localSheetId="2" hidden="1">'PO en VO'!$B$1:$H$31</definedName>
    <definedName name="Z_7F5D1218_4D93_4B14_B25A_0C03ABC4F8A6_.wvu.PrintArea" localSheetId="0" hidden="1">Totaal!$A$1:$D$9</definedName>
    <definedName name="Z_7F5D1218_4D93_4B14_B25A_0C03ABC4F8A6_.wvu.PrintTitles" localSheetId="1" hidden="1">'Gem Bezit'!$1:$2</definedName>
    <definedName name="Z_7F5D1218_4D93_4B14_B25A_0C03ABC4F8A6_.wvu.PrintTitles" localSheetId="2" hidden="1">'PO en VO'!$1:$2</definedName>
  </definedNames>
  <calcPr calcId="191029"/>
  <customWorkbookViews>
    <customWorkbookView name="Gerard Wilting - Persoonlijke weergave" guid="{7F5D1218-4D93-4B14-B25A-0C03ABC4F8A6}" mergeInterval="0" personalView="1" maximized="1" xWindow="-4" yWindow="-4" windowWidth="1688" windowHeight="1014"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 i="2" l="1"/>
  <c r="L3" i="2" s="1"/>
  <c r="K3" i="2"/>
  <c r="M3" i="2" s="1"/>
  <c r="J4" i="2"/>
  <c r="L4" i="2" s="1"/>
  <c r="K4" i="2"/>
  <c r="K87" i="2" s="1"/>
  <c r="J5" i="2"/>
  <c r="K5" i="2"/>
  <c r="M5" i="2" s="1"/>
  <c r="L5" i="2"/>
  <c r="J6" i="2"/>
  <c r="L6" i="2" s="1"/>
  <c r="K6" i="2"/>
  <c r="M6" i="2" s="1"/>
  <c r="J7" i="2"/>
  <c r="K7" i="2"/>
  <c r="M7" i="2" s="1"/>
  <c r="L7" i="2"/>
  <c r="J8" i="2"/>
  <c r="L8" i="2" s="1"/>
  <c r="K8" i="2"/>
  <c r="M8" i="2" s="1"/>
  <c r="J9" i="2"/>
  <c r="K9" i="2"/>
  <c r="M9" i="2" s="1"/>
  <c r="L9" i="2"/>
  <c r="J10" i="2"/>
  <c r="L10" i="2" s="1"/>
  <c r="K10" i="2"/>
  <c r="M10" i="2" s="1"/>
  <c r="J11" i="2"/>
  <c r="K11" i="2"/>
  <c r="M11" i="2" s="1"/>
  <c r="L11" i="2"/>
  <c r="J12" i="2"/>
  <c r="L12" i="2" s="1"/>
  <c r="K12" i="2"/>
  <c r="M12" i="2" s="1"/>
  <c r="J13" i="2"/>
  <c r="K13" i="2"/>
  <c r="M13" i="2" s="1"/>
  <c r="L13" i="2"/>
  <c r="J14" i="2"/>
  <c r="L14" i="2" s="1"/>
  <c r="K14" i="2"/>
  <c r="M14" i="2" s="1"/>
  <c r="J15" i="2"/>
  <c r="K15" i="2"/>
  <c r="M15" i="2" s="1"/>
  <c r="L15" i="2"/>
  <c r="J16" i="2"/>
  <c r="L16" i="2" s="1"/>
  <c r="K16" i="2"/>
  <c r="M16" i="2" s="1"/>
  <c r="J17" i="2"/>
  <c r="K17" i="2"/>
  <c r="M17" i="2" s="1"/>
  <c r="L17" i="2"/>
  <c r="J18" i="2"/>
  <c r="L18" i="2" s="1"/>
  <c r="K18" i="2"/>
  <c r="M18" i="2" s="1"/>
  <c r="J19" i="2"/>
  <c r="K19" i="2"/>
  <c r="M19" i="2" s="1"/>
  <c r="L19" i="2"/>
  <c r="J20" i="2"/>
  <c r="L20" i="2" s="1"/>
  <c r="K20" i="2"/>
  <c r="M20" i="2" s="1"/>
  <c r="J21" i="2"/>
  <c r="K21" i="2"/>
  <c r="M21" i="2" s="1"/>
  <c r="L21" i="2"/>
  <c r="J22" i="2"/>
  <c r="L22" i="2" s="1"/>
  <c r="K22" i="2"/>
  <c r="M22" i="2" s="1"/>
  <c r="J23" i="2"/>
  <c r="K23" i="2"/>
  <c r="M23" i="2" s="1"/>
  <c r="L23" i="2"/>
  <c r="J24" i="2"/>
  <c r="L24" i="2" s="1"/>
  <c r="K24" i="2"/>
  <c r="M24" i="2" s="1"/>
  <c r="J25" i="2"/>
  <c r="K25" i="2"/>
  <c r="M25" i="2" s="1"/>
  <c r="L25" i="2"/>
  <c r="J26" i="2"/>
  <c r="L26" i="2" s="1"/>
  <c r="K26" i="2"/>
  <c r="M26" i="2" s="1"/>
  <c r="J27" i="2"/>
  <c r="K27" i="2"/>
  <c r="M27" i="2" s="1"/>
  <c r="L27" i="2"/>
  <c r="J28" i="2"/>
  <c r="L28" i="2" s="1"/>
  <c r="K28" i="2"/>
  <c r="M28" i="2" s="1"/>
  <c r="J29" i="2"/>
  <c r="K29" i="2"/>
  <c r="M29" i="2" s="1"/>
  <c r="L29" i="2"/>
  <c r="J30" i="2"/>
  <c r="L30" i="2" s="1"/>
  <c r="K30" i="2"/>
  <c r="M30" i="2" s="1"/>
  <c r="J31" i="2"/>
  <c r="K31" i="2"/>
  <c r="M31" i="2" s="1"/>
  <c r="L31" i="2"/>
  <c r="J32" i="2"/>
  <c r="L32" i="2" s="1"/>
  <c r="K32" i="2"/>
  <c r="M32" i="2" s="1"/>
  <c r="J33" i="2"/>
  <c r="K33" i="2"/>
  <c r="M33" i="2" s="1"/>
  <c r="L33" i="2"/>
  <c r="J34" i="2"/>
  <c r="L34" i="2" s="1"/>
  <c r="K34" i="2"/>
  <c r="M34" i="2" s="1"/>
  <c r="J35" i="2"/>
  <c r="K35" i="2"/>
  <c r="M35" i="2" s="1"/>
  <c r="L35" i="2"/>
  <c r="J36" i="2"/>
  <c r="L36" i="2" s="1"/>
  <c r="K36" i="2"/>
  <c r="M36" i="2" s="1"/>
  <c r="J37" i="2"/>
  <c r="K37" i="2"/>
  <c r="M37" i="2" s="1"/>
  <c r="L37" i="2"/>
  <c r="J38" i="2"/>
  <c r="L38" i="2" s="1"/>
  <c r="K38" i="2"/>
  <c r="M38" i="2" s="1"/>
  <c r="J39" i="2"/>
  <c r="K39" i="2"/>
  <c r="M39" i="2" s="1"/>
  <c r="L39" i="2"/>
  <c r="J40" i="2"/>
  <c r="L40" i="2" s="1"/>
  <c r="K40" i="2"/>
  <c r="M40" i="2" s="1"/>
  <c r="J41" i="2"/>
  <c r="K41" i="2"/>
  <c r="M41" i="2" s="1"/>
  <c r="L41" i="2"/>
  <c r="J42" i="2"/>
  <c r="L42" i="2" s="1"/>
  <c r="K42" i="2"/>
  <c r="M42" i="2" s="1"/>
  <c r="J43" i="2"/>
  <c r="K43" i="2"/>
  <c r="M43" i="2" s="1"/>
  <c r="L43" i="2"/>
  <c r="J44" i="2"/>
  <c r="L44" i="2" s="1"/>
  <c r="K44" i="2"/>
  <c r="M44" i="2" s="1"/>
  <c r="J45" i="2"/>
  <c r="K45" i="2"/>
  <c r="M45" i="2" s="1"/>
  <c r="L45" i="2"/>
  <c r="J46" i="2"/>
  <c r="L46" i="2" s="1"/>
  <c r="K46" i="2"/>
  <c r="M46" i="2" s="1"/>
  <c r="J47" i="2"/>
  <c r="K47" i="2"/>
  <c r="M47" i="2" s="1"/>
  <c r="L47" i="2"/>
  <c r="J48" i="2"/>
  <c r="L48" i="2" s="1"/>
  <c r="K48" i="2"/>
  <c r="M48" i="2" s="1"/>
  <c r="J49" i="2"/>
  <c r="K49" i="2"/>
  <c r="M49" i="2" s="1"/>
  <c r="L49" i="2"/>
  <c r="J50" i="2"/>
  <c r="L50" i="2" s="1"/>
  <c r="K50" i="2"/>
  <c r="M50" i="2" s="1"/>
  <c r="J51" i="2"/>
  <c r="K51" i="2"/>
  <c r="M51" i="2" s="1"/>
  <c r="L51" i="2"/>
  <c r="J52" i="2"/>
  <c r="L52" i="2" s="1"/>
  <c r="K52" i="2"/>
  <c r="M52" i="2" s="1"/>
  <c r="J53" i="2"/>
  <c r="K53" i="2"/>
  <c r="M53" i="2" s="1"/>
  <c r="L53" i="2"/>
  <c r="J54" i="2"/>
  <c r="L54" i="2" s="1"/>
  <c r="K54" i="2"/>
  <c r="M54" i="2" s="1"/>
  <c r="J55" i="2"/>
  <c r="K55" i="2"/>
  <c r="M55" i="2" s="1"/>
  <c r="L55" i="2"/>
  <c r="J56" i="2"/>
  <c r="L56" i="2" s="1"/>
  <c r="K56" i="2"/>
  <c r="M56" i="2" s="1"/>
  <c r="J57" i="2"/>
  <c r="K57" i="2"/>
  <c r="M57" i="2" s="1"/>
  <c r="L57" i="2"/>
  <c r="J58" i="2"/>
  <c r="L58" i="2" s="1"/>
  <c r="K58" i="2"/>
  <c r="M58" i="2" s="1"/>
  <c r="J59" i="2"/>
  <c r="K59" i="2"/>
  <c r="M59" i="2" s="1"/>
  <c r="L59" i="2"/>
  <c r="J60" i="2"/>
  <c r="L60" i="2" s="1"/>
  <c r="K60" i="2"/>
  <c r="M60" i="2" s="1"/>
  <c r="J61" i="2"/>
  <c r="K61" i="2"/>
  <c r="M61" i="2" s="1"/>
  <c r="L61" i="2"/>
  <c r="J62" i="2"/>
  <c r="L62" i="2" s="1"/>
  <c r="K62" i="2"/>
  <c r="M62" i="2" s="1"/>
  <c r="J63" i="2"/>
  <c r="K63" i="2"/>
  <c r="M63" i="2" s="1"/>
  <c r="L63" i="2"/>
  <c r="J64" i="2"/>
  <c r="L64" i="2" s="1"/>
  <c r="K64" i="2"/>
  <c r="M64" i="2" s="1"/>
  <c r="J65" i="2"/>
  <c r="K65" i="2"/>
  <c r="M65" i="2" s="1"/>
  <c r="L65" i="2"/>
  <c r="J66" i="2"/>
  <c r="L66" i="2" s="1"/>
  <c r="K66" i="2"/>
  <c r="M66" i="2" s="1"/>
  <c r="J67" i="2"/>
  <c r="K67" i="2"/>
  <c r="M67" i="2" s="1"/>
  <c r="L67" i="2"/>
  <c r="J68" i="2"/>
  <c r="L68" i="2" s="1"/>
  <c r="K68" i="2"/>
  <c r="M68" i="2" s="1"/>
  <c r="J69" i="2"/>
  <c r="K69" i="2"/>
  <c r="M69" i="2" s="1"/>
  <c r="L69" i="2"/>
  <c r="J70" i="2"/>
  <c r="L70" i="2" s="1"/>
  <c r="K70" i="2"/>
  <c r="M70" i="2" s="1"/>
  <c r="J71" i="2"/>
  <c r="K71" i="2"/>
  <c r="M71" i="2" s="1"/>
  <c r="L71" i="2"/>
  <c r="J72" i="2"/>
  <c r="K72" i="2"/>
  <c r="M72" i="2" s="1"/>
  <c r="J73" i="2"/>
  <c r="L73" i="2" s="1"/>
  <c r="K73" i="2"/>
  <c r="M73" i="2"/>
  <c r="J74" i="2"/>
  <c r="K74" i="2"/>
  <c r="M74" i="2" s="1"/>
  <c r="L74" i="2"/>
  <c r="J75" i="2"/>
  <c r="L75" i="2" s="1"/>
  <c r="K75" i="2"/>
  <c r="M75" i="2"/>
  <c r="J76" i="2"/>
  <c r="K76" i="2"/>
  <c r="M76" i="2" s="1"/>
  <c r="L76" i="2"/>
  <c r="J77" i="2"/>
  <c r="L77" i="2" s="1"/>
  <c r="K77" i="2"/>
  <c r="M77" i="2"/>
  <c r="J78" i="2"/>
  <c r="K78" i="2"/>
  <c r="M78" i="2" s="1"/>
  <c r="L78" i="2"/>
  <c r="J79" i="2"/>
  <c r="L79" i="2" s="1"/>
  <c r="K79" i="2"/>
  <c r="M79" i="2"/>
  <c r="J80" i="2"/>
  <c r="K80" i="2"/>
  <c r="M80" i="2" s="1"/>
  <c r="L80" i="2"/>
  <c r="K81" i="2"/>
  <c r="M81" i="2" s="1"/>
  <c r="K82" i="2"/>
  <c r="M82" i="2"/>
  <c r="J83" i="2"/>
  <c r="K83" i="2"/>
  <c r="M83" i="2" s="1"/>
  <c r="L83" i="2"/>
  <c r="J84" i="2"/>
  <c r="L84" i="2" s="1"/>
  <c r="K84" i="2"/>
  <c r="M84" i="2"/>
  <c r="J87" i="2"/>
  <c r="N85" i="2"/>
  <c r="L87" i="2" l="1"/>
  <c r="M4" i="2"/>
  <c r="M87" i="2" s="1"/>
  <c r="O82" i="2"/>
  <c r="F18" i="6"/>
  <c r="F8" i="6"/>
  <c r="F9" i="6"/>
  <c r="F10" i="6"/>
  <c r="F11" i="6"/>
  <c r="F12" i="6"/>
  <c r="F13" i="6"/>
  <c r="F14" i="6"/>
  <c r="F15" i="6"/>
  <c r="F16" i="6"/>
  <c r="F7" i="6"/>
  <c r="O81" i="2"/>
  <c r="F31" i="7"/>
  <c r="F7" i="7"/>
  <c r="F8" i="7"/>
  <c r="F9" i="7"/>
  <c r="F10" i="7"/>
  <c r="F11" i="7"/>
  <c r="F12" i="7"/>
  <c r="F13" i="7"/>
  <c r="F14" i="7"/>
  <c r="F15" i="7"/>
  <c r="F16" i="7"/>
  <c r="F17" i="7"/>
  <c r="F18" i="7"/>
  <c r="F19" i="7"/>
  <c r="F20" i="7"/>
  <c r="F21" i="7"/>
  <c r="F22" i="7"/>
  <c r="F23" i="7"/>
  <c r="F24" i="7"/>
  <c r="F25" i="7"/>
  <c r="F26" i="7"/>
  <c r="F27" i="7"/>
  <c r="F28" i="7"/>
  <c r="F29" i="7"/>
  <c r="F6" i="7"/>
  <c r="N72" i="2"/>
  <c r="N81" i="2"/>
  <c r="N82" i="2"/>
  <c r="O72" i="2"/>
  <c r="E7" i="7"/>
  <c r="E8" i="7"/>
  <c r="E9" i="7"/>
  <c r="E10" i="7"/>
  <c r="E11" i="7"/>
  <c r="E12" i="7"/>
  <c r="E13" i="7"/>
  <c r="E14" i="7"/>
  <c r="E15" i="7"/>
  <c r="E16" i="7"/>
  <c r="E17" i="7"/>
  <c r="E18" i="7"/>
  <c r="E19" i="7"/>
  <c r="E20" i="7"/>
  <c r="E21" i="7"/>
  <c r="E22" i="7"/>
  <c r="E23" i="7"/>
  <c r="E24" i="7"/>
  <c r="E25" i="7"/>
  <c r="E26" i="7"/>
  <c r="E27" i="7"/>
  <c r="E28" i="7"/>
  <c r="E29" i="7"/>
  <c r="E6" i="7"/>
  <c r="E31" i="7" s="1"/>
  <c r="E8" i="6"/>
  <c r="E9" i="6"/>
  <c r="E10" i="6"/>
  <c r="E11" i="6"/>
  <c r="E12" i="6"/>
  <c r="E13" i="6"/>
  <c r="E14" i="6"/>
  <c r="E15" i="6"/>
  <c r="E16" i="6"/>
  <c r="E7" i="6"/>
  <c r="E18" i="6" s="1"/>
  <c r="D18" i="6"/>
  <c r="D31" i="7"/>
  <c r="R6" i="3" l="1"/>
  <c r="T6" i="3" s="1"/>
  <c r="V6" i="3" s="1"/>
  <c r="Q18" i="3"/>
  <c r="S18" i="3" s="1"/>
  <c r="U18" i="3" s="1"/>
  <c r="R19" i="3"/>
  <c r="T19" i="3" s="1"/>
  <c r="V19" i="3" s="1"/>
  <c r="Q21" i="3"/>
  <c r="S21" i="3" s="1"/>
  <c r="U21" i="3" s="1"/>
  <c r="Q23" i="3"/>
  <c r="S23" i="3" s="1"/>
  <c r="U23" i="3" s="1"/>
  <c r="R24" i="3"/>
  <c r="T24" i="3" s="1"/>
  <c r="V24" i="3" s="1"/>
  <c r="Q25" i="3"/>
  <c r="S25" i="3" s="1"/>
  <c r="U25" i="3" s="1"/>
  <c r="N44" i="2"/>
  <c r="O4" i="2"/>
  <c r="O5" i="2"/>
  <c r="O6" i="2"/>
  <c r="O7" i="2"/>
  <c r="O8" i="2"/>
  <c r="O9" i="2"/>
  <c r="O10" i="2"/>
  <c r="O15" i="2"/>
  <c r="O16" i="2"/>
  <c r="O18" i="2"/>
  <c r="O19" i="2"/>
  <c r="O20" i="2"/>
  <c r="O21" i="2"/>
  <c r="O22" i="2"/>
  <c r="O23" i="2"/>
  <c r="O24" i="2"/>
  <c r="O25" i="2"/>
  <c r="O28" i="2"/>
  <c r="O29" i="2"/>
  <c r="O30" i="2"/>
  <c r="O32" i="2"/>
  <c r="O33" i="2"/>
  <c r="O34" i="2"/>
  <c r="O35" i="2"/>
  <c r="O38" i="2"/>
  <c r="O39" i="2"/>
  <c r="O41" i="2"/>
  <c r="N42" i="2"/>
  <c r="O45" i="2"/>
  <c r="O46" i="2"/>
  <c r="O48" i="2"/>
  <c r="O49" i="2"/>
  <c r="O50" i="2"/>
  <c r="O51" i="2"/>
  <c r="O52" i="2"/>
  <c r="O53" i="2"/>
  <c r="O55" i="2"/>
  <c r="O56" i="2"/>
  <c r="O57" i="2"/>
  <c r="O58" i="2"/>
  <c r="O59" i="2"/>
  <c r="O60" i="2"/>
  <c r="O61" i="2"/>
  <c r="O62" i="2"/>
  <c r="O63" i="2"/>
  <c r="O64" i="2"/>
  <c r="O65" i="2"/>
  <c r="O67" i="2"/>
  <c r="O68" i="2"/>
  <c r="O69" i="2"/>
  <c r="O70" i="2"/>
  <c r="O71" i="2"/>
  <c r="O73" i="2"/>
  <c r="O75" i="2"/>
  <c r="O76" i="2"/>
  <c r="O77" i="2"/>
  <c r="O79" i="2"/>
  <c r="N80" i="2"/>
  <c r="O83" i="2"/>
  <c r="O84" i="2"/>
  <c r="O11" i="2"/>
  <c r="O44" i="2"/>
  <c r="N11" i="2"/>
  <c r="N4" i="2" l="1"/>
  <c r="N5" i="2"/>
  <c r="N6" i="2"/>
  <c r="N7" i="2"/>
  <c r="N8" i="2"/>
  <c r="N9" i="2"/>
  <c r="N10" i="2"/>
  <c r="N12" i="2"/>
  <c r="O12" i="2"/>
  <c r="N13" i="2"/>
  <c r="N14" i="2"/>
  <c r="O14" i="2"/>
  <c r="N15" i="2"/>
  <c r="N16" i="2"/>
  <c r="N17" i="2"/>
  <c r="N18" i="2"/>
  <c r="N19" i="2"/>
  <c r="N20" i="2"/>
  <c r="N21" i="2"/>
  <c r="N22" i="2"/>
  <c r="N23" i="2"/>
  <c r="N24" i="2"/>
  <c r="N25" i="2"/>
  <c r="N26" i="2"/>
  <c r="O26" i="2"/>
  <c r="N27" i="2"/>
  <c r="O27" i="2"/>
  <c r="N28" i="2"/>
  <c r="N29" i="2"/>
  <c r="N30" i="2"/>
  <c r="N31" i="2"/>
  <c r="O31" i="2"/>
  <c r="N32" i="2"/>
  <c r="N33" i="2"/>
  <c r="N34" i="2"/>
  <c r="N35" i="2"/>
  <c r="N36" i="2"/>
  <c r="O36" i="2"/>
  <c r="N37" i="2"/>
  <c r="O37" i="2"/>
  <c r="N38" i="2"/>
  <c r="N39" i="2"/>
  <c r="N40" i="2"/>
  <c r="O40" i="2"/>
  <c r="N41" i="2"/>
  <c r="O42" i="2"/>
  <c r="N43" i="2"/>
  <c r="O43" i="2"/>
  <c r="N45" i="2"/>
  <c r="N46" i="2"/>
  <c r="N47" i="2"/>
  <c r="O47" i="2"/>
  <c r="N48" i="2"/>
  <c r="N49" i="2"/>
  <c r="N50" i="2"/>
  <c r="N51" i="2"/>
  <c r="N52" i="2"/>
  <c r="N53" i="2"/>
  <c r="N54" i="2"/>
  <c r="O54" i="2"/>
  <c r="N55" i="2"/>
  <c r="N56" i="2"/>
  <c r="N57" i="2"/>
  <c r="N58" i="2"/>
  <c r="N59" i="2"/>
  <c r="N60" i="2"/>
  <c r="N61" i="2"/>
  <c r="N62" i="2"/>
  <c r="N63" i="2"/>
  <c r="N64" i="2"/>
  <c r="N65" i="2"/>
  <c r="N66" i="2"/>
  <c r="O66" i="2"/>
  <c r="N67" i="2"/>
  <c r="N68" i="2"/>
  <c r="N69" i="2"/>
  <c r="N70" i="2"/>
  <c r="N71" i="2"/>
  <c r="N73" i="2"/>
  <c r="N74" i="2"/>
  <c r="O74" i="2"/>
  <c r="N75" i="2"/>
  <c r="N76" i="2"/>
  <c r="N77" i="2"/>
  <c r="N78" i="2"/>
  <c r="O78" i="2"/>
  <c r="N79" i="2"/>
  <c r="N83" i="2"/>
  <c r="N84" i="2"/>
  <c r="N17" i="3"/>
  <c r="P17" i="3" s="1"/>
  <c r="R17" i="3" s="1"/>
  <c r="T17" i="3" s="1"/>
  <c r="V17" i="3" s="1"/>
  <c r="P21" i="3"/>
  <c r="R21" i="3" s="1"/>
  <c r="T21" i="3" s="1"/>
  <c r="V21" i="3" s="1"/>
  <c r="P23" i="3"/>
  <c r="R23" i="3" s="1"/>
  <c r="T23" i="3" s="1"/>
  <c r="V23" i="3" s="1"/>
  <c r="P25" i="3"/>
  <c r="R25" i="3" s="1"/>
  <c r="T25" i="3" s="1"/>
  <c r="V25" i="3" s="1"/>
  <c r="P26" i="3"/>
  <c r="R26" i="3" s="1"/>
  <c r="T26" i="3" s="1"/>
  <c r="V26" i="3" s="1"/>
  <c r="P27" i="3"/>
  <c r="R27" i="3" s="1"/>
  <c r="T27" i="3" s="1"/>
  <c r="V27" i="3" s="1"/>
  <c r="P28" i="3"/>
  <c r="R28" i="3" s="1"/>
  <c r="T28" i="3" s="1"/>
  <c r="V28" i="3" s="1"/>
  <c r="P3" i="3"/>
  <c r="R3" i="3" s="1"/>
  <c r="T3" i="3" s="1"/>
  <c r="V3" i="3" s="1"/>
  <c r="O3" i="3"/>
  <c r="Q3" i="3" s="1"/>
  <c r="S3" i="3" s="1"/>
  <c r="U3" i="3" s="1"/>
  <c r="N8" i="3"/>
  <c r="P8" i="3" s="1"/>
  <c r="R8" i="3" s="1"/>
  <c r="T8" i="3" s="1"/>
  <c r="V8" i="3" s="1"/>
  <c r="N9" i="3"/>
  <c r="P9" i="3" s="1"/>
  <c r="R9" i="3" s="1"/>
  <c r="T9" i="3" s="1"/>
  <c r="V9" i="3" s="1"/>
  <c r="N10" i="3"/>
  <c r="P10" i="3" s="1"/>
  <c r="R10" i="3" s="1"/>
  <c r="T10" i="3" s="1"/>
  <c r="V10" i="3" s="1"/>
  <c r="N11" i="3"/>
  <c r="P11" i="3" s="1"/>
  <c r="R11" i="3" s="1"/>
  <c r="T11" i="3" s="1"/>
  <c r="V11" i="3" s="1"/>
  <c r="N12" i="3"/>
  <c r="P12" i="3" s="1"/>
  <c r="R12" i="3" s="1"/>
  <c r="T12" i="3" s="1"/>
  <c r="V12" i="3" s="1"/>
  <c r="N13" i="3"/>
  <c r="P13" i="3" s="1"/>
  <c r="R13" i="3" s="1"/>
  <c r="T13" i="3" s="1"/>
  <c r="V13" i="3" s="1"/>
  <c r="N14" i="3"/>
  <c r="P14" i="3" s="1"/>
  <c r="R14" i="3" s="1"/>
  <c r="T14" i="3" s="1"/>
  <c r="V14" i="3" s="1"/>
  <c r="N15" i="3"/>
  <c r="P15" i="3" s="1"/>
  <c r="R15" i="3" s="1"/>
  <c r="T15" i="3" s="1"/>
  <c r="V15" i="3" s="1"/>
  <c r="N16" i="3"/>
  <c r="P16" i="3" s="1"/>
  <c r="R16" i="3" s="1"/>
  <c r="T16" i="3" s="1"/>
  <c r="V16" i="3" s="1"/>
  <c r="O4" i="3"/>
  <c r="Q4" i="3" s="1"/>
  <c r="S4" i="3" s="1"/>
  <c r="U4" i="3" s="1"/>
  <c r="O5" i="3"/>
  <c r="Q5" i="3" s="1"/>
  <c r="S5" i="3" s="1"/>
  <c r="U5" i="3" s="1"/>
  <c r="O6" i="3"/>
  <c r="Q6" i="3" s="1"/>
  <c r="S6" i="3" s="1"/>
  <c r="U6" i="3" s="1"/>
  <c r="O7" i="3"/>
  <c r="Q7" i="3" s="1"/>
  <c r="S7" i="3" s="1"/>
  <c r="U7" i="3" s="1"/>
  <c r="O8" i="3"/>
  <c r="Q8" i="3" s="1"/>
  <c r="S8" i="3" s="1"/>
  <c r="U8" i="3" s="1"/>
  <c r="O9" i="3"/>
  <c r="Q9" i="3" s="1"/>
  <c r="S9" i="3" s="1"/>
  <c r="U9" i="3" s="1"/>
  <c r="O10" i="3"/>
  <c r="Q10" i="3" s="1"/>
  <c r="S10" i="3" s="1"/>
  <c r="U10" i="3" s="1"/>
  <c r="O11" i="3"/>
  <c r="Q11" i="3" s="1"/>
  <c r="S11" i="3" s="1"/>
  <c r="U11" i="3" s="1"/>
  <c r="O12" i="3"/>
  <c r="Q12" i="3" s="1"/>
  <c r="S12" i="3" s="1"/>
  <c r="U12" i="3" s="1"/>
  <c r="O13" i="3"/>
  <c r="Q13" i="3" s="1"/>
  <c r="S13" i="3" s="1"/>
  <c r="U13" i="3" s="1"/>
  <c r="O14" i="3"/>
  <c r="Q14" i="3" s="1"/>
  <c r="S14" i="3" s="1"/>
  <c r="U14" i="3" s="1"/>
  <c r="O15" i="3"/>
  <c r="Q15" i="3" s="1"/>
  <c r="S15" i="3" s="1"/>
  <c r="U15" i="3" s="1"/>
  <c r="O16" i="3"/>
  <c r="Q16" i="3" s="1"/>
  <c r="S16" i="3" s="1"/>
  <c r="U16" i="3" s="1"/>
  <c r="O17" i="3"/>
  <c r="Q17" i="3" s="1"/>
  <c r="S17" i="3" s="1"/>
  <c r="U17" i="3" s="1"/>
  <c r="O19" i="3"/>
  <c r="Q19" i="3" s="1"/>
  <c r="S19" i="3" s="1"/>
  <c r="U19" i="3" s="1"/>
  <c r="O20" i="3"/>
  <c r="Q20" i="3" s="1"/>
  <c r="S20" i="3" s="1"/>
  <c r="U20" i="3" s="1"/>
  <c r="O22" i="3"/>
  <c r="Q22" i="3" s="1"/>
  <c r="S22" i="3" s="1"/>
  <c r="U22" i="3" s="1"/>
  <c r="O24" i="3"/>
  <c r="Q24" i="3" s="1"/>
  <c r="S24" i="3" s="1"/>
  <c r="U24" i="3" s="1"/>
  <c r="O26" i="3"/>
  <c r="Q26" i="3" s="1"/>
  <c r="S26" i="3" s="1"/>
  <c r="U26" i="3" s="1"/>
  <c r="O27" i="3"/>
  <c r="Q27" i="3" s="1"/>
  <c r="S27" i="3" s="1"/>
  <c r="U27" i="3" s="1"/>
  <c r="O28" i="3"/>
  <c r="Q28" i="3" s="1"/>
  <c r="S28" i="3" s="1"/>
  <c r="U28" i="3" s="1"/>
  <c r="O29" i="3"/>
  <c r="Q29" i="3" s="1"/>
  <c r="S29" i="3" s="1"/>
  <c r="U29" i="3" s="1"/>
  <c r="O13" i="2"/>
  <c r="O3" i="2" l="1"/>
  <c r="U31" i="3"/>
  <c r="B6" i="1" s="1"/>
  <c r="S31" i="3"/>
  <c r="Q31" i="3"/>
  <c r="O31" i="3"/>
  <c r="L25" i="3"/>
  <c r="L23" i="3"/>
  <c r="N22" i="3"/>
  <c r="P22" i="3" s="1"/>
  <c r="R22" i="3" s="1"/>
  <c r="T22" i="3" s="1"/>
  <c r="V22" i="3" s="1"/>
  <c r="N29" i="3"/>
  <c r="P29" i="3" s="1"/>
  <c r="R29" i="3" s="1"/>
  <c r="T29" i="3" s="1"/>
  <c r="V29" i="3" s="1"/>
  <c r="L21" i="3"/>
  <c r="N20" i="3"/>
  <c r="P20" i="3" s="1"/>
  <c r="R20" i="3" s="1"/>
  <c r="T20" i="3" s="1"/>
  <c r="V20" i="3" s="1"/>
  <c r="N18" i="3"/>
  <c r="P18" i="3" s="1"/>
  <c r="R18" i="3" s="1"/>
  <c r="T18" i="3" s="1"/>
  <c r="V18" i="3" s="1"/>
  <c r="N7" i="3"/>
  <c r="P7" i="3" s="1"/>
  <c r="R7" i="3" s="1"/>
  <c r="T7" i="3" s="1"/>
  <c r="V7" i="3" s="1"/>
  <c r="N5" i="3"/>
  <c r="P5" i="3" s="1"/>
  <c r="R5" i="3" s="1"/>
  <c r="T5" i="3" s="1"/>
  <c r="V5" i="3" s="1"/>
  <c r="N4" i="3"/>
  <c r="P4" i="3" s="1"/>
  <c r="N3" i="2" l="1"/>
  <c r="P31" i="3"/>
  <c r="R4" i="3"/>
  <c r="O17" i="2" l="1"/>
  <c r="N87" i="2"/>
  <c r="B5" i="1" s="1"/>
  <c r="R31" i="3"/>
  <c r="T4" i="3"/>
  <c r="F19" i="4"/>
  <c r="T31" i="3" l="1"/>
  <c r="V4" i="3"/>
  <c r="V31" i="3" s="1"/>
  <c r="C6" i="1" s="1"/>
  <c r="D7" i="1"/>
  <c r="D9" i="1" s="1"/>
  <c r="O80" i="2" l="1"/>
  <c r="N31" i="3"/>
  <c r="O87" i="2" l="1"/>
  <c r="C5" i="1" s="1"/>
  <c r="C9" i="1" s="1"/>
  <c r="L31" i="3"/>
  <c r="B9" i="1" l="1"/>
  <c r="C1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Cornelisse</author>
  </authors>
  <commentList>
    <comment ref="B72" authorId="0" shapeId="0" xr:uid="{DCB7BDB2-939F-4774-9648-E82C187DF395}">
      <text>
        <r>
          <rPr>
            <sz val="9"/>
            <color indexed="81"/>
            <rFont val="Tahoma"/>
            <family val="2"/>
          </rPr>
          <t>Mail 24-05-22:
Om te beginnen is de gemeente eigenaar van alle opstallen en velden.
Het betreft een hoofdgebouw (kantine + 12 kleedkamers) en een bijgebouw  van 8m x 12m voor onderhoud.
De inboedel van de kantine, het horecagedeelte, gedeelte is in eigendom van de club. De rest, opstal moet worden verzekerd.
De gebouwen zijn beveiligd met alarm en camera’s (deze installatie is in eigendomen beheer van de club).
Er liggen 272 zonnepanelen op en het gebouw is duurzaam gebouwd (gasloos).
De bouwkosten van het hoofdgebouw zijn € 2.175.000,00 en van het bijgebouw € 56.000,00.
Ik heb geen taxatie en/of akte
Het gebouw is  sinds een week in gebruik en een formele oplevering met de aannemer moet nog gebeuren. Alle installatie worden op dit moment ingeregeld.
De overdracht naar ORV moet nog plaatsvinden en dat zal op korte termijn gebeuren. Hierbij komt een lijst van hetgeen van de gemeente is en hetgeen van de club is.
Ook liggen er twee kunstgrasvelden en twee natuurgrasvelden allen voorzien van LED terreinverlichting. Deze zijn opgeleverd en overgedragen.
Het civiele gedeelte (toegang en parkeren)  is afgerond en lever ik volgende week met de mannen van ORV en de aannemer op.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Marlene Talsma-Hoejenbos</author>
  </authors>
  <commentList>
    <comment ref="B16" authorId="0" shapeId="0" xr:uid="{FA7E3A17-1F73-4024-9DFB-D39C4F48ADF2}">
      <text>
        <r>
          <rPr>
            <b/>
            <sz val="9"/>
            <color indexed="81"/>
            <rFont val="Tahoma"/>
            <family val="2"/>
          </rPr>
          <t>Marlene Talsma-Hoejenbos:</t>
        </r>
        <r>
          <rPr>
            <sz val="9"/>
            <color indexed="81"/>
            <rFont val="Tahoma"/>
            <family val="2"/>
          </rPr>
          <t xml:space="preserve">
volgens rapport geen zonnepanelen aanwezig </t>
        </r>
      </text>
    </comment>
  </commentList>
</comments>
</file>

<file path=xl/sharedStrings.xml><?xml version="1.0" encoding="utf-8"?>
<sst xmlns="http://schemas.openxmlformats.org/spreadsheetml/2006/main" count="1044" uniqueCount="482">
  <si>
    <t>Kostenplaats</t>
  </si>
  <si>
    <t>Omschrijving:</t>
  </si>
  <si>
    <t>Alarm</t>
  </si>
  <si>
    <t>Adres:</t>
  </si>
  <si>
    <t>Gemeentelijk Bezit:</t>
  </si>
  <si>
    <t>Gemeentewerf Gendt + woning/garage en garageboxen</t>
  </si>
  <si>
    <t>St/hrd</t>
  </si>
  <si>
    <t>G</t>
  </si>
  <si>
    <t>M</t>
  </si>
  <si>
    <t>Gemeentehuis Bemmel (Kinkelenburg)</t>
  </si>
  <si>
    <t>SD</t>
  </si>
  <si>
    <t>Gemeentekantoor (Tabaksschuur)</t>
  </si>
  <si>
    <t>Gemeentekantoor Bemmel</t>
  </si>
  <si>
    <t>Casco Computerapparatuur</t>
  </si>
  <si>
    <t>Brandweergarage Doornenburg</t>
  </si>
  <si>
    <t>Brandweergarage  met opslag</t>
  </si>
  <si>
    <t>Carillon in kerktoren</t>
  </si>
  <si>
    <t>NME Centrum (inventaris dijkmagazijn)</t>
  </si>
  <si>
    <t>S</t>
  </si>
  <si>
    <t>Sporthal de Bongerd</t>
  </si>
  <si>
    <t>Sporthal Walburgen en Voetbalclub de Bataven</t>
  </si>
  <si>
    <t>Bouwaard</t>
  </si>
  <si>
    <t>Sportcomplex - Blauwenburcht</t>
  </si>
  <si>
    <t>Sportcomplex 'De Notenboom' gebouwen</t>
  </si>
  <si>
    <t>Sportcomplex 'De Poel' gebouwen</t>
  </si>
  <si>
    <t>Tenniscomplex 'De Notenboom'</t>
  </si>
  <si>
    <t>Tenniscomplex 'De Vijzel'</t>
  </si>
  <si>
    <t>Drumband ESKA gebouw</t>
  </si>
  <si>
    <t>Hervormde Kerk toren</t>
  </si>
  <si>
    <t>Historische Kring gebouw Huissen</t>
  </si>
  <si>
    <t>Hertenpark "Groene Park" opstallen</t>
  </si>
  <si>
    <t>Kulit Bia opstal</t>
  </si>
  <si>
    <t>Jeugd- en jongerenwerk gebouw</t>
  </si>
  <si>
    <t>Koelhuis, verenigingsgebouw</t>
  </si>
  <si>
    <t>}</t>
  </si>
  <si>
    <t>Ontmoetingscentrum De Kinkel</t>
  </si>
  <si>
    <t>Ontmoetingscentrum Doornenburg</t>
  </si>
  <si>
    <t xml:space="preserve">Sociaal cultureel centrum De Leemhof </t>
  </si>
  <si>
    <t>St. Gemeenschapsraad Huissen Zand recreatiezaal en peuterspeelzaal Zandkabouter</t>
  </si>
  <si>
    <t>Kinderdagverblijf De Toverbal</t>
  </si>
  <si>
    <t>Beheerdersgebouw Begraafplaats De Hoeve</t>
  </si>
  <si>
    <t>Begraafplaats Gendt aula en kleedruimte/berging</t>
  </si>
  <si>
    <t>Begraafplaats Teselaar collumbarium</t>
  </si>
  <si>
    <t xml:space="preserve"> </t>
  </si>
  <si>
    <t>Begraafplaats Huissen-Stad, toegangpoort</t>
  </si>
  <si>
    <t>Tuinmuur voormalige kloostertuin</t>
  </si>
  <si>
    <t>Muziek-kiosk</t>
  </si>
  <si>
    <t>Toren NH-Kerk</t>
  </si>
  <si>
    <t>Totaal Gemeentelijk Bezit:</t>
  </si>
  <si>
    <t>Primair en Voortgezet Onderwijs:</t>
  </si>
  <si>
    <t xml:space="preserve">      0039</t>
  </si>
  <si>
    <t>Cuperstraat 9a</t>
  </si>
  <si>
    <t>Totaal Onderwijs:</t>
  </si>
  <si>
    <t>Fort Pannerden</t>
  </si>
  <si>
    <t>Gebouwen</t>
  </si>
  <si>
    <t>Inventaris</t>
  </si>
  <si>
    <t>Na indexering</t>
  </si>
  <si>
    <t>Gendt</t>
  </si>
  <si>
    <t>Huissen</t>
  </si>
  <si>
    <t>Bemmel</t>
  </si>
  <si>
    <t>Lingewaard</t>
  </si>
  <si>
    <t>Angeren</t>
  </si>
  <si>
    <t>Haalderen</t>
  </si>
  <si>
    <t>Ressen</t>
  </si>
  <si>
    <t>Doornenburg</t>
  </si>
  <si>
    <t>Dorpstraat 74 + 74A</t>
  </si>
  <si>
    <t>Kinkelenburglaan 1</t>
  </si>
  <si>
    <t>Kinkelenburglaan 6A</t>
  </si>
  <si>
    <t>Kinkelenburglaan 6</t>
  </si>
  <si>
    <t>Gemeentehuis, -kantoren</t>
  </si>
  <si>
    <t>Vijzelpad 9</t>
  </si>
  <si>
    <t>Langekerkstraat</t>
  </si>
  <si>
    <t>Waaldijk 4</t>
  </si>
  <si>
    <t>Sportlaan 1</t>
  </si>
  <si>
    <t>Nijmeegsestraat 65A/C</t>
  </si>
  <si>
    <t>Julianastraat 19</t>
  </si>
  <si>
    <t>Nijmeegsestraat 65 B</t>
  </si>
  <si>
    <t>Blauwenburcht 1</t>
  </si>
  <si>
    <t>Notenboomstraat 60</t>
  </si>
  <si>
    <t>Poelsestraat 52</t>
  </si>
  <si>
    <t>Notenboomstraat 20</t>
  </si>
  <si>
    <t>Irenestraat 18</t>
  </si>
  <si>
    <t>Vijzelpad 5</t>
  </si>
  <si>
    <t>Oude Kerkhof 13</t>
  </si>
  <si>
    <t>Nijmeegsestraat 19, 19a t/m d</t>
  </si>
  <si>
    <t>Vierakkerstraat 39</t>
  </si>
  <si>
    <t>Cuperstraat</t>
  </si>
  <si>
    <t>Sportlaan 1D</t>
  </si>
  <si>
    <t>Koelhuisstraat 3</t>
  </si>
  <si>
    <t>van Ambestraat 1</t>
  </si>
  <si>
    <t>Kerkstraat 3,3a</t>
  </si>
  <si>
    <t>Dorpstraat 1</t>
  </si>
  <si>
    <t>van Wijkstraat 29/31</t>
  </si>
  <si>
    <t>Appelbongerd 21</t>
  </si>
  <si>
    <t>Zandvoortsestraat 1</t>
  </si>
  <si>
    <t>Teselaar ong</t>
  </si>
  <si>
    <t>Doelenstraat,</t>
  </si>
  <si>
    <t>Flierenhofstraat ong.</t>
  </si>
  <si>
    <t>Julianaplein</t>
  </si>
  <si>
    <t>Torenlaan 14</t>
  </si>
  <si>
    <t>Cuperstraat 9</t>
  </si>
  <si>
    <t>Bloemenstraat 2 en Fruitlaan 6</t>
  </si>
  <si>
    <t>Nijmeegsestraat 1</t>
  </si>
  <si>
    <t>Ot en Sienpad 9</t>
  </si>
  <si>
    <t>Het Hoog 20</t>
  </si>
  <si>
    <t>Blauwe Hoek 40</t>
  </si>
  <si>
    <t>Flierenhofstraat 34</t>
  </si>
  <si>
    <t>Cuperstraat 7</t>
  </si>
  <si>
    <t>Schoolstraat 1</t>
  </si>
  <si>
    <t>Kolkweg 5</t>
  </si>
  <si>
    <t>Sportlaan 1 K</t>
  </si>
  <si>
    <t>Dorpsstraat 10</t>
  </si>
  <si>
    <t>De Heister 1</t>
  </si>
  <si>
    <t>Julianastraat 17</t>
  </si>
  <si>
    <t>Drieske 4</t>
  </si>
  <si>
    <t>Woonwagencentrum Plakselaan, 5 plaatsen</t>
  </si>
  <si>
    <t>Emmastraat 23, Julianastraat 16, Wilhelminastraat 4</t>
  </si>
  <si>
    <t>Sport en cultuurcentrum dorpshuis Angeren</t>
  </si>
  <si>
    <t>Tennisvereniging Angeren</t>
  </si>
  <si>
    <t>Jeu de boules vereniging De Poel</t>
  </si>
  <si>
    <t>Kinkelenburglaan nabij 4</t>
  </si>
  <si>
    <t>Sportpark Ressen Hockeyclub</t>
  </si>
  <si>
    <t>Sportpark Ressen Voetbalcub</t>
  </si>
  <si>
    <t>Ressensestraat 30C</t>
  </si>
  <si>
    <t>Ressensestraat 30B</t>
  </si>
  <si>
    <t>Huurwoonwagen</t>
  </si>
  <si>
    <t xml:space="preserve">Binnendries 5 </t>
  </si>
  <si>
    <t>Dierenhoeve Park Slingerbos</t>
  </si>
  <si>
    <t>Sportcomplex 't Rosendael handbalvereniging</t>
  </si>
  <si>
    <t>Gymlokaal</t>
  </si>
  <si>
    <t>Van Gelrestraat 2E</t>
  </si>
  <si>
    <t>Wilhelminastraat 2 - 4</t>
  </si>
  <si>
    <t>OBC Bemmel (hoofdgebouw)</t>
  </si>
  <si>
    <t>Nijmeegsestraat 3</t>
  </si>
  <si>
    <t>Ot en Sienpad 3</t>
  </si>
  <si>
    <t>Van Wijkstraat 16a</t>
  </si>
  <si>
    <t>Bouwaard:</t>
  </si>
  <si>
    <t>De Gemeente Lingewaard</t>
  </si>
  <si>
    <t>Postcode:</t>
  </si>
  <si>
    <t>Plaats:</t>
  </si>
  <si>
    <t>6687 BP</t>
  </si>
  <si>
    <t>6687 BN</t>
  </si>
  <si>
    <t>Poelsestraat 42</t>
  </si>
  <si>
    <t>6687 BJ</t>
  </si>
  <si>
    <t>6681 AR</t>
  </si>
  <si>
    <t>6681 CV</t>
  </si>
  <si>
    <t>6681 CX</t>
  </si>
  <si>
    <t>6681 BW</t>
  </si>
  <si>
    <t>6681 BJ</t>
  </si>
  <si>
    <t>6681 LJ</t>
  </si>
  <si>
    <t>6681 BR</t>
  </si>
  <si>
    <t>6681 DS</t>
  </si>
  <si>
    <t>6684 DA</t>
  </si>
  <si>
    <t>6681 CD</t>
  </si>
  <si>
    <t>6681 BD</t>
  </si>
  <si>
    <t>6681 AK</t>
  </si>
  <si>
    <t>6686 BS</t>
  </si>
  <si>
    <t>6686 MV</t>
  </si>
  <si>
    <t>6686 BV</t>
  </si>
  <si>
    <t>Waaldijk 1</t>
  </si>
  <si>
    <t>6691 AZ</t>
  </si>
  <si>
    <t>6691 AV</t>
  </si>
  <si>
    <t>6691 BA</t>
  </si>
  <si>
    <t>6691 MB</t>
  </si>
  <si>
    <t>6691 CM</t>
  </si>
  <si>
    <t>6691 CK</t>
  </si>
  <si>
    <t>6691 BM</t>
  </si>
  <si>
    <t>6691 EN</t>
  </si>
  <si>
    <t>6685 AK</t>
  </si>
  <si>
    <t>6852 BH</t>
  </si>
  <si>
    <t>6852 NS</t>
  </si>
  <si>
    <t>6851 BT</t>
  </si>
  <si>
    <t>6851 EP</t>
  </si>
  <si>
    <t>6851 KJ</t>
  </si>
  <si>
    <t>6852 AC</t>
  </si>
  <si>
    <t>6851 KR</t>
  </si>
  <si>
    <t>6851 NB</t>
  </si>
  <si>
    <t>6851 BM</t>
  </si>
  <si>
    <t>6851 PA</t>
  </si>
  <si>
    <t>6851 LT</t>
  </si>
  <si>
    <t>6851 LG</t>
  </si>
  <si>
    <t>6851 GL</t>
  </si>
  <si>
    <t>6851 BB</t>
  </si>
  <si>
    <t>6687 BA</t>
  </si>
  <si>
    <t>6681 NN</t>
  </si>
  <si>
    <t>6681 BN</t>
  </si>
  <si>
    <t>6681 BZ</t>
  </si>
  <si>
    <t>6681 DE</t>
  </si>
  <si>
    <t>6686 AE</t>
  </si>
  <si>
    <t>6686 AH</t>
  </si>
  <si>
    <t>6691 CJ</t>
  </si>
  <si>
    <t>6691 XP</t>
  </si>
  <si>
    <t>6685 BC</t>
  </si>
  <si>
    <t>6852 EG</t>
  </si>
  <si>
    <t>6852 RM</t>
  </si>
  <si>
    <t>6851 GM</t>
  </si>
  <si>
    <t>Voilère Bemmel</t>
  </si>
  <si>
    <t>Woonwagen, standplaatsen, toilet en douchevoorzieningen</t>
  </si>
  <si>
    <t>6851 JK</t>
  </si>
  <si>
    <t>Jongeren ontmoetingsplek</t>
  </si>
  <si>
    <t>Kinkelplein</t>
  </si>
  <si>
    <t>Zilverkamp</t>
  </si>
  <si>
    <t>Doelenstraat 6</t>
  </si>
  <si>
    <t>Doelenstraat 8</t>
  </si>
  <si>
    <t>Doelenstraat 10A</t>
  </si>
  <si>
    <t>Appartementen</t>
  </si>
  <si>
    <t>Kunst- voorwerpen:</t>
  </si>
  <si>
    <t>KOSTBAARHEDEN (all-risk dekking)</t>
  </si>
  <si>
    <t>Nijmeegsestraat nabij 19</t>
  </si>
  <si>
    <t>Bronzen beeld, "De Gent'</t>
  </si>
  <si>
    <t>Hoek Waaldijk/Dijkstraat</t>
  </si>
  <si>
    <t>Kinkelenburglaan</t>
  </si>
  <si>
    <t>Bronzen beeld, twee pony's bij waterpomp</t>
  </si>
  <si>
    <t>Marktterrein</t>
  </si>
  <si>
    <t>6681 AE</t>
  </si>
  <si>
    <t>Object "Fontein"</t>
  </si>
  <si>
    <t>Stenen standbeeld, pony met meisje</t>
  </si>
  <si>
    <t>Plantsoen Vossenhol</t>
  </si>
  <si>
    <t>6681 DJ</t>
  </si>
  <si>
    <t>Stoepsteen fragmenten 16e + 17e eeuw</t>
  </si>
  <si>
    <t>Langestraat 61-A</t>
  </si>
  <si>
    <t>6851 AM</t>
  </si>
  <si>
    <t>Totaal Kunstvoorwerpen</t>
  </si>
  <si>
    <t>Kunstvoorwerpen</t>
  </si>
  <si>
    <t>pompgemaal</t>
  </si>
  <si>
    <t>Van Voorststraat 27</t>
  </si>
  <si>
    <t>Gymzaal De Hoenderik</t>
  </si>
  <si>
    <t>voormalige schoollruimte</t>
  </si>
  <si>
    <t>van Voorststraat 21,  
van Gelrestraat 2a</t>
  </si>
  <si>
    <t>Clara van Delwigstraat 3</t>
  </si>
  <si>
    <t>Totaal Kunst:</t>
  </si>
  <si>
    <t>IKC Marang</t>
  </si>
  <si>
    <t>IKC Pius X</t>
  </si>
  <si>
    <t>IKC Donatushof</t>
  </si>
  <si>
    <t xml:space="preserve">IKC De Borgwal </t>
  </si>
  <si>
    <t>IKC De Borgwal noodlokalen</t>
  </si>
  <si>
    <t>Pro College</t>
  </si>
  <si>
    <t>IKC De Wieling</t>
  </si>
  <si>
    <t>OBC Huissen</t>
  </si>
  <si>
    <t>IKC Het Drieluik</t>
  </si>
  <si>
    <t>IKC Sterrenbos</t>
  </si>
  <si>
    <t>Ot en Sienpad 3 - 5 - 7 - 9</t>
  </si>
  <si>
    <t>Dr. Hoijngstraat 5</t>
  </si>
  <si>
    <t>6681 XL</t>
  </si>
  <si>
    <t>Van Wijkstraat 16b</t>
  </si>
  <si>
    <t>Sportlaan 1C</t>
  </si>
  <si>
    <t>Lingewal 6A</t>
  </si>
  <si>
    <t>Ponylaan 6</t>
  </si>
  <si>
    <t>Fresco wand</t>
  </si>
  <si>
    <t>Liggende Tors</t>
  </si>
  <si>
    <t>Oorlogsmonument Gendt</t>
  </si>
  <si>
    <t>Twee Leeuwtjes</t>
  </si>
  <si>
    <t>Dorpstraat 84 (binnenmuur bibliotheek)</t>
  </si>
  <si>
    <t>Pannerdenseweg/ Blauwe Hoek</t>
  </si>
  <si>
    <t>Markt</t>
  </si>
  <si>
    <t>Begraafplaats Doelenstraat</t>
  </si>
  <si>
    <t>Langekerkstraat 15 en 17</t>
  </si>
  <si>
    <t>Gymnastieklokaal "Doornick"</t>
  </si>
  <si>
    <t>Urnenmuur begraafplaats De Hoeve</t>
  </si>
  <si>
    <t>Hoeve 15</t>
  </si>
  <si>
    <t>Fragment stadsmuur Arnhemse Poort en poortwachter</t>
  </si>
  <si>
    <t>sprinkler</t>
  </si>
  <si>
    <t>bmi</t>
  </si>
  <si>
    <t>bliksem</t>
  </si>
  <si>
    <t>beveiligingsmaatregel</t>
  </si>
  <si>
    <t>asbest</t>
  </si>
  <si>
    <t>aanwezig</t>
  </si>
  <si>
    <t>zonnepanelen</t>
  </si>
  <si>
    <t>ja</t>
  </si>
  <si>
    <t>toekomst</t>
  </si>
  <si>
    <t>inbraak</t>
  </si>
  <si>
    <t>verdacht</t>
  </si>
  <si>
    <t>IKC de Kinkelink</t>
  </si>
  <si>
    <t>IKC De Abacus met KDV en BSO + 4 noodlokalen</t>
  </si>
  <si>
    <t>Bronzen beeld, herdenkingsmonument</t>
  </si>
  <si>
    <t>totaal 19 objecten</t>
  </si>
  <si>
    <t xml:space="preserve">Sport- en ontmoetingsruimte, De Kuul, Soc. Cult. centrum De Brink </t>
  </si>
  <si>
    <t xml:space="preserve">Kampstuk 21 </t>
  </si>
  <si>
    <t>Gemeentewerf Bemmel (bestaat uit 4 gebouwen, kantoor met werkplaats/ werkplaats/ zoutloods/ open stalling)</t>
  </si>
  <si>
    <t>Sportcomplex 'De Vijzel' gebouwen GVA en EDV hierop recht van opstal</t>
  </si>
  <si>
    <t xml:space="preserve">clubgebouw Thetis </t>
  </si>
  <si>
    <t>Tennisclub sportpark Hazekamp</t>
  </si>
  <si>
    <t>Gymnstieklokaal Nijmeegsestraat</t>
  </si>
  <si>
    <t>Arnhemsepoort/ Langestraat</t>
  </si>
  <si>
    <t>OBS De Regenboog (recht van opstal op het dak)</t>
  </si>
  <si>
    <t>SBBO-school De Vlinderboom incl.gymzaal</t>
  </si>
  <si>
    <t>Over-Betuwe College Essenpas</t>
  </si>
  <si>
    <t>IKC De Tichelaar op dak systeem zonnepanelen</t>
  </si>
  <si>
    <t>IKC  't Holthuus (gerenoveerd in 2018)</t>
  </si>
  <si>
    <t xml:space="preserve">Oorlogsmonument </t>
  </si>
  <si>
    <t>Europalaan</t>
  </si>
  <si>
    <t>Pastoor Pelgromlaan</t>
  </si>
  <si>
    <t>Markt/ Huis te Gendt</t>
  </si>
  <si>
    <t xml:space="preserve">De Kraonige Zwaon </t>
  </si>
  <si>
    <t>Grafmonument</t>
  </si>
  <si>
    <t xml:space="preserve">Priestergraf </t>
  </si>
  <si>
    <t>Sint Elisabeth</t>
  </si>
  <si>
    <t>gedeeltelijk Trespa gevelbekleding</t>
  </si>
  <si>
    <t>houtskeletbouw</t>
  </si>
  <si>
    <t>fietsenstalling; open staafmatten</t>
  </si>
  <si>
    <t>gedeeltelijk gaashekwerk</t>
  </si>
  <si>
    <t>volledig beton</t>
  </si>
  <si>
    <t>gevelbekleding anders dan metselwerk</t>
  </si>
  <si>
    <t>berging prefab beton</t>
  </si>
  <si>
    <t>sporthal; stalen damwand</t>
  </si>
  <si>
    <t>werkplaats, zoutloods en openstalling; stalen damwand</t>
  </si>
  <si>
    <t>vezelcemntplaat</t>
  </si>
  <si>
    <t>kopgevels schuine dak; Trespa</t>
  </si>
  <si>
    <t>gedeeltelijk stalen damwand, Trespa en metselwerk</t>
  </si>
  <si>
    <t>kopgevels schuine dak; trespa</t>
  </si>
  <si>
    <t>kopgevels schuine dak; hout, tribunegebouw gedeeltelijk stalen damwand</t>
  </si>
  <si>
    <t>remise; stalen damwand</t>
  </si>
  <si>
    <t>berging; Trespa</t>
  </si>
  <si>
    <t>open gevel</t>
  </si>
  <si>
    <t>opbouw bestuurskamer; Trespa</t>
  </si>
  <si>
    <t>houtbouw</t>
  </si>
  <si>
    <t>sporthal; Trespa</t>
  </si>
  <si>
    <t>glazenpui</t>
  </si>
  <si>
    <t>één langsgevel gymzaal; gedeeltelijk stalen damwand</t>
  </si>
  <si>
    <t>buiten berging; hout</t>
  </si>
  <si>
    <t>één langsgevel stalen damwand</t>
  </si>
  <si>
    <t>Trespa</t>
  </si>
  <si>
    <t>Gebouwen 
31-03-2020</t>
  </si>
  <si>
    <t>Inventaris 
31-03-2020</t>
  </si>
  <si>
    <t>indexcijfer 144,3</t>
  </si>
  <si>
    <t>indexcijfer 122,3</t>
  </si>
  <si>
    <t>Podium Odeon</t>
  </si>
  <si>
    <t>6851 BL</t>
  </si>
  <si>
    <t>Gebouwen 
31-03-2021</t>
  </si>
  <si>
    <t>Inventaris 
31-03-2021</t>
  </si>
  <si>
    <t>Lengkeek, rapport 4054879-3 dd 7-4-2021</t>
  </si>
  <si>
    <t>inventaris Lengkeek, rapport 4054878-2 dd 13-4-2021</t>
  </si>
  <si>
    <t>inventaris inbegrepen hierboven</t>
  </si>
  <si>
    <t>inventaris Lengkeek, rapport 4054878-3 dd 13-4-2021</t>
  </si>
  <si>
    <t>inventaris Lengkeek, rapport 4054878-4 dd 12-4-2021</t>
  </si>
  <si>
    <t>inventaris inbegrepen bij zwembad hieronder</t>
  </si>
  <si>
    <t>Nijmeegsestraat 3 en Schoolstraat 1</t>
  </si>
  <si>
    <t>inventaris Lengkeek, rapport 4054878-5 dd 13-4-2021</t>
  </si>
  <si>
    <t>inventaris Lengkeek, rapport 4054878-6 dd 20-4-2021</t>
  </si>
  <si>
    <t>inventaris Lengkeek, rapport 4054878-1 dd 13-4-2021</t>
  </si>
  <si>
    <t>inventaris Lengkeek 4054878-5 dd 13-4-2021</t>
  </si>
  <si>
    <t>Lengkeek, rapport 4054879-5 dd 30-4-2021</t>
  </si>
  <si>
    <t>Binnendries 5, 7, 9</t>
  </si>
  <si>
    <t>Historische Kring, KDV en museum</t>
  </si>
  <si>
    <t>IKC De Vonkenmorgen</t>
  </si>
  <si>
    <t>Lengkeek, rapport 4054876 dd 21-5-2021</t>
  </si>
  <si>
    <t>Gemeentehuis Bemmel (Kinkelenburg) (kunst/kostbaarheden)</t>
  </si>
  <si>
    <t>Lengkeek, rapport 4054879-7 dd 12-7-2021 (incl. fundering)</t>
  </si>
  <si>
    <t>6852 FE</t>
  </si>
  <si>
    <t>Appartement</t>
  </si>
  <si>
    <t>Kardinaal de Jongstraat 1</t>
  </si>
  <si>
    <t>Voormalig Raadzaal</t>
  </si>
  <si>
    <t>Lengkeek, rapport 4054879-7 dd 12-7-2021</t>
  </si>
  <si>
    <t>14 Woonwagenstandplaatsen, toilet en douchevoorzieningen, berging en meterkast</t>
  </si>
  <si>
    <t>Terpweide 1 t/m 9, 11 t/m 14 en 16</t>
  </si>
  <si>
    <t>Gymzaal Turnvereniging SGS</t>
  </si>
  <si>
    <t>De Jongstraat 1B</t>
  </si>
  <si>
    <t>nieuw?</t>
  </si>
  <si>
    <t>Plaza 123-125-127 en Hazekamp 2E</t>
  </si>
  <si>
    <t>IKC Binnestebuiten met 4 noodlokalen (zonnepanelen op Binnestebuiten)</t>
  </si>
  <si>
    <t>De geschakelde basisscholen Het Drieluik (nr. 3), 't Holthuus (nr. 9), Kinderopvang Skar (nr. 7) en consultatiebureau (nr. 5)</t>
  </si>
  <si>
    <t xml:space="preserve">KDV/BSO Morgenster </t>
  </si>
  <si>
    <t>Lengkeek, rapport 4054879-1 dd 13-4-2021 (incl. fundering)</t>
  </si>
  <si>
    <t>6691 MH</t>
  </si>
  <si>
    <t>Nijmeegsestraat 1a</t>
  </si>
  <si>
    <t xml:space="preserve">Natuurzwembad Walburgen kiosk </t>
  </si>
  <si>
    <t>huurdersbelang Lengkeek, rapport 4054878-2 dd 13-4-2021</t>
  </si>
  <si>
    <t>inventaris inbegrepen bij regel Flierenhofstraat 34)</t>
  </si>
  <si>
    <t>Lengkeek, rapport 4054879-4 dd 30-4-2021 (incl. fundering)</t>
  </si>
  <si>
    <t>Plakselaan 22-26-30-32 en 34</t>
  </si>
  <si>
    <t>IKC Donatushof (dependance) inclusief berging van naastgelegen 'Torteltuin'</t>
  </si>
  <si>
    <t>Lengkeek, rapport 4054879-5 dd 30-4-2021 (incl. fundering)</t>
  </si>
  <si>
    <t>Vijzelpad 11</t>
  </si>
  <si>
    <t>IKC De Doornick (voormalig bibliotheek)</t>
  </si>
  <si>
    <t>Lengkeek, rapport 4054879-6 dd 30-4-2021 (incl. fundering)</t>
  </si>
  <si>
    <t>Clubgebouw VV De Bataven (kleedkamer 9 en 10)</t>
  </si>
  <si>
    <t xml:space="preserve">Gendt
Gendt </t>
  </si>
  <si>
    <t>6691 CJ
 6691 XP</t>
  </si>
  <si>
    <t>IKC De Vonkenmorgen
Basisschool De Vonkenmorgen</t>
  </si>
  <si>
    <t xml:space="preserve">Basisschool De Vonkenmorgen </t>
  </si>
  <si>
    <t>Dorpstraat 72A</t>
  </si>
  <si>
    <t>inventaris Lengkeek, rapport 4054878-4 dd 12-4-2021 (95c)</t>
  </si>
  <si>
    <t>Lengkeek, rapport 4054879-2 dd 13-4-2021 (incl. fundering)</t>
  </si>
  <si>
    <t>IKC De Tichelaar, gymzaal</t>
  </si>
  <si>
    <t>Hoeve</t>
  </si>
  <si>
    <t>Huttenstraat</t>
  </si>
  <si>
    <t>Lengkeek, rapport 4054879-7.1 dd 12-7-2021 (incl. fundering)</t>
  </si>
  <si>
    <t>geen onderhoudsverplichting</t>
  </si>
  <si>
    <t>NEN 3140</t>
  </si>
  <si>
    <t>uitgevoerd op</t>
  </si>
  <si>
    <t>-</t>
  </si>
  <si>
    <t>n.v.t.</t>
  </si>
  <si>
    <t>zie tabaksschuur</t>
  </si>
  <si>
    <t>antwoord FZ</t>
  </si>
  <si>
    <t>2016 nwe mk</t>
  </si>
  <si>
    <t>lichtmast 17-2-2020</t>
  </si>
  <si>
    <t>Carillon Plantsoen Groene Hart</t>
  </si>
  <si>
    <t>Poelwijklaan 12c</t>
  </si>
  <si>
    <t>Dorpshuis De Tichel, KDV en PSZ</t>
  </si>
  <si>
    <t>Kolkweg 5 a en c</t>
  </si>
  <si>
    <t>Angerensedijk 2</t>
  </si>
  <si>
    <t>Hazekamp 2a</t>
  </si>
  <si>
    <t>Brandweerkazerne en voormalige gemeentewerf</t>
  </si>
  <si>
    <t>Langekerkstraat 10</t>
  </si>
  <si>
    <t>Markt (ong.)</t>
  </si>
  <si>
    <t>Wagenweg 12c, d en e</t>
  </si>
  <si>
    <t>indexcijfer 125,2</t>
  </si>
  <si>
    <t>Taxatie</t>
  </si>
  <si>
    <t>inventaris Lengkeek, rapport 4054878-7 dd 23-6-2021</t>
  </si>
  <si>
    <t>Gebouwen 
31-03-2022</t>
  </si>
  <si>
    <t>Indexcijfer</t>
  </si>
  <si>
    <t>indexcijfer 159,8</t>
  </si>
  <si>
    <t>indexcijfer 131,5</t>
  </si>
  <si>
    <t>Inventaris 
31-03-2022</t>
  </si>
  <si>
    <t>Polseweg 15b</t>
  </si>
  <si>
    <t>6851 DA</t>
  </si>
  <si>
    <t>Uitrukpost</t>
  </si>
  <si>
    <t>Karstraat 18</t>
  </si>
  <si>
    <t>per 010822 meeverzek. zie mail 240522</t>
  </si>
  <si>
    <t>Lengkeek, rapport 4017707-6 dd 09-10-2017 (incl. fundering)</t>
  </si>
  <si>
    <t>6681 LB</t>
  </si>
  <si>
    <t>Olyhorststraat 2</t>
  </si>
  <si>
    <t>6691 HD</t>
  </si>
  <si>
    <t>Zorgunit (huurdersbelang)</t>
  </si>
  <si>
    <t>nieuw zie mail 051222, Wilbert heeft nog aanvullende vragen gesteld + aanvullende mail 201222</t>
  </si>
  <si>
    <t>Gebouwen 
31-03-2023</t>
  </si>
  <si>
    <t>Inventaris 
31-03-2023</t>
  </si>
  <si>
    <t>indexcijfer 124,0</t>
  </si>
  <si>
    <t>Gebouwen 
31-03-2024</t>
  </si>
  <si>
    <t>Inventaris 
31-03-2024</t>
  </si>
  <si>
    <t>indexcijfer 124,4</t>
  </si>
  <si>
    <t>indexcijfer 128,4</t>
  </si>
  <si>
    <t>Apparatuur (hardware), investeringsbedragen en jaren op de locatie Dataplace</t>
  </si>
  <si>
    <t>Locatie</t>
  </si>
  <si>
    <t>Apparatuur</t>
  </si>
  <si>
    <t>Investerings-jaar</t>
  </si>
  <si>
    <t>Investerings-bedrag</t>
  </si>
  <si>
    <t>Afschrijvings-termijn (jr)</t>
  </si>
  <si>
    <t>Opmerking</t>
  </si>
  <si>
    <t>Gemeentehuis</t>
  </si>
  <si>
    <t>Backup</t>
  </si>
  <si>
    <t>5-7</t>
  </si>
  <si>
    <t>Staat op locatie Elst</t>
  </si>
  <si>
    <t>Frontend servers + 2x A16 GPU</t>
  </si>
  <si>
    <t>Staat op locaties Bemmel en Dataplace</t>
  </si>
  <si>
    <t>Backend servers</t>
  </si>
  <si>
    <t>Oracle servers</t>
  </si>
  <si>
    <t>Core switches + DWDM</t>
  </si>
  <si>
    <t>Totale investering gedeeld over 3 MER's</t>
  </si>
  <si>
    <t>Access Switches (2x24)</t>
  </si>
  <si>
    <t>MER (Racks, kabels, UPS, etc.)</t>
  </si>
  <si>
    <t>SAN Switches (2x)</t>
  </si>
  <si>
    <t>SAN</t>
  </si>
  <si>
    <t>Firewall 1x</t>
  </si>
  <si>
    <t>TOTAAL</t>
  </si>
  <si>
    <t>Investerings-
jaar</t>
  </si>
  <si>
    <t>Apparatuur (hardware), investeringsbedragen en jaren op de verschillende locaties van gemeente Lingewaard</t>
  </si>
  <si>
    <t>Access Switches (14x48+2x24)</t>
  </si>
  <si>
    <t>Verdelen over andere locaties gemeente</t>
  </si>
  <si>
    <t>Wifi AP’s (51)</t>
  </si>
  <si>
    <t>MikroTik 2x</t>
  </si>
  <si>
    <t>Kasteel</t>
  </si>
  <si>
    <t>Access Switches (4x24)</t>
  </si>
  <si>
    <t>Wifi AP’s (8)</t>
  </si>
  <si>
    <t>Gemeentewerf</t>
  </si>
  <si>
    <t>Wifi AP’s (8+1)</t>
  </si>
  <si>
    <t>Tabaksschuur</t>
  </si>
  <si>
    <t>Wifi AP’s (4)</t>
  </si>
  <si>
    <r>
      <t xml:space="preserve">Dataplace ICT </t>
    </r>
    <r>
      <rPr>
        <sz val="10"/>
        <color rgb="FFFF0000"/>
        <rFont val="Arial"/>
        <family val="2"/>
      </rPr>
      <t>(conform tabblad)</t>
    </r>
  </si>
  <si>
    <r>
      <t>Lingewaard ICT</t>
    </r>
    <r>
      <rPr>
        <sz val="10"/>
        <color rgb="FFFF0000"/>
        <rFont val="Arial"/>
        <family val="2"/>
      </rPr>
      <t xml:space="preserve"> (conform tabblad)</t>
    </r>
  </si>
  <si>
    <t>Lengkeek, rapport 4089884 dd 09-02-2024 (incl. fundering)</t>
  </si>
  <si>
    <t xml:space="preserve">aanpassing vs ivm taxatie zie mail </t>
  </si>
  <si>
    <t>Jonge Kracht (inclusief 272 zonnepanelen)</t>
  </si>
  <si>
    <t>Bibliotheek</t>
  </si>
  <si>
    <t>Schoolstraat 2</t>
  </si>
  <si>
    <t>6691 XS</t>
  </si>
  <si>
    <t>mail 060624 -&gt; 140624 nr Siebe voor nadere instructies</t>
  </si>
  <si>
    <t>Gebouwen 
31-03-2025</t>
  </si>
  <si>
    <t>indexcijfer 133,4</t>
  </si>
  <si>
    <t>Inventaris 
31-03-2025</t>
  </si>
  <si>
    <t>indexcijfer 129,6</t>
  </si>
  <si>
    <t>Totaal per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</si>
</sst>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quot;€&quot;\ * #,##0.00_-;_-&quot;€&quot;\ * #,##0.00\-;_-&quot;€&quot;\ * &quot;-&quot;??_-;_-@_-"/>
    <numFmt numFmtId="165" formatCode="_-* #,##0.00_-;_-* #,##0.00\-;_-* &quot;-&quot;??_-;_-@_-"/>
    <numFmt numFmtId="166" formatCode="0&quot;.&quot;000&quot;.&quot;0000"/>
    <numFmt numFmtId="170" formatCode="0.0"/>
    <numFmt numFmtId="172" formatCode="_ [$€-413]\ * #,##0.00_ ;_ [$€-413]\ * \-#,##0.00_ ;_ [$€-413]\ * &quot;-&quot;??_ ;_ @_ "/>
  </numFmts>
  <fonts count="20" x14ac:knownFonts="1">
    <font>
      <sz val="10"/>
      <name val="Arial"/>
    </font>
    <font>
      <sz val="11"/>
      <color theme="1"/>
      <name val="Calibri"/>
      <family val="2"/>
      <scheme val="minor"/>
    </font>
    <font>
      <sz val="10"/>
      <name val="Arial"/>
      <family val="2"/>
    </font>
    <font>
      <sz val="11"/>
      <name val="Arial"/>
      <family val="2"/>
    </font>
    <font>
      <sz val="8"/>
      <name val="Arial"/>
      <family val="2"/>
    </font>
    <font>
      <sz val="10"/>
      <color indexed="8"/>
      <name val="Arial"/>
      <family val="2"/>
    </font>
    <font>
      <b/>
      <i/>
      <sz val="10"/>
      <color indexed="8"/>
      <name val="Arial"/>
      <family val="2"/>
    </font>
    <font>
      <sz val="10"/>
      <name val="Arial"/>
      <family val="2"/>
    </font>
    <font>
      <b/>
      <sz val="10"/>
      <name val="Arial"/>
      <family val="2"/>
    </font>
    <font>
      <b/>
      <i/>
      <sz val="10"/>
      <name val="Arial"/>
      <family val="2"/>
    </font>
    <font>
      <b/>
      <sz val="10"/>
      <color indexed="8"/>
      <name val="Arial"/>
      <family val="2"/>
    </font>
    <font>
      <sz val="10"/>
      <color rgb="FFFF0000"/>
      <name val="Arial"/>
      <family val="2"/>
    </font>
    <font>
      <sz val="10"/>
      <color theme="1"/>
      <name val="Arial"/>
      <family val="2"/>
    </font>
    <font>
      <sz val="9"/>
      <color indexed="81"/>
      <name val="Tahoma"/>
      <family val="2"/>
    </font>
    <font>
      <b/>
      <sz val="9"/>
      <color indexed="81"/>
      <name val="Tahoma"/>
      <family val="2"/>
    </font>
    <font>
      <i/>
      <sz val="10"/>
      <name val="Arial"/>
      <family val="2"/>
    </font>
    <font>
      <i/>
      <sz val="10"/>
      <color rgb="FFFF0000"/>
      <name val="Arial"/>
      <family val="2"/>
    </font>
    <font>
      <b/>
      <sz val="10"/>
      <color rgb="FF000000"/>
      <name val="Arial"/>
      <family val="2"/>
    </font>
    <font>
      <b/>
      <sz val="11"/>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8">
    <xf numFmtId="0" fontId="0" fillId="0" borderId="0"/>
    <xf numFmtId="164" fontId="2" fillId="0" borderId="0" applyFont="0" applyFill="0" applyBorder="0" applyAlignment="0" applyProtection="0"/>
    <xf numFmtId="165" fontId="2" fillId="0" borderId="0" applyFont="0" applyFill="0" applyBorder="0" applyAlignment="0" applyProtection="0"/>
    <xf numFmtId="0" fontId="3" fillId="0" borderId="0"/>
    <xf numFmtId="164" fontId="2" fillId="0" borderId="0" applyFont="0" applyFill="0" applyBorder="0" applyAlignment="0" applyProtection="0"/>
    <xf numFmtId="44" fontId="12" fillId="0" borderId="0" applyFont="0" applyFill="0" applyBorder="0" applyAlignment="0" applyProtection="0"/>
    <xf numFmtId="164" fontId="2" fillId="0" borderId="0" applyFont="0" applyFill="0" applyBorder="0" applyAlignment="0" applyProtection="0"/>
    <xf numFmtId="0" fontId="1" fillId="0" borderId="0"/>
  </cellStyleXfs>
  <cellXfs count="227">
    <xf numFmtId="0" fontId="0" fillId="0" borderId="0" xfId="0"/>
    <xf numFmtId="165" fontId="5" fillId="0" borderId="0" xfId="2" applyFont="1" applyBorder="1" applyAlignment="1">
      <alignment vertical="top"/>
    </xf>
    <xf numFmtId="165" fontId="5" fillId="0" borderId="0" xfId="2" applyFont="1" applyAlignment="1">
      <alignment vertical="top"/>
    </xf>
    <xf numFmtId="166" fontId="5" fillId="0" borderId="0" xfId="2" applyNumberFormat="1" applyFont="1" applyBorder="1" applyAlignment="1">
      <alignment vertical="top"/>
    </xf>
    <xf numFmtId="165" fontId="5" fillId="0" borderId="0" xfId="2" applyFont="1" applyBorder="1" applyAlignment="1">
      <alignment vertical="top" wrapText="1"/>
    </xf>
    <xf numFmtId="165" fontId="5" fillId="0" borderId="0" xfId="2" applyFont="1" applyBorder="1" applyAlignment="1">
      <alignment horizontal="center" vertical="top"/>
    </xf>
    <xf numFmtId="165" fontId="5" fillId="0" borderId="0" xfId="2" applyFont="1" applyBorder="1" applyAlignment="1">
      <alignment horizontal="left" vertical="top" wrapText="1"/>
    </xf>
    <xf numFmtId="165" fontId="5" fillId="0" borderId="0" xfId="2" applyFont="1" applyFill="1" applyAlignment="1">
      <alignment vertical="top" wrapText="1"/>
    </xf>
    <xf numFmtId="164" fontId="5" fillId="0" borderId="0" xfId="4" applyFont="1" applyBorder="1" applyAlignment="1">
      <alignment vertical="top"/>
    </xf>
    <xf numFmtId="165" fontId="6" fillId="2" borderId="1" xfId="2" applyFont="1" applyFill="1" applyBorder="1" applyAlignment="1">
      <alignment vertical="top" wrapText="1"/>
    </xf>
    <xf numFmtId="165" fontId="5" fillId="0" borderId="0" xfId="2" applyFont="1" applyFill="1" applyAlignment="1">
      <alignment vertical="top"/>
    </xf>
    <xf numFmtId="166" fontId="9" fillId="0" borderId="6" xfId="2" quotePrefix="1" applyNumberFormat="1" applyFont="1" applyFill="1" applyBorder="1" applyAlignment="1">
      <alignment horizontal="left" vertical="top"/>
    </xf>
    <xf numFmtId="165" fontId="9" fillId="0" borderId="7" xfId="2" quotePrefix="1" applyFont="1" applyFill="1" applyBorder="1" applyAlignment="1">
      <alignment horizontal="center" vertical="top" wrapText="1"/>
    </xf>
    <xf numFmtId="165" fontId="7" fillId="0" borderId="7" xfId="2" applyFont="1" applyFill="1" applyBorder="1" applyAlignment="1">
      <alignment vertical="top"/>
    </xf>
    <xf numFmtId="0" fontId="7" fillId="0" borderId="0" xfId="0" applyFont="1"/>
    <xf numFmtId="164" fontId="7" fillId="0" borderId="0" xfId="4" applyFont="1"/>
    <xf numFmtId="165" fontId="10" fillId="0" borderId="0" xfId="2" applyFont="1" applyFill="1" applyBorder="1" applyAlignment="1">
      <alignment vertical="top"/>
    </xf>
    <xf numFmtId="166" fontId="6" fillId="0" borderId="4" xfId="2" applyNumberFormat="1" applyFont="1" applyFill="1" applyBorder="1" applyAlignment="1">
      <alignment horizontal="left" vertical="top" wrapText="1"/>
    </xf>
    <xf numFmtId="165" fontId="6" fillId="0" borderId="0" xfId="2" applyFont="1" applyFill="1" applyBorder="1" applyAlignment="1">
      <alignment vertical="top" wrapText="1"/>
    </xf>
    <xf numFmtId="0" fontId="7" fillId="0" borderId="8" xfId="0" applyFont="1" applyBorder="1"/>
    <xf numFmtId="164" fontId="7" fillId="0" borderId="1" xfId="4" applyFont="1" applyBorder="1"/>
    <xf numFmtId="164" fontId="7" fillId="0" borderId="0" xfId="0" applyNumberFormat="1" applyFont="1"/>
    <xf numFmtId="0" fontId="7" fillId="0" borderId="4" xfId="0" applyFont="1" applyBorder="1"/>
    <xf numFmtId="164" fontId="7" fillId="0" borderId="0" xfId="4" applyFont="1" applyBorder="1"/>
    <xf numFmtId="164" fontId="8" fillId="0" borderId="10" xfId="4" applyFont="1" applyBorder="1"/>
    <xf numFmtId="0" fontId="7" fillId="0" borderId="0" xfId="0" applyFont="1" applyAlignment="1"/>
    <xf numFmtId="164" fontId="7" fillId="0" borderId="0" xfId="4" applyFont="1" applyAlignment="1"/>
    <xf numFmtId="166" fontId="10" fillId="0" borderId="4" xfId="2" applyNumberFormat="1" applyFont="1" applyFill="1" applyBorder="1" applyAlignment="1">
      <alignment vertical="top"/>
    </xf>
    <xf numFmtId="166" fontId="10" fillId="2" borderId="9" xfId="2" applyNumberFormat="1" applyFont="1" applyFill="1" applyBorder="1" applyAlignment="1">
      <alignment horizontal="left" vertical="top" wrapText="1"/>
    </xf>
    <xf numFmtId="166" fontId="5" fillId="0" borderId="11" xfId="2" quotePrefix="1" applyNumberFormat="1" applyFont="1" applyFill="1" applyBorder="1" applyAlignment="1">
      <alignment horizontal="left" vertical="top"/>
    </xf>
    <xf numFmtId="165" fontId="5" fillId="0" borderId="1" xfId="2" applyFont="1" applyFill="1" applyBorder="1" applyAlignment="1" applyProtection="1">
      <alignment horizontal="left" vertical="top" wrapText="1"/>
      <protection locked="0"/>
    </xf>
    <xf numFmtId="166" fontId="6" fillId="0" borderId="1" xfId="2" applyNumberFormat="1" applyFont="1" applyFill="1" applyBorder="1" applyAlignment="1">
      <alignment horizontal="left" vertical="top"/>
    </xf>
    <xf numFmtId="165" fontId="5" fillId="0" borderId="1" xfId="2" applyFont="1" applyFill="1" applyBorder="1" applyAlignment="1">
      <alignment horizontal="center" vertical="top" wrapText="1"/>
    </xf>
    <xf numFmtId="165" fontId="5" fillId="0" borderId="1" xfId="2" applyFont="1" applyFill="1" applyBorder="1" applyAlignment="1" applyProtection="1">
      <alignment horizontal="left" vertical="top"/>
      <protection locked="0"/>
    </xf>
    <xf numFmtId="165" fontId="5" fillId="0" borderId="1" xfId="2" applyFont="1" applyFill="1" applyBorder="1" applyAlignment="1">
      <alignment horizontal="center" vertical="top"/>
    </xf>
    <xf numFmtId="165" fontId="5" fillId="0" borderId="0" xfId="2" applyFont="1" applyBorder="1" applyAlignment="1">
      <alignment horizontal="left" vertical="top"/>
    </xf>
    <xf numFmtId="166" fontId="10" fillId="2" borderId="4" xfId="2" applyNumberFormat="1" applyFont="1" applyFill="1" applyBorder="1" applyAlignment="1">
      <alignment horizontal="left" vertical="top" wrapText="1"/>
    </xf>
    <xf numFmtId="165" fontId="10" fillId="2" borderId="0" xfId="2" applyFont="1" applyFill="1" applyBorder="1" applyAlignment="1">
      <alignment horizontal="left" vertical="top" wrapText="1"/>
    </xf>
    <xf numFmtId="165" fontId="10" fillId="2" borderId="0" xfId="2" applyFont="1" applyFill="1" applyBorder="1" applyAlignment="1">
      <alignment vertical="top" wrapText="1"/>
    </xf>
    <xf numFmtId="165" fontId="10" fillId="2" borderId="0" xfId="2" applyFont="1" applyFill="1" applyBorder="1" applyAlignment="1">
      <alignment horizontal="center" vertical="top" wrapText="1"/>
    </xf>
    <xf numFmtId="166" fontId="6" fillId="2" borderId="1" xfId="2" applyNumberFormat="1" applyFont="1" applyFill="1" applyBorder="1" applyAlignment="1">
      <alignment horizontal="left" vertical="top"/>
    </xf>
    <xf numFmtId="165" fontId="5" fillId="2" borderId="1" xfId="2" applyFont="1" applyFill="1" applyBorder="1" applyAlignment="1">
      <alignment horizontal="center" vertical="top"/>
    </xf>
    <xf numFmtId="165" fontId="5" fillId="2" borderId="1" xfId="2" applyFont="1" applyFill="1" applyBorder="1" applyAlignment="1">
      <alignment horizontal="left" vertical="top" wrapText="1"/>
    </xf>
    <xf numFmtId="165" fontId="5" fillId="2" borderId="1" xfId="2" applyFont="1" applyFill="1" applyBorder="1" applyAlignment="1">
      <alignment vertical="top"/>
    </xf>
    <xf numFmtId="165" fontId="7" fillId="0" borderId="0" xfId="2" applyFont="1" applyFill="1" applyAlignment="1">
      <alignment vertical="top"/>
    </xf>
    <xf numFmtId="165" fontId="7" fillId="0" borderId="0" xfId="2" applyFont="1" applyAlignment="1">
      <alignment vertical="top"/>
    </xf>
    <xf numFmtId="166" fontId="5" fillId="0" borderId="0" xfId="2" quotePrefix="1" applyNumberFormat="1" applyFont="1" applyFill="1" applyBorder="1" applyAlignment="1" applyProtection="1">
      <alignment horizontal="left" vertical="top"/>
      <protection locked="0"/>
    </xf>
    <xf numFmtId="165" fontId="5" fillId="0" borderId="0" xfId="2" applyFont="1" applyFill="1" applyBorder="1" applyAlignment="1" applyProtection="1">
      <alignment horizontal="left" vertical="top" wrapText="1"/>
      <protection locked="0"/>
    </xf>
    <xf numFmtId="165" fontId="5" fillId="0" borderId="0" xfId="2" applyFont="1" applyFill="1" applyBorder="1" applyAlignment="1" applyProtection="1">
      <alignment horizontal="center" vertical="top"/>
      <protection locked="0"/>
    </xf>
    <xf numFmtId="165" fontId="5" fillId="0" borderId="0" xfId="2" applyFont="1" applyFill="1" applyBorder="1" applyAlignment="1">
      <alignment vertical="top"/>
    </xf>
    <xf numFmtId="166" fontId="10" fillId="0" borderId="0" xfId="2" applyNumberFormat="1" applyFont="1" applyBorder="1" applyAlignment="1">
      <alignment horizontal="left" vertical="top"/>
    </xf>
    <xf numFmtId="165" fontId="10" fillId="0" borderId="0" xfId="2" quotePrefix="1" applyFont="1" applyBorder="1" applyAlignment="1">
      <alignment horizontal="left" vertical="top" wrapText="1"/>
    </xf>
    <xf numFmtId="165" fontId="10" fillId="0" borderId="0" xfId="2" applyFont="1" applyBorder="1" applyAlignment="1">
      <alignment horizontal="center" vertical="top"/>
    </xf>
    <xf numFmtId="165" fontId="5" fillId="0" borderId="0" xfId="2" applyFont="1" applyBorder="1" applyAlignment="1">
      <alignment horizontal="center" vertical="top" wrapText="1"/>
    </xf>
    <xf numFmtId="164" fontId="10" fillId="0" borderId="3" xfId="4" applyFont="1" applyBorder="1" applyAlignment="1">
      <alignment vertical="top"/>
    </xf>
    <xf numFmtId="165" fontId="10" fillId="2" borderId="0" xfId="2" applyFont="1" applyFill="1" applyBorder="1" applyAlignment="1">
      <alignment horizontal="left" vertical="top"/>
    </xf>
    <xf numFmtId="165" fontId="10" fillId="2" borderId="0" xfId="2" applyFont="1" applyFill="1" applyAlignment="1">
      <alignment vertical="top"/>
    </xf>
    <xf numFmtId="165" fontId="11" fillId="3" borderId="0" xfId="2" applyFont="1" applyFill="1" applyAlignment="1">
      <alignment vertical="top"/>
    </xf>
    <xf numFmtId="165" fontId="11" fillId="0" borderId="0" xfId="2" applyFont="1" applyFill="1" applyAlignment="1">
      <alignment vertical="top"/>
    </xf>
    <xf numFmtId="165" fontId="2" fillId="0" borderId="0" xfId="2" applyFont="1" applyFill="1" applyAlignment="1">
      <alignment vertical="top"/>
    </xf>
    <xf numFmtId="165" fontId="2" fillId="0" borderId="1" xfId="2" applyFont="1" applyFill="1" applyBorder="1" applyAlignment="1" applyProtection="1">
      <alignment horizontal="left" vertical="top" wrapText="1"/>
      <protection locked="0"/>
    </xf>
    <xf numFmtId="166" fontId="2" fillId="0" borderId="1" xfId="2" quotePrefix="1" applyNumberFormat="1" applyFont="1" applyFill="1" applyBorder="1" applyAlignment="1" applyProtection="1">
      <alignment horizontal="left" vertical="top"/>
      <protection locked="0"/>
    </xf>
    <xf numFmtId="165" fontId="2" fillId="0" borderId="1" xfId="2" applyFont="1" applyFill="1" applyBorder="1" applyAlignment="1" applyProtection="1">
      <alignment horizontal="center" vertical="top"/>
      <protection locked="0"/>
    </xf>
    <xf numFmtId="165" fontId="2" fillId="0" borderId="1" xfId="2" applyFont="1" applyFill="1" applyBorder="1" applyAlignment="1">
      <alignment vertical="top"/>
    </xf>
    <xf numFmtId="49" fontId="2" fillId="0" borderId="1" xfId="2" applyNumberFormat="1" applyFont="1" applyFill="1" applyBorder="1" applyAlignment="1">
      <alignment horizontal="left" vertical="top" wrapText="1"/>
    </xf>
    <xf numFmtId="165" fontId="2" fillId="0" borderId="1" xfId="2" applyFont="1" applyFill="1" applyBorder="1" applyAlignment="1">
      <alignment horizontal="left" vertical="top"/>
    </xf>
    <xf numFmtId="165" fontId="2" fillId="0" borderId="0" xfId="2" applyFont="1" applyAlignment="1">
      <alignment vertical="top"/>
    </xf>
    <xf numFmtId="165" fontId="2" fillId="0" borderId="1" xfId="2" applyFont="1" applyBorder="1" applyAlignment="1" applyProtection="1">
      <alignment horizontal="left" vertical="top" wrapText="1"/>
      <protection locked="0"/>
    </xf>
    <xf numFmtId="165" fontId="2" fillId="0" borderId="1" xfId="2" applyFont="1" applyBorder="1" applyAlignment="1" applyProtection="1">
      <alignment horizontal="center" vertical="top"/>
      <protection locked="0"/>
    </xf>
    <xf numFmtId="165" fontId="2" fillId="0" borderId="1" xfId="2" applyFont="1" applyBorder="1" applyAlignment="1">
      <alignment vertical="top"/>
    </xf>
    <xf numFmtId="165" fontId="2" fillId="0" borderId="0" xfId="2" applyFont="1" applyBorder="1" applyAlignment="1">
      <alignment vertical="top"/>
    </xf>
    <xf numFmtId="165" fontId="2" fillId="0" borderId="1" xfId="2" applyFont="1" applyBorder="1" applyAlignment="1">
      <alignment vertical="top" wrapText="1"/>
    </xf>
    <xf numFmtId="165" fontId="2" fillId="0" borderId="1" xfId="2" applyFont="1" applyFill="1" applyBorder="1" applyAlignment="1" applyProtection="1">
      <alignment vertical="top" wrapText="1"/>
      <protection locked="0"/>
    </xf>
    <xf numFmtId="165" fontId="11" fillId="4" borderId="0" xfId="2" applyFont="1" applyFill="1" applyAlignment="1">
      <alignment vertical="top"/>
    </xf>
    <xf numFmtId="165" fontId="11" fillId="0" borderId="0" xfId="2" applyFont="1" applyFill="1" applyAlignment="1">
      <alignment vertical="top" wrapText="1"/>
    </xf>
    <xf numFmtId="165" fontId="11" fillId="0" borderId="0" xfId="2" applyFont="1" applyBorder="1" applyAlignment="1">
      <alignment vertical="top"/>
    </xf>
    <xf numFmtId="165" fontId="11" fillId="0" borderId="1" xfId="2" applyFont="1" applyBorder="1" applyAlignment="1">
      <alignment vertical="top"/>
    </xf>
    <xf numFmtId="165" fontId="5" fillId="0" borderId="1" xfId="2" applyFont="1" applyBorder="1" applyAlignment="1">
      <alignment horizontal="center" vertical="center"/>
    </xf>
    <xf numFmtId="165" fontId="11" fillId="0" borderId="1" xfId="2" applyFont="1" applyFill="1" applyBorder="1" applyAlignment="1">
      <alignment vertical="top"/>
    </xf>
    <xf numFmtId="165" fontId="2" fillId="0" borderId="1" xfId="2" applyFont="1" applyFill="1" applyBorder="1" applyAlignment="1">
      <alignment horizontal="center" vertical="center"/>
    </xf>
    <xf numFmtId="165" fontId="11" fillId="4" borderId="1" xfId="2" applyFont="1" applyFill="1" applyBorder="1" applyAlignment="1">
      <alignment vertical="top"/>
    </xf>
    <xf numFmtId="165" fontId="2" fillId="4" borderId="1" xfId="2" applyFont="1" applyFill="1" applyBorder="1" applyAlignment="1">
      <alignment horizontal="center" vertical="center"/>
    </xf>
    <xf numFmtId="165" fontId="2" fillId="0" borderId="1" xfId="2" applyFont="1" applyBorder="1" applyAlignment="1">
      <alignment horizontal="center" vertical="center"/>
    </xf>
    <xf numFmtId="165" fontId="11" fillId="0" borderId="1" xfId="2" applyFont="1" applyBorder="1" applyAlignment="1">
      <alignment vertical="top" wrapText="1"/>
    </xf>
    <xf numFmtId="165" fontId="11" fillId="0" borderId="1" xfId="2" applyFont="1" applyFill="1" applyBorder="1" applyAlignment="1">
      <alignment horizontal="left" vertical="top"/>
    </xf>
    <xf numFmtId="165" fontId="11" fillId="0" borderId="1" xfId="2" applyFont="1" applyFill="1" applyBorder="1" applyAlignment="1">
      <alignment vertical="top" wrapText="1"/>
    </xf>
    <xf numFmtId="165" fontId="5" fillId="0" borderId="1" xfId="2" applyFont="1" applyBorder="1" applyAlignment="1">
      <alignment vertical="top"/>
    </xf>
    <xf numFmtId="165" fontId="11" fillId="0" borderId="1" xfId="2" applyFont="1" applyFill="1" applyBorder="1" applyAlignment="1">
      <alignment horizontal="right" vertical="top"/>
    </xf>
    <xf numFmtId="165" fontId="5" fillId="0" borderId="1" xfId="2" applyFont="1" applyFill="1" applyBorder="1" applyAlignment="1">
      <alignment vertical="top"/>
    </xf>
    <xf numFmtId="165" fontId="11" fillId="0" borderId="12" xfId="2" applyFont="1" applyBorder="1" applyAlignment="1">
      <alignment vertical="top"/>
    </xf>
    <xf numFmtId="165" fontId="5" fillId="0" borderId="12" xfId="2" applyFont="1" applyBorder="1" applyAlignment="1">
      <alignment vertical="top"/>
    </xf>
    <xf numFmtId="165" fontId="5" fillId="0" borderId="1" xfId="2" applyFont="1" applyFill="1" applyBorder="1" applyAlignment="1">
      <alignment horizontal="center" vertical="center" wrapText="1"/>
    </xf>
    <xf numFmtId="165" fontId="2" fillId="5" borderId="1" xfId="2" applyFont="1" applyFill="1" applyBorder="1" applyAlignment="1">
      <alignment horizontal="center" vertical="center"/>
    </xf>
    <xf numFmtId="165" fontId="2" fillId="0" borderId="2" xfId="2" applyFont="1" applyFill="1" applyBorder="1" applyAlignment="1" applyProtection="1">
      <alignment horizontal="left" vertical="top" wrapText="1"/>
      <protection locked="0"/>
    </xf>
    <xf numFmtId="165" fontId="5" fillId="0" borderId="2" xfId="2" applyFont="1" applyBorder="1" applyAlignment="1">
      <alignment horizontal="center" vertical="center"/>
    </xf>
    <xf numFmtId="165" fontId="2" fillId="5" borderId="2" xfId="2" applyFont="1" applyFill="1" applyBorder="1" applyAlignment="1">
      <alignment horizontal="center" vertical="center"/>
    </xf>
    <xf numFmtId="165" fontId="2" fillId="4" borderId="2" xfId="2" applyFont="1" applyFill="1" applyBorder="1" applyAlignment="1">
      <alignment horizontal="center" vertical="center"/>
    </xf>
    <xf numFmtId="165" fontId="2" fillId="0" borderId="2" xfId="2" applyFont="1" applyBorder="1" applyAlignment="1">
      <alignment horizontal="center" vertical="center"/>
    </xf>
    <xf numFmtId="165" fontId="2" fillId="0" borderId="2" xfId="2" applyFont="1" applyFill="1" applyBorder="1" applyAlignment="1">
      <alignment horizontal="center" vertical="center"/>
    </xf>
    <xf numFmtId="165" fontId="5" fillId="0" borderId="13" xfId="2" applyFont="1" applyBorder="1" applyAlignment="1">
      <alignment vertical="top"/>
    </xf>
    <xf numFmtId="165" fontId="2" fillId="0" borderId="1" xfId="2" applyFont="1" applyFill="1" applyBorder="1" applyAlignment="1">
      <alignment vertical="top" wrapText="1"/>
    </xf>
    <xf numFmtId="165" fontId="5" fillId="0" borderId="1" xfId="2" applyFont="1" applyFill="1" applyBorder="1" applyAlignment="1">
      <alignment vertical="top" wrapText="1"/>
    </xf>
    <xf numFmtId="164" fontId="2" fillId="0" borderId="1" xfId="4" applyFont="1" applyFill="1" applyBorder="1" applyAlignment="1">
      <alignment vertical="top"/>
    </xf>
    <xf numFmtId="164" fontId="6" fillId="0" borderId="10" xfId="4" applyFont="1" applyFill="1" applyBorder="1" applyAlignment="1">
      <alignment vertical="top"/>
    </xf>
    <xf numFmtId="164" fontId="5" fillId="0" borderId="1" xfId="4" applyFont="1" applyFill="1" applyBorder="1" applyAlignment="1">
      <alignment vertical="top"/>
    </xf>
    <xf numFmtId="164" fontId="10" fillId="2" borderId="0" xfId="4" applyFont="1" applyFill="1" applyBorder="1" applyAlignment="1">
      <alignment vertical="top" wrapText="1"/>
    </xf>
    <xf numFmtId="165" fontId="6" fillId="0" borderId="1" xfId="2" applyFont="1" applyFill="1" applyBorder="1" applyAlignment="1">
      <alignment horizontal="left" vertical="top" wrapText="1"/>
    </xf>
    <xf numFmtId="165" fontId="5" fillId="0" borderId="1" xfId="2" applyFont="1" applyFill="1" applyBorder="1" applyAlignment="1">
      <alignment horizontal="left" vertical="top" wrapText="1"/>
    </xf>
    <xf numFmtId="165" fontId="5" fillId="0" borderId="1" xfId="2" applyFont="1" applyFill="1" applyBorder="1" applyAlignment="1">
      <alignment horizontal="left" vertical="top"/>
    </xf>
    <xf numFmtId="165" fontId="2" fillId="0" borderId="1" xfId="2" applyFont="1" applyBorder="1" applyAlignment="1">
      <alignment horizontal="left" vertical="top" wrapText="1"/>
    </xf>
    <xf numFmtId="165" fontId="2" fillId="0" borderId="0" xfId="2" applyFont="1" applyFill="1" applyBorder="1" applyAlignment="1">
      <alignment vertical="top"/>
    </xf>
    <xf numFmtId="165" fontId="7" fillId="0" borderId="0" xfId="2" applyFont="1" applyFill="1" applyBorder="1" applyAlignment="1">
      <alignment vertical="top"/>
    </xf>
    <xf numFmtId="165" fontId="11" fillId="0" borderId="0" xfId="2" applyFont="1" applyFill="1" applyBorder="1" applyAlignment="1">
      <alignment vertical="top"/>
    </xf>
    <xf numFmtId="165" fontId="7" fillId="0" borderId="0" xfId="2" applyFont="1" applyBorder="1" applyAlignment="1">
      <alignment vertical="top"/>
    </xf>
    <xf numFmtId="49" fontId="2" fillId="0" borderId="1" xfId="2" applyNumberFormat="1" applyFont="1" applyFill="1" applyBorder="1" applyAlignment="1" applyProtection="1">
      <alignment horizontal="left" vertical="top"/>
      <protection locked="0"/>
    </xf>
    <xf numFmtId="49" fontId="10" fillId="2" borderId="0" xfId="2" applyNumberFormat="1" applyFont="1" applyFill="1" applyBorder="1" applyAlignment="1">
      <alignment horizontal="left" vertical="top" wrapText="1"/>
    </xf>
    <xf numFmtId="49" fontId="5" fillId="2" borderId="1" xfId="2" applyNumberFormat="1" applyFont="1" applyFill="1" applyBorder="1" applyAlignment="1">
      <alignment horizontal="left" vertical="top" wrapText="1"/>
    </xf>
    <xf numFmtId="49" fontId="2" fillId="0" borderId="1" xfId="2" applyNumberFormat="1" applyFont="1" applyFill="1" applyBorder="1" applyAlignment="1" applyProtection="1">
      <alignment horizontal="left" vertical="top" wrapText="1"/>
      <protection locked="0"/>
    </xf>
    <xf numFmtId="49" fontId="2" fillId="0" borderId="1" xfId="2" applyNumberFormat="1" applyFont="1" applyBorder="1" applyAlignment="1">
      <alignment horizontal="left" vertical="top" wrapText="1"/>
    </xf>
    <xf numFmtId="49" fontId="5" fillId="0" borderId="0" xfId="2" applyNumberFormat="1" applyFont="1" applyBorder="1" applyAlignment="1">
      <alignment horizontal="left" vertical="top" wrapText="1"/>
    </xf>
    <xf numFmtId="49" fontId="2" fillId="0" borderId="1" xfId="2" applyNumberFormat="1" applyFont="1" applyBorder="1" applyAlignment="1" applyProtection="1">
      <alignment horizontal="left" vertical="top" wrapText="1"/>
      <protection locked="0"/>
    </xf>
    <xf numFmtId="49" fontId="2" fillId="0" borderId="1" xfId="2" applyNumberFormat="1" applyFont="1" applyFill="1" applyBorder="1" applyAlignment="1">
      <alignment vertical="top"/>
    </xf>
    <xf numFmtId="49" fontId="2" fillId="0" borderId="1" xfId="2" applyNumberFormat="1" applyFont="1" applyBorder="1" applyAlignment="1">
      <alignment vertical="top"/>
    </xf>
    <xf numFmtId="49" fontId="2" fillId="0" borderId="1" xfId="2" applyNumberFormat="1" applyFont="1" applyFill="1" applyBorder="1" applyAlignment="1" applyProtection="1">
      <alignment vertical="top" wrapText="1"/>
      <protection locked="0"/>
    </xf>
    <xf numFmtId="49" fontId="2" fillId="0" borderId="1" xfId="2" applyNumberFormat="1" applyFont="1" applyFill="1" applyBorder="1" applyAlignment="1" applyProtection="1">
      <alignment horizontal="center" vertical="top"/>
      <protection locked="0"/>
    </xf>
    <xf numFmtId="49" fontId="2" fillId="0" borderId="1" xfId="2" applyNumberFormat="1" applyFont="1" applyBorder="1" applyAlignment="1">
      <alignment vertical="top" wrapText="1"/>
    </xf>
    <xf numFmtId="49" fontId="2" fillId="0" borderId="1" xfId="2" applyNumberFormat="1" applyFont="1" applyBorder="1" applyAlignment="1">
      <alignment horizontal="center" vertical="top"/>
    </xf>
    <xf numFmtId="49" fontId="2" fillId="0" borderId="1" xfId="2" applyNumberFormat="1" applyFont="1" applyFill="1" applyBorder="1" applyAlignment="1" applyProtection="1">
      <alignment vertical="top"/>
      <protection locked="0"/>
    </xf>
    <xf numFmtId="49" fontId="2" fillId="0" borderId="1" xfId="2" applyNumberFormat="1" applyFont="1" applyFill="1" applyBorder="1" applyAlignment="1">
      <alignment vertical="top" wrapText="1"/>
    </xf>
    <xf numFmtId="165" fontId="5" fillId="0" borderId="0" xfId="2" applyFont="1" applyFill="1" applyAlignment="1">
      <alignment horizontal="center" vertical="center" wrapText="1"/>
    </xf>
    <xf numFmtId="165" fontId="5" fillId="0" borderId="1" xfId="2" applyFont="1" applyFill="1" applyBorder="1" applyAlignment="1">
      <alignment horizontal="center" vertical="center" wrapText="1"/>
    </xf>
    <xf numFmtId="49" fontId="2" fillId="0" borderId="5" xfId="2" applyNumberFormat="1" applyFont="1" applyFill="1" applyBorder="1" applyAlignment="1" applyProtection="1">
      <alignment horizontal="left" vertical="top" wrapText="1"/>
      <protection locked="0"/>
    </xf>
    <xf numFmtId="165" fontId="7" fillId="3" borderId="0" xfId="2" applyFont="1" applyFill="1" applyAlignment="1">
      <alignment vertical="top"/>
    </xf>
    <xf numFmtId="166" fontId="2" fillId="0" borderId="1" xfId="2" applyNumberFormat="1" applyFont="1" applyFill="1" applyBorder="1" applyAlignment="1" applyProtection="1">
      <alignment horizontal="left" vertical="top"/>
      <protection locked="0"/>
    </xf>
    <xf numFmtId="165" fontId="15" fillId="0" borderId="0" xfId="2" applyFont="1" applyFill="1" applyAlignment="1">
      <alignment vertical="top"/>
    </xf>
    <xf numFmtId="165" fontId="15" fillId="3" borderId="0" xfId="2" applyFont="1" applyFill="1" applyAlignment="1">
      <alignment vertical="top"/>
    </xf>
    <xf numFmtId="165" fontId="16" fillId="3" borderId="0" xfId="2" applyFont="1" applyFill="1" applyAlignment="1">
      <alignment vertical="top"/>
    </xf>
    <xf numFmtId="14" fontId="2" fillId="0" borderId="1" xfId="2" applyNumberFormat="1" applyFont="1" applyFill="1" applyBorder="1" applyAlignment="1">
      <alignment horizontal="center" vertical="center"/>
    </xf>
    <xf numFmtId="14" fontId="2" fillId="0" borderId="1" xfId="2" quotePrefix="1" applyNumberFormat="1" applyFont="1" applyBorder="1" applyAlignment="1">
      <alignment horizontal="center" vertical="center"/>
    </xf>
    <xf numFmtId="14" fontId="2" fillId="0" borderId="1" xfId="2" applyNumberFormat="1" applyFont="1" applyBorder="1" applyAlignment="1">
      <alignment horizontal="center" vertical="center"/>
    </xf>
    <xf numFmtId="14" fontId="2" fillId="6" borderId="1" xfId="2" applyNumberFormat="1" applyFont="1" applyFill="1" applyBorder="1" applyAlignment="1">
      <alignment horizontal="center" vertical="center"/>
    </xf>
    <xf numFmtId="14" fontId="2" fillId="0" borderId="1" xfId="2" quotePrefix="1" applyNumberFormat="1" applyFont="1" applyFill="1" applyBorder="1" applyAlignment="1">
      <alignment horizontal="center" vertical="center"/>
    </xf>
    <xf numFmtId="1" fontId="2" fillId="0" borderId="1" xfId="2" applyNumberFormat="1" applyFont="1" applyFill="1" applyBorder="1" applyAlignment="1">
      <alignment horizontal="center" vertical="center"/>
    </xf>
    <xf numFmtId="166" fontId="2" fillId="0" borderId="11" xfId="2" quotePrefix="1" applyNumberFormat="1" applyFont="1" applyFill="1" applyBorder="1" applyAlignment="1" applyProtection="1">
      <alignment horizontal="left" vertical="top"/>
      <protection locked="0"/>
    </xf>
    <xf numFmtId="14" fontId="5" fillId="0" borderId="1" xfId="2" applyNumberFormat="1" applyFont="1" applyBorder="1" applyAlignment="1">
      <alignment horizontal="center" vertical="center"/>
    </xf>
    <xf numFmtId="49" fontId="2" fillId="0" borderId="0" xfId="2" applyNumberFormat="1" applyFont="1" applyFill="1" applyBorder="1" applyAlignment="1" applyProtection="1">
      <alignment horizontal="left" vertical="top" wrapText="1"/>
      <protection locked="0"/>
    </xf>
    <xf numFmtId="165" fontId="5" fillId="0" borderId="1" xfId="2" applyFont="1" applyFill="1" applyBorder="1" applyAlignment="1">
      <alignment vertical="center" wrapText="1"/>
    </xf>
    <xf numFmtId="14" fontId="2" fillId="0" borderId="1" xfId="2" applyNumberFormat="1" applyFont="1" applyFill="1" applyBorder="1" applyAlignment="1">
      <alignment vertical="top"/>
    </xf>
    <xf numFmtId="14" fontId="2" fillId="0" borderId="1" xfId="2" applyNumberFormat="1" applyFont="1" applyBorder="1" applyAlignment="1">
      <alignment vertical="top"/>
    </xf>
    <xf numFmtId="165" fontId="2" fillId="0" borderId="14" xfId="2" applyFont="1" applyFill="1" applyBorder="1" applyAlignment="1" applyProtection="1">
      <alignment horizontal="left" vertical="top" wrapText="1"/>
      <protection locked="0"/>
    </xf>
    <xf numFmtId="165" fontId="2" fillId="0" borderId="11" xfId="2" applyFont="1" applyFill="1" applyBorder="1" applyAlignment="1">
      <alignment vertical="top"/>
    </xf>
    <xf numFmtId="14" fontId="2" fillId="4" borderId="1" xfId="2" applyNumberFormat="1" applyFont="1" applyFill="1" applyBorder="1" applyAlignment="1">
      <alignment horizontal="center" vertical="center"/>
    </xf>
    <xf numFmtId="14" fontId="2" fillId="0" borderId="2" xfId="2" applyNumberFormat="1" applyFont="1" applyBorder="1" applyAlignment="1">
      <alignment horizontal="center" vertical="center"/>
    </xf>
    <xf numFmtId="165" fontId="5" fillId="0" borderId="1" xfId="2" applyFont="1" applyFill="1" applyBorder="1" applyAlignment="1">
      <alignment horizontal="center" vertical="center"/>
    </xf>
    <xf numFmtId="165" fontId="5" fillId="0" borderId="2" xfId="2" applyFont="1" applyFill="1" applyBorder="1" applyAlignment="1">
      <alignment horizontal="center" vertical="center"/>
    </xf>
    <xf numFmtId="166" fontId="2" fillId="0" borderId="1" xfId="2" applyNumberFormat="1" applyFont="1" applyFill="1" applyBorder="1" applyAlignment="1">
      <alignment vertical="top"/>
    </xf>
    <xf numFmtId="49" fontId="2" fillId="0" borderId="1" xfId="2" applyNumberFormat="1" applyFont="1" applyFill="1" applyBorder="1" applyAlignment="1">
      <alignment horizontal="center" vertical="top"/>
    </xf>
    <xf numFmtId="165" fontId="2" fillId="0" borderId="1" xfId="2" applyFont="1" applyFill="1" applyBorder="1" applyAlignment="1">
      <alignment horizontal="left" vertical="top" wrapText="1"/>
    </xf>
    <xf numFmtId="49" fontId="2" fillId="0" borderId="2" xfId="2" applyNumberFormat="1" applyFont="1" applyFill="1" applyBorder="1" applyAlignment="1" applyProtection="1">
      <alignment horizontal="left" vertical="top" wrapText="1"/>
      <protection locked="0"/>
    </xf>
    <xf numFmtId="49" fontId="2" fillId="0" borderId="5" xfId="2" applyNumberFormat="1" applyFont="1" applyFill="1" applyBorder="1" applyAlignment="1" applyProtection="1">
      <alignment horizontal="center" vertical="top"/>
      <protection locked="0"/>
    </xf>
    <xf numFmtId="165" fontId="7" fillId="0" borderId="17" xfId="2" applyFont="1" applyFill="1" applyBorder="1" applyAlignment="1">
      <alignment vertical="top"/>
    </xf>
    <xf numFmtId="0" fontId="7" fillId="0" borderId="0" xfId="0" applyFont="1" applyBorder="1"/>
    <xf numFmtId="165" fontId="10" fillId="0" borderId="18" xfId="2" applyFont="1" applyFill="1" applyBorder="1" applyAlignment="1">
      <alignment vertical="top"/>
    </xf>
    <xf numFmtId="165" fontId="6" fillId="0" borderId="18" xfId="2" applyFont="1" applyFill="1" applyBorder="1" applyAlignment="1">
      <alignment vertical="top" wrapText="1"/>
    </xf>
    <xf numFmtId="164" fontId="7" fillId="0" borderId="19" xfId="4" applyFont="1" applyBorder="1"/>
    <xf numFmtId="164" fontId="7" fillId="0" borderId="18" xfId="4" applyFont="1" applyBorder="1"/>
    <xf numFmtId="165" fontId="10" fillId="0" borderId="9" xfId="2" applyFont="1" applyFill="1" applyBorder="1" applyAlignment="1">
      <alignment vertical="top"/>
    </xf>
    <xf numFmtId="164" fontId="8" fillId="0" borderId="20" xfId="4" applyFont="1" applyBorder="1"/>
    <xf numFmtId="164" fontId="6" fillId="0" borderId="0" xfId="4" applyFont="1" applyFill="1" applyBorder="1" applyAlignment="1">
      <alignment vertical="top"/>
    </xf>
    <xf numFmtId="164" fontId="17" fillId="2" borderId="0" xfId="4" applyFont="1" applyFill="1" applyBorder="1" applyAlignment="1">
      <alignment vertical="top" wrapText="1"/>
    </xf>
    <xf numFmtId="164" fontId="5" fillId="0" borderId="1" xfId="4" applyFont="1" applyFill="1" applyBorder="1" applyAlignment="1">
      <alignment vertical="top" wrapText="1"/>
    </xf>
    <xf numFmtId="164" fontId="10" fillId="0" borderId="0" xfId="4" applyFont="1" applyBorder="1" applyAlignment="1">
      <alignment vertical="top"/>
    </xf>
    <xf numFmtId="170" fontId="2" fillId="0" borderId="1" xfId="4" applyNumberFormat="1" applyFont="1" applyFill="1" applyBorder="1" applyAlignment="1">
      <alignment vertical="top"/>
    </xf>
    <xf numFmtId="164" fontId="10" fillId="0" borderId="21" xfId="4" applyFont="1" applyBorder="1" applyAlignment="1">
      <alignment vertical="top"/>
    </xf>
    <xf numFmtId="166" fontId="2" fillId="0" borderId="1" xfId="2" applyNumberFormat="1" applyFont="1" applyBorder="1" applyAlignment="1">
      <alignment vertical="top"/>
    </xf>
    <xf numFmtId="165" fontId="2" fillId="0" borderId="1" xfId="2" applyFont="1" applyBorder="1" applyAlignment="1">
      <alignment horizontal="center" vertical="top"/>
    </xf>
    <xf numFmtId="164" fontId="2" fillId="0" borderId="1" xfId="4" applyFont="1" applyBorder="1" applyAlignment="1">
      <alignment vertical="top"/>
    </xf>
    <xf numFmtId="49" fontId="2" fillId="0" borderId="5" xfId="2" applyNumberFormat="1" applyFont="1" applyFill="1" applyBorder="1" applyAlignment="1" applyProtection="1">
      <alignment vertical="top" wrapText="1"/>
      <protection locked="0"/>
    </xf>
    <xf numFmtId="165" fontId="2" fillId="0" borderId="2" xfId="2" applyFont="1" applyBorder="1" applyAlignment="1">
      <alignment vertical="top"/>
    </xf>
    <xf numFmtId="164" fontId="11" fillId="0" borderId="1" xfId="4" applyFont="1" applyFill="1" applyBorder="1" applyAlignment="1">
      <alignment vertical="top"/>
    </xf>
    <xf numFmtId="0" fontId="2" fillId="0" borderId="1" xfId="2" applyNumberFormat="1" applyFont="1" applyBorder="1" applyAlignment="1">
      <alignment horizontal="left" vertical="top" wrapText="1"/>
    </xf>
    <xf numFmtId="0" fontId="1" fillId="0" borderId="0" xfId="7"/>
    <xf numFmtId="0" fontId="1" fillId="0" borderId="0" xfId="7" applyAlignment="1">
      <alignment vertical="center"/>
    </xf>
    <xf numFmtId="0" fontId="1" fillId="0" borderId="0" xfId="7" applyAlignment="1">
      <alignment horizontal="left" vertical="center" indent="1"/>
    </xf>
    <xf numFmtId="0" fontId="18" fillId="0" borderId="0" xfId="7" applyFont="1"/>
    <xf numFmtId="0" fontId="19" fillId="0" borderId="0" xfId="7" applyFont="1"/>
    <xf numFmtId="16" fontId="1" fillId="0" borderId="0" xfId="7" quotePrefix="1" applyNumberFormat="1" applyAlignment="1">
      <alignment horizontal="right"/>
    </xf>
    <xf numFmtId="0" fontId="1" fillId="0" borderId="0" xfId="7" applyAlignment="1">
      <alignment wrapText="1"/>
    </xf>
    <xf numFmtId="164" fontId="1" fillId="3" borderId="0" xfId="4" applyFont="1" applyFill="1"/>
    <xf numFmtId="164" fontId="1" fillId="0" borderId="0" xfId="4" applyFont="1"/>
    <xf numFmtId="164" fontId="1" fillId="6" borderId="0" xfId="4" applyFont="1" applyFill="1"/>
    <xf numFmtId="164" fontId="18" fillId="0" borderId="0" xfId="4" applyFont="1"/>
    <xf numFmtId="0" fontId="18" fillId="0" borderId="0" xfId="7" applyFont="1" applyAlignment="1">
      <alignment vertical="top"/>
    </xf>
    <xf numFmtId="0" fontId="18" fillId="0" borderId="0" xfId="7" applyFont="1" applyAlignment="1">
      <alignment vertical="top" wrapText="1"/>
    </xf>
    <xf numFmtId="0" fontId="0" fillId="0" borderId="0" xfId="0" applyAlignment="1">
      <alignment vertical="top"/>
    </xf>
    <xf numFmtId="164" fontId="0" fillId="0" borderId="0" xfId="4" applyFont="1"/>
    <xf numFmtId="0" fontId="1" fillId="0" borderId="0" xfId="7"/>
    <xf numFmtId="0" fontId="1" fillId="0" borderId="0" xfId="7" applyAlignment="1">
      <alignment vertical="center"/>
    </xf>
    <xf numFmtId="0" fontId="1" fillId="0" borderId="0" xfId="7" applyAlignment="1">
      <alignment horizontal="left" vertical="center" indent="1"/>
    </xf>
    <xf numFmtId="0" fontId="18" fillId="0" borderId="0" xfId="7" applyFont="1"/>
    <xf numFmtId="0" fontId="19" fillId="0" borderId="0" xfId="7" applyFont="1"/>
    <xf numFmtId="16" fontId="1" fillId="0" borderId="0" xfId="7" quotePrefix="1" applyNumberFormat="1" applyAlignment="1">
      <alignment horizontal="right"/>
    </xf>
    <xf numFmtId="1" fontId="1" fillId="0" borderId="0" xfId="7" quotePrefix="1" applyNumberFormat="1" applyAlignment="1">
      <alignment horizontal="right"/>
    </xf>
    <xf numFmtId="166" fontId="11" fillId="0" borderId="1" xfId="2" applyNumberFormat="1" applyFont="1" applyBorder="1" applyAlignment="1">
      <alignment vertical="top"/>
    </xf>
    <xf numFmtId="165" fontId="11" fillId="0" borderId="1" xfId="2" applyFont="1" applyBorder="1" applyAlignment="1">
      <alignment horizontal="center" vertical="top"/>
    </xf>
    <xf numFmtId="49" fontId="11" fillId="0" borderId="1" xfId="2" applyNumberFormat="1" applyFont="1" applyBorder="1" applyAlignment="1">
      <alignment horizontal="left" vertical="top" wrapText="1"/>
    </xf>
    <xf numFmtId="165" fontId="11" fillId="0" borderId="1" xfId="2" applyFont="1" applyBorder="1" applyAlignment="1">
      <alignment horizontal="left" vertical="top" wrapText="1"/>
    </xf>
    <xf numFmtId="172" fontId="11" fillId="3" borderId="1" xfId="4" applyNumberFormat="1" applyFont="1" applyFill="1" applyBorder="1" applyAlignment="1">
      <alignment vertical="top"/>
    </xf>
    <xf numFmtId="165" fontId="5" fillId="0" borderId="0" xfId="2" applyFont="1" applyFill="1" applyAlignment="1">
      <alignment horizontal="center" vertical="center" wrapText="1"/>
    </xf>
    <xf numFmtId="165" fontId="5" fillId="0" borderId="2" xfId="2" applyFont="1" applyFill="1" applyBorder="1" applyAlignment="1">
      <alignment horizontal="center" vertical="center" wrapText="1"/>
    </xf>
    <xf numFmtId="165" fontId="5" fillId="0" borderId="16" xfId="2" applyFont="1" applyFill="1" applyBorder="1" applyAlignment="1">
      <alignment horizontal="center" vertical="center" wrapText="1"/>
    </xf>
    <xf numFmtId="165" fontId="5" fillId="0" borderId="15" xfId="2" applyFont="1" applyFill="1" applyBorder="1" applyAlignment="1">
      <alignment horizontal="center" vertical="center" wrapText="1"/>
    </xf>
    <xf numFmtId="165" fontId="5" fillId="0" borderId="1" xfId="2" applyFont="1" applyFill="1" applyBorder="1" applyAlignment="1">
      <alignment horizontal="center" vertical="center" wrapText="1"/>
    </xf>
    <xf numFmtId="164" fontId="2" fillId="0" borderId="0" xfId="4" applyFont="1" applyFill="1" applyBorder="1" applyAlignment="1">
      <alignment vertical="top"/>
    </xf>
    <xf numFmtId="166" fontId="2" fillId="0" borderId="0" xfId="2" quotePrefix="1" applyNumberFormat="1" applyFont="1" applyFill="1" applyBorder="1" applyAlignment="1" applyProtection="1">
      <alignment horizontal="left" vertical="top"/>
      <protection locked="0"/>
    </xf>
    <xf numFmtId="49" fontId="2" fillId="0" borderId="0" xfId="2" applyNumberFormat="1" applyFont="1" applyFill="1" applyBorder="1" applyAlignment="1" applyProtection="1">
      <alignment vertical="top" wrapText="1"/>
      <protection locked="0"/>
    </xf>
    <xf numFmtId="49" fontId="2" fillId="0" borderId="0" xfId="2" applyNumberFormat="1" applyFont="1" applyFill="1" applyBorder="1" applyAlignment="1" applyProtection="1">
      <alignment horizontal="center" vertical="top"/>
      <protection locked="0"/>
    </xf>
    <xf numFmtId="165" fontId="2" fillId="0" borderId="0" xfId="2" applyFont="1" applyFill="1" applyBorder="1" applyAlignment="1" applyProtection="1">
      <alignment horizontal="left" vertical="top" wrapText="1"/>
      <protection locked="0"/>
    </xf>
    <xf numFmtId="165" fontId="2" fillId="0" borderId="0" xfId="2" applyFont="1" applyFill="1" applyBorder="1" applyAlignment="1">
      <alignment horizontal="center" vertical="center"/>
    </xf>
    <xf numFmtId="165" fontId="11" fillId="0" borderId="0" xfId="2" applyFont="1" applyFill="1" applyBorder="1" applyAlignment="1">
      <alignment vertical="top" wrapText="1"/>
    </xf>
    <xf numFmtId="14" fontId="2" fillId="0" borderId="0" xfId="2" applyNumberFormat="1" applyFont="1" applyFill="1" applyBorder="1" applyAlignment="1">
      <alignment horizontal="center" vertical="center"/>
    </xf>
    <xf numFmtId="166" fontId="10" fillId="0" borderId="0" xfId="2" applyNumberFormat="1" applyFont="1" applyFill="1" applyBorder="1" applyAlignment="1">
      <alignment horizontal="left" vertical="top"/>
    </xf>
    <xf numFmtId="165" fontId="10" fillId="0" borderId="0" xfId="2" quotePrefix="1" applyFont="1" applyFill="1" applyBorder="1" applyAlignment="1">
      <alignment horizontal="left" vertical="top" wrapText="1"/>
    </xf>
    <xf numFmtId="165" fontId="10" fillId="0" borderId="0" xfId="2" applyFont="1" applyFill="1" applyBorder="1" applyAlignment="1">
      <alignment horizontal="center" vertical="top"/>
    </xf>
    <xf numFmtId="49" fontId="5" fillId="0" borderId="0" xfId="2" applyNumberFormat="1" applyFont="1" applyFill="1" applyBorder="1" applyAlignment="1">
      <alignment horizontal="center" vertical="top" wrapText="1"/>
    </xf>
    <xf numFmtId="165" fontId="5" fillId="0" borderId="0" xfId="2" applyFont="1" applyFill="1" applyBorder="1" applyAlignment="1">
      <alignment horizontal="center" vertical="top" wrapText="1"/>
    </xf>
    <xf numFmtId="165" fontId="5" fillId="0" borderId="0" xfId="2" applyFont="1" applyBorder="1" applyAlignment="1">
      <alignment horizontal="center" vertical="center"/>
    </xf>
  </cellXfs>
  <cellStyles count="8">
    <cellStyle name="Euro" xfId="1" xr:uid="{00000000-0005-0000-0000-000000000000}"/>
    <cellStyle name="Euro 3" xfId="6" xr:uid="{23BE4104-ABEA-433B-B11D-2A23192C1F6A}"/>
    <cellStyle name="Komma" xfId="2" builtinId="3"/>
    <cellStyle name="Normal_summary web site jump" xfId="3" xr:uid="{00000000-0005-0000-0000-000002000000}"/>
    <cellStyle name="Standaard" xfId="0" builtinId="0"/>
    <cellStyle name="Standaard 2" xfId="7" xr:uid="{6AFC26CD-4653-4A4A-B1CF-64A791E7CF96}"/>
    <cellStyle name="Valuta" xfId="4" builtinId="4"/>
    <cellStyle name="Valuta 4"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Jabo\Local%20Settings\Temporary%20Internet%20Files\OLK1\LocLijst%20Gemeente%20Lingewaard%201%20januari%20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Bestand d.d. 1 januari 2009"/>
      <sheetName val="Polis Recap"/>
    </sheetNames>
    <sheetDataSet>
      <sheetData sheetId="0" refreshError="1">
        <row r="6">
          <cell r="C6">
            <v>109.4</v>
          </cell>
        </row>
        <row r="7">
          <cell r="C7">
            <v>104.5</v>
          </cell>
        </row>
        <row r="8">
          <cell r="C8">
            <v>105.1</v>
          </cell>
        </row>
        <row r="9">
          <cell r="C9">
            <v>102</v>
          </cell>
        </row>
        <row r="15">
          <cell r="C15">
            <v>1.25</v>
          </cell>
        </row>
        <row r="20">
          <cell r="C20">
            <v>0.9</v>
          </cell>
        </row>
        <row r="22">
          <cell r="C22">
            <v>0.72499999999999998</v>
          </cell>
        </row>
      </sheetData>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
  <sheetViews>
    <sheetView tabSelected="1" zoomScaleNormal="100" workbookViewId="0">
      <selection activeCell="E13" sqref="E13"/>
    </sheetView>
  </sheetViews>
  <sheetFormatPr defaultRowHeight="12.75" x14ac:dyDescent="0.2"/>
  <cols>
    <col min="1" max="1" width="24.5703125" style="14" bestFit="1" customWidth="1"/>
    <col min="2" max="2" width="22.7109375" style="14" bestFit="1" customWidth="1"/>
    <col min="3" max="3" width="22" style="14" bestFit="1" customWidth="1"/>
    <col min="4" max="4" width="23" style="14" bestFit="1" customWidth="1"/>
    <col min="5" max="5" width="9.140625" style="14"/>
    <col min="6" max="6" width="14.28515625" style="15" bestFit="1" customWidth="1"/>
    <col min="7" max="7" width="12.42578125" style="15" bestFit="1" customWidth="1"/>
    <col min="8" max="8" width="9.140625" style="14"/>
    <col min="9" max="9" width="14.28515625" style="14" bestFit="1" customWidth="1"/>
    <col min="10" max="16384" width="9.140625" style="14"/>
  </cols>
  <sheetData>
    <row r="1" spans="1:9" x14ac:dyDescent="0.2">
      <c r="A1" s="11" t="s">
        <v>137</v>
      </c>
      <c r="B1" s="12"/>
      <c r="C1" s="13"/>
      <c r="D1" s="160"/>
    </row>
    <row r="2" spans="1:9" x14ac:dyDescent="0.2">
      <c r="A2" s="22"/>
      <c r="B2" s="16" t="s">
        <v>56</v>
      </c>
      <c r="C2" s="161"/>
      <c r="D2" s="162"/>
    </row>
    <row r="3" spans="1:9" s="25" customFormat="1" x14ac:dyDescent="0.2">
      <c r="A3" s="27" t="s">
        <v>43</v>
      </c>
      <c r="B3" s="16" t="s">
        <v>54</v>
      </c>
      <c r="C3" s="16" t="s">
        <v>55</v>
      </c>
      <c r="D3" s="162" t="s">
        <v>223</v>
      </c>
      <c r="F3" s="26"/>
      <c r="G3" s="26"/>
    </row>
    <row r="4" spans="1:9" x14ac:dyDescent="0.2">
      <c r="A4" s="17"/>
      <c r="B4" s="18"/>
      <c r="C4" s="18"/>
      <c r="D4" s="163"/>
    </row>
    <row r="5" spans="1:9" x14ac:dyDescent="0.2">
      <c r="A5" s="19" t="s">
        <v>48</v>
      </c>
      <c r="B5" s="20">
        <f>'Gem Bezit'!N87</f>
        <v>156206000</v>
      </c>
      <c r="C5" s="20">
        <f>'Gem Bezit'!O87</f>
        <v>9672300</v>
      </c>
      <c r="D5" s="164"/>
      <c r="I5" s="21"/>
    </row>
    <row r="6" spans="1:9" x14ac:dyDescent="0.2">
      <c r="A6" s="19" t="s">
        <v>52</v>
      </c>
      <c r="B6" s="20">
        <f>'PO en VO'!U31</f>
        <v>169368000</v>
      </c>
      <c r="C6" s="20">
        <f>'PO en VO'!V31</f>
        <v>21920800</v>
      </c>
      <c r="D6" s="164"/>
    </row>
    <row r="7" spans="1:9" x14ac:dyDescent="0.2">
      <c r="A7" s="19" t="s">
        <v>230</v>
      </c>
      <c r="B7" s="20"/>
      <c r="C7" s="20"/>
      <c r="D7" s="164">
        <f>kunst!F19</f>
        <v>1038300</v>
      </c>
    </row>
    <row r="8" spans="1:9" x14ac:dyDescent="0.2">
      <c r="A8" s="22"/>
      <c r="B8" s="23"/>
      <c r="C8" s="23"/>
      <c r="D8" s="165"/>
    </row>
    <row r="9" spans="1:9" ht="13.5" thickBot="1" x14ac:dyDescent="0.25">
      <c r="A9" s="166" t="s">
        <v>481</v>
      </c>
      <c r="B9" s="24">
        <f>SUM(B5:B8)</f>
        <v>325574000</v>
      </c>
      <c r="C9" s="24">
        <f>SUM(C5:C8)</f>
        <v>31593100</v>
      </c>
      <c r="D9" s="167">
        <f>SUM(D5:D8)</f>
        <v>1038300</v>
      </c>
    </row>
    <row r="10" spans="1:9" x14ac:dyDescent="0.2">
      <c r="B10" s="15"/>
      <c r="C10" s="15"/>
      <c r="D10" s="15"/>
    </row>
    <row r="12" spans="1:9" x14ac:dyDescent="0.2">
      <c r="D12" s="21"/>
    </row>
    <row r="15" spans="1:9" x14ac:dyDescent="0.2">
      <c r="C15" s="21">
        <f>B9+C9+D9</f>
        <v>358205400</v>
      </c>
    </row>
    <row r="17" spans="3:3" x14ac:dyDescent="0.2">
      <c r="C17" s="15"/>
    </row>
    <row r="18" spans="3:3" x14ac:dyDescent="0.2">
      <c r="C18" s="15"/>
    </row>
    <row r="19" spans="3:3" x14ac:dyDescent="0.2">
      <c r="C19" s="15"/>
    </row>
  </sheetData>
  <customSheetViews>
    <customSheetView guid="{7F5D1218-4D93-4B14-B25A-0C03ABC4F8A6}">
      <selection activeCell="B24" sqref="B24"/>
      <pageMargins left="0.74803149606299213" right="0.74803149606299213" top="1.5748031496062993" bottom="0.98425196850393704" header="0.51181102362204722" footer="0.51181102362204722"/>
      <pageSetup paperSize="9" orientation="landscape" r:id="rId1"/>
      <headerFooter alignWithMargins="0">
        <oddFooter>&amp;L&amp;F &amp;A&amp;C&amp;P&amp;R&amp;D</oddFooter>
      </headerFooter>
    </customSheetView>
  </customSheetViews>
  <phoneticPr fontId="4" type="noConversion"/>
  <pageMargins left="0.74803149606299213" right="0.74803149606299213" top="1.5748031496062993" bottom="0.98425196850393704" header="0.51181102362204722" footer="0.51181102362204722"/>
  <pageSetup paperSize="9" orientation="landscape" r:id="rId2"/>
  <headerFooter alignWithMargins="0">
    <oddFooter>&amp;L&amp;F &amp;A&amp;C&amp;P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87"/>
  <sheetViews>
    <sheetView topLeftCell="A73" zoomScaleNormal="100" zoomScaleSheetLayoutView="100" workbookViewId="0">
      <selection activeCell="N17" sqref="N17:N18"/>
    </sheetView>
  </sheetViews>
  <sheetFormatPr defaultRowHeight="12.75" x14ac:dyDescent="0.2"/>
  <cols>
    <col min="1" max="1" width="13.42578125" style="3" customWidth="1"/>
    <col min="2" max="2" width="38.7109375" style="4" customWidth="1"/>
    <col min="3" max="3" width="6.85546875" style="4" hidden="1" customWidth="1"/>
    <col min="4" max="4" width="6.7109375" style="5" hidden="1" customWidth="1"/>
    <col min="5" max="5" width="26.28515625" style="119" bestFit="1" customWidth="1"/>
    <col min="6" max="6" width="11.5703125" style="6" bestFit="1" customWidth="1"/>
    <col min="7" max="7" width="15" style="6" customWidth="1"/>
    <col min="8" max="13" width="17.28515625" style="1" hidden="1" customWidth="1"/>
    <col min="14" max="15" width="17.28515625" style="1" customWidth="1"/>
    <col min="16" max="16" width="52" style="75" customWidth="1"/>
    <col min="17" max="17" width="61.140625" style="75" customWidth="1"/>
    <col min="18" max="18" width="25" style="75" customWidth="1"/>
    <col min="19" max="25" width="9.140625" style="1" customWidth="1"/>
    <col min="26" max="26" width="28.85546875" style="1" customWidth="1"/>
    <col min="27" max="27" width="18.5703125" style="1" customWidth="1"/>
    <col min="28" max="16384" width="9.140625" style="1"/>
  </cols>
  <sheetData>
    <row r="1" spans="1:31" s="7" customFormat="1" ht="25.5" customHeight="1" x14ac:dyDescent="0.2">
      <c r="A1" s="36" t="s">
        <v>0</v>
      </c>
      <c r="B1" s="38" t="s">
        <v>1</v>
      </c>
      <c r="C1" s="37" t="s">
        <v>2</v>
      </c>
      <c r="D1" s="38"/>
      <c r="E1" s="115" t="s">
        <v>3</v>
      </c>
      <c r="F1" s="37" t="s">
        <v>138</v>
      </c>
      <c r="G1" s="37" t="s">
        <v>139</v>
      </c>
      <c r="H1" s="39" t="s">
        <v>409</v>
      </c>
      <c r="I1" s="39" t="s">
        <v>413</v>
      </c>
      <c r="J1" s="39" t="s">
        <v>425</v>
      </c>
      <c r="K1" s="39" t="s">
        <v>426</v>
      </c>
      <c r="L1" s="39" t="s">
        <v>428</v>
      </c>
      <c r="M1" s="39" t="s">
        <v>429</v>
      </c>
      <c r="N1" s="39" t="s">
        <v>477</v>
      </c>
      <c r="O1" s="39" t="s">
        <v>479</v>
      </c>
      <c r="P1" s="74"/>
      <c r="Q1" s="74"/>
      <c r="R1" s="74"/>
      <c r="S1" s="208" t="s">
        <v>264</v>
      </c>
      <c r="T1" s="208"/>
      <c r="U1" s="208"/>
      <c r="V1" s="208"/>
      <c r="W1" s="129" t="s">
        <v>265</v>
      </c>
      <c r="X1" s="208" t="s">
        <v>267</v>
      </c>
      <c r="Y1" s="208"/>
      <c r="Z1" s="130" t="s">
        <v>302</v>
      </c>
      <c r="AA1" s="32" t="s">
        <v>388</v>
      </c>
    </row>
    <row r="2" spans="1:31" s="2" customFormat="1" x14ac:dyDescent="0.2">
      <c r="B2" s="40" t="s">
        <v>4</v>
      </c>
      <c r="C2" s="9"/>
      <c r="D2" s="41"/>
      <c r="E2" s="116"/>
      <c r="F2" s="42"/>
      <c r="G2" s="42"/>
      <c r="H2" s="43" t="s">
        <v>411</v>
      </c>
      <c r="I2" s="43" t="s">
        <v>412</v>
      </c>
      <c r="J2" s="43" t="s">
        <v>427</v>
      </c>
      <c r="K2" s="43" t="s">
        <v>325</v>
      </c>
      <c r="L2" s="43" t="s">
        <v>431</v>
      </c>
      <c r="M2" s="43" t="s">
        <v>430</v>
      </c>
      <c r="N2" s="43" t="s">
        <v>478</v>
      </c>
      <c r="O2" s="43" t="s">
        <v>480</v>
      </c>
      <c r="P2" s="76"/>
      <c r="Q2" s="76"/>
      <c r="R2" s="76"/>
      <c r="S2" s="77" t="s">
        <v>261</v>
      </c>
      <c r="T2" s="77" t="s">
        <v>263</v>
      </c>
      <c r="U2" s="77" t="s">
        <v>262</v>
      </c>
      <c r="V2" s="77" t="s">
        <v>270</v>
      </c>
      <c r="W2" s="77" t="s">
        <v>266</v>
      </c>
      <c r="X2" s="77" t="s">
        <v>266</v>
      </c>
      <c r="Y2" s="94" t="s">
        <v>269</v>
      </c>
      <c r="Z2" s="99"/>
      <c r="AA2" s="86" t="s">
        <v>389</v>
      </c>
    </row>
    <row r="3" spans="1:31" s="44" customFormat="1" ht="25.5" x14ac:dyDescent="0.2">
      <c r="A3" s="61">
        <v>60608</v>
      </c>
      <c r="B3" s="123" t="s">
        <v>117</v>
      </c>
      <c r="C3" s="117">
        <v>0</v>
      </c>
      <c r="D3" s="124" t="s">
        <v>34</v>
      </c>
      <c r="E3" s="117" t="s">
        <v>116</v>
      </c>
      <c r="F3" s="60" t="s">
        <v>140</v>
      </c>
      <c r="G3" s="117" t="s">
        <v>61</v>
      </c>
      <c r="H3" s="102">
        <v>6189500</v>
      </c>
      <c r="I3" s="102">
        <v>86100</v>
      </c>
      <c r="J3" s="102">
        <f t="shared" ref="J3:J10" si="0">ROUND(H3/159.8*174,-2)</f>
        <v>6739500</v>
      </c>
      <c r="K3" s="102">
        <f t="shared" ref="K3:K34" si="1">ROUND(I3/131.5*147.3,-2)</f>
        <v>96400</v>
      </c>
      <c r="L3" s="102">
        <f>ROUND(J3/124*128.4,-2)</f>
        <v>6978600</v>
      </c>
      <c r="M3" s="102">
        <f>ROUND(K3/122.3*124.4,-2)</f>
        <v>98100</v>
      </c>
      <c r="N3" s="102">
        <f>ROUND(L3/128.4*133.4,-2)</f>
        <v>7250400</v>
      </c>
      <c r="O3" s="102">
        <f>ROUND(M3/124.4*129.6,-2)</f>
        <v>102200</v>
      </c>
      <c r="P3" s="63" t="s">
        <v>362</v>
      </c>
      <c r="Q3" s="65" t="s">
        <v>339</v>
      </c>
      <c r="R3" s="78"/>
      <c r="S3" s="79"/>
      <c r="T3" s="79"/>
      <c r="U3" s="92" t="s">
        <v>268</v>
      </c>
      <c r="V3" s="92" t="s">
        <v>268</v>
      </c>
      <c r="W3" s="79"/>
      <c r="X3" s="92" t="s">
        <v>268</v>
      </c>
      <c r="Y3" s="95" t="s">
        <v>268</v>
      </c>
      <c r="Z3" s="100" t="s">
        <v>297</v>
      </c>
      <c r="AA3" s="137">
        <v>42846</v>
      </c>
    </row>
    <row r="4" spans="1:31" s="45" customFormat="1" x14ac:dyDescent="0.2">
      <c r="A4" s="61">
        <v>60506</v>
      </c>
      <c r="B4" s="123" t="s">
        <v>118</v>
      </c>
      <c r="C4" s="117" t="s">
        <v>10</v>
      </c>
      <c r="D4" s="124"/>
      <c r="E4" s="117" t="s">
        <v>81</v>
      </c>
      <c r="F4" s="60" t="s">
        <v>141</v>
      </c>
      <c r="G4" s="117" t="s">
        <v>61</v>
      </c>
      <c r="H4" s="102">
        <v>490600</v>
      </c>
      <c r="I4" s="102"/>
      <c r="J4" s="102">
        <f t="shared" si="0"/>
        <v>534200</v>
      </c>
      <c r="K4" s="102">
        <f t="shared" si="1"/>
        <v>0</v>
      </c>
      <c r="L4" s="102">
        <f t="shared" ref="L4:L66" si="2">ROUND(J4/124*128.4,-2)</f>
        <v>553200</v>
      </c>
      <c r="M4" s="102">
        <f t="shared" ref="M4:M66" si="3">ROUND(K4/122.3*124.4,-2)</f>
        <v>0</v>
      </c>
      <c r="N4" s="102">
        <f>ROUND(L4/128.4*133.4,-2)</f>
        <v>574700</v>
      </c>
      <c r="O4" s="102">
        <f>ROUND(M4/124.4*129.6,-2)</f>
        <v>0</v>
      </c>
      <c r="P4" s="63" t="s">
        <v>362</v>
      </c>
      <c r="Q4" s="79"/>
      <c r="R4" s="78"/>
      <c r="S4" s="79"/>
      <c r="T4" s="79"/>
      <c r="U4" s="79"/>
      <c r="V4" s="79"/>
      <c r="W4" s="79"/>
      <c r="X4" s="79"/>
      <c r="Y4" s="98"/>
      <c r="Z4" s="63" t="s">
        <v>298</v>
      </c>
      <c r="AA4" s="137">
        <v>43283</v>
      </c>
      <c r="AB4" s="44"/>
      <c r="AC4" s="44"/>
      <c r="AD4" s="44"/>
      <c r="AE4" s="44"/>
    </row>
    <row r="5" spans="1:31" s="44" customFormat="1" x14ac:dyDescent="0.2">
      <c r="A5" s="61">
        <v>60506</v>
      </c>
      <c r="B5" s="123" t="s">
        <v>119</v>
      </c>
      <c r="C5" s="117"/>
      <c r="D5" s="124"/>
      <c r="E5" s="117" t="s">
        <v>142</v>
      </c>
      <c r="F5" s="60" t="s">
        <v>143</v>
      </c>
      <c r="G5" s="117" t="s">
        <v>61</v>
      </c>
      <c r="H5" s="102">
        <v>62600</v>
      </c>
      <c r="I5" s="102"/>
      <c r="J5" s="102">
        <f t="shared" si="0"/>
        <v>68200</v>
      </c>
      <c r="K5" s="102">
        <f t="shared" si="1"/>
        <v>0</v>
      </c>
      <c r="L5" s="102">
        <f t="shared" si="2"/>
        <v>70600</v>
      </c>
      <c r="M5" s="102">
        <f t="shared" si="3"/>
        <v>0</v>
      </c>
      <c r="N5" s="102">
        <f>ROUND(L5/128.4*133.4,-2)</f>
        <v>73300</v>
      </c>
      <c r="O5" s="102">
        <f>ROUND(M5/124.4*129.6,-2)</f>
        <v>0</v>
      </c>
      <c r="P5" s="63" t="s">
        <v>362</v>
      </c>
      <c r="Q5" s="79"/>
      <c r="R5" s="76" t="s">
        <v>387</v>
      </c>
      <c r="S5" s="82"/>
      <c r="T5" s="82"/>
      <c r="U5" s="82"/>
      <c r="V5" s="82"/>
      <c r="W5" s="82"/>
      <c r="X5" s="82"/>
      <c r="Y5" s="97"/>
      <c r="Z5" s="69" t="s">
        <v>298</v>
      </c>
      <c r="AA5" s="138" t="s">
        <v>390</v>
      </c>
      <c r="AB5" s="45"/>
      <c r="AC5" s="45"/>
      <c r="AD5" s="45"/>
      <c r="AE5" s="45"/>
    </row>
    <row r="6" spans="1:31" s="44" customFormat="1" x14ac:dyDescent="0.2">
      <c r="A6" s="61">
        <v>60506</v>
      </c>
      <c r="B6" s="123" t="s">
        <v>24</v>
      </c>
      <c r="C6" s="117" t="s">
        <v>10</v>
      </c>
      <c r="D6" s="124"/>
      <c r="E6" s="117" t="s">
        <v>79</v>
      </c>
      <c r="F6" s="60" t="s">
        <v>143</v>
      </c>
      <c r="G6" s="117" t="s">
        <v>61</v>
      </c>
      <c r="H6" s="102">
        <v>1430000</v>
      </c>
      <c r="I6" s="102"/>
      <c r="J6" s="102">
        <f t="shared" si="0"/>
        <v>1557100</v>
      </c>
      <c r="K6" s="102">
        <f t="shared" si="1"/>
        <v>0</v>
      </c>
      <c r="L6" s="102">
        <f t="shared" si="2"/>
        <v>1612400</v>
      </c>
      <c r="M6" s="102">
        <f t="shared" si="3"/>
        <v>0</v>
      </c>
      <c r="N6" s="102">
        <f>ROUND(L6/128.4*133.4,-2)</f>
        <v>1675200</v>
      </c>
      <c r="O6" s="102">
        <f>ROUND(M6/124.4*129.6,-2)</f>
        <v>0</v>
      </c>
      <c r="P6" s="63" t="s">
        <v>362</v>
      </c>
      <c r="Q6" s="79"/>
      <c r="R6" s="78"/>
      <c r="S6" s="79"/>
      <c r="T6" s="79"/>
      <c r="U6" s="79"/>
      <c r="V6" s="79"/>
      <c r="W6" s="79"/>
      <c r="X6" s="79"/>
      <c r="Y6" s="98"/>
      <c r="Z6" s="63"/>
      <c r="AA6" s="137">
        <v>43283</v>
      </c>
    </row>
    <row r="7" spans="1:31" s="44" customFormat="1" x14ac:dyDescent="0.2">
      <c r="A7" s="61">
        <v>60517</v>
      </c>
      <c r="B7" s="123" t="s">
        <v>30</v>
      </c>
      <c r="C7" s="117">
        <v>0</v>
      </c>
      <c r="D7" s="124"/>
      <c r="E7" s="117" t="s">
        <v>86</v>
      </c>
      <c r="F7" s="60" t="s">
        <v>144</v>
      </c>
      <c r="G7" s="117" t="s">
        <v>59</v>
      </c>
      <c r="H7" s="102">
        <v>93900</v>
      </c>
      <c r="I7" s="102"/>
      <c r="J7" s="102">
        <f t="shared" si="0"/>
        <v>102200</v>
      </c>
      <c r="K7" s="102">
        <f t="shared" si="1"/>
        <v>0</v>
      </c>
      <c r="L7" s="102">
        <f t="shared" si="2"/>
        <v>105800</v>
      </c>
      <c r="M7" s="102">
        <f t="shared" si="3"/>
        <v>0</v>
      </c>
      <c r="N7" s="102">
        <f>ROUND(L7/128.4*133.4,-2)</f>
        <v>109900</v>
      </c>
      <c r="O7" s="102">
        <f>ROUND(M7/124.4*129.6,-2)</f>
        <v>0</v>
      </c>
      <c r="P7" s="63" t="s">
        <v>368</v>
      </c>
      <c r="Q7" s="79"/>
      <c r="R7" s="78"/>
      <c r="S7" s="79"/>
      <c r="T7" s="79"/>
      <c r="U7" s="79"/>
      <c r="V7" s="79"/>
      <c r="W7" s="79"/>
      <c r="X7" s="79"/>
      <c r="Y7" s="98"/>
      <c r="Z7" s="63" t="s">
        <v>298</v>
      </c>
      <c r="AA7" s="137">
        <v>44117</v>
      </c>
    </row>
    <row r="8" spans="1:31" s="44" customFormat="1" x14ac:dyDescent="0.2">
      <c r="A8" s="61">
        <v>60004</v>
      </c>
      <c r="B8" s="123" t="s">
        <v>227</v>
      </c>
      <c r="C8" s="117">
        <v>0</v>
      </c>
      <c r="D8" s="124"/>
      <c r="E8" s="117" t="s">
        <v>100</v>
      </c>
      <c r="F8" s="60" t="s">
        <v>144</v>
      </c>
      <c r="G8" s="117" t="s">
        <v>59</v>
      </c>
      <c r="H8" s="102">
        <v>2056200</v>
      </c>
      <c r="I8" s="102"/>
      <c r="J8" s="102">
        <f t="shared" si="0"/>
        <v>2238900</v>
      </c>
      <c r="K8" s="102">
        <f t="shared" si="1"/>
        <v>0</v>
      </c>
      <c r="L8" s="102">
        <f t="shared" si="2"/>
        <v>2318300</v>
      </c>
      <c r="M8" s="102">
        <f t="shared" si="3"/>
        <v>0</v>
      </c>
      <c r="N8" s="102">
        <f>ROUND(L8/128.4*133.4,-2)</f>
        <v>2408600</v>
      </c>
      <c r="O8" s="102">
        <f>ROUND(M8/124.4*129.6,-2)</f>
        <v>0</v>
      </c>
      <c r="P8" s="63" t="s">
        <v>368</v>
      </c>
      <c r="Q8" s="79"/>
      <c r="R8" s="80"/>
      <c r="S8" s="81"/>
      <c r="T8" s="81"/>
      <c r="U8" s="81"/>
      <c r="V8" s="92" t="s">
        <v>268</v>
      </c>
      <c r="W8" s="81" t="s">
        <v>271</v>
      </c>
      <c r="X8" s="81"/>
      <c r="Y8" s="96"/>
      <c r="Z8" s="80"/>
      <c r="AA8" s="151">
        <v>41589</v>
      </c>
      <c r="AB8" s="73"/>
      <c r="AC8" s="57"/>
      <c r="AD8" s="57"/>
      <c r="AE8" s="57"/>
    </row>
    <row r="9" spans="1:31" s="44" customFormat="1" x14ac:dyDescent="0.2">
      <c r="A9" s="61">
        <v>60004</v>
      </c>
      <c r="B9" s="123" t="s">
        <v>45</v>
      </c>
      <c r="C9" s="117"/>
      <c r="D9" s="124"/>
      <c r="E9" s="117" t="s">
        <v>97</v>
      </c>
      <c r="F9" s="60" t="s">
        <v>147</v>
      </c>
      <c r="G9" s="117" t="s">
        <v>59</v>
      </c>
      <c r="H9" s="102">
        <v>78300</v>
      </c>
      <c r="I9" s="102"/>
      <c r="J9" s="102">
        <f t="shared" si="0"/>
        <v>85300</v>
      </c>
      <c r="K9" s="102">
        <f t="shared" si="1"/>
        <v>0</v>
      </c>
      <c r="L9" s="102">
        <f t="shared" si="2"/>
        <v>88300</v>
      </c>
      <c r="M9" s="102">
        <f t="shared" si="3"/>
        <v>0</v>
      </c>
      <c r="N9" s="102">
        <f>ROUND(L9/128.4*133.4,-2)</f>
        <v>91700</v>
      </c>
      <c r="O9" s="102">
        <f>ROUND(M9/124.4*129.6,-2)</f>
        <v>0</v>
      </c>
      <c r="P9" s="63" t="s">
        <v>368</v>
      </c>
      <c r="Q9" s="79"/>
      <c r="R9" s="76"/>
      <c r="S9" s="82"/>
      <c r="T9" s="82"/>
      <c r="U9" s="82"/>
      <c r="V9" s="82"/>
      <c r="W9" s="82"/>
      <c r="X9" s="82"/>
      <c r="Y9" s="97"/>
      <c r="Z9" s="69"/>
      <c r="AA9" s="152" t="s">
        <v>391</v>
      </c>
      <c r="AB9" s="45"/>
      <c r="AC9" s="45"/>
      <c r="AD9" s="45"/>
      <c r="AE9" s="45"/>
    </row>
    <row r="10" spans="1:31" s="44" customFormat="1" x14ac:dyDescent="0.2">
      <c r="A10" s="61">
        <v>60004</v>
      </c>
      <c r="B10" s="123" t="s">
        <v>396</v>
      </c>
      <c r="C10" s="117">
        <v>0</v>
      </c>
      <c r="D10" s="124"/>
      <c r="E10" s="117" t="s">
        <v>97</v>
      </c>
      <c r="F10" s="60" t="s">
        <v>147</v>
      </c>
      <c r="G10" s="117" t="s">
        <v>59</v>
      </c>
      <c r="H10" s="102">
        <v>80400</v>
      </c>
      <c r="I10" s="102"/>
      <c r="J10" s="102">
        <f t="shared" si="0"/>
        <v>87500</v>
      </c>
      <c r="K10" s="102">
        <f t="shared" si="1"/>
        <v>0</v>
      </c>
      <c r="L10" s="102">
        <f t="shared" si="2"/>
        <v>90600</v>
      </c>
      <c r="M10" s="102">
        <f t="shared" si="3"/>
        <v>0</v>
      </c>
      <c r="N10" s="102">
        <f>ROUND(L10/128.4*133.4,-2)</f>
        <v>94100</v>
      </c>
      <c r="O10" s="102">
        <f>ROUND(M10/124.4*129.6,-2)</f>
        <v>0</v>
      </c>
      <c r="P10" s="63" t="s">
        <v>368</v>
      </c>
      <c r="Q10" s="79"/>
      <c r="R10" s="78"/>
      <c r="S10" s="79"/>
      <c r="T10" s="92" t="s">
        <v>268</v>
      </c>
      <c r="U10" s="79"/>
      <c r="V10" s="79"/>
      <c r="W10" s="79"/>
      <c r="X10" s="79"/>
      <c r="Y10" s="98"/>
      <c r="Z10" s="63"/>
      <c r="AA10" s="137" t="s">
        <v>392</v>
      </c>
    </row>
    <row r="11" spans="1:31" s="44" customFormat="1" x14ac:dyDescent="0.2">
      <c r="A11" s="174"/>
      <c r="B11" s="71" t="s">
        <v>416</v>
      </c>
      <c r="C11" s="71"/>
      <c r="D11" s="175"/>
      <c r="E11" s="118" t="s">
        <v>417</v>
      </c>
      <c r="F11" s="109" t="s">
        <v>420</v>
      </c>
      <c r="G11" s="118" t="s">
        <v>59</v>
      </c>
      <c r="H11" s="102">
        <v>3291900</v>
      </c>
      <c r="I11" s="69"/>
      <c r="J11" s="102">
        <f>ROUND(H11/163.4*174,-2)</f>
        <v>3505500</v>
      </c>
      <c r="K11" s="102">
        <f t="shared" si="1"/>
        <v>0</v>
      </c>
      <c r="L11" s="102">
        <f t="shared" si="2"/>
        <v>3629900</v>
      </c>
      <c r="M11" s="102">
        <f t="shared" si="3"/>
        <v>0</v>
      </c>
      <c r="N11" s="102">
        <f>ROUND(L11/128.4*133.4,-2)</f>
        <v>3771300</v>
      </c>
      <c r="O11" s="102">
        <f>ROUND(M11/124.4*129.6,-2)</f>
        <v>0</v>
      </c>
      <c r="P11" s="63" t="s">
        <v>419</v>
      </c>
      <c r="Q11" s="69" t="s">
        <v>418</v>
      </c>
      <c r="R11" s="69"/>
      <c r="S11" s="69"/>
      <c r="T11" s="69"/>
      <c r="U11" s="69"/>
      <c r="V11" s="69"/>
      <c r="W11" s="69"/>
      <c r="X11" s="69"/>
      <c r="Y11" s="178"/>
      <c r="Z11" s="69"/>
      <c r="AA11" s="69"/>
      <c r="AB11" s="70"/>
      <c r="AC11" s="70"/>
      <c r="AD11" s="70"/>
      <c r="AE11" s="70"/>
    </row>
    <row r="12" spans="1:31" s="45" customFormat="1" x14ac:dyDescent="0.2">
      <c r="A12" s="61">
        <v>60057</v>
      </c>
      <c r="B12" s="123" t="s">
        <v>9</v>
      </c>
      <c r="C12" s="117" t="s">
        <v>10</v>
      </c>
      <c r="D12" s="124" t="s">
        <v>8</v>
      </c>
      <c r="E12" s="117" t="s">
        <v>66</v>
      </c>
      <c r="F12" s="60" t="s">
        <v>148</v>
      </c>
      <c r="G12" s="117" t="s">
        <v>59</v>
      </c>
      <c r="H12" s="102">
        <v>6492200</v>
      </c>
      <c r="I12" s="102">
        <v>409600</v>
      </c>
      <c r="J12" s="102">
        <f t="shared" ref="J12:J43" si="4">ROUND(H12/159.8*174,-2)</f>
        <v>7069100</v>
      </c>
      <c r="K12" s="102">
        <f t="shared" si="1"/>
        <v>458800</v>
      </c>
      <c r="L12" s="102">
        <f t="shared" si="2"/>
        <v>7319900</v>
      </c>
      <c r="M12" s="102">
        <f t="shared" si="3"/>
        <v>466700</v>
      </c>
      <c r="N12" s="102">
        <f>ROUND(L12/128.4*133.4,-2)</f>
        <v>7604900</v>
      </c>
      <c r="O12" s="102">
        <f>ROUND(M12/124.4*129.6,-2)</f>
        <v>486200</v>
      </c>
      <c r="P12" s="63" t="s">
        <v>368</v>
      </c>
      <c r="Q12" s="63" t="s">
        <v>331</v>
      </c>
      <c r="R12" s="78"/>
      <c r="S12" s="79"/>
      <c r="T12" s="92" t="s">
        <v>268</v>
      </c>
      <c r="U12" s="92" t="s">
        <v>268</v>
      </c>
      <c r="V12" s="92" t="s">
        <v>268</v>
      </c>
      <c r="W12" s="79" t="s">
        <v>271</v>
      </c>
      <c r="X12" s="79"/>
      <c r="Y12" s="98"/>
      <c r="Z12" s="63"/>
      <c r="AA12" s="140" t="s">
        <v>393</v>
      </c>
      <c r="AB12" s="44"/>
      <c r="AC12" s="44"/>
      <c r="AD12" s="44"/>
      <c r="AE12" s="44"/>
    </row>
    <row r="13" spans="1:31" s="44" customFormat="1" x14ac:dyDescent="0.2">
      <c r="A13" s="61">
        <v>60057</v>
      </c>
      <c r="B13" s="123" t="s">
        <v>12</v>
      </c>
      <c r="C13" s="117" t="s">
        <v>10</v>
      </c>
      <c r="D13" s="124"/>
      <c r="E13" s="117" t="s">
        <v>68</v>
      </c>
      <c r="F13" s="60" t="s">
        <v>148</v>
      </c>
      <c r="G13" s="117" t="s">
        <v>59</v>
      </c>
      <c r="H13" s="102">
        <v>19236500</v>
      </c>
      <c r="I13" s="102">
        <v>3003900</v>
      </c>
      <c r="J13" s="102">
        <f t="shared" si="4"/>
        <v>20945900</v>
      </c>
      <c r="K13" s="102">
        <f t="shared" si="1"/>
        <v>3364800</v>
      </c>
      <c r="L13" s="102">
        <f t="shared" si="2"/>
        <v>21689100</v>
      </c>
      <c r="M13" s="102">
        <f t="shared" si="3"/>
        <v>3422600</v>
      </c>
      <c r="N13" s="102">
        <f>ROUND(L13/128.4*133.4,-2)</f>
        <v>22533700</v>
      </c>
      <c r="O13" s="102">
        <f>ROUND(M13/124.4*129.6,-2)</f>
        <v>3565700</v>
      </c>
      <c r="P13" s="63" t="s">
        <v>368</v>
      </c>
      <c r="Q13" s="63" t="s">
        <v>408</v>
      </c>
      <c r="R13" s="78"/>
      <c r="S13" s="79"/>
      <c r="T13" s="92" t="s">
        <v>268</v>
      </c>
      <c r="U13" s="92" t="s">
        <v>268</v>
      </c>
      <c r="V13" s="92" t="s">
        <v>268</v>
      </c>
      <c r="W13" s="79"/>
      <c r="X13" s="92" t="s">
        <v>268</v>
      </c>
      <c r="Y13" s="98"/>
      <c r="Z13" s="63" t="s">
        <v>299</v>
      </c>
      <c r="AA13" s="140" t="s">
        <v>393</v>
      </c>
    </row>
    <row r="14" spans="1:31" s="44" customFormat="1" x14ac:dyDescent="0.2">
      <c r="A14" s="61">
        <v>60057</v>
      </c>
      <c r="B14" s="123" t="s">
        <v>11</v>
      </c>
      <c r="C14" s="117" t="s">
        <v>7</v>
      </c>
      <c r="D14" s="124" t="s">
        <v>8</v>
      </c>
      <c r="E14" s="117" t="s">
        <v>67</v>
      </c>
      <c r="F14" s="60" t="s">
        <v>148</v>
      </c>
      <c r="G14" s="117" t="s">
        <v>59</v>
      </c>
      <c r="H14" s="102">
        <v>855900</v>
      </c>
      <c r="I14" s="102">
        <v>115500</v>
      </c>
      <c r="J14" s="102">
        <f t="shared" si="4"/>
        <v>932000</v>
      </c>
      <c r="K14" s="102">
        <f t="shared" si="1"/>
        <v>129400</v>
      </c>
      <c r="L14" s="102">
        <f t="shared" si="2"/>
        <v>965100</v>
      </c>
      <c r="M14" s="102">
        <f t="shared" si="3"/>
        <v>131600</v>
      </c>
      <c r="N14" s="102">
        <f>ROUND(L14/128.4*133.4,-2)</f>
        <v>1002700</v>
      </c>
      <c r="O14" s="102">
        <f>ROUND(M14/124.4*129.6,-2)</f>
        <v>137100</v>
      </c>
      <c r="P14" s="63" t="s">
        <v>368</v>
      </c>
      <c r="Q14" s="63" t="s">
        <v>331</v>
      </c>
      <c r="R14" s="78"/>
      <c r="S14" s="79"/>
      <c r="T14" s="92" t="s">
        <v>268</v>
      </c>
      <c r="U14" s="92" t="s">
        <v>268</v>
      </c>
      <c r="V14" s="92" t="s">
        <v>268</v>
      </c>
      <c r="W14" s="79"/>
      <c r="X14" s="79"/>
      <c r="Y14" s="98"/>
      <c r="Z14" s="63"/>
      <c r="AA14" s="140" t="s">
        <v>393</v>
      </c>
    </row>
    <row r="15" spans="1:31" s="44" customFormat="1" x14ac:dyDescent="0.2">
      <c r="A15" s="61">
        <v>60517</v>
      </c>
      <c r="B15" s="123" t="s">
        <v>196</v>
      </c>
      <c r="C15" s="117">
        <v>0</v>
      </c>
      <c r="D15" s="124"/>
      <c r="E15" s="117" t="s">
        <v>120</v>
      </c>
      <c r="F15" s="60" t="s">
        <v>148</v>
      </c>
      <c r="G15" s="117" t="s">
        <v>59</v>
      </c>
      <c r="H15" s="102">
        <v>36500</v>
      </c>
      <c r="I15" s="102"/>
      <c r="J15" s="102">
        <f t="shared" si="4"/>
        <v>39700</v>
      </c>
      <c r="K15" s="102">
        <f t="shared" si="1"/>
        <v>0</v>
      </c>
      <c r="L15" s="102">
        <f t="shared" si="2"/>
        <v>41100</v>
      </c>
      <c r="M15" s="102">
        <f t="shared" si="3"/>
        <v>0</v>
      </c>
      <c r="N15" s="102">
        <f>ROUND(L15/128.4*133.4,-2)</f>
        <v>42700</v>
      </c>
      <c r="O15" s="102">
        <f>ROUND(M15/124.4*129.6,-2)</f>
        <v>0</v>
      </c>
      <c r="P15" s="63" t="s">
        <v>368</v>
      </c>
      <c r="Q15" s="79"/>
      <c r="R15" s="76"/>
      <c r="S15" s="79"/>
      <c r="T15" s="79"/>
      <c r="U15" s="79"/>
      <c r="V15" s="79"/>
      <c r="W15" s="79"/>
      <c r="X15" s="79"/>
      <c r="Y15" s="98"/>
      <c r="Z15" s="63" t="s">
        <v>300</v>
      </c>
      <c r="AA15" s="137">
        <v>43773</v>
      </c>
    </row>
    <row r="16" spans="1:31" s="45" customFormat="1" x14ac:dyDescent="0.2">
      <c r="A16" s="61"/>
      <c r="B16" s="123" t="s">
        <v>199</v>
      </c>
      <c r="C16" s="117"/>
      <c r="D16" s="124"/>
      <c r="E16" s="117" t="s">
        <v>200</v>
      </c>
      <c r="F16" s="60"/>
      <c r="G16" s="117" t="s">
        <v>59</v>
      </c>
      <c r="H16" s="102">
        <v>40700</v>
      </c>
      <c r="I16" s="102"/>
      <c r="J16" s="102">
        <f t="shared" si="4"/>
        <v>44300</v>
      </c>
      <c r="K16" s="102">
        <f t="shared" si="1"/>
        <v>0</v>
      </c>
      <c r="L16" s="102">
        <f t="shared" si="2"/>
        <v>45900</v>
      </c>
      <c r="M16" s="102">
        <f t="shared" si="3"/>
        <v>0</v>
      </c>
      <c r="N16" s="102">
        <f>ROUND(L16/128.4*133.4,-2)</f>
        <v>47700</v>
      </c>
      <c r="O16" s="102">
        <f>ROUND(M16/124.4*129.6,-2)</f>
        <v>0</v>
      </c>
      <c r="P16" s="63" t="s">
        <v>368</v>
      </c>
      <c r="Q16" s="79"/>
      <c r="R16" s="76"/>
      <c r="S16" s="79"/>
      <c r="T16" s="79"/>
      <c r="U16" s="79"/>
      <c r="V16" s="79"/>
      <c r="W16" s="79"/>
      <c r="X16" s="79"/>
      <c r="Y16" s="98"/>
      <c r="Z16" s="63" t="s">
        <v>301</v>
      </c>
      <c r="AA16" s="137" t="s">
        <v>391</v>
      </c>
      <c r="AB16" s="44"/>
      <c r="AC16" s="44"/>
      <c r="AD16" s="44"/>
      <c r="AE16" s="44"/>
    </row>
    <row r="17" spans="1:31" s="44" customFormat="1" ht="38.25" x14ac:dyDescent="0.2">
      <c r="A17" s="61">
        <v>60057</v>
      </c>
      <c r="B17" s="123" t="s">
        <v>278</v>
      </c>
      <c r="C17" s="117"/>
      <c r="D17" s="124"/>
      <c r="E17" s="117" t="s">
        <v>246</v>
      </c>
      <c r="F17" s="60" t="s">
        <v>149</v>
      </c>
      <c r="G17" s="117" t="s">
        <v>59</v>
      </c>
      <c r="H17" s="102">
        <v>3287900</v>
      </c>
      <c r="I17" s="102">
        <v>409600</v>
      </c>
      <c r="J17" s="102">
        <f t="shared" si="4"/>
        <v>3580100</v>
      </c>
      <c r="K17" s="102">
        <f t="shared" si="1"/>
        <v>458800</v>
      </c>
      <c r="L17" s="102">
        <f t="shared" si="2"/>
        <v>3707100</v>
      </c>
      <c r="M17" s="102">
        <f t="shared" si="3"/>
        <v>466700</v>
      </c>
      <c r="N17" s="102">
        <f>ROUND(L17/128.4*133.4,-2)</f>
        <v>3851500</v>
      </c>
      <c r="O17" s="102">
        <f>ROUND(M17/124.4*129.6,-2)</f>
        <v>486200</v>
      </c>
      <c r="P17" s="63" t="s">
        <v>368</v>
      </c>
      <c r="Q17" s="63" t="s">
        <v>331</v>
      </c>
      <c r="R17" s="83"/>
      <c r="S17" s="79"/>
      <c r="T17" s="79"/>
      <c r="U17" s="92" t="s">
        <v>268</v>
      </c>
      <c r="V17" s="92" t="s">
        <v>268</v>
      </c>
      <c r="W17" s="79"/>
      <c r="X17" s="79"/>
      <c r="Y17" s="95" t="s">
        <v>268</v>
      </c>
      <c r="Z17" s="100" t="s">
        <v>305</v>
      </c>
      <c r="AA17" s="140" t="s">
        <v>393</v>
      </c>
    </row>
    <row r="18" spans="1:31" s="44" customFormat="1" x14ac:dyDescent="0.2">
      <c r="A18" s="61">
        <v>60005</v>
      </c>
      <c r="B18" s="123" t="s">
        <v>28</v>
      </c>
      <c r="C18" s="117" t="s">
        <v>7</v>
      </c>
      <c r="D18" s="124" t="s">
        <v>8</v>
      </c>
      <c r="E18" s="117" t="s">
        <v>83</v>
      </c>
      <c r="F18" s="60" t="s">
        <v>150</v>
      </c>
      <c r="G18" s="117" t="s">
        <v>59</v>
      </c>
      <c r="H18" s="102">
        <v>1461300</v>
      </c>
      <c r="I18" s="102"/>
      <c r="J18" s="102">
        <f t="shared" si="4"/>
        <v>1591200</v>
      </c>
      <c r="K18" s="102">
        <f t="shared" si="1"/>
        <v>0</v>
      </c>
      <c r="L18" s="102">
        <f t="shared" si="2"/>
        <v>1647700</v>
      </c>
      <c r="M18" s="102">
        <f t="shared" si="3"/>
        <v>0</v>
      </c>
      <c r="N18" s="102">
        <f>ROUND(L18/128.4*133.4,-2)</f>
        <v>1711900</v>
      </c>
      <c r="O18" s="102">
        <f>ROUND(M18/124.4*129.6,-2)</f>
        <v>0</v>
      </c>
      <c r="P18" s="63" t="s">
        <v>368</v>
      </c>
      <c r="Q18" s="79"/>
      <c r="R18" s="78"/>
      <c r="S18" s="82"/>
      <c r="T18" s="92" t="s">
        <v>268</v>
      </c>
      <c r="U18" s="82"/>
      <c r="V18" s="82"/>
      <c r="W18" s="82" t="s">
        <v>271</v>
      </c>
      <c r="X18" s="82"/>
      <c r="Y18" s="97"/>
      <c r="Z18" s="69"/>
      <c r="AA18" s="139">
        <v>43307</v>
      </c>
      <c r="AB18" s="45"/>
      <c r="AC18" s="45"/>
      <c r="AD18" s="45"/>
      <c r="AE18" s="45"/>
    </row>
    <row r="19" spans="1:31" s="44" customFormat="1" x14ac:dyDescent="0.2">
      <c r="A19" s="61">
        <v>60808</v>
      </c>
      <c r="B19" s="127" t="s">
        <v>115</v>
      </c>
      <c r="C19" s="117">
        <v>0</v>
      </c>
      <c r="D19" s="124"/>
      <c r="E19" s="117" t="s">
        <v>369</v>
      </c>
      <c r="F19" s="60" t="s">
        <v>151</v>
      </c>
      <c r="G19" s="117" t="s">
        <v>59</v>
      </c>
      <c r="H19" s="102">
        <v>214000</v>
      </c>
      <c r="I19" s="102"/>
      <c r="J19" s="102">
        <f t="shared" si="4"/>
        <v>233000</v>
      </c>
      <c r="K19" s="102">
        <f t="shared" si="1"/>
        <v>0</v>
      </c>
      <c r="L19" s="102">
        <f t="shared" si="2"/>
        <v>241300</v>
      </c>
      <c r="M19" s="102">
        <f t="shared" si="3"/>
        <v>0</v>
      </c>
      <c r="N19" s="102">
        <f>ROUND(L19/128.4*133.4,-2)</f>
        <v>250700</v>
      </c>
      <c r="O19" s="102">
        <f>ROUND(M19/124.4*129.6,-2)</f>
        <v>0</v>
      </c>
      <c r="P19" s="63" t="s">
        <v>368</v>
      </c>
      <c r="Q19" s="79"/>
      <c r="R19" s="76"/>
      <c r="S19" s="79"/>
      <c r="T19" s="79"/>
      <c r="U19" s="79"/>
      <c r="V19" s="79"/>
      <c r="W19" s="79"/>
      <c r="X19" s="79"/>
      <c r="Y19" s="98"/>
      <c r="Z19" s="63" t="s">
        <v>303</v>
      </c>
      <c r="AA19" s="141" t="s">
        <v>394</v>
      </c>
    </row>
    <row r="20" spans="1:31" s="44" customFormat="1" x14ac:dyDescent="0.2">
      <c r="A20" s="61">
        <v>60505</v>
      </c>
      <c r="B20" s="123" t="s">
        <v>226</v>
      </c>
      <c r="C20" s="117">
        <v>0</v>
      </c>
      <c r="D20" s="124"/>
      <c r="E20" s="114" t="s">
        <v>247</v>
      </c>
      <c r="F20" s="60" t="s">
        <v>144</v>
      </c>
      <c r="G20" s="117" t="s">
        <v>59</v>
      </c>
      <c r="H20" s="102">
        <v>1242100</v>
      </c>
      <c r="I20" s="102"/>
      <c r="J20" s="102">
        <f t="shared" si="4"/>
        <v>1352500</v>
      </c>
      <c r="K20" s="102">
        <f t="shared" si="1"/>
        <v>0</v>
      </c>
      <c r="L20" s="102">
        <f t="shared" si="2"/>
        <v>1400500</v>
      </c>
      <c r="M20" s="102">
        <f t="shared" si="3"/>
        <v>0</v>
      </c>
      <c r="N20" s="102">
        <f>ROUND(L20/128.4*133.4,-2)</f>
        <v>1455000</v>
      </c>
      <c r="O20" s="102">
        <f>ROUND(M20/124.4*129.6,-2)</f>
        <v>0</v>
      </c>
      <c r="P20" s="63" t="s">
        <v>368</v>
      </c>
      <c r="Q20" s="79"/>
      <c r="R20" s="78"/>
      <c r="S20" s="79"/>
      <c r="T20" s="79"/>
      <c r="U20" s="79"/>
      <c r="V20" s="79"/>
      <c r="W20" s="79"/>
      <c r="X20" s="79"/>
      <c r="Y20" s="95" t="s">
        <v>268</v>
      </c>
      <c r="Z20" s="63"/>
      <c r="AA20" s="137">
        <v>43118</v>
      </c>
    </row>
    <row r="21" spans="1:31" s="44" customFormat="1" x14ac:dyDescent="0.2">
      <c r="A21" s="61">
        <v>60505</v>
      </c>
      <c r="B21" s="123" t="s">
        <v>19</v>
      </c>
      <c r="C21" s="117" t="s">
        <v>7</v>
      </c>
      <c r="D21" s="124"/>
      <c r="E21" s="117" t="s">
        <v>73</v>
      </c>
      <c r="F21" s="60" t="s">
        <v>153</v>
      </c>
      <c r="G21" s="117" t="s">
        <v>59</v>
      </c>
      <c r="H21" s="102">
        <v>4060200</v>
      </c>
      <c r="I21" s="102"/>
      <c r="J21" s="102">
        <f t="shared" si="4"/>
        <v>4421000</v>
      </c>
      <c r="K21" s="102">
        <f t="shared" si="1"/>
        <v>0</v>
      </c>
      <c r="L21" s="102">
        <f t="shared" si="2"/>
        <v>4577900</v>
      </c>
      <c r="M21" s="102">
        <f t="shared" si="3"/>
        <v>0</v>
      </c>
      <c r="N21" s="102">
        <f>ROUND(L21/128.4*133.4,-2)</f>
        <v>4756200</v>
      </c>
      <c r="O21" s="102">
        <f>ROUND(M21/124.4*129.6,-2)</f>
        <v>0</v>
      </c>
      <c r="P21" s="63" t="s">
        <v>368</v>
      </c>
      <c r="Q21" s="79"/>
      <c r="R21" s="78"/>
      <c r="S21" s="79"/>
      <c r="T21" s="79"/>
      <c r="U21" s="92" t="s">
        <v>268</v>
      </c>
      <c r="V21" s="79"/>
      <c r="W21" s="79"/>
      <c r="X21" s="79"/>
      <c r="Y21" s="95" t="s">
        <v>268</v>
      </c>
      <c r="Z21" s="63" t="s">
        <v>304</v>
      </c>
      <c r="AA21" s="137">
        <v>43276</v>
      </c>
    </row>
    <row r="22" spans="1:31" s="44" customFormat="1" x14ac:dyDescent="0.2">
      <c r="A22" s="61">
        <v>60510</v>
      </c>
      <c r="B22" s="123" t="s">
        <v>27</v>
      </c>
      <c r="C22" s="117" t="s">
        <v>7</v>
      </c>
      <c r="D22" s="124"/>
      <c r="E22" s="117" t="s">
        <v>245</v>
      </c>
      <c r="F22" s="60" t="s">
        <v>153</v>
      </c>
      <c r="G22" s="117" t="s">
        <v>59</v>
      </c>
      <c r="H22" s="102">
        <v>401800</v>
      </c>
      <c r="I22" s="102"/>
      <c r="J22" s="102">
        <f t="shared" si="4"/>
        <v>437500</v>
      </c>
      <c r="K22" s="102">
        <f t="shared" si="1"/>
        <v>0</v>
      </c>
      <c r="L22" s="102">
        <f t="shared" si="2"/>
        <v>453000</v>
      </c>
      <c r="M22" s="102">
        <f t="shared" si="3"/>
        <v>0</v>
      </c>
      <c r="N22" s="102">
        <f>ROUND(L22/128.4*133.4,-2)</f>
        <v>470600</v>
      </c>
      <c r="O22" s="102">
        <f>ROUND(M22/124.4*129.6,-2)</f>
        <v>0</v>
      </c>
      <c r="P22" s="63" t="s">
        <v>368</v>
      </c>
      <c r="Q22" s="79"/>
      <c r="R22" s="78"/>
      <c r="S22" s="79"/>
      <c r="T22" s="79"/>
      <c r="U22" s="79"/>
      <c r="V22" s="79"/>
      <c r="W22" s="92" t="s">
        <v>268</v>
      </c>
      <c r="X22" s="79"/>
      <c r="Y22" s="98"/>
      <c r="Z22" s="63" t="s">
        <v>306</v>
      </c>
      <c r="AA22" s="137">
        <v>44355</v>
      </c>
    </row>
    <row r="23" spans="1:31" s="44" customFormat="1" x14ac:dyDescent="0.2">
      <c r="A23" s="61">
        <v>60608</v>
      </c>
      <c r="B23" s="123" t="s">
        <v>31</v>
      </c>
      <c r="C23" s="117" t="s">
        <v>7</v>
      </c>
      <c r="D23" s="124"/>
      <c r="E23" s="117" t="s">
        <v>87</v>
      </c>
      <c r="F23" s="60" t="s">
        <v>153</v>
      </c>
      <c r="G23" s="117" t="s">
        <v>59</v>
      </c>
      <c r="H23" s="102">
        <v>767200</v>
      </c>
      <c r="I23" s="102"/>
      <c r="J23" s="102">
        <f t="shared" si="4"/>
        <v>835400</v>
      </c>
      <c r="K23" s="102">
        <f t="shared" si="1"/>
        <v>0</v>
      </c>
      <c r="L23" s="102">
        <f t="shared" si="2"/>
        <v>865000</v>
      </c>
      <c r="M23" s="102">
        <f t="shared" si="3"/>
        <v>0</v>
      </c>
      <c r="N23" s="102">
        <f>ROUND(L23/128.4*133.4,-2)</f>
        <v>898700</v>
      </c>
      <c r="O23" s="102">
        <f>ROUND(M23/124.4*129.6,-2)</f>
        <v>0</v>
      </c>
      <c r="P23" s="63" t="s">
        <v>368</v>
      </c>
      <c r="Q23" s="79"/>
      <c r="R23" s="78"/>
      <c r="S23" s="79"/>
      <c r="T23" s="79"/>
      <c r="U23" s="79"/>
      <c r="V23" s="79"/>
      <c r="W23" s="79"/>
      <c r="X23" s="79"/>
      <c r="Y23" s="98"/>
      <c r="Z23" s="63" t="s">
        <v>307</v>
      </c>
      <c r="AA23" s="137">
        <v>43066</v>
      </c>
    </row>
    <row r="24" spans="1:31" s="44" customFormat="1" x14ac:dyDescent="0.2">
      <c r="A24" s="61">
        <v>60730</v>
      </c>
      <c r="B24" s="123" t="s">
        <v>42</v>
      </c>
      <c r="C24" s="117" t="s">
        <v>7</v>
      </c>
      <c r="D24" s="124"/>
      <c r="E24" s="117" t="s">
        <v>95</v>
      </c>
      <c r="F24" s="60" t="s">
        <v>154</v>
      </c>
      <c r="G24" s="117" t="s">
        <v>59</v>
      </c>
      <c r="H24" s="102">
        <v>57400</v>
      </c>
      <c r="I24" s="102"/>
      <c r="J24" s="102">
        <f t="shared" si="4"/>
        <v>62500</v>
      </c>
      <c r="K24" s="102">
        <f t="shared" si="1"/>
        <v>0</v>
      </c>
      <c r="L24" s="102">
        <f t="shared" si="2"/>
        <v>64700</v>
      </c>
      <c r="M24" s="102">
        <f t="shared" si="3"/>
        <v>0</v>
      </c>
      <c r="N24" s="102">
        <f>ROUND(L24/128.4*133.4,-2)</f>
        <v>67200</v>
      </c>
      <c r="O24" s="102">
        <f>ROUND(M24/124.4*129.6,-2)</f>
        <v>0</v>
      </c>
      <c r="P24" s="63" t="s">
        <v>368</v>
      </c>
      <c r="Q24" s="79"/>
      <c r="R24" s="78"/>
      <c r="S24" s="79"/>
      <c r="T24" s="79"/>
      <c r="U24" s="79"/>
      <c r="V24" s="79"/>
      <c r="W24" s="79"/>
      <c r="X24" s="79"/>
      <c r="Y24" s="98"/>
      <c r="Z24" s="63"/>
      <c r="AA24" s="137" t="s">
        <v>391</v>
      </c>
    </row>
    <row r="25" spans="1:31" s="44" customFormat="1" ht="25.5" x14ac:dyDescent="0.2">
      <c r="A25" s="61">
        <v>60608</v>
      </c>
      <c r="B25" s="123" t="s">
        <v>35</v>
      </c>
      <c r="C25" s="117" t="s">
        <v>10</v>
      </c>
      <c r="D25" s="124"/>
      <c r="E25" s="117" t="s">
        <v>89</v>
      </c>
      <c r="F25" s="60" t="s">
        <v>155</v>
      </c>
      <c r="G25" s="117" t="s">
        <v>59</v>
      </c>
      <c r="H25" s="102">
        <v>7567300</v>
      </c>
      <c r="I25" s="102"/>
      <c r="J25" s="102">
        <f t="shared" si="4"/>
        <v>8239700</v>
      </c>
      <c r="K25" s="102">
        <f t="shared" si="1"/>
        <v>0</v>
      </c>
      <c r="L25" s="102">
        <f t="shared" si="2"/>
        <v>8532100</v>
      </c>
      <c r="M25" s="102">
        <f t="shared" si="3"/>
        <v>0</v>
      </c>
      <c r="N25" s="102">
        <f>ROUND(L25/128.4*133.4,-2)</f>
        <v>8864300</v>
      </c>
      <c r="O25" s="102">
        <f>ROUND(M25/124.4*129.6,-2)</f>
        <v>0</v>
      </c>
      <c r="P25" s="63" t="s">
        <v>368</v>
      </c>
      <c r="Q25" s="79"/>
      <c r="R25" s="78"/>
      <c r="S25" s="79"/>
      <c r="T25" s="92" t="s">
        <v>268</v>
      </c>
      <c r="U25" s="92" t="s">
        <v>268</v>
      </c>
      <c r="V25" s="92" t="s">
        <v>268</v>
      </c>
      <c r="W25" s="79"/>
      <c r="X25" s="79"/>
      <c r="Y25" s="95" t="s">
        <v>268</v>
      </c>
      <c r="Z25" s="100" t="s">
        <v>308</v>
      </c>
      <c r="AA25" s="137">
        <v>43276</v>
      </c>
    </row>
    <row r="26" spans="1:31" s="44" customFormat="1" x14ac:dyDescent="0.2">
      <c r="A26" s="61">
        <v>60404</v>
      </c>
      <c r="B26" s="123" t="s">
        <v>17</v>
      </c>
      <c r="C26" s="117"/>
      <c r="D26" s="124"/>
      <c r="E26" s="117" t="s">
        <v>72</v>
      </c>
      <c r="F26" s="60" t="s">
        <v>163</v>
      </c>
      <c r="G26" s="117" t="s">
        <v>59</v>
      </c>
      <c r="H26" s="102">
        <v>67800</v>
      </c>
      <c r="I26" s="102">
        <v>36800</v>
      </c>
      <c r="J26" s="102">
        <f t="shared" si="4"/>
        <v>73800</v>
      </c>
      <c r="K26" s="102">
        <f t="shared" si="1"/>
        <v>41200</v>
      </c>
      <c r="L26" s="102">
        <f t="shared" si="2"/>
        <v>76400</v>
      </c>
      <c r="M26" s="102">
        <f t="shared" si="3"/>
        <v>41900</v>
      </c>
      <c r="N26" s="102">
        <f>ROUND(L26/128.4*133.4,-2)</f>
        <v>79400</v>
      </c>
      <c r="O26" s="102">
        <f>ROUND(M26/124.4*129.6,-2)</f>
        <v>43700</v>
      </c>
      <c r="P26" s="63" t="s">
        <v>366</v>
      </c>
      <c r="Q26" s="63" t="s">
        <v>331</v>
      </c>
      <c r="R26" s="84"/>
      <c r="S26" s="79"/>
      <c r="T26" s="79"/>
      <c r="U26" s="79"/>
      <c r="V26" s="79"/>
      <c r="W26" s="79" t="s">
        <v>271</v>
      </c>
      <c r="X26" s="79"/>
      <c r="Y26" s="98"/>
      <c r="Z26" s="63"/>
      <c r="AA26" s="137">
        <v>43348</v>
      </c>
    </row>
    <row r="27" spans="1:31" s="45" customFormat="1" ht="25.5" x14ac:dyDescent="0.2">
      <c r="A27" s="61">
        <v>60505</v>
      </c>
      <c r="B27" s="123" t="s">
        <v>257</v>
      </c>
      <c r="C27" s="117"/>
      <c r="D27" s="124"/>
      <c r="E27" s="117" t="s">
        <v>229</v>
      </c>
      <c r="F27" s="60" t="s">
        <v>189</v>
      </c>
      <c r="G27" s="117" t="s">
        <v>64</v>
      </c>
      <c r="H27" s="102">
        <v>1022900</v>
      </c>
      <c r="I27" s="102">
        <v>78800</v>
      </c>
      <c r="J27" s="102">
        <f t="shared" si="4"/>
        <v>1113800</v>
      </c>
      <c r="K27" s="102">
        <f t="shared" si="1"/>
        <v>88300</v>
      </c>
      <c r="L27" s="102">
        <f t="shared" si="2"/>
        <v>1153300</v>
      </c>
      <c r="M27" s="102">
        <f t="shared" si="3"/>
        <v>89800</v>
      </c>
      <c r="N27" s="102">
        <f>ROUND(L27/128.4*133.4,-2)</f>
        <v>1198200</v>
      </c>
      <c r="O27" s="102">
        <f>ROUND(M27/124.4*129.6,-2)</f>
        <v>93600</v>
      </c>
      <c r="P27" s="63" t="s">
        <v>371</v>
      </c>
      <c r="Q27" s="63" t="s">
        <v>333</v>
      </c>
      <c r="R27" s="85"/>
      <c r="S27" s="79"/>
      <c r="T27" s="79"/>
      <c r="U27" s="79"/>
      <c r="V27" s="79"/>
      <c r="W27" s="79"/>
      <c r="X27" s="79"/>
      <c r="Y27" s="95" t="s">
        <v>268</v>
      </c>
      <c r="Z27" s="100" t="s">
        <v>318</v>
      </c>
      <c r="AA27" s="137">
        <v>43780</v>
      </c>
      <c r="AB27" s="111"/>
      <c r="AC27" s="111"/>
      <c r="AD27" s="44"/>
      <c r="AE27" s="44"/>
    </row>
    <row r="28" spans="1:31" s="58" customFormat="1" x14ac:dyDescent="0.2">
      <c r="A28" s="61">
        <v>60608</v>
      </c>
      <c r="B28" s="123" t="s">
        <v>36</v>
      </c>
      <c r="C28" s="117" t="s">
        <v>7</v>
      </c>
      <c r="D28" s="124"/>
      <c r="E28" s="117" t="s">
        <v>90</v>
      </c>
      <c r="F28" s="60" t="s">
        <v>156</v>
      </c>
      <c r="G28" s="117" t="s">
        <v>64</v>
      </c>
      <c r="H28" s="102">
        <v>2724200</v>
      </c>
      <c r="I28" s="102"/>
      <c r="J28" s="102">
        <f t="shared" si="4"/>
        <v>2966300</v>
      </c>
      <c r="K28" s="102">
        <f t="shared" si="1"/>
        <v>0</v>
      </c>
      <c r="L28" s="102">
        <f t="shared" si="2"/>
        <v>3071600</v>
      </c>
      <c r="M28" s="102">
        <f t="shared" si="3"/>
        <v>0</v>
      </c>
      <c r="N28" s="102">
        <f>ROUND(L28/128.4*133.4,-2)</f>
        <v>3191200</v>
      </c>
      <c r="O28" s="102">
        <f>ROUND(M28/124.4*129.6,-2)</f>
        <v>0</v>
      </c>
      <c r="P28" s="63" t="s">
        <v>371</v>
      </c>
      <c r="Q28" s="79"/>
      <c r="R28" s="78"/>
      <c r="S28" s="79"/>
      <c r="T28" s="79"/>
      <c r="U28" s="92" t="s">
        <v>268</v>
      </c>
      <c r="V28" s="92" t="s">
        <v>268</v>
      </c>
      <c r="W28" s="79"/>
      <c r="X28" s="79"/>
      <c r="Y28" s="95" t="s">
        <v>268</v>
      </c>
      <c r="Z28" s="63" t="s">
        <v>309</v>
      </c>
      <c r="AA28" s="137">
        <v>43780</v>
      </c>
      <c r="AB28" s="44"/>
      <c r="AC28" s="44"/>
      <c r="AD28" s="44"/>
      <c r="AE28" s="44"/>
    </row>
    <row r="29" spans="1:31" s="44" customFormat="1" ht="38.25" x14ac:dyDescent="0.2">
      <c r="A29" s="61">
        <v>60506</v>
      </c>
      <c r="B29" s="123" t="s">
        <v>279</v>
      </c>
      <c r="C29" s="117" t="s">
        <v>10</v>
      </c>
      <c r="D29" s="124"/>
      <c r="E29" s="117" t="s">
        <v>372</v>
      </c>
      <c r="F29" s="60" t="s">
        <v>158</v>
      </c>
      <c r="G29" s="117" t="s">
        <v>64</v>
      </c>
      <c r="H29" s="102">
        <v>2411100</v>
      </c>
      <c r="I29" s="102"/>
      <c r="J29" s="102">
        <f t="shared" si="4"/>
        <v>2625400</v>
      </c>
      <c r="K29" s="102">
        <f t="shared" si="1"/>
        <v>0</v>
      </c>
      <c r="L29" s="102">
        <f t="shared" si="2"/>
        <v>2718600</v>
      </c>
      <c r="M29" s="102">
        <f t="shared" si="3"/>
        <v>0</v>
      </c>
      <c r="N29" s="102">
        <f>ROUND(L29/128.4*133.4,-2)</f>
        <v>2824500</v>
      </c>
      <c r="O29" s="102">
        <f>ROUND(M29/124.4*129.6,-2)</f>
        <v>0</v>
      </c>
      <c r="P29" s="63" t="s">
        <v>371</v>
      </c>
      <c r="Q29" s="79"/>
      <c r="R29" s="78"/>
      <c r="S29" s="79"/>
      <c r="T29" s="79"/>
      <c r="U29" s="79"/>
      <c r="V29" s="79"/>
      <c r="W29" s="92" t="s">
        <v>268</v>
      </c>
      <c r="X29" s="79"/>
      <c r="Y29" s="95" t="s">
        <v>268</v>
      </c>
      <c r="Z29" s="100" t="s">
        <v>310</v>
      </c>
      <c r="AA29" s="137">
        <v>43116</v>
      </c>
    </row>
    <row r="30" spans="1:31" s="132" customFormat="1" x14ac:dyDescent="0.2">
      <c r="A30" s="61">
        <v>60506</v>
      </c>
      <c r="B30" s="123" t="s">
        <v>26</v>
      </c>
      <c r="C30" s="117" t="s">
        <v>10</v>
      </c>
      <c r="D30" s="124"/>
      <c r="E30" s="117" t="s">
        <v>82</v>
      </c>
      <c r="F30" s="60" t="s">
        <v>158</v>
      </c>
      <c r="G30" s="117" t="s">
        <v>64</v>
      </c>
      <c r="H30" s="102">
        <v>553200</v>
      </c>
      <c r="I30" s="102"/>
      <c r="J30" s="102">
        <f t="shared" si="4"/>
        <v>602400</v>
      </c>
      <c r="K30" s="102">
        <f t="shared" si="1"/>
        <v>0</v>
      </c>
      <c r="L30" s="102">
        <f t="shared" si="2"/>
        <v>623800</v>
      </c>
      <c r="M30" s="102">
        <f t="shared" si="3"/>
        <v>0</v>
      </c>
      <c r="N30" s="102">
        <f>ROUND(L30/128.4*133.4,-2)</f>
        <v>648100</v>
      </c>
      <c r="O30" s="102">
        <f>ROUND(M30/124.4*129.6,-2)</f>
        <v>0</v>
      </c>
      <c r="P30" s="63" t="s">
        <v>371</v>
      </c>
      <c r="Q30" s="79"/>
      <c r="R30" s="78"/>
      <c r="S30" s="79"/>
      <c r="T30" s="79"/>
      <c r="U30" s="79"/>
      <c r="V30" s="79"/>
      <c r="W30" s="79"/>
      <c r="X30" s="79"/>
      <c r="Y30" s="98"/>
      <c r="Z30" s="63" t="s">
        <v>298</v>
      </c>
      <c r="AA30" s="137">
        <v>43283</v>
      </c>
      <c r="AB30" s="44"/>
      <c r="AC30" s="44"/>
      <c r="AD30" s="44"/>
      <c r="AE30" s="44"/>
    </row>
    <row r="31" spans="1:31" s="44" customFormat="1" x14ac:dyDescent="0.2">
      <c r="A31" s="61">
        <v>60103</v>
      </c>
      <c r="B31" s="123" t="s">
        <v>14</v>
      </c>
      <c r="C31" s="117" t="s">
        <v>7</v>
      </c>
      <c r="D31" s="124"/>
      <c r="E31" s="117" t="s">
        <v>70</v>
      </c>
      <c r="F31" s="60" t="s">
        <v>158</v>
      </c>
      <c r="G31" s="117" t="s">
        <v>64</v>
      </c>
      <c r="H31" s="102">
        <v>782800</v>
      </c>
      <c r="I31" s="102">
        <v>162800</v>
      </c>
      <c r="J31" s="102">
        <f t="shared" si="4"/>
        <v>852400</v>
      </c>
      <c r="K31" s="102">
        <f t="shared" si="1"/>
        <v>182400</v>
      </c>
      <c r="L31" s="102">
        <f t="shared" si="2"/>
        <v>882600</v>
      </c>
      <c r="M31" s="102">
        <f t="shared" si="3"/>
        <v>185500</v>
      </c>
      <c r="N31" s="102">
        <f>ROUND(L31/128.4*133.4,-2)</f>
        <v>917000</v>
      </c>
      <c r="O31" s="102">
        <f>ROUND(M31/124.4*129.6,-2)</f>
        <v>193300</v>
      </c>
      <c r="P31" s="63" t="s">
        <v>371</v>
      </c>
      <c r="Q31" s="63" t="s">
        <v>333</v>
      </c>
      <c r="R31" s="78"/>
      <c r="S31" s="79"/>
      <c r="T31" s="79"/>
      <c r="U31" s="79"/>
      <c r="V31" s="92" t="s">
        <v>268</v>
      </c>
      <c r="W31" s="79"/>
      <c r="X31" s="79"/>
      <c r="Y31" s="98"/>
      <c r="Z31" s="63" t="s">
        <v>311</v>
      </c>
      <c r="AA31" s="137">
        <v>44055</v>
      </c>
      <c r="AB31" s="111"/>
    </row>
    <row r="32" spans="1:31" s="44" customFormat="1" x14ac:dyDescent="0.2">
      <c r="A32" s="61">
        <v>60005</v>
      </c>
      <c r="B32" s="123" t="s">
        <v>53</v>
      </c>
      <c r="C32" s="117"/>
      <c r="D32" s="124"/>
      <c r="E32" s="117" t="s">
        <v>159</v>
      </c>
      <c r="F32" s="60" t="s">
        <v>157</v>
      </c>
      <c r="G32" s="117" t="s">
        <v>64</v>
      </c>
      <c r="H32" s="102">
        <v>5114400</v>
      </c>
      <c r="I32" s="102"/>
      <c r="J32" s="102">
        <f t="shared" si="4"/>
        <v>5568900</v>
      </c>
      <c r="K32" s="102">
        <f t="shared" si="1"/>
        <v>0</v>
      </c>
      <c r="L32" s="102">
        <f t="shared" si="2"/>
        <v>5766500</v>
      </c>
      <c r="M32" s="102">
        <f t="shared" si="3"/>
        <v>0</v>
      </c>
      <c r="N32" s="102">
        <f>ROUND(L32/128.4*133.4,-2)</f>
        <v>5991100</v>
      </c>
      <c r="O32" s="102">
        <f>ROUND(M32/124.4*129.6,-2)</f>
        <v>0</v>
      </c>
      <c r="P32" s="63" t="s">
        <v>341</v>
      </c>
      <c r="Q32" s="79"/>
      <c r="R32" s="76"/>
      <c r="S32" s="82"/>
      <c r="T32" s="82"/>
      <c r="U32" s="92" t="s">
        <v>268</v>
      </c>
      <c r="V32" s="92" t="s">
        <v>268</v>
      </c>
      <c r="W32" s="82" t="s">
        <v>271</v>
      </c>
      <c r="X32" s="82"/>
      <c r="Y32" s="97"/>
      <c r="Z32" s="69"/>
      <c r="AA32" s="139">
        <v>43747</v>
      </c>
      <c r="AB32" s="45"/>
      <c r="AC32" s="45"/>
      <c r="AD32" s="45"/>
      <c r="AE32" s="45"/>
    </row>
    <row r="33" spans="1:31" s="44" customFormat="1" x14ac:dyDescent="0.2">
      <c r="A33" s="61">
        <v>60808</v>
      </c>
      <c r="B33" s="123" t="s">
        <v>125</v>
      </c>
      <c r="C33" s="117"/>
      <c r="D33" s="124"/>
      <c r="E33" s="117" t="s">
        <v>126</v>
      </c>
      <c r="F33" s="60" t="s">
        <v>160</v>
      </c>
      <c r="G33" s="117" t="s">
        <v>57</v>
      </c>
      <c r="H33" s="102">
        <v>88700</v>
      </c>
      <c r="I33" s="102"/>
      <c r="J33" s="102">
        <f t="shared" si="4"/>
        <v>96600</v>
      </c>
      <c r="K33" s="102">
        <f t="shared" si="1"/>
        <v>0</v>
      </c>
      <c r="L33" s="102">
        <f t="shared" si="2"/>
        <v>100000</v>
      </c>
      <c r="M33" s="102">
        <f t="shared" si="3"/>
        <v>0</v>
      </c>
      <c r="N33" s="102">
        <f>ROUND(L33/128.4*133.4,-2)</f>
        <v>103900</v>
      </c>
      <c r="O33" s="102">
        <f>ROUND(M33/124.4*129.6,-2)</f>
        <v>0</v>
      </c>
      <c r="P33" s="63" t="s">
        <v>374</v>
      </c>
      <c r="Q33" s="79"/>
      <c r="R33" s="78"/>
      <c r="S33" s="79"/>
      <c r="T33" s="79"/>
      <c r="U33" s="79"/>
      <c r="V33" s="79"/>
      <c r="W33" s="79"/>
      <c r="X33" s="79"/>
      <c r="Y33" s="98"/>
      <c r="Z33" s="63" t="s">
        <v>303</v>
      </c>
      <c r="AA33" s="141" t="s">
        <v>390</v>
      </c>
    </row>
    <row r="34" spans="1:31" s="44" customFormat="1" ht="25.5" x14ac:dyDescent="0.2">
      <c r="A34" s="61">
        <v>60808</v>
      </c>
      <c r="B34" s="123" t="s">
        <v>197</v>
      </c>
      <c r="C34" s="117">
        <v>0</v>
      </c>
      <c r="D34" s="124"/>
      <c r="E34" s="117" t="s">
        <v>342</v>
      </c>
      <c r="F34" s="60" t="s">
        <v>160</v>
      </c>
      <c r="G34" s="117" t="s">
        <v>57</v>
      </c>
      <c r="H34" s="102">
        <v>125300</v>
      </c>
      <c r="I34" s="102"/>
      <c r="J34" s="102">
        <f t="shared" si="4"/>
        <v>136400</v>
      </c>
      <c r="K34" s="102">
        <f t="shared" si="1"/>
        <v>0</v>
      </c>
      <c r="L34" s="102">
        <f t="shared" si="2"/>
        <v>141200</v>
      </c>
      <c r="M34" s="102">
        <f t="shared" si="3"/>
        <v>0</v>
      </c>
      <c r="N34" s="102">
        <f>ROUND(L34/128.4*133.4,-2)</f>
        <v>146700</v>
      </c>
      <c r="O34" s="102">
        <f>ROUND(M34/124.4*129.6,-2)</f>
        <v>0</v>
      </c>
      <c r="P34" s="63" t="s">
        <v>374</v>
      </c>
      <c r="Q34" s="79"/>
      <c r="R34" s="78"/>
      <c r="S34" s="79"/>
      <c r="T34" s="79"/>
      <c r="U34" s="79"/>
      <c r="V34" s="79"/>
      <c r="W34" s="79"/>
      <c r="X34" s="79"/>
      <c r="Y34" s="98"/>
      <c r="Z34" s="63" t="s">
        <v>303</v>
      </c>
      <c r="AA34" s="141" t="s">
        <v>390</v>
      </c>
    </row>
    <row r="35" spans="1:31" s="45" customFormat="1" x14ac:dyDescent="0.2">
      <c r="A35" s="61">
        <v>60608</v>
      </c>
      <c r="B35" s="123" t="s">
        <v>37</v>
      </c>
      <c r="C35" s="117">
        <v>0</v>
      </c>
      <c r="D35" s="124"/>
      <c r="E35" s="117" t="s">
        <v>91</v>
      </c>
      <c r="F35" s="60" t="s">
        <v>161</v>
      </c>
      <c r="G35" s="117" t="s">
        <v>57</v>
      </c>
      <c r="H35" s="102">
        <v>2348500</v>
      </c>
      <c r="I35" s="102"/>
      <c r="J35" s="102">
        <f t="shared" si="4"/>
        <v>2557200</v>
      </c>
      <c r="K35" s="102">
        <f t="shared" ref="K35:K65" si="5">ROUND(I35/131.5*147.3,-2)</f>
        <v>0</v>
      </c>
      <c r="L35" s="102">
        <f t="shared" si="2"/>
        <v>2647900</v>
      </c>
      <c r="M35" s="102">
        <f t="shared" si="3"/>
        <v>0</v>
      </c>
      <c r="N35" s="102">
        <f>ROUND(L35/128.4*133.4,-2)</f>
        <v>2751000</v>
      </c>
      <c r="O35" s="102">
        <f>ROUND(M35/124.4*129.6,-2)</f>
        <v>0</v>
      </c>
      <c r="P35" s="63" t="s">
        <v>374</v>
      </c>
      <c r="Q35" s="79"/>
      <c r="R35" s="78"/>
      <c r="S35" s="79"/>
      <c r="T35" s="79"/>
      <c r="U35" s="92" t="s">
        <v>268</v>
      </c>
      <c r="V35" s="92" t="s">
        <v>268</v>
      </c>
      <c r="W35" s="79"/>
      <c r="X35" s="79"/>
      <c r="Y35" s="95" t="s">
        <v>268</v>
      </c>
      <c r="Z35" s="63" t="s">
        <v>312</v>
      </c>
      <c r="AA35" s="137">
        <v>43116</v>
      </c>
      <c r="AB35" s="44"/>
      <c r="AC35" s="44"/>
      <c r="AD35" s="44"/>
      <c r="AE35" s="44"/>
    </row>
    <row r="36" spans="1:31" s="66" customFormat="1" x14ac:dyDescent="0.2">
      <c r="A36" s="61">
        <v>60103</v>
      </c>
      <c r="B36" s="123" t="s">
        <v>15</v>
      </c>
      <c r="C36" s="117">
        <v>0</v>
      </c>
      <c r="D36" s="124"/>
      <c r="E36" s="117" t="s">
        <v>380</v>
      </c>
      <c r="F36" s="60" t="s">
        <v>162</v>
      </c>
      <c r="G36" s="117" t="s">
        <v>57</v>
      </c>
      <c r="H36" s="102">
        <v>824600</v>
      </c>
      <c r="I36" s="102">
        <v>131300</v>
      </c>
      <c r="J36" s="102">
        <f t="shared" si="4"/>
        <v>897900</v>
      </c>
      <c r="K36" s="102">
        <f t="shared" si="5"/>
        <v>147100</v>
      </c>
      <c r="L36" s="102">
        <f t="shared" si="2"/>
        <v>929800</v>
      </c>
      <c r="M36" s="102">
        <f t="shared" si="3"/>
        <v>149600</v>
      </c>
      <c r="N36" s="102">
        <f>ROUND(L36/128.4*133.4,-2)</f>
        <v>966000</v>
      </c>
      <c r="O36" s="102">
        <f>ROUND(M36/124.4*129.6,-2)</f>
        <v>155900</v>
      </c>
      <c r="P36" s="63" t="s">
        <v>374</v>
      </c>
      <c r="Q36" s="63" t="s">
        <v>334</v>
      </c>
      <c r="R36" s="78"/>
      <c r="S36" s="79"/>
      <c r="T36" s="79"/>
      <c r="U36" s="79"/>
      <c r="V36" s="92" t="s">
        <v>268</v>
      </c>
      <c r="W36" s="79"/>
      <c r="X36" s="79"/>
      <c r="Y36" s="98"/>
      <c r="Z36" s="63"/>
      <c r="AA36" s="137">
        <v>43276</v>
      </c>
      <c r="AB36" s="111"/>
      <c r="AC36" s="111"/>
      <c r="AD36" s="44"/>
      <c r="AE36" s="44"/>
    </row>
    <row r="37" spans="1:31" s="44" customFormat="1" ht="25.5" x14ac:dyDescent="0.2">
      <c r="A37" s="61">
        <v>60004</v>
      </c>
      <c r="B37" s="123" t="s">
        <v>5</v>
      </c>
      <c r="C37" s="117">
        <v>0</v>
      </c>
      <c r="D37" s="124"/>
      <c r="E37" s="117" t="s">
        <v>65</v>
      </c>
      <c r="F37" s="60" t="s">
        <v>162</v>
      </c>
      <c r="G37" s="117" t="s">
        <v>57</v>
      </c>
      <c r="H37" s="102">
        <v>949800</v>
      </c>
      <c r="I37" s="102">
        <v>15800</v>
      </c>
      <c r="J37" s="102">
        <f t="shared" si="4"/>
        <v>1034200</v>
      </c>
      <c r="K37" s="102">
        <f t="shared" si="5"/>
        <v>17700</v>
      </c>
      <c r="L37" s="102">
        <f t="shared" si="2"/>
        <v>1070900</v>
      </c>
      <c r="M37" s="102">
        <f t="shared" si="3"/>
        <v>18000</v>
      </c>
      <c r="N37" s="102">
        <f>ROUND(L37/128.4*133.4,-2)</f>
        <v>1112600</v>
      </c>
      <c r="O37" s="102">
        <f>ROUND(M37/124.4*129.6,-2)</f>
        <v>18800</v>
      </c>
      <c r="P37" s="63" t="s">
        <v>374</v>
      </c>
      <c r="Q37" s="63" t="s">
        <v>334</v>
      </c>
      <c r="R37" s="78"/>
      <c r="S37" s="82"/>
      <c r="T37" s="82"/>
      <c r="U37" s="82"/>
      <c r="V37" s="82"/>
      <c r="W37" s="82" t="s">
        <v>271</v>
      </c>
      <c r="X37" s="82"/>
      <c r="Y37" s="97"/>
      <c r="Z37" s="69"/>
      <c r="AA37" s="139">
        <v>43769</v>
      </c>
      <c r="AB37" s="111"/>
      <c r="AC37" s="111"/>
      <c r="AD37" s="45"/>
      <c r="AE37" s="45"/>
    </row>
    <row r="38" spans="1:31" s="59" customFormat="1" x14ac:dyDescent="0.2">
      <c r="A38" s="61">
        <v>60004</v>
      </c>
      <c r="B38" s="123" t="s">
        <v>46</v>
      </c>
      <c r="C38" s="117"/>
      <c r="D38" s="124"/>
      <c r="E38" s="117" t="s">
        <v>98</v>
      </c>
      <c r="F38" s="60"/>
      <c r="G38" s="117" t="s">
        <v>57</v>
      </c>
      <c r="H38" s="102">
        <v>75200</v>
      </c>
      <c r="I38" s="102"/>
      <c r="J38" s="102">
        <f t="shared" si="4"/>
        <v>81900</v>
      </c>
      <c r="K38" s="102">
        <f t="shared" si="5"/>
        <v>0</v>
      </c>
      <c r="L38" s="102">
        <f t="shared" si="2"/>
        <v>84800</v>
      </c>
      <c r="M38" s="102">
        <f t="shared" si="3"/>
        <v>0</v>
      </c>
      <c r="N38" s="102">
        <f>ROUND(L38/128.4*133.4,-2)</f>
        <v>88100</v>
      </c>
      <c r="O38" s="102">
        <f>ROUND(M38/124.4*129.6,-2)</f>
        <v>0</v>
      </c>
      <c r="P38" s="63" t="s">
        <v>374</v>
      </c>
      <c r="Q38" s="79"/>
      <c r="R38" s="76"/>
      <c r="S38" s="79"/>
      <c r="T38" s="79"/>
      <c r="U38" s="79"/>
      <c r="V38" s="79"/>
      <c r="W38" s="79"/>
      <c r="X38" s="79"/>
      <c r="Y38" s="98"/>
      <c r="Z38" s="63" t="s">
        <v>313</v>
      </c>
      <c r="AA38" s="141" t="s">
        <v>390</v>
      </c>
    </row>
    <row r="39" spans="1:31" s="45" customFormat="1" x14ac:dyDescent="0.2">
      <c r="A39" s="61">
        <v>60005</v>
      </c>
      <c r="B39" s="127" t="s">
        <v>343</v>
      </c>
      <c r="C39" s="117">
        <v>0</v>
      </c>
      <c r="D39" s="124"/>
      <c r="E39" s="114" t="s">
        <v>84</v>
      </c>
      <c r="F39" s="60" t="s">
        <v>165</v>
      </c>
      <c r="G39" s="117" t="s">
        <v>57</v>
      </c>
      <c r="H39" s="102">
        <v>3444400</v>
      </c>
      <c r="I39" s="102"/>
      <c r="J39" s="102">
        <f t="shared" si="4"/>
        <v>3750500</v>
      </c>
      <c r="K39" s="102">
        <f t="shared" si="5"/>
        <v>0</v>
      </c>
      <c r="L39" s="102">
        <f t="shared" si="2"/>
        <v>3883600</v>
      </c>
      <c r="M39" s="102">
        <f t="shared" si="3"/>
        <v>0</v>
      </c>
      <c r="N39" s="102">
        <f>ROUND(L39/128.4*133.4,-2)</f>
        <v>4034800</v>
      </c>
      <c r="O39" s="102">
        <f>ROUND(M39/124.4*129.6,-2)</f>
        <v>0</v>
      </c>
      <c r="P39" s="110" t="s">
        <v>374</v>
      </c>
      <c r="Q39" s="79"/>
      <c r="R39" s="85"/>
      <c r="S39" s="82"/>
      <c r="T39" s="82"/>
      <c r="U39" s="92" t="s">
        <v>268</v>
      </c>
      <c r="V39" s="92" t="s">
        <v>268</v>
      </c>
      <c r="W39" s="82"/>
      <c r="X39" s="82"/>
      <c r="Y39" s="97"/>
      <c r="Z39" s="69"/>
      <c r="AA39" s="139">
        <v>43769</v>
      </c>
    </row>
    <row r="40" spans="1:31" s="45" customFormat="1" x14ac:dyDescent="0.2">
      <c r="A40" s="61">
        <v>60505</v>
      </c>
      <c r="B40" s="123" t="s">
        <v>282</v>
      </c>
      <c r="C40" s="117"/>
      <c r="D40" s="124"/>
      <c r="E40" s="117" t="s">
        <v>364</v>
      </c>
      <c r="F40" s="60" t="s">
        <v>190</v>
      </c>
      <c r="G40" s="117" t="s">
        <v>57</v>
      </c>
      <c r="H40" s="102">
        <v>1137700</v>
      </c>
      <c r="I40" s="102">
        <v>63000</v>
      </c>
      <c r="J40" s="102">
        <f t="shared" si="4"/>
        <v>1238800</v>
      </c>
      <c r="K40" s="102">
        <f t="shared" si="5"/>
        <v>70600</v>
      </c>
      <c r="L40" s="102">
        <f t="shared" si="2"/>
        <v>1282800</v>
      </c>
      <c r="M40" s="102">
        <f t="shared" si="3"/>
        <v>71800</v>
      </c>
      <c r="N40" s="102">
        <f>ROUND(L40/128.4*133.4,-2)</f>
        <v>1332800</v>
      </c>
      <c r="O40" s="102">
        <f>ROUND(M40/124.4*129.6,-2)</f>
        <v>74800</v>
      </c>
      <c r="P40" s="63" t="s">
        <v>374</v>
      </c>
      <c r="Q40" s="63" t="s">
        <v>334</v>
      </c>
      <c r="R40" s="85"/>
      <c r="S40" s="79"/>
      <c r="T40" s="79"/>
      <c r="U40" s="79"/>
      <c r="V40" s="79"/>
      <c r="W40" s="79"/>
      <c r="X40" s="79"/>
      <c r="Y40" s="95" t="s">
        <v>268</v>
      </c>
      <c r="Z40" s="63"/>
      <c r="AA40" s="137">
        <v>44363</v>
      </c>
      <c r="AB40" s="111"/>
      <c r="AC40" s="111"/>
      <c r="AD40" s="44"/>
      <c r="AE40" s="44"/>
    </row>
    <row r="41" spans="1:31" s="44" customFormat="1" x14ac:dyDescent="0.2">
      <c r="A41" s="61">
        <v>60506</v>
      </c>
      <c r="B41" s="123" t="s">
        <v>280</v>
      </c>
      <c r="C41" s="117"/>
      <c r="D41" s="124"/>
      <c r="E41" s="117" t="s">
        <v>76</v>
      </c>
      <c r="F41" s="60" t="s">
        <v>164</v>
      </c>
      <c r="G41" s="117" t="s">
        <v>57</v>
      </c>
      <c r="H41" s="102">
        <v>521900</v>
      </c>
      <c r="I41" s="102"/>
      <c r="J41" s="102">
        <f t="shared" si="4"/>
        <v>568300</v>
      </c>
      <c r="K41" s="102">
        <f t="shared" si="5"/>
        <v>0</v>
      </c>
      <c r="L41" s="102">
        <f t="shared" si="2"/>
        <v>588500</v>
      </c>
      <c r="M41" s="102">
        <f t="shared" si="3"/>
        <v>0</v>
      </c>
      <c r="N41" s="102">
        <f>ROUND(L41/128.4*133.4,-2)</f>
        <v>611400</v>
      </c>
      <c r="O41" s="102">
        <f>ROUND(M41/124.4*129.6,-2)</f>
        <v>0</v>
      </c>
      <c r="P41" s="63" t="s">
        <v>374</v>
      </c>
      <c r="Q41" s="100" t="s">
        <v>335</v>
      </c>
      <c r="R41" s="85"/>
      <c r="S41" s="79"/>
      <c r="T41" s="79"/>
      <c r="U41" s="79"/>
      <c r="V41" s="79"/>
      <c r="W41" s="79"/>
      <c r="X41" s="79"/>
      <c r="Y41" s="98"/>
      <c r="Z41" s="63"/>
      <c r="AA41" s="137">
        <v>44363</v>
      </c>
      <c r="AB41" s="110"/>
      <c r="AC41" s="110"/>
      <c r="AD41" s="110"/>
      <c r="AE41" s="110"/>
    </row>
    <row r="42" spans="1:31" s="45" customFormat="1" x14ac:dyDescent="0.2">
      <c r="A42" s="61">
        <v>60506</v>
      </c>
      <c r="B42" s="123" t="s">
        <v>365</v>
      </c>
      <c r="C42" s="117"/>
      <c r="D42" s="124"/>
      <c r="E42" s="117" t="s">
        <v>76</v>
      </c>
      <c r="F42" s="60" t="s">
        <v>164</v>
      </c>
      <c r="G42" s="117" t="s">
        <v>57</v>
      </c>
      <c r="H42" s="102"/>
      <c r="I42" s="102">
        <v>68300</v>
      </c>
      <c r="J42" s="102">
        <f t="shared" si="4"/>
        <v>0</v>
      </c>
      <c r="K42" s="102">
        <f t="shared" si="5"/>
        <v>76500</v>
      </c>
      <c r="L42" s="102">
        <f t="shared" si="2"/>
        <v>0</v>
      </c>
      <c r="M42" s="102">
        <f t="shared" si="3"/>
        <v>77800</v>
      </c>
      <c r="N42" s="102">
        <f>ROUND(L42/128.4*133.4,-2)</f>
        <v>0</v>
      </c>
      <c r="O42" s="102">
        <f>ROUND(M42/124.4*129.6,-2)</f>
        <v>81100</v>
      </c>
      <c r="P42" s="69"/>
      <c r="Q42" s="63" t="s">
        <v>334</v>
      </c>
      <c r="R42" s="76"/>
      <c r="S42" s="82"/>
      <c r="T42" s="82"/>
      <c r="U42" s="82"/>
      <c r="V42" s="82"/>
      <c r="W42" s="82"/>
      <c r="X42" s="82"/>
      <c r="Y42" s="97"/>
      <c r="Z42" s="69"/>
      <c r="AA42" s="139">
        <v>44363</v>
      </c>
      <c r="AB42" s="113"/>
      <c r="AC42" s="113"/>
    </row>
    <row r="43" spans="1:31" s="44" customFormat="1" ht="25.5" x14ac:dyDescent="0.2">
      <c r="A43" s="61">
        <v>60505</v>
      </c>
      <c r="B43" s="123" t="s">
        <v>20</v>
      </c>
      <c r="C43" s="117"/>
      <c r="D43" s="124"/>
      <c r="E43" s="117" t="s">
        <v>74</v>
      </c>
      <c r="F43" s="60" t="s">
        <v>164</v>
      </c>
      <c r="G43" s="117" t="s">
        <v>57</v>
      </c>
      <c r="H43" s="102">
        <v>6387800</v>
      </c>
      <c r="I43" s="102">
        <v>315100</v>
      </c>
      <c r="J43" s="102">
        <f t="shared" si="4"/>
        <v>6955400</v>
      </c>
      <c r="K43" s="102">
        <f t="shared" si="5"/>
        <v>353000</v>
      </c>
      <c r="L43" s="102">
        <f t="shared" si="2"/>
        <v>7202200</v>
      </c>
      <c r="M43" s="102">
        <f t="shared" si="3"/>
        <v>359100</v>
      </c>
      <c r="N43" s="102">
        <f>ROUND(L43/128.4*133.4,-2)</f>
        <v>7482700</v>
      </c>
      <c r="O43" s="102">
        <f>ROUND(M43/124.4*129.6,-2)</f>
        <v>374100</v>
      </c>
      <c r="P43" s="63" t="s">
        <v>374</v>
      </c>
      <c r="Q43" s="63" t="s">
        <v>381</v>
      </c>
      <c r="R43" s="76"/>
      <c r="S43" s="82"/>
      <c r="T43" s="82"/>
      <c r="U43" s="92" t="s">
        <v>268</v>
      </c>
      <c r="V43" s="92" t="s">
        <v>268</v>
      </c>
      <c r="W43" s="82"/>
      <c r="X43" s="82"/>
      <c r="Y43" s="95" t="s">
        <v>268</v>
      </c>
      <c r="Z43" s="69" t="s">
        <v>304</v>
      </c>
      <c r="AA43" s="139">
        <v>43119</v>
      </c>
      <c r="AB43" s="111"/>
      <c r="AC43" s="111"/>
      <c r="AD43" s="45"/>
      <c r="AE43" s="45"/>
    </row>
    <row r="44" spans="1:31" s="44" customFormat="1" x14ac:dyDescent="0.2">
      <c r="A44" s="174"/>
      <c r="B44" s="71" t="s">
        <v>423</v>
      </c>
      <c r="C44" s="71"/>
      <c r="D44" s="175"/>
      <c r="E44" s="118" t="s">
        <v>421</v>
      </c>
      <c r="F44" s="109" t="s">
        <v>422</v>
      </c>
      <c r="G44" s="118" t="s">
        <v>57</v>
      </c>
      <c r="H44" s="176">
        <v>66750</v>
      </c>
      <c r="I44" s="69"/>
      <c r="J44" s="102">
        <f>H44</f>
        <v>66750</v>
      </c>
      <c r="K44" s="102">
        <f t="shared" si="5"/>
        <v>0</v>
      </c>
      <c r="L44" s="102">
        <f t="shared" si="2"/>
        <v>69100</v>
      </c>
      <c r="M44" s="102">
        <f t="shared" si="3"/>
        <v>0</v>
      </c>
      <c r="N44" s="102">
        <f>ROUND(L44/128.4*133.4,-2)</f>
        <v>71800</v>
      </c>
      <c r="O44" s="102">
        <f>ROUND(M44/124.4*129.6,-2)</f>
        <v>0</v>
      </c>
      <c r="P44" s="69"/>
      <c r="Q44" s="69" t="s">
        <v>424</v>
      </c>
      <c r="R44" s="69"/>
      <c r="S44" s="69"/>
      <c r="T44" s="69"/>
      <c r="U44" s="69"/>
      <c r="V44" s="69"/>
      <c r="W44" s="69"/>
      <c r="X44" s="69"/>
      <c r="Y44" s="178"/>
      <c r="Z44" s="69"/>
      <c r="AA44" s="69"/>
      <c r="AB44" s="70"/>
      <c r="AC44" s="70"/>
      <c r="AD44" s="70"/>
      <c r="AE44" s="70"/>
    </row>
    <row r="45" spans="1:31" s="44" customFormat="1" x14ac:dyDescent="0.2">
      <c r="A45" s="61">
        <v>60506</v>
      </c>
      <c r="B45" s="127" t="s">
        <v>375</v>
      </c>
      <c r="C45" s="114"/>
      <c r="D45" s="124"/>
      <c r="E45" s="114" t="s">
        <v>397</v>
      </c>
      <c r="F45" s="60" t="s">
        <v>363</v>
      </c>
      <c r="G45" s="117" t="s">
        <v>57</v>
      </c>
      <c r="H45" s="102">
        <v>130500</v>
      </c>
      <c r="I45" s="102"/>
      <c r="J45" s="102">
        <f t="shared" ref="J45:J71" si="6">ROUND(H45/159.8*174,-2)</f>
        <v>142100</v>
      </c>
      <c r="K45" s="102">
        <f t="shared" si="5"/>
        <v>0</v>
      </c>
      <c r="L45" s="102">
        <f t="shared" si="2"/>
        <v>147100</v>
      </c>
      <c r="M45" s="102">
        <f t="shared" si="3"/>
        <v>0</v>
      </c>
      <c r="N45" s="102">
        <f>ROUND(L45/128.4*133.4,-2)</f>
        <v>152800</v>
      </c>
      <c r="O45" s="102">
        <f>ROUND(M45/124.4*129.6,-2)</f>
        <v>0</v>
      </c>
      <c r="P45" s="63" t="s">
        <v>374</v>
      </c>
      <c r="Q45" s="79"/>
      <c r="R45" s="85"/>
      <c r="S45" s="79"/>
      <c r="T45" s="79"/>
      <c r="U45" s="79"/>
      <c r="V45" s="81"/>
      <c r="W45" s="79"/>
      <c r="X45" s="79"/>
      <c r="Y45" s="96"/>
      <c r="Z45" s="63"/>
      <c r="AA45" s="137">
        <v>43117</v>
      </c>
    </row>
    <row r="46" spans="1:31" s="44" customFormat="1" x14ac:dyDescent="0.2">
      <c r="A46" s="61">
        <v>60005</v>
      </c>
      <c r="B46" s="123" t="s">
        <v>47</v>
      </c>
      <c r="C46" s="117"/>
      <c r="D46" s="124"/>
      <c r="E46" s="117" t="s">
        <v>99</v>
      </c>
      <c r="F46" s="60" t="s">
        <v>166</v>
      </c>
      <c r="G46" s="117" t="s">
        <v>57</v>
      </c>
      <c r="H46" s="102">
        <v>1450800</v>
      </c>
      <c r="I46" s="102"/>
      <c r="J46" s="102">
        <f t="shared" si="6"/>
        <v>1579700</v>
      </c>
      <c r="K46" s="102">
        <f t="shared" si="5"/>
        <v>0</v>
      </c>
      <c r="L46" s="102">
        <f t="shared" si="2"/>
        <v>1635800</v>
      </c>
      <c r="M46" s="102">
        <f t="shared" si="3"/>
        <v>0</v>
      </c>
      <c r="N46" s="102">
        <f>ROUND(L46/128.4*133.4,-2)</f>
        <v>1699500</v>
      </c>
      <c r="O46" s="102">
        <f>ROUND(M46/124.4*129.6,-2)</f>
        <v>0</v>
      </c>
      <c r="P46" s="63" t="s">
        <v>374</v>
      </c>
      <c r="Q46" s="79"/>
      <c r="R46" s="76"/>
      <c r="S46" s="79"/>
      <c r="T46" s="79"/>
      <c r="U46" s="79"/>
      <c r="V46" s="79"/>
      <c r="W46" s="79" t="s">
        <v>271</v>
      </c>
      <c r="X46" s="79"/>
      <c r="Y46" s="98"/>
      <c r="Z46" s="63"/>
      <c r="AA46" s="137">
        <v>43276</v>
      </c>
    </row>
    <row r="47" spans="1:31" s="44" customFormat="1" ht="25.5" x14ac:dyDescent="0.2">
      <c r="A47" s="61">
        <v>60730</v>
      </c>
      <c r="B47" s="123" t="s">
        <v>41</v>
      </c>
      <c r="C47" s="117">
        <v>0</v>
      </c>
      <c r="D47" s="124"/>
      <c r="E47" s="117" t="s">
        <v>94</v>
      </c>
      <c r="F47" s="60" t="s">
        <v>167</v>
      </c>
      <c r="G47" s="117" t="s">
        <v>57</v>
      </c>
      <c r="H47" s="102">
        <v>198300</v>
      </c>
      <c r="I47" s="102">
        <v>10500</v>
      </c>
      <c r="J47" s="102">
        <f t="shared" si="6"/>
        <v>215900</v>
      </c>
      <c r="K47" s="102">
        <f t="shared" si="5"/>
        <v>11800</v>
      </c>
      <c r="L47" s="102">
        <f t="shared" si="2"/>
        <v>223600</v>
      </c>
      <c r="M47" s="102">
        <f t="shared" si="3"/>
        <v>12000</v>
      </c>
      <c r="N47" s="102">
        <f>ROUND(L47/128.4*133.4,-2)</f>
        <v>232300</v>
      </c>
      <c r="O47" s="102">
        <f>ROUND(M47/124.4*129.6,-2)</f>
        <v>12500</v>
      </c>
      <c r="P47" s="63" t="s">
        <v>374</v>
      </c>
      <c r="Q47" s="63" t="s">
        <v>334</v>
      </c>
      <c r="R47" s="78"/>
      <c r="S47" s="82"/>
      <c r="T47" s="82"/>
      <c r="U47" s="82"/>
      <c r="V47" s="82"/>
      <c r="W47" s="82"/>
      <c r="X47" s="82"/>
      <c r="Y47" s="97"/>
      <c r="Z47" s="69"/>
      <c r="AA47" s="139">
        <v>43115</v>
      </c>
      <c r="AB47" s="113"/>
      <c r="AC47" s="113"/>
      <c r="AD47" s="45"/>
      <c r="AE47" s="45"/>
    </row>
    <row r="48" spans="1:31" s="45" customFormat="1" x14ac:dyDescent="0.2">
      <c r="A48" s="61">
        <v>60608</v>
      </c>
      <c r="B48" s="123" t="s">
        <v>398</v>
      </c>
      <c r="C48" s="117"/>
      <c r="D48" s="124"/>
      <c r="E48" s="117" t="s">
        <v>399</v>
      </c>
      <c r="F48" s="60" t="s">
        <v>192</v>
      </c>
      <c r="G48" s="117" t="s">
        <v>62</v>
      </c>
      <c r="H48" s="102">
        <v>2807700</v>
      </c>
      <c r="I48" s="102"/>
      <c r="J48" s="102">
        <f t="shared" si="6"/>
        <v>3057200</v>
      </c>
      <c r="K48" s="102">
        <f t="shared" si="5"/>
        <v>0</v>
      </c>
      <c r="L48" s="102">
        <f t="shared" si="2"/>
        <v>3165700</v>
      </c>
      <c r="M48" s="102">
        <f t="shared" si="3"/>
        <v>0</v>
      </c>
      <c r="N48" s="102">
        <f>ROUND(L48/128.4*133.4,-2)</f>
        <v>3289000</v>
      </c>
      <c r="O48" s="102">
        <f>ROUND(M48/124.4*129.6,-2)</f>
        <v>0</v>
      </c>
      <c r="P48" s="63" t="s">
        <v>382</v>
      </c>
      <c r="Q48" s="79"/>
      <c r="R48" s="78"/>
      <c r="S48" s="79"/>
      <c r="T48" s="92" t="s">
        <v>268</v>
      </c>
      <c r="U48" s="92" t="s">
        <v>268</v>
      </c>
      <c r="V48" s="92" t="s">
        <v>268</v>
      </c>
      <c r="W48" s="79"/>
      <c r="X48" s="92" t="s">
        <v>268</v>
      </c>
      <c r="Y48" s="98"/>
      <c r="Z48" s="63"/>
      <c r="AA48" s="137">
        <v>43122</v>
      </c>
      <c r="AB48" s="44"/>
      <c r="AC48" s="44"/>
      <c r="AD48" s="44"/>
      <c r="AE48" s="44"/>
    </row>
    <row r="49" spans="1:31" s="44" customFormat="1" x14ac:dyDescent="0.2">
      <c r="A49" s="61">
        <v>60506</v>
      </c>
      <c r="B49" s="123" t="s">
        <v>25</v>
      </c>
      <c r="C49" s="117" t="s">
        <v>10</v>
      </c>
      <c r="D49" s="124"/>
      <c r="E49" s="117" t="s">
        <v>80</v>
      </c>
      <c r="F49" s="60" t="s">
        <v>168</v>
      </c>
      <c r="G49" s="117" t="s">
        <v>62</v>
      </c>
      <c r="H49" s="102">
        <v>480100</v>
      </c>
      <c r="I49" s="102"/>
      <c r="J49" s="102">
        <f t="shared" si="6"/>
        <v>522800</v>
      </c>
      <c r="K49" s="102">
        <f t="shared" si="5"/>
        <v>0</v>
      </c>
      <c r="L49" s="102">
        <f t="shared" si="2"/>
        <v>541400</v>
      </c>
      <c r="M49" s="102">
        <f t="shared" si="3"/>
        <v>0</v>
      </c>
      <c r="N49" s="102">
        <f>ROUND(L49/128.4*133.4,-2)</f>
        <v>562500</v>
      </c>
      <c r="O49" s="102">
        <f>ROUND(M49/124.4*129.6,-2)</f>
        <v>0</v>
      </c>
      <c r="P49" s="63" t="s">
        <v>382</v>
      </c>
      <c r="Q49" s="79"/>
      <c r="R49" s="78"/>
      <c r="S49" s="79"/>
      <c r="T49" s="79"/>
      <c r="U49" s="79"/>
      <c r="V49" s="79"/>
      <c r="W49" s="79"/>
      <c r="X49" s="79"/>
      <c r="Y49" s="98"/>
      <c r="Z49" s="63" t="s">
        <v>298</v>
      </c>
      <c r="AA49" s="137">
        <v>42865</v>
      </c>
    </row>
    <row r="50" spans="1:31" s="44" customFormat="1" x14ac:dyDescent="0.2">
      <c r="A50" s="61">
        <v>60506</v>
      </c>
      <c r="B50" s="127" t="s">
        <v>23</v>
      </c>
      <c r="C50" s="117" t="s">
        <v>10</v>
      </c>
      <c r="D50" s="124"/>
      <c r="E50" s="117" t="s">
        <v>78</v>
      </c>
      <c r="F50" s="60" t="s">
        <v>168</v>
      </c>
      <c r="G50" s="117" t="s">
        <v>62</v>
      </c>
      <c r="H50" s="102">
        <v>1576100</v>
      </c>
      <c r="I50" s="102"/>
      <c r="J50" s="102">
        <f t="shared" si="6"/>
        <v>1716200</v>
      </c>
      <c r="K50" s="102">
        <f t="shared" si="5"/>
        <v>0</v>
      </c>
      <c r="L50" s="102">
        <f t="shared" si="2"/>
        <v>1777100</v>
      </c>
      <c r="M50" s="102">
        <f t="shared" si="3"/>
        <v>0</v>
      </c>
      <c r="N50" s="102">
        <f>ROUND(L50/128.4*133.4,-2)</f>
        <v>1846300</v>
      </c>
      <c r="O50" s="102">
        <f>ROUND(M50/124.4*129.6,-2)</f>
        <v>0</v>
      </c>
      <c r="P50" s="63" t="s">
        <v>382</v>
      </c>
      <c r="Q50" s="79"/>
      <c r="R50" s="78"/>
      <c r="S50" s="79"/>
      <c r="T50" s="79"/>
      <c r="U50" s="79"/>
      <c r="V50" s="79"/>
      <c r="W50" s="79" t="s">
        <v>271</v>
      </c>
      <c r="X50" s="79"/>
      <c r="Y50" s="98"/>
      <c r="Z50" s="63" t="s">
        <v>314</v>
      </c>
      <c r="AA50" s="137">
        <v>43390</v>
      </c>
    </row>
    <row r="51" spans="1:31" s="44" customFormat="1" x14ac:dyDescent="0.2">
      <c r="A51" s="61">
        <v>60517</v>
      </c>
      <c r="B51" s="123" t="s">
        <v>127</v>
      </c>
      <c r="C51" s="117"/>
      <c r="D51" s="124"/>
      <c r="E51" s="114" t="s">
        <v>400</v>
      </c>
      <c r="F51" s="60"/>
      <c r="G51" s="117" t="s">
        <v>58</v>
      </c>
      <c r="H51" s="102">
        <v>180500</v>
      </c>
      <c r="I51" s="102"/>
      <c r="J51" s="102">
        <f t="shared" si="6"/>
        <v>196500</v>
      </c>
      <c r="K51" s="102">
        <f t="shared" si="5"/>
        <v>0</v>
      </c>
      <c r="L51" s="102">
        <f t="shared" si="2"/>
        <v>203500</v>
      </c>
      <c r="M51" s="102">
        <f t="shared" si="3"/>
        <v>0</v>
      </c>
      <c r="N51" s="102">
        <f>ROUND(L51/128.4*133.4,-2)</f>
        <v>211400</v>
      </c>
      <c r="O51" s="102">
        <f>ROUND(M51/124.4*129.6,-2)</f>
        <v>0</v>
      </c>
      <c r="P51" s="63" t="s">
        <v>347</v>
      </c>
      <c r="Q51" s="79"/>
      <c r="R51" s="78"/>
      <c r="S51" s="79"/>
      <c r="T51" s="79"/>
      <c r="U51" s="79"/>
      <c r="V51" s="79"/>
      <c r="W51" s="79"/>
      <c r="X51" s="79"/>
      <c r="Y51" s="98"/>
      <c r="Z51" s="63" t="s">
        <v>315</v>
      </c>
      <c r="AA51" s="137">
        <v>44355</v>
      </c>
    </row>
    <row r="52" spans="1:31" s="44" customFormat="1" x14ac:dyDescent="0.2">
      <c r="A52" s="61">
        <v>60612</v>
      </c>
      <c r="B52" s="123" t="s">
        <v>39</v>
      </c>
      <c r="C52" s="117" t="s">
        <v>18</v>
      </c>
      <c r="D52" s="124"/>
      <c r="E52" s="117" t="s">
        <v>93</v>
      </c>
      <c r="F52" s="60" t="s">
        <v>169</v>
      </c>
      <c r="G52" s="117" t="s">
        <v>58</v>
      </c>
      <c r="H52" s="102">
        <v>1021300</v>
      </c>
      <c r="I52" s="102"/>
      <c r="J52" s="102">
        <f t="shared" si="6"/>
        <v>1112100</v>
      </c>
      <c r="K52" s="102">
        <f t="shared" si="5"/>
        <v>0</v>
      </c>
      <c r="L52" s="102">
        <f t="shared" si="2"/>
        <v>1151600</v>
      </c>
      <c r="M52" s="102">
        <f t="shared" si="3"/>
        <v>0</v>
      </c>
      <c r="N52" s="102">
        <f>ROUND(L52/128.4*133.4,-2)</f>
        <v>1196400</v>
      </c>
      <c r="O52" s="102">
        <f>ROUND(M52/124.4*129.6,-2)</f>
        <v>0</v>
      </c>
      <c r="P52" s="63" t="s">
        <v>347</v>
      </c>
      <c r="Q52" s="79"/>
      <c r="R52" s="78"/>
      <c r="S52" s="79"/>
      <c r="T52" s="79"/>
      <c r="U52" s="92" t="s">
        <v>268</v>
      </c>
      <c r="V52" s="79"/>
      <c r="W52" s="79" t="s">
        <v>271</v>
      </c>
      <c r="X52" s="79"/>
      <c r="Y52" s="98"/>
      <c r="Z52" s="63"/>
      <c r="AA52" s="137">
        <v>43887</v>
      </c>
    </row>
    <row r="53" spans="1:31" s="44" customFormat="1" ht="25.5" x14ac:dyDescent="0.2">
      <c r="A53" s="61">
        <v>60005</v>
      </c>
      <c r="B53" s="123" t="s">
        <v>260</v>
      </c>
      <c r="C53" s="117"/>
      <c r="D53" s="124"/>
      <c r="E53" s="117" t="s">
        <v>283</v>
      </c>
      <c r="F53" s="60"/>
      <c r="G53" s="117" t="s">
        <v>58</v>
      </c>
      <c r="H53" s="102">
        <v>309500</v>
      </c>
      <c r="I53" s="102"/>
      <c r="J53" s="102">
        <f t="shared" si="6"/>
        <v>337000</v>
      </c>
      <c r="K53" s="102">
        <f t="shared" si="5"/>
        <v>0</v>
      </c>
      <c r="L53" s="102">
        <f t="shared" si="2"/>
        <v>349000</v>
      </c>
      <c r="M53" s="102">
        <f t="shared" si="3"/>
        <v>0</v>
      </c>
      <c r="N53" s="102">
        <f>ROUND(L53/128.4*133.4,-2)</f>
        <v>362600</v>
      </c>
      <c r="O53" s="102">
        <f>ROUND(M53/124.4*129.6,-2)</f>
        <v>0</v>
      </c>
      <c r="P53" s="63" t="s">
        <v>352</v>
      </c>
      <c r="Q53" s="79"/>
      <c r="R53" s="85"/>
      <c r="S53" s="79"/>
      <c r="T53" s="79"/>
      <c r="U53" s="79"/>
      <c r="V53" s="81"/>
      <c r="W53" s="79"/>
      <c r="X53" s="79"/>
      <c r="Y53" s="96"/>
      <c r="Z53" s="63"/>
      <c r="AA53" s="137" t="s">
        <v>391</v>
      </c>
    </row>
    <row r="54" spans="1:31" s="59" customFormat="1" x14ac:dyDescent="0.2">
      <c r="A54" s="61">
        <v>60506</v>
      </c>
      <c r="B54" s="123" t="s">
        <v>22</v>
      </c>
      <c r="C54" s="117">
        <v>0</v>
      </c>
      <c r="D54" s="124"/>
      <c r="E54" s="117" t="s">
        <v>77</v>
      </c>
      <c r="F54" s="60" t="s">
        <v>170</v>
      </c>
      <c r="G54" s="117" t="s">
        <v>58</v>
      </c>
      <c r="H54" s="102">
        <v>3146500</v>
      </c>
      <c r="I54" s="102">
        <v>241600</v>
      </c>
      <c r="J54" s="102">
        <f t="shared" si="6"/>
        <v>3426100</v>
      </c>
      <c r="K54" s="102">
        <f t="shared" si="5"/>
        <v>270600</v>
      </c>
      <c r="L54" s="102">
        <f t="shared" si="2"/>
        <v>3547700</v>
      </c>
      <c r="M54" s="102">
        <f t="shared" si="3"/>
        <v>275200</v>
      </c>
      <c r="N54" s="102">
        <f>ROUND(L54/128.4*133.4,-2)</f>
        <v>3685900</v>
      </c>
      <c r="O54" s="102">
        <f>ROUND(M54/124.4*129.6,-2)</f>
        <v>286700</v>
      </c>
      <c r="P54" s="63" t="s">
        <v>347</v>
      </c>
      <c r="Q54" s="63" t="s">
        <v>338</v>
      </c>
      <c r="R54" s="78"/>
      <c r="S54" s="79"/>
      <c r="T54" s="79"/>
      <c r="U54" s="79"/>
      <c r="V54" s="79"/>
      <c r="W54" s="79"/>
      <c r="X54" s="79"/>
      <c r="Y54" s="98"/>
      <c r="Z54" s="63"/>
      <c r="AA54" s="137">
        <v>43367</v>
      </c>
      <c r="AB54" s="44"/>
      <c r="AC54" s="44"/>
      <c r="AD54" s="44"/>
      <c r="AE54" s="44"/>
    </row>
    <row r="55" spans="1:31" s="44" customFormat="1" x14ac:dyDescent="0.2">
      <c r="A55" s="155" t="s">
        <v>357</v>
      </c>
      <c r="B55" s="128" t="s">
        <v>355</v>
      </c>
      <c r="C55" s="128"/>
      <c r="D55" s="156"/>
      <c r="E55" s="64" t="s">
        <v>356</v>
      </c>
      <c r="F55" s="157" t="s">
        <v>175</v>
      </c>
      <c r="G55" s="64" t="s">
        <v>58</v>
      </c>
      <c r="H55" s="102">
        <v>464200</v>
      </c>
      <c r="I55" s="102"/>
      <c r="J55" s="102">
        <f t="shared" si="6"/>
        <v>505400</v>
      </c>
      <c r="K55" s="102">
        <f t="shared" si="5"/>
        <v>0</v>
      </c>
      <c r="L55" s="102">
        <f t="shared" si="2"/>
        <v>523300</v>
      </c>
      <c r="M55" s="102">
        <f t="shared" si="3"/>
        <v>0</v>
      </c>
      <c r="N55" s="102">
        <f>ROUND(L55/128.4*133.4,-2)</f>
        <v>543700</v>
      </c>
      <c r="O55" s="102">
        <f>ROUND(M55/124.4*129.6,-2)</f>
        <v>0</v>
      </c>
      <c r="P55" s="63" t="s">
        <v>347</v>
      </c>
      <c r="Q55" s="63"/>
      <c r="R55" s="78"/>
      <c r="S55" s="153"/>
      <c r="T55" s="153"/>
      <c r="U55" s="153"/>
      <c r="V55" s="153"/>
      <c r="W55" s="153"/>
      <c r="X55" s="153"/>
      <c r="Y55" s="154"/>
      <c r="Z55" s="88"/>
      <c r="AA55" s="88"/>
      <c r="AB55" s="112"/>
      <c r="AC55" s="112"/>
      <c r="AD55" s="112"/>
      <c r="AE55" s="112"/>
    </row>
    <row r="56" spans="1:31" s="44" customFormat="1" x14ac:dyDescent="0.2">
      <c r="A56" s="61">
        <v>60802</v>
      </c>
      <c r="B56" s="123" t="s">
        <v>349</v>
      </c>
      <c r="C56" s="117" t="s">
        <v>10</v>
      </c>
      <c r="D56" s="124"/>
      <c r="E56" s="117" t="s">
        <v>204</v>
      </c>
      <c r="F56" s="60" t="s">
        <v>171</v>
      </c>
      <c r="G56" s="117" t="s">
        <v>58</v>
      </c>
      <c r="H56" s="102">
        <v>221800</v>
      </c>
      <c r="I56" s="102"/>
      <c r="J56" s="102">
        <f t="shared" si="6"/>
        <v>241500</v>
      </c>
      <c r="K56" s="102">
        <f t="shared" si="5"/>
        <v>0</v>
      </c>
      <c r="L56" s="102">
        <f t="shared" si="2"/>
        <v>250100</v>
      </c>
      <c r="M56" s="102">
        <f t="shared" si="3"/>
        <v>0</v>
      </c>
      <c r="N56" s="102">
        <f>ROUND(L56/128.4*133.4,-2)</f>
        <v>259800</v>
      </c>
      <c r="O56" s="102">
        <f>ROUND(M56/124.4*129.6,-2)</f>
        <v>0</v>
      </c>
      <c r="P56" s="63" t="s">
        <v>347</v>
      </c>
      <c r="Q56" s="79"/>
      <c r="R56" s="78"/>
      <c r="S56" s="79"/>
      <c r="T56" s="79"/>
      <c r="U56" s="79"/>
      <c r="V56" s="79"/>
      <c r="W56" s="79"/>
      <c r="X56" s="79"/>
      <c r="Y56" s="98"/>
      <c r="Z56" s="63"/>
      <c r="AA56" s="141" t="s">
        <v>390</v>
      </c>
    </row>
    <row r="57" spans="1:31" s="44" customFormat="1" x14ac:dyDescent="0.2">
      <c r="A57" s="61">
        <v>60802</v>
      </c>
      <c r="B57" s="123" t="s">
        <v>205</v>
      </c>
      <c r="C57" s="117" t="s">
        <v>10</v>
      </c>
      <c r="D57" s="124"/>
      <c r="E57" s="117" t="s">
        <v>202</v>
      </c>
      <c r="F57" s="60" t="s">
        <v>171</v>
      </c>
      <c r="G57" s="117" t="s">
        <v>58</v>
      </c>
      <c r="H57" s="102">
        <v>175400</v>
      </c>
      <c r="I57" s="102"/>
      <c r="J57" s="102">
        <f t="shared" si="6"/>
        <v>191000</v>
      </c>
      <c r="K57" s="102">
        <f t="shared" si="5"/>
        <v>0</v>
      </c>
      <c r="L57" s="102">
        <f t="shared" si="2"/>
        <v>197800</v>
      </c>
      <c r="M57" s="102">
        <f t="shared" si="3"/>
        <v>0</v>
      </c>
      <c r="N57" s="102">
        <f>ROUND(L57/128.4*133.4,-2)</f>
        <v>205500</v>
      </c>
      <c r="O57" s="102">
        <f>ROUND(M57/124.4*129.6,-2)</f>
        <v>0</v>
      </c>
      <c r="P57" s="63" t="s">
        <v>347</v>
      </c>
      <c r="Q57" s="79"/>
      <c r="R57" s="87"/>
      <c r="S57" s="79"/>
      <c r="T57" s="79"/>
      <c r="U57" s="79"/>
      <c r="V57" s="79"/>
      <c r="W57" s="79"/>
      <c r="X57" s="79"/>
      <c r="Y57" s="98"/>
      <c r="Z57" s="63"/>
      <c r="AA57" s="141" t="s">
        <v>390</v>
      </c>
    </row>
    <row r="58" spans="1:31" s="44" customFormat="1" x14ac:dyDescent="0.2">
      <c r="A58" s="61">
        <v>60802</v>
      </c>
      <c r="B58" s="123" t="s">
        <v>205</v>
      </c>
      <c r="C58" s="117" t="s">
        <v>10</v>
      </c>
      <c r="D58" s="124"/>
      <c r="E58" s="117" t="s">
        <v>203</v>
      </c>
      <c r="F58" s="60" t="s">
        <v>171</v>
      </c>
      <c r="G58" s="117" t="s">
        <v>58</v>
      </c>
      <c r="H58" s="102">
        <v>165100</v>
      </c>
      <c r="I58" s="102"/>
      <c r="J58" s="102">
        <f t="shared" si="6"/>
        <v>179800</v>
      </c>
      <c r="K58" s="102">
        <f t="shared" si="5"/>
        <v>0</v>
      </c>
      <c r="L58" s="102">
        <f t="shared" si="2"/>
        <v>186200</v>
      </c>
      <c r="M58" s="102">
        <f t="shared" si="3"/>
        <v>0</v>
      </c>
      <c r="N58" s="102">
        <f>ROUND(L58/128.4*133.4,-2)</f>
        <v>193500</v>
      </c>
      <c r="O58" s="102">
        <f>ROUND(M58/124.4*129.6,-2)</f>
        <v>0</v>
      </c>
      <c r="P58" s="63" t="s">
        <v>347</v>
      </c>
      <c r="Q58" s="79"/>
      <c r="R58" s="78"/>
      <c r="S58" s="79"/>
      <c r="T58" s="79"/>
      <c r="U58" s="79"/>
      <c r="V58" s="79"/>
      <c r="W58" s="79"/>
      <c r="X58" s="79"/>
      <c r="Y58" s="98"/>
      <c r="Z58" s="63"/>
      <c r="AA58" s="141" t="s">
        <v>390</v>
      </c>
    </row>
    <row r="59" spans="1:31" s="44" customFormat="1" x14ac:dyDescent="0.2">
      <c r="A59" s="61">
        <v>60730</v>
      </c>
      <c r="B59" s="123" t="s">
        <v>44</v>
      </c>
      <c r="C59" s="117">
        <v>0</v>
      </c>
      <c r="D59" s="124"/>
      <c r="E59" s="117" t="s">
        <v>96</v>
      </c>
      <c r="F59" s="60" t="s">
        <v>171</v>
      </c>
      <c r="G59" s="117" t="s">
        <v>58</v>
      </c>
      <c r="H59" s="102">
        <v>30900</v>
      </c>
      <c r="I59" s="102"/>
      <c r="J59" s="102">
        <f t="shared" si="6"/>
        <v>33600</v>
      </c>
      <c r="K59" s="102">
        <f t="shared" si="5"/>
        <v>0</v>
      </c>
      <c r="L59" s="102">
        <f t="shared" si="2"/>
        <v>34800</v>
      </c>
      <c r="M59" s="102">
        <f t="shared" si="3"/>
        <v>0</v>
      </c>
      <c r="N59" s="102">
        <f>ROUND(L59/128.4*133.4,-2)</f>
        <v>36200</v>
      </c>
      <c r="O59" s="102">
        <f>ROUND(M59/124.4*129.6,-2)</f>
        <v>0</v>
      </c>
      <c r="P59" s="63" t="s">
        <v>347</v>
      </c>
      <c r="Q59" s="79"/>
      <c r="R59" s="76"/>
      <c r="S59" s="79"/>
      <c r="T59" s="79"/>
      <c r="U59" s="79"/>
      <c r="V59" s="79"/>
      <c r="W59" s="79"/>
      <c r="X59" s="79"/>
      <c r="Y59" s="98"/>
      <c r="Z59" s="63"/>
      <c r="AA59" s="137" t="s">
        <v>391</v>
      </c>
    </row>
    <row r="60" spans="1:31" s="44" customFormat="1" x14ac:dyDescent="0.2">
      <c r="A60" s="61">
        <v>60506</v>
      </c>
      <c r="B60" s="123" t="s">
        <v>281</v>
      </c>
      <c r="C60" s="117"/>
      <c r="D60" s="124"/>
      <c r="E60" s="117" t="s">
        <v>401</v>
      </c>
      <c r="F60" s="60" t="s">
        <v>198</v>
      </c>
      <c r="G60" s="117" t="s">
        <v>58</v>
      </c>
      <c r="H60" s="102">
        <v>1413300</v>
      </c>
      <c r="I60" s="102"/>
      <c r="J60" s="102">
        <f t="shared" si="6"/>
        <v>1538900</v>
      </c>
      <c r="K60" s="102">
        <f t="shared" si="5"/>
        <v>0</v>
      </c>
      <c r="L60" s="102">
        <f t="shared" si="2"/>
        <v>1593500</v>
      </c>
      <c r="M60" s="102">
        <f t="shared" si="3"/>
        <v>0</v>
      </c>
      <c r="N60" s="102">
        <f>ROUND(L60/128.4*133.4,-2)</f>
        <v>1655600</v>
      </c>
      <c r="O60" s="102">
        <f>ROUND(M60/124.4*129.6,-2)</f>
        <v>0</v>
      </c>
      <c r="P60" s="63" t="s">
        <v>347</v>
      </c>
      <c r="Q60" s="79"/>
      <c r="R60" s="78" t="s">
        <v>43</v>
      </c>
      <c r="S60" s="79"/>
      <c r="T60" s="79"/>
      <c r="U60" s="79"/>
      <c r="V60" s="79"/>
      <c r="W60" s="79"/>
      <c r="X60" s="79"/>
      <c r="Y60" s="98"/>
      <c r="Z60" s="63" t="s">
        <v>298</v>
      </c>
      <c r="AA60" s="137" t="s">
        <v>395</v>
      </c>
    </row>
    <row r="61" spans="1:31" s="44" customFormat="1" x14ac:dyDescent="0.2">
      <c r="A61" s="61">
        <v>60721</v>
      </c>
      <c r="B61" s="123" t="s">
        <v>224</v>
      </c>
      <c r="C61" s="117"/>
      <c r="D61" s="124"/>
      <c r="E61" s="117" t="s">
        <v>384</v>
      </c>
      <c r="F61" s="60"/>
      <c r="G61" s="117" t="s">
        <v>58</v>
      </c>
      <c r="H61" s="102">
        <v>206300</v>
      </c>
      <c r="I61" s="102"/>
      <c r="J61" s="102">
        <f t="shared" si="6"/>
        <v>224600</v>
      </c>
      <c r="K61" s="102">
        <f t="shared" si="5"/>
        <v>0</v>
      </c>
      <c r="L61" s="102">
        <f t="shared" si="2"/>
        <v>232600</v>
      </c>
      <c r="M61" s="102">
        <f t="shared" si="3"/>
        <v>0</v>
      </c>
      <c r="N61" s="102">
        <f>ROUND(L61/128.4*133.4,-2)</f>
        <v>241700</v>
      </c>
      <c r="O61" s="102">
        <f>ROUND(M61/124.4*129.6,-2)</f>
        <v>0</v>
      </c>
      <c r="P61" s="63" t="s">
        <v>386</v>
      </c>
      <c r="Q61" s="79"/>
      <c r="R61" s="78"/>
      <c r="S61" s="79"/>
      <c r="T61" s="79"/>
      <c r="U61" s="79"/>
      <c r="V61" s="79"/>
      <c r="W61" s="79"/>
      <c r="X61" s="79"/>
      <c r="Y61" s="98"/>
      <c r="Z61" s="63"/>
      <c r="AA61" s="137">
        <v>43276</v>
      </c>
    </row>
    <row r="62" spans="1:31" s="44" customFormat="1" x14ac:dyDescent="0.2">
      <c r="A62" s="61">
        <v>60730</v>
      </c>
      <c r="B62" s="123" t="s">
        <v>40</v>
      </c>
      <c r="C62" s="117"/>
      <c r="D62" s="124"/>
      <c r="E62" s="117" t="s">
        <v>259</v>
      </c>
      <c r="F62" s="60" t="s">
        <v>172</v>
      </c>
      <c r="G62" s="117" t="s">
        <v>58</v>
      </c>
      <c r="H62" s="102">
        <v>211500</v>
      </c>
      <c r="I62" s="102"/>
      <c r="J62" s="102">
        <f t="shared" si="6"/>
        <v>230300</v>
      </c>
      <c r="K62" s="102">
        <f t="shared" si="5"/>
        <v>0</v>
      </c>
      <c r="L62" s="102">
        <f t="shared" si="2"/>
        <v>238500</v>
      </c>
      <c r="M62" s="102">
        <f t="shared" si="3"/>
        <v>0</v>
      </c>
      <c r="N62" s="102">
        <f>ROUND(L62/128.4*133.4,-2)</f>
        <v>247800</v>
      </c>
      <c r="O62" s="102">
        <f>ROUND(M62/124.4*129.6,-2)</f>
        <v>0</v>
      </c>
      <c r="P62" s="63" t="s">
        <v>347</v>
      </c>
      <c r="Q62" s="79"/>
      <c r="R62" s="78"/>
      <c r="S62" s="79"/>
      <c r="T62" s="79"/>
      <c r="U62" s="79"/>
      <c r="V62" s="79"/>
      <c r="W62" s="79"/>
      <c r="X62" s="79"/>
      <c r="Y62" s="98"/>
      <c r="Z62" s="63"/>
      <c r="AA62" s="137">
        <v>43115</v>
      </c>
    </row>
    <row r="63" spans="1:31" s="44" customFormat="1" x14ac:dyDescent="0.2">
      <c r="A63" s="61">
        <v>60730</v>
      </c>
      <c r="B63" s="123" t="s">
        <v>258</v>
      </c>
      <c r="C63" s="117"/>
      <c r="D63" s="124"/>
      <c r="E63" s="117" t="s">
        <v>259</v>
      </c>
      <c r="F63" s="60" t="s">
        <v>172</v>
      </c>
      <c r="G63" s="117" t="s">
        <v>58</v>
      </c>
      <c r="H63" s="102">
        <v>56700</v>
      </c>
      <c r="I63" s="102"/>
      <c r="J63" s="102">
        <f t="shared" si="6"/>
        <v>61700</v>
      </c>
      <c r="K63" s="102">
        <f t="shared" si="5"/>
        <v>0</v>
      </c>
      <c r="L63" s="102">
        <f t="shared" si="2"/>
        <v>63900</v>
      </c>
      <c r="M63" s="102">
        <f t="shared" si="3"/>
        <v>0</v>
      </c>
      <c r="N63" s="102">
        <f>ROUND(L63/128.4*133.4,-2)</f>
        <v>66400</v>
      </c>
      <c r="O63" s="102">
        <f>ROUND(M63/124.4*129.6,-2)</f>
        <v>0</v>
      </c>
      <c r="P63" s="63" t="s">
        <v>347</v>
      </c>
      <c r="Q63" s="79"/>
      <c r="R63" s="85"/>
      <c r="S63" s="79"/>
      <c r="T63" s="79"/>
      <c r="U63" s="79"/>
      <c r="V63" s="81"/>
      <c r="W63" s="79"/>
      <c r="X63" s="79"/>
      <c r="Y63" s="96"/>
      <c r="Z63" s="63"/>
      <c r="AA63" s="137" t="s">
        <v>391</v>
      </c>
    </row>
    <row r="64" spans="1:31" s="44" customFormat="1" x14ac:dyDescent="0.2">
      <c r="A64" s="61">
        <v>60721</v>
      </c>
      <c r="B64" s="123" t="s">
        <v>224</v>
      </c>
      <c r="C64" s="60">
        <v>0</v>
      </c>
      <c r="D64" s="62"/>
      <c r="E64" s="117" t="s">
        <v>385</v>
      </c>
      <c r="F64" s="60"/>
      <c r="G64" s="117" t="s">
        <v>58</v>
      </c>
      <c r="H64" s="102">
        <v>216600</v>
      </c>
      <c r="I64" s="102"/>
      <c r="J64" s="102">
        <f t="shared" si="6"/>
        <v>235800</v>
      </c>
      <c r="K64" s="102">
        <f t="shared" si="5"/>
        <v>0</v>
      </c>
      <c r="L64" s="102">
        <f t="shared" si="2"/>
        <v>244200</v>
      </c>
      <c r="M64" s="102">
        <f t="shared" si="3"/>
        <v>0</v>
      </c>
      <c r="N64" s="102">
        <f>ROUND(L64/128.4*133.4,-2)</f>
        <v>253700</v>
      </c>
      <c r="O64" s="102">
        <f>ROUND(M64/124.4*129.6,-2)</f>
        <v>0</v>
      </c>
      <c r="P64" s="63" t="s">
        <v>386</v>
      </c>
      <c r="Q64" s="63"/>
      <c r="R64" s="78"/>
      <c r="S64" s="79"/>
      <c r="T64" s="79"/>
      <c r="U64" s="79"/>
      <c r="V64" s="79"/>
      <c r="W64" s="79"/>
      <c r="X64" s="79"/>
      <c r="Y64" s="98"/>
      <c r="Z64" s="63"/>
      <c r="AA64" s="137">
        <v>43276</v>
      </c>
    </row>
    <row r="65" spans="1:31" s="44" customFormat="1" x14ac:dyDescent="0.2">
      <c r="A65" s="61">
        <v>60506</v>
      </c>
      <c r="B65" s="127" t="s">
        <v>128</v>
      </c>
      <c r="C65" s="117">
        <v>0</v>
      </c>
      <c r="D65" s="124"/>
      <c r="E65" s="117" t="s">
        <v>75</v>
      </c>
      <c r="F65" s="60" t="s">
        <v>173</v>
      </c>
      <c r="G65" s="117" t="s">
        <v>58</v>
      </c>
      <c r="H65" s="102">
        <v>753100</v>
      </c>
      <c r="I65" s="102"/>
      <c r="J65" s="102">
        <f t="shared" si="6"/>
        <v>820000</v>
      </c>
      <c r="K65" s="102">
        <f t="shared" si="5"/>
        <v>0</v>
      </c>
      <c r="L65" s="102">
        <f t="shared" si="2"/>
        <v>849100</v>
      </c>
      <c r="M65" s="102">
        <f t="shared" si="3"/>
        <v>0</v>
      </c>
      <c r="N65" s="102">
        <f>ROUND(L65/128.4*133.4,-2)</f>
        <v>882200</v>
      </c>
      <c r="O65" s="102">
        <f>ROUND(M65/124.4*129.6,-2)</f>
        <v>0</v>
      </c>
      <c r="P65" s="63" t="s">
        <v>347</v>
      </c>
      <c r="Q65" s="79"/>
      <c r="R65" s="78"/>
      <c r="S65" s="79"/>
      <c r="T65" s="79"/>
      <c r="U65" s="79"/>
      <c r="V65" s="79"/>
      <c r="W65" s="79" t="s">
        <v>271</v>
      </c>
      <c r="X65" s="79"/>
      <c r="Y65" s="98"/>
      <c r="Z65" s="63"/>
      <c r="AA65" s="137">
        <v>43413</v>
      </c>
    </row>
    <row r="66" spans="1:31" s="44" customFormat="1" ht="25.5" x14ac:dyDescent="0.2">
      <c r="A66" s="143">
        <v>60103</v>
      </c>
      <c r="B66" s="123" t="s">
        <v>402</v>
      </c>
      <c r="C66" s="117">
        <v>0</v>
      </c>
      <c r="D66" s="124"/>
      <c r="E66" s="117" t="s">
        <v>277</v>
      </c>
      <c r="F66" s="93" t="s">
        <v>174</v>
      </c>
      <c r="G66" s="158" t="s">
        <v>58</v>
      </c>
      <c r="H66" s="102">
        <v>1279200</v>
      </c>
      <c r="I66" s="102">
        <v>189100</v>
      </c>
      <c r="J66" s="102">
        <f t="shared" si="6"/>
        <v>1392900</v>
      </c>
      <c r="K66" s="102">
        <f t="shared" ref="K66:K84" si="7">ROUND(I66/131.5*147.3,-2)</f>
        <v>211800</v>
      </c>
      <c r="L66" s="102">
        <f t="shared" si="2"/>
        <v>1442300</v>
      </c>
      <c r="M66" s="102">
        <f t="shared" si="3"/>
        <v>215400</v>
      </c>
      <c r="N66" s="102">
        <f>ROUND(L66/128.4*133.4,-2)</f>
        <v>1498500</v>
      </c>
      <c r="O66" s="102">
        <f>ROUND(M66/124.4*129.6,-2)</f>
        <v>224400</v>
      </c>
      <c r="P66" s="63" t="s">
        <v>347</v>
      </c>
      <c r="Q66" s="63" t="s">
        <v>338</v>
      </c>
      <c r="R66" s="85"/>
      <c r="S66" s="79"/>
      <c r="T66" s="79"/>
      <c r="U66" s="79"/>
      <c r="V66" s="92" t="s">
        <v>268</v>
      </c>
      <c r="W66" s="79"/>
      <c r="X66" s="79"/>
      <c r="Y66" s="98"/>
      <c r="Z66" s="63"/>
      <c r="AA66" s="137">
        <v>44117</v>
      </c>
    </row>
    <row r="67" spans="1:31" s="59" customFormat="1" x14ac:dyDescent="0.2">
      <c r="A67" s="61">
        <v>60606</v>
      </c>
      <c r="B67" s="123" t="s">
        <v>32</v>
      </c>
      <c r="C67" s="117">
        <v>0</v>
      </c>
      <c r="D67" s="124"/>
      <c r="E67" s="117" t="s">
        <v>350</v>
      </c>
      <c r="F67" s="60" t="s">
        <v>175</v>
      </c>
      <c r="G67" s="117" t="s">
        <v>58</v>
      </c>
      <c r="H67" s="102">
        <v>412700</v>
      </c>
      <c r="I67" s="102"/>
      <c r="J67" s="102">
        <f t="shared" si="6"/>
        <v>449400</v>
      </c>
      <c r="K67" s="102">
        <f t="shared" si="7"/>
        <v>0</v>
      </c>
      <c r="L67" s="102">
        <f t="shared" ref="L67:L84" si="8">ROUND(J67/124*128.4,-2)</f>
        <v>465300</v>
      </c>
      <c r="M67" s="102">
        <f t="shared" ref="M67:M84" si="9">ROUND(K67/122.3*124.4,-2)</f>
        <v>0</v>
      </c>
      <c r="N67" s="102">
        <f>ROUND(L67/128.4*133.4,-2)</f>
        <v>483400</v>
      </c>
      <c r="O67" s="102">
        <f>ROUND(M67/124.4*129.6,-2)</f>
        <v>0</v>
      </c>
      <c r="P67" s="63" t="s">
        <v>347</v>
      </c>
      <c r="Q67" s="79"/>
      <c r="R67" s="78"/>
      <c r="S67" s="79"/>
      <c r="T67" s="79"/>
      <c r="U67" s="79"/>
      <c r="V67" s="79"/>
      <c r="W67" s="79"/>
      <c r="X67" s="79"/>
      <c r="Y67" s="98"/>
      <c r="Z67" s="63"/>
      <c r="AA67" s="137">
        <v>39377</v>
      </c>
      <c r="AB67" s="44"/>
      <c r="AC67" s="44"/>
      <c r="AD67" s="44"/>
      <c r="AE67" s="44"/>
    </row>
    <row r="68" spans="1:31" s="44" customFormat="1" x14ac:dyDescent="0.2">
      <c r="A68" s="61">
        <v>60505</v>
      </c>
      <c r="B68" s="177" t="s">
        <v>33</v>
      </c>
      <c r="C68" s="131">
        <v>0</v>
      </c>
      <c r="D68" s="159"/>
      <c r="E68" s="131" t="s">
        <v>88</v>
      </c>
      <c r="F68" s="149" t="s">
        <v>176</v>
      </c>
      <c r="G68" s="117" t="s">
        <v>58</v>
      </c>
      <c r="H68" s="102">
        <v>1753800</v>
      </c>
      <c r="I68" s="102"/>
      <c r="J68" s="102">
        <f t="shared" si="6"/>
        <v>1909600</v>
      </c>
      <c r="K68" s="102">
        <f t="shared" si="7"/>
        <v>0</v>
      </c>
      <c r="L68" s="102">
        <f t="shared" si="8"/>
        <v>1977400</v>
      </c>
      <c r="M68" s="102">
        <f t="shared" si="9"/>
        <v>0</v>
      </c>
      <c r="N68" s="102">
        <f>ROUND(L68/128.4*133.4,-2)</f>
        <v>2054400</v>
      </c>
      <c r="O68" s="102">
        <f>ROUND(M68/124.4*129.6,-2)</f>
        <v>0</v>
      </c>
      <c r="P68" s="63" t="s">
        <v>347</v>
      </c>
      <c r="Q68" s="79"/>
      <c r="R68" s="78"/>
      <c r="S68" s="79"/>
      <c r="T68" s="79"/>
      <c r="U68" s="92" t="s">
        <v>268</v>
      </c>
      <c r="V68" s="92" t="s">
        <v>268</v>
      </c>
      <c r="W68" s="79"/>
      <c r="X68" s="79"/>
      <c r="Y68" s="98"/>
      <c r="Z68" s="63"/>
      <c r="AA68" s="137">
        <v>43123</v>
      </c>
    </row>
    <row r="69" spans="1:31" s="59" customFormat="1" x14ac:dyDescent="0.2">
      <c r="A69" s="61">
        <v>60004</v>
      </c>
      <c r="B69" s="123" t="s">
        <v>16</v>
      </c>
      <c r="C69" s="117">
        <v>0</v>
      </c>
      <c r="D69" s="124"/>
      <c r="E69" s="117" t="s">
        <v>403</v>
      </c>
      <c r="F69" s="60" t="s">
        <v>177</v>
      </c>
      <c r="G69" s="117" t="s">
        <v>58</v>
      </c>
      <c r="H69" s="102">
        <v>768600</v>
      </c>
      <c r="I69" s="102"/>
      <c r="J69" s="102">
        <f t="shared" si="6"/>
        <v>836900</v>
      </c>
      <c r="K69" s="102">
        <f t="shared" si="7"/>
        <v>0</v>
      </c>
      <c r="L69" s="102">
        <f t="shared" si="8"/>
        <v>866600</v>
      </c>
      <c r="M69" s="102">
        <f t="shared" si="9"/>
        <v>0</v>
      </c>
      <c r="N69" s="102">
        <f>ROUND(L69/128.4*133.4,-2)</f>
        <v>900300</v>
      </c>
      <c r="O69" s="102">
        <f>ROUND(M69/124.4*129.6,-2)</f>
        <v>0</v>
      </c>
      <c r="P69" s="63" t="s">
        <v>352</v>
      </c>
      <c r="Q69" s="79"/>
      <c r="R69" s="78"/>
      <c r="S69" s="79"/>
      <c r="T69" s="79"/>
      <c r="U69" s="79"/>
      <c r="V69" s="79"/>
      <c r="W69" s="79"/>
      <c r="X69" s="79"/>
      <c r="Y69" s="98"/>
      <c r="Z69" s="63" t="s">
        <v>317</v>
      </c>
      <c r="AA69" s="141" t="s">
        <v>390</v>
      </c>
      <c r="AB69" s="44"/>
      <c r="AC69" s="44"/>
      <c r="AD69" s="44"/>
      <c r="AE69" s="44"/>
    </row>
    <row r="70" spans="1:31" s="44" customFormat="1" x14ac:dyDescent="0.2">
      <c r="A70" s="61">
        <v>60057</v>
      </c>
      <c r="B70" s="117" t="s">
        <v>351</v>
      </c>
      <c r="C70" s="117"/>
      <c r="D70" s="124"/>
      <c r="E70" s="117" t="s">
        <v>256</v>
      </c>
      <c r="F70" s="60" t="s">
        <v>177</v>
      </c>
      <c r="G70" s="117" t="s">
        <v>58</v>
      </c>
      <c r="H70" s="102">
        <v>2341800</v>
      </c>
      <c r="I70" s="102"/>
      <c r="J70" s="102">
        <f t="shared" si="6"/>
        <v>2549900</v>
      </c>
      <c r="K70" s="102">
        <f t="shared" si="7"/>
        <v>0</v>
      </c>
      <c r="L70" s="102">
        <f t="shared" si="8"/>
        <v>2640400</v>
      </c>
      <c r="M70" s="102">
        <f t="shared" si="9"/>
        <v>0</v>
      </c>
      <c r="N70" s="102">
        <f>ROUND(L70/128.4*133.4,-2)</f>
        <v>2743200</v>
      </c>
      <c r="O70" s="102">
        <f>ROUND(M70/124.4*129.6,-2)</f>
        <v>0</v>
      </c>
      <c r="P70" s="63" t="s">
        <v>347</v>
      </c>
      <c r="Q70" s="79"/>
      <c r="R70" s="78"/>
      <c r="S70" s="79"/>
      <c r="T70" s="79"/>
      <c r="U70" s="79"/>
      <c r="V70" s="79"/>
      <c r="W70" s="79"/>
      <c r="X70" s="79"/>
      <c r="Y70" s="98"/>
      <c r="Z70" s="63"/>
      <c r="AA70" s="137">
        <v>43129</v>
      </c>
      <c r="AB70" s="59"/>
      <c r="AC70" s="59"/>
      <c r="AD70" s="59"/>
      <c r="AE70" s="59"/>
    </row>
    <row r="71" spans="1:31" s="44" customFormat="1" x14ac:dyDescent="0.2">
      <c r="A71" s="61"/>
      <c r="B71" s="125" t="s">
        <v>326</v>
      </c>
      <c r="C71" s="125"/>
      <c r="D71" s="126"/>
      <c r="E71" s="118" t="s">
        <v>404</v>
      </c>
      <c r="F71" s="109" t="s">
        <v>327</v>
      </c>
      <c r="G71" s="118" t="s">
        <v>58</v>
      </c>
      <c r="H71" s="102">
        <v>237300</v>
      </c>
      <c r="I71" s="102"/>
      <c r="J71" s="102">
        <f t="shared" si="6"/>
        <v>258400</v>
      </c>
      <c r="K71" s="102">
        <f t="shared" si="7"/>
        <v>0</v>
      </c>
      <c r="L71" s="102">
        <f t="shared" si="8"/>
        <v>267600</v>
      </c>
      <c r="M71" s="102">
        <f t="shared" si="9"/>
        <v>0</v>
      </c>
      <c r="N71" s="102">
        <f>ROUND(L71/128.4*133.4,-2)</f>
        <v>278000</v>
      </c>
      <c r="O71" s="102">
        <f>ROUND(M71/124.4*129.6,-2)</f>
        <v>0</v>
      </c>
      <c r="P71" s="63" t="s">
        <v>347</v>
      </c>
      <c r="Q71" s="79"/>
      <c r="R71" s="76"/>
      <c r="S71" s="82"/>
      <c r="T71" s="82"/>
      <c r="U71" s="82"/>
      <c r="V71" s="82"/>
      <c r="W71" s="82"/>
      <c r="X71" s="82"/>
      <c r="Y71" s="97"/>
      <c r="Z71" s="86"/>
      <c r="AA71" s="144"/>
      <c r="AB71" s="59"/>
      <c r="AC71" s="59"/>
      <c r="AD71" s="59"/>
      <c r="AE71" s="59"/>
    </row>
    <row r="72" spans="1:31" s="44" customFormat="1" x14ac:dyDescent="0.2">
      <c r="A72" s="174"/>
      <c r="B72" s="180" t="s">
        <v>472</v>
      </c>
      <c r="C72" s="71"/>
      <c r="D72" s="175"/>
      <c r="E72" s="118" t="s">
        <v>414</v>
      </c>
      <c r="F72" s="109" t="s">
        <v>415</v>
      </c>
      <c r="G72" s="118" t="s">
        <v>58</v>
      </c>
      <c r="H72" s="176">
        <v>2231000</v>
      </c>
      <c r="I72" s="69"/>
      <c r="J72" s="179">
        <f>ROUND(H72/161.5*174,-2)+80658</f>
        <v>2484358</v>
      </c>
      <c r="K72" s="102">
        <f t="shared" si="7"/>
        <v>0</v>
      </c>
      <c r="L72" s="179">
        <v>4350000</v>
      </c>
      <c r="M72" s="102">
        <f t="shared" si="9"/>
        <v>0</v>
      </c>
      <c r="N72" s="102">
        <f>ROUND(L72/128.4*133.4,-2)</f>
        <v>4519400</v>
      </c>
      <c r="O72" s="102">
        <f>ROUND(M72/124.4*129.6,-2)</f>
        <v>0</v>
      </c>
      <c r="P72" s="69" t="s">
        <v>470</v>
      </c>
      <c r="Q72" s="69"/>
      <c r="R72" s="76" t="s">
        <v>471</v>
      </c>
      <c r="S72" s="69"/>
      <c r="T72" s="69"/>
      <c r="U72" s="69"/>
      <c r="V72" s="69"/>
      <c r="W72" s="69"/>
      <c r="X72" s="69"/>
      <c r="Y72" s="178"/>
      <c r="Z72" s="69"/>
      <c r="AA72" s="69"/>
      <c r="AB72" s="70"/>
      <c r="AC72" s="70"/>
      <c r="AD72" s="70"/>
      <c r="AE72" s="70"/>
    </row>
    <row r="73" spans="1:31" s="44" customFormat="1" ht="25.5" x14ac:dyDescent="0.2">
      <c r="A73" s="61">
        <v>60808</v>
      </c>
      <c r="B73" s="123" t="s">
        <v>353</v>
      </c>
      <c r="C73" s="117">
        <v>0</v>
      </c>
      <c r="D73" s="124"/>
      <c r="E73" s="117" t="s">
        <v>354</v>
      </c>
      <c r="F73" s="60" t="s">
        <v>178</v>
      </c>
      <c r="G73" s="117" t="s">
        <v>58</v>
      </c>
      <c r="H73" s="102">
        <v>557100</v>
      </c>
      <c r="I73" s="102"/>
      <c r="J73" s="102">
        <f t="shared" ref="J73:J84" si="10">ROUND(H73/159.8*174,-2)</f>
        <v>606600</v>
      </c>
      <c r="K73" s="102">
        <f t="shared" si="7"/>
        <v>0</v>
      </c>
      <c r="L73" s="102">
        <f t="shared" si="8"/>
        <v>628100</v>
      </c>
      <c r="M73" s="102">
        <f t="shared" si="9"/>
        <v>0</v>
      </c>
      <c r="N73" s="102">
        <f>ROUND(L73/128.4*133.4,-2)</f>
        <v>652600</v>
      </c>
      <c r="O73" s="102">
        <f>ROUND(M73/124.4*129.6,-2)</f>
        <v>0</v>
      </c>
      <c r="P73" s="63" t="s">
        <v>347</v>
      </c>
      <c r="Q73" s="79"/>
      <c r="R73" s="85"/>
      <c r="S73" s="79"/>
      <c r="T73" s="79"/>
      <c r="U73" s="79"/>
      <c r="V73" s="79"/>
      <c r="W73" s="79"/>
      <c r="X73" s="79"/>
      <c r="Y73" s="98"/>
      <c r="Z73" s="63" t="s">
        <v>303</v>
      </c>
      <c r="AA73" s="142">
        <v>2018</v>
      </c>
    </row>
    <row r="74" spans="1:31" s="45" customFormat="1" x14ac:dyDescent="0.2">
      <c r="A74" s="61">
        <v>60505</v>
      </c>
      <c r="B74" s="123" t="s">
        <v>129</v>
      </c>
      <c r="C74" s="117"/>
      <c r="D74" s="124"/>
      <c r="E74" s="117" t="s">
        <v>130</v>
      </c>
      <c r="F74" s="60" t="s">
        <v>180</v>
      </c>
      <c r="G74" s="117" t="s">
        <v>58</v>
      </c>
      <c r="H74" s="102">
        <v>1083200</v>
      </c>
      <c r="I74" s="102">
        <v>78800</v>
      </c>
      <c r="J74" s="102">
        <f t="shared" si="10"/>
        <v>1179500</v>
      </c>
      <c r="K74" s="102">
        <f t="shared" si="7"/>
        <v>88300</v>
      </c>
      <c r="L74" s="102">
        <f t="shared" si="8"/>
        <v>1221400</v>
      </c>
      <c r="M74" s="102">
        <f t="shared" si="9"/>
        <v>89800</v>
      </c>
      <c r="N74" s="102">
        <f>ROUND(L74/128.4*133.4,-2)</f>
        <v>1269000</v>
      </c>
      <c r="O74" s="102">
        <f>ROUND(M74/124.4*129.6,-2)</f>
        <v>93600</v>
      </c>
      <c r="P74" s="63" t="s">
        <v>347</v>
      </c>
      <c r="Q74" s="63" t="s">
        <v>338</v>
      </c>
      <c r="R74" s="78"/>
      <c r="S74" s="79"/>
      <c r="T74" s="79"/>
      <c r="U74" s="79"/>
      <c r="V74" s="92" t="s">
        <v>268</v>
      </c>
      <c r="W74" s="79"/>
      <c r="X74" s="79"/>
      <c r="Y74" s="98"/>
      <c r="Z74" s="63"/>
      <c r="AA74" s="137">
        <v>43795</v>
      </c>
      <c r="AB74" s="44"/>
      <c r="AC74" s="44"/>
      <c r="AD74" s="44"/>
      <c r="AE74" s="44"/>
    </row>
    <row r="75" spans="1:31" s="44" customFormat="1" x14ac:dyDescent="0.2">
      <c r="A75" s="61">
        <v>60721</v>
      </c>
      <c r="B75" s="123" t="s">
        <v>224</v>
      </c>
      <c r="C75" s="117"/>
      <c r="D75" s="124"/>
      <c r="E75" s="117" t="s">
        <v>225</v>
      </c>
      <c r="F75" s="60" t="s">
        <v>180</v>
      </c>
      <c r="G75" s="117" t="s">
        <v>58</v>
      </c>
      <c r="H75" s="102">
        <v>376500</v>
      </c>
      <c r="I75" s="102"/>
      <c r="J75" s="102">
        <f t="shared" si="10"/>
        <v>410000</v>
      </c>
      <c r="K75" s="102">
        <f t="shared" si="7"/>
        <v>0</v>
      </c>
      <c r="L75" s="102">
        <f t="shared" si="8"/>
        <v>424500</v>
      </c>
      <c r="M75" s="102">
        <f t="shared" si="9"/>
        <v>0</v>
      </c>
      <c r="N75" s="102">
        <f>ROUND(L75/128.4*133.4,-2)</f>
        <v>441000</v>
      </c>
      <c r="O75" s="102">
        <f>ROUND(M75/124.4*129.6,-2)</f>
        <v>0</v>
      </c>
      <c r="P75" s="63" t="s">
        <v>347</v>
      </c>
      <c r="Q75" s="79"/>
      <c r="R75" s="78"/>
      <c r="S75" s="79"/>
      <c r="T75" s="79"/>
      <c r="U75" s="79"/>
      <c r="V75" s="79"/>
      <c r="W75" s="79"/>
      <c r="X75" s="79"/>
      <c r="Y75" s="98"/>
      <c r="Z75" s="63"/>
      <c r="AA75" s="137">
        <v>43066</v>
      </c>
    </row>
    <row r="76" spans="1:31" s="75" customFormat="1" ht="38.25" x14ac:dyDescent="0.2">
      <c r="A76" s="61">
        <v>60608</v>
      </c>
      <c r="B76" s="123" t="s">
        <v>38</v>
      </c>
      <c r="C76" s="117">
        <v>0</v>
      </c>
      <c r="D76" s="124"/>
      <c r="E76" s="117" t="s">
        <v>92</v>
      </c>
      <c r="F76" s="60" t="s">
        <v>181</v>
      </c>
      <c r="G76" s="117" t="s">
        <v>58</v>
      </c>
      <c r="H76" s="102">
        <v>2898900</v>
      </c>
      <c r="I76" s="102"/>
      <c r="J76" s="102">
        <f t="shared" si="10"/>
        <v>3156500</v>
      </c>
      <c r="K76" s="102">
        <f t="shared" si="7"/>
        <v>0</v>
      </c>
      <c r="L76" s="102">
        <f t="shared" si="8"/>
        <v>3268500</v>
      </c>
      <c r="M76" s="102">
        <f t="shared" si="9"/>
        <v>0</v>
      </c>
      <c r="N76" s="102">
        <f>ROUND(L76/128.4*133.4,-2)</f>
        <v>3395800</v>
      </c>
      <c r="O76" s="102">
        <f>ROUND(M76/124.4*129.6,-2)</f>
        <v>0</v>
      </c>
      <c r="P76" s="63" t="s">
        <v>347</v>
      </c>
      <c r="Q76" s="79"/>
      <c r="R76" s="78"/>
      <c r="S76" s="79"/>
      <c r="T76" s="79"/>
      <c r="U76" s="92" t="s">
        <v>268</v>
      </c>
      <c r="V76" s="92" t="s">
        <v>268</v>
      </c>
      <c r="W76" s="79" t="s">
        <v>271</v>
      </c>
      <c r="X76" s="79"/>
      <c r="Y76" s="98"/>
      <c r="Z76" s="63"/>
      <c r="AA76" s="137">
        <v>43118</v>
      </c>
      <c r="AB76" s="44"/>
      <c r="AC76" s="44"/>
      <c r="AD76" s="44"/>
      <c r="AE76" s="44"/>
    </row>
    <row r="77" spans="1:31" s="134" customFormat="1" x14ac:dyDescent="0.2">
      <c r="A77" s="61">
        <v>60005</v>
      </c>
      <c r="B77" s="123" t="s">
        <v>29</v>
      </c>
      <c r="C77" s="117">
        <v>0</v>
      </c>
      <c r="D77" s="124"/>
      <c r="E77" s="117" t="s">
        <v>85</v>
      </c>
      <c r="F77" s="60" t="s">
        <v>182</v>
      </c>
      <c r="G77" s="117" t="s">
        <v>58</v>
      </c>
      <c r="H77" s="102">
        <v>1145100</v>
      </c>
      <c r="I77" s="102"/>
      <c r="J77" s="102">
        <f t="shared" si="10"/>
        <v>1246900</v>
      </c>
      <c r="K77" s="102">
        <f t="shared" si="7"/>
        <v>0</v>
      </c>
      <c r="L77" s="102">
        <f t="shared" si="8"/>
        <v>1291100</v>
      </c>
      <c r="M77" s="102">
        <f t="shared" si="9"/>
        <v>0</v>
      </c>
      <c r="N77" s="102">
        <f>ROUND(L77/128.4*133.4,-2)</f>
        <v>1341400</v>
      </c>
      <c r="O77" s="102">
        <f>ROUND(M77/124.4*129.6,-2)</f>
        <v>0</v>
      </c>
      <c r="P77" s="63" t="s">
        <v>347</v>
      </c>
      <c r="Q77" s="79"/>
      <c r="R77" s="78"/>
      <c r="S77" s="79"/>
      <c r="T77" s="79"/>
      <c r="U77" s="79"/>
      <c r="V77" s="92" t="s">
        <v>268</v>
      </c>
      <c r="W77" s="79" t="s">
        <v>271</v>
      </c>
      <c r="X77" s="79"/>
      <c r="Y77" s="98"/>
      <c r="Z77" s="150"/>
      <c r="AA77" s="137">
        <v>43115</v>
      </c>
      <c r="AB77" s="44"/>
      <c r="AC77" s="44"/>
      <c r="AD77" s="44"/>
      <c r="AE77" s="44"/>
    </row>
    <row r="78" spans="1:31" s="136" customFormat="1" ht="25.5" x14ac:dyDescent="0.2">
      <c r="A78" s="61">
        <v>60505</v>
      </c>
      <c r="B78" s="123" t="s">
        <v>276</v>
      </c>
      <c r="C78" s="117" t="s">
        <v>18</v>
      </c>
      <c r="D78" s="124"/>
      <c r="E78" s="117" t="s">
        <v>405</v>
      </c>
      <c r="F78" s="60" t="s">
        <v>348</v>
      </c>
      <c r="G78" s="117" t="s">
        <v>58</v>
      </c>
      <c r="H78" s="102">
        <v>6839700</v>
      </c>
      <c r="I78" s="102">
        <v>210100</v>
      </c>
      <c r="J78" s="102">
        <f t="shared" si="10"/>
        <v>7447500</v>
      </c>
      <c r="K78" s="102">
        <f t="shared" si="7"/>
        <v>235300</v>
      </c>
      <c r="L78" s="102">
        <f t="shared" si="8"/>
        <v>7711800</v>
      </c>
      <c r="M78" s="102">
        <f t="shared" si="9"/>
        <v>239300</v>
      </c>
      <c r="N78" s="102">
        <f>ROUND(L78/128.4*133.4,-2)</f>
        <v>8012100</v>
      </c>
      <c r="O78" s="102">
        <f>ROUND(M78/124.4*129.6,-2)</f>
        <v>249300</v>
      </c>
      <c r="P78" s="63" t="s">
        <v>347</v>
      </c>
      <c r="Q78" s="63" t="s">
        <v>338</v>
      </c>
      <c r="R78" s="85"/>
      <c r="S78" s="82"/>
      <c r="T78" s="82"/>
      <c r="U78" s="92" t="s">
        <v>268</v>
      </c>
      <c r="V78" s="92" t="s">
        <v>268</v>
      </c>
      <c r="W78" s="82"/>
      <c r="X78" s="82"/>
      <c r="Y78" s="92" t="s">
        <v>268</v>
      </c>
      <c r="Z78" s="69" t="s">
        <v>316</v>
      </c>
      <c r="AA78" s="139">
        <v>43034</v>
      </c>
      <c r="AB78" s="45"/>
      <c r="AC78" s="45"/>
      <c r="AD78" s="45"/>
      <c r="AE78" s="45"/>
    </row>
    <row r="79" spans="1:31" s="135" customFormat="1" x14ac:dyDescent="0.2">
      <c r="A79" s="61"/>
      <c r="B79" s="123" t="s">
        <v>199</v>
      </c>
      <c r="C79" s="117"/>
      <c r="D79" s="124"/>
      <c r="E79" s="117" t="s">
        <v>201</v>
      </c>
      <c r="F79" s="60"/>
      <c r="G79" s="117" t="s">
        <v>58</v>
      </c>
      <c r="H79" s="102">
        <v>46400</v>
      </c>
      <c r="I79" s="102"/>
      <c r="J79" s="102">
        <f t="shared" si="10"/>
        <v>50500</v>
      </c>
      <c r="K79" s="102">
        <f t="shared" si="7"/>
        <v>0</v>
      </c>
      <c r="L79" s="102">
        <f t="shared" si="8"/>
        <v>52300</v>
      </c>
      <c r="M79" s="102">
        <f t="shared" si="9"/>
        <v>0</v>
      </c>
      <c r="N79" s="102">
        <f>ROUND(L79/128.4*133.4,-2)</f>
        <v>54300</v>
      </c>
      <c r="O79" s="102">
        <f>ROUND(M79/124.4*129.6,-2)</f>
        <v>0</v>
      </c>
      <c r="P79" s="63" t="s">
        <v>347</v>
      </c>
      <c r="Q79" s="79"/>
      <c r="R79" s="78"/>
      <c r="S79" s="79"/>
      <c r="T79" s="79"/>
      <c r="U79" s="79"/>
      <c r="V79" s="79"/>
      <c r="W79" s="79"/>
      <c r="X79" s="79"/>
      <c r="Y79" s="79"/>
      <c r="Z79" s="63" t="s">
        <v>301</v>
      </c>
      <c r="AA79" s="137" t="s">
        <v>391</v>
      </c>
      <c r="AB79" s="44"/>
      <c r="AC79" s="44"/>
      <c r="AD79" s="44"/>
      <c r="AE79" s="44"/>
    </row>
    <row r="80" spans="1:31" s="70" customFormat="1" x14ac:dyDescent="0.2">
      <c r="A80" s="133">
        <v>60057</v>
      </c>
      <c r="B80" s="117" t="s">
        <v>13</v>
      </c>
      <c r="C80" s="60" t="s">
        <v>10</v>
      </c>
      <c r="D80" s="62"/>
      <c r="E80" s="117" t="s">
        <v>69</v>
      </c>
      <c r="F80" s="60"/>
      <c r="G80" s="123" t="s">
        <v>60</v>
      </c>
      <c r="H80" s="102"/>
      <c r="I80" s="102">
        <v>1028500</v>
      </c>
      <c r="J80" s="102">
        <f t="shared" si="10"/>
        <v>0</v>
      </c>
      <c r="K80" s="102">
        <f t="shared" si="7"/>
        <v>1152100</v>
      </c>
      <c r="L80" s="102">
        <f t="shared" si="8"/>
        <v>0</v>
      </c>
      <c r="M80" s="102">
        <f t="shared" si="9"/>
        <v>1171900</v>
      </c>
      <c r="N80" s="102">
        <f>ROUND(L80/128.4*133.4,-2)</f>
        <v>0</v>
      </c>
      <c r="O80" s="102">
        <f>ROUND(M80/124.4*129.6,-2)</f>
        <v>1220900</v>
      </c>
      <c r="P80" s="63"/>
      <c r="Q80" s="63"/>
      <c r="R80" s="78"/>
      <c r="S80" s="79"/>
      <c r="T80" s="79"/>
      <c r="U80" s="79"/>
      <c r="V80" s="79"/>
      <c r="W80" s="79"/>
      <c r="X80" s="79"/>
      <c r="Y80" s="79"/>
      <c r="Z80" s="63"/>
      <c r="AA80" s="137"/>
      <c r="AB80" s="44"/>
      <c r="AC80" s="44"/>
      <c r="AD80" s="44"/>
      <c r="AE80" s="44"/>
    </row>
    <row r="81" spans="1:31" s="70" customFormat="1" x14ac:dyDescent="0.2">
      <c r="A81" s="133"/>
      <c r="B81" s="117" t="s">
        <v>469</v>
      </c>
      <c r="C81" s="60"/>
      <c r="D81" s="62"/>
      <c r="E81" s="117" t="s">
        <v>69</v>
      </c>
      <c r="F81" s="60"/>
      <c r="G81" s="123" t="s">
        <v>60</v>
      </c>
      <c r="H81" s="102"/>
      <c r="I81" s="102"/>
      <c r="J81" s="102"/>
      <c r="K81" s="179">
        <f>'Lingewaard ICT'!D31</f>
        <v>931500</v>
      </c>
      <c r="L81" s="102"/>
      <c r="M81" s="102">
        <f t="shared" si="9"/>
        <v>947500</v>
      </c>
      <c r="N81" s="102">
        <f>ROUND(L81/128.4*133.4,-2)</f>
        <v>0</v>
      </c>
      <c r="O81" s="102">
        <f>'Lingewaard ICT'!F31</f>
        <v>970400</v>
      </c>
      <c r="P81" s="63"/>
      <c r="Q81" s="63"/>
      <c r="R81" s="78"/>
      <c r="S81" s="79"/>
      <c r="T81" s="79"/>
      <c r="U81" s="79"/>
      <c r="V81" s="79"/>
      <c r="W81" s="79"/>
      <c r="X81" s="79"/>
      <c r="Y81" s="79"/>
      <c r="Z81" s="63"/>
      <c r="AA81" s="137"/>
      <c r="AB81" s="44"/>
      <c r="AC81" s="44"/>
      <c r="AD81" s="44"/>
      <c r="AE81" s="44"/>
    </row>
    <row r="82" spans="1:31" s="70" customFormat="1" x14ac:dyDescent="0.2">
      <c r="A82" s="133"/>
      <c r="B82" s="117" t="s">
        <v>468</v>
      </c>
      <c r="C82" s="60"/>
      <c r="D82" s="62"/>
      <c r="E82" s="117"/>
      <c r="F82" s="60"/>
      <c r="G82" s="123" t="s">
        <v>60</v>
      </c>
      <c r="H82" s="102"/>
      <c r="I82" s="102"/>
      <c r="J82" s="102"/>
      <c r="K82" s="179">
        <f>'Dataplace ICT'!D18</f>
        <v>769500</v>
      </c>
      <c r="L82" s="102"/>
      <c r="M82" s="102">
        <f t="shared" si="9"/>
        <v>782700</v>
      </c>
      <c r="N82" s="102">
        <f>ROUND(L82/128.4*133.4,-2)</f>
        <v>0</v>
      </c>
      <c r="O82" s="102">
        <f>'Dataplace ICT'!F18</f>
        <v>801800</v>
      </c>
      <c r="P82" s="63"/>
      <c r="Q82" s="63"/>
      <c r="R82" s="78"/>
      <c r="S82" s="79"/>
      <c r="T82" s="79"/>
      <c r="U82" s="79"/>
      <c r="V82" s="79"/>
      <c r="W82" s="79"/>
      <c r="X82" s="79"/>
      <c r="Y82" s="79"/>
      <c r="Z82" s="63"/>
      <c r="AA82" s="137"/>
      <c r="AB82" s="44"/>
      <c r="AC82" s="44"/>
      <c r="AD82" s="44"/>
      <c r="AE82" s="44"/>
    </row>
    <row r="83" spans="1:31" s="70" customFormat="1" x14ac:dyDescent="0.2">
      <c r="A83" s="61">
        <v>60506</v>
      </c>
      <c r="B83" s="123" t="s">
        <v>122</v>
      </c>
      <c r="C83" s="117" t="s">
        <v>7</v>
      </c>
      <c r="D83" s="124"/>
      <c r="E83" s="117" t="s">
        <v>124</v>
      </c>
      <c r="F83" s="60" t="s">
        <v>152</v>
      </c>
      <c r="G83" s="117" t="s">
        <v>63</v>
      </c>
      <c r="H83" s="102">
        <v>3674000</v>
      </c>
      <c r="I83" s="102"/>
      <c r="J83" s="102">
        <f t="shared" si="10"/>
        <v>4000500</v>
      </c>
      <c r="K83" s="102">
        <f t="shared" si="7"/>
        <v>0</v>
      </c>
      <c r="L83" s="102">
        <f t="shared" si="8"/>
        <v>4142500</v>
      </c>
      <c r="M83" s="102">
        <f t="shared" si="9"/>
        <v>0</v>
      </c>
      <c r="N83" s="102">
        <f>ROUND(L83/128.4*133.4,-2)</f>
        <v>4303800</v>
      </c>
      <c r="O83" s="102">
        <f>ROUND(M83/124.4*129.6,-2)</f>
        <v>0</v>
      </c>
      <c r="P83" s="63" t="s">
        <v>330</v>
      </c>
      <c r="Q83" s="79"/>
      <c r="R83" s="78"/>
      <c r="S83" s="79"/>
      <c r="T83" s="79"/>
      <c r="U83" s="79"/>
      <c r="V83" s="92" t="s">
        <v>268</v>
      </c>
      <c r="W83" s="79"/>
      <c r="X83" s="79"/>
      <c r="Y83" s="79"/>
      <c r="Z83" s="63" t="s">
        <v>298</v>
      </c>
      <c r="AA83" s="137">
        <v>43171</v>
      </c>
      <c r="AB83" s="44"/>
      <c r="AC83" s="44"/>
      <c r="AD83" s="44"/>
      <c r="AE83" s="44"/>
    </row>
    <row r="84" spans="1:31" s="70" customFormat="1" x14ac:dyDescent="0.2">
      <c r="A84" s="61">
        <v>60506</v>
      </c>
      <c r="B84" s="123" t="s">
        <v>121</v>
      </c>
      <c r="C84" s="117" t="s">
        <v>7</v>
      </c>
      <c r="D84" s="124"/>
      <c r="E84" s="117" t="s">
        <v>123</v>
      </c>
      <c r="F84" s="60" t="s">
        <v>152</v>
      </c>
      <c r="G84" s="117" t="s">
        <v>63</v>
      </c>
      <c r="H84" s="102">
        <v>2609400</v>
      </c>
      <c r="I84" s="102"/>
      <c r="J84" s="102">
        <f t="shared" si="10"/>
        <v>2841300</v>
      </c>
      <c r="K84" s="102">
        <f t="shared" si="7"/>
        <v>0</v>
      </c>
      <c r="L84" s="102">
        <f t="shared" si="8"/>
        <v>2942100</v>
      </c>
      <c r="M84" s="102">
        <f t="shared" si="9"/>
        <v>0</v>
      </c>
      <c r="N84" s="102">
        <f>ROUND(L84/128.4*133.4,-2)</f>
        <v>3056700</v>
      </c>
      <c r="O84" s="102">
        <f>ROUND(M84/124.4*129.6,-2)</f>
        <v>0</v>
      </c>
      <c r="P84" s="63" t="s">
        <v>330</v>
      </c>
      <c r="Q84" s="79"/>
      <c r="R84" s="85"/>
      <c r="S84" s="79"/>
      <c r="T84" s="79"/>
      <c r="U84" s="79"/>
      <c r="V84" s="92" t="s">
        <v>268</v>
      </c>
      <c r="W84" s="79"/>
      <c r="X84" s="79"/>
      <c r="Y84" s="92" t="s">
        <v>268</v>
      </c>
      <c r="Z84" s="63" t="s">
        <v>298</v>
      </c>
      <c r="AA84" s="137">
        <v>43122</v>
      </c>
      <c r="AB84" s="44"/>
      <c r="AC84" s="44"/>
      <c r="AD84" s="44"/>
      <c r="AE84" s="44"/>
    </row>
    <row r="85" spans="1:31" s="75" customFormat="1" x14ac:dyDescent="0.2">
      <c r="A85" s="203"/>
      <c r="B85" s="83" t="s">
        <v>473</v>
      </c>
      <c r="C85" s="83"/>
      <c r="D85" s="204"/>
      <c r="E85" s="205" t="s">
        <v>474</v>
      </c>
      <c r="F85" s="206" t="s">
        <v>475</v>
      </c>
      <c r="G85" s="206" t="s">
        <v>57</v>
      </c>
      <c r="H85" s="76"/>
      <c r="I85" s="76"/>
      <c r="J85" s="76"/>
      <c r="K85" s="76"/>
      <c r="L85" s="207">
        <v>205000</v>
      </c>
      <c r="M85" s="76"/>
      <c r="N85" s="102">
        <f>ROUND(L85/124.9*133.4,-2)</f>
        <v>219000</v>
      </c>
      <c r="O85" s="76"/>
      <c r="P85" s="76" t="s">
        <v>476</v>
      </c>
      <c r="Q85" s="76"/>
      <c r="R85" s="76"/>
      <c r="S85" s="76"/>
      <c r="T85" s="76"/>
      <c r="U85" s="76"/>
      <c r="V85" s="76"/>
      <c r="W85" s="76"/>
      <c r="X85" s="76"/>
      <c r="Y85" s="76"/>
      <c r="Z85" s="76"/>
      <c r="AA85" s="76"/>
    </row>
    <row r="86" spans="1:31" s="70" customFormat="1" x14ac:dyDescent="0.2">
      <c r="A86" s="214"/>
      <c r="B86" s="215"/>
      <c r="C86" s="145"/>
      <c r="D86" s="216"/>
      <c r="E86" s="145"/>
      <c r="F86" s="217"/>
      <c r="G86" s="145"/>
      <c r="H86" s="213"/>
      <c r="I86" s="213"/>
      <c r="J86" s="213"/>
      <c r="K86" s="213"/>
      <c r="L86" s="213"/>
      <c r="M86" s="213"/>
      <c r="N86" s="213"/>
      <c r="O86" s="213"/>
      <c r="P86" s="110"/>
      <c r="Q86" s="218"/>
      <c r="R86" s="219"/>
      <c r="S86" s="218"/>
      <c r="T86" s="218"/>
      <c r="U86" s="218"/>
      <c r="V86" s="218"/>
      <c r="W86" s="218"/>
      <c r="X86" s="218"/>
      <c r="Y86" s="218"/>
      <c r="Z86" s="110"/>
      <c r="AA86" s="220"/>
      <c r="AB86" s="111"/>
      <c r="AC86" s="111"/>
      <c r="AD86" s="111"/>
      <c r="AE86" s="111"/>
    </row>
    <row r="87" spans="1:31" x14ac:dyDescent="0.2">
      <c r="A87" s="1"/>
      <c r="B87" s="221" t="s">
        <v>48</v>
      </c>
      <c r="C87" s="222"/>
      <c r="D87" s="223"/>
      <c r="E87" s="224"/>
      <c r="F87" s="225"/>
      <c r="G87" s="225"/>
      <c r="H87" s="16">
        <v>131612350</v>
      </c>
      <c r="I87" s="16">
        <v>6655200</v>
      </c>
      <c r="J87" s="16">
        <f>SUM(J3:J84)</f>
        <v>143278208</v>
      </c>
      <c r="K87" s="16">
        <f>SUM(K3:K84)</f>
        <v>9155900</v>
      </c>
      <c r="L87" s="16">
        <f>SUM(L3:L85)</f>
        <v>150345100</v>
      </c>
      <c r="M87" s="16">
        <f t="shared" ref="M87:O87" si="11">SUM(M3:M85)</f>
        <v>9313000</v>
      </c>
      <c r="N87" s="16">
        <f t="shared" si="11"/>
        <v>156206000</v>
      </c>
      <c r="O87" s="16">
        <f t="shared" si="11"/>
        <v>9672300</v>
      </c>
      <c r="S87" s="226"/>
      <c r="T87" s="226"/>
      <c r="U87" s="226"/>
      <c r="V87" s="226"/>
      <c r="W87" s="226"/>
      <c r="X87" s="226"/>
      <c r="Y87" s="226"/>
    </row>
  </sheetData>
  <autoFilter ref="A1:AA87" xr:uid="{43D43988-2591-48FA-871E-2435DC49414B}">
    <filterColumn colId="18" showButton="0"/>
    <filterColumn colId="19" showButton="0"/>
    <filterColumn colId="20" showButton="0"/>
    <filterColumn colId="23" showButton="0"/>
  </autoFilter>
  <sortState xmlns:xlrd2="http://schemas.microsoft.com/office/spreadsheetml/2017/richdata2" ref="A3:AE84">
    <sortCondition ref="G3:G84"/>
    <sortCondition ref="E3:E84"/>
  </sortState>
  <customSheetViews>
    <customSheetView guid="{7F5D1218-4D93-4B14-B25A-0C03ABC4F8A6}" showPageBreaks="1" fitToPage="1" printArea="1" showAutoFilter="1" hiddenColumns="1">
      <selection activeCell="A18" sqref="A18"/>
      <pageMargins left="0.39370078740157483" right="0.39370078740157483" top="1.5748031496062993" bottom="0.98425196850393704" header="0.62992125984251968" footer="0.62992125984251968"/>
      <pageSetup paperSize="8" fitToHeight="4" orientation="portrait" r:id="rId1"/>
      <headerFooter alignWithMargins="0">
        <oddFooter>&amp;L&amp;F &amp;A&amp;C&amp;P&amp;R&amp;D</oddFooter>
      </headerFooter>
      <autoFilter ref="A1:O81" xr:uid="{7DACD2C3-14D7-459C-A3BD-4A5DC32FA1B9}"/>
    </customSheetView>
  </customSheetViews>
  <mergeCells count="2">
    <mergeCell ref="S1:V1"/>
    <mergeCell ref="X1:Y1"/>
  </mergeCells>
  <phoneticPr fontId="4" type="noConversion"/>
  <pageMargins left="0.59055118110236227" right="0.39370078740157483" top="1.5748031496062993" bottom="0.98425196850393704" header="0.62992125984251968" footer="0.70866141732283472"/>
  <pageSetup paperSize="9" fitToHeight="4" orientation="landscape" r:id="rId2"/>
  <headerFooter alignWithMargins="0">
    <oddFooter>&amp;L&amp;F &amp;A&amp;C&amp;P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31"/>
  <sheetViews>
    <sheetView topLeftCell="F1" zoomScaleNormal="100" workbookViewId="0">
      <selection activeCell="AI1" sqref="AI1:AJ1048576"/>
    </sheetView>
  </sheetViews>
  <sheetFormatPr defaultRowHeight="12.75" x14ac:dyDescent="0.2"/>
  <cols>
    <col min="1" max="1" width="13.42578125" style="3" customWidth="1"/>
    <col min="2" max="2" width="38.42578125" style="4" customWidth="1"/>
    <col min="3" max="3" width="6.85546875" style="4" hidden="1" customWidth="1"/>
    <col min="4" max="4" width="6.7109375" style="5" hidden="1" customWidth="1"/>
    <col min="5" max="5" width="22.42578125" style="6" bestFit="1" customWidth="1"/>
    <col min="6" max="6" width="11" style="6" bestFit="1" customWidth="1"/>
    <col min="7" max="7" width="12.5703125" style="1" bestFit="1" customWidth="1"/>
    <col min="8" max="8" width="11.5703125" style="1" customWidth="1"/>
    <col min="9" max="10" width="18.28515625" style="1" hidden="1" customWidth="1"/>
    <col min="11" max="11" width="11.28515625" style="1" hidden="1" customWidth="1"/>
    <col min="12" max="12" width="22" style="1" hidden="1" customWidth="1"/>
    <col min="13" max="13" width="11.28515625" style="1" hidden="1" customWidth="1"/>
    <col min="14" max="20" width="20.42578125" style="1" hidden="1" customWidth="1"/>
    <col min="21" max="21" width="23" style="1" bestFit="1" customWidth="1"/>
    <col min="22" max="22" width="21.5703125" style="1" bestFit="1" customWidth="1"/>
    <col min="23" max="23" width="52" style="75" customWidth="1"/>
    <col min="24" max="24" width="47" style="1" bestFit="1" customWidth="1"/>
    <col min="25" max="30" width="9.140625" style="1" customWidth="1"/>
    <col min="31" max="31" width="9.85546875" style="1" bestFit="1" customWidth="1"/>
    <col min="32" max="32" width="28.85546875" style="1" bestFit="1" customWidth="1"/>
    <col min="33" max="33" width="13.140625" style="1" bestFit="1" customWidth="1"/>
    <col min="34" max="16384" width="9.140625" style="1"/>
  </cols>
  <sheetData>
    <row r="1" spans="1:34" s="7" customFormat="1" ht="25.5" customHeight="1" x14ac:dyDescent="0.2">
      <c r="A1" s="36" t="s">
        <v>0</v>
      </c>
      <c r="B1" s="37" t="s">
        <v>1</v>
      </c>
      <c r="C1" s="37" t="s">
        <v>2</v>
      </c>
      <c r="D1" s="38"/>
      <c r="E1" s="37" t="s">
        <v>3</v>
      </c>
      <c r="F1" s="55" t="s">
        <v>138</v>
      </c>
      <c r="G1" s="56" t="s">
        <v>139</v>
      </c>
      <c r="H1" s="37" t="s">
        <v>136</v>
      </c>
      <c r="I1" s="39" t="s">
        <v>322</v>
      </c>
      <c r="J1" s="39" t="s">
        <v>323</v>
      </c>
      <c r="K1" s="39" t="s">
        <v>410</v>
      </c>
      <c r="L1" s="39" t="s">
        <v>328</v>
      </c>
      <c r="M1" s="39" t="s">
        <v>410</v>
      </c>
      <c r="N1" s="39" t="s">
        <v>329</v>
      </c>
      <c r="O1" s="39" t="s">
        <v>409</v>
      </c>
      <c r="P1" s="39" t="s">
        <v>413</v>
      </c>
      <c r="Q1" s="39" t="s">
        <v>425</v>
      </c>
      <c r="R1" s="39" t="s">
        <v>426</v>
      </c>
      <c r="S1" s="39" t="s">
        <v>428</v>
      </c>
      <c r="T1" s="39" t="s">
        <v>429</v>
      </c>
      <c r="U1" s="39" t="s">
        <v>477</v>
      </c>
      <c r="V1" s="39" t="s">
        <v>479</v>
      </c>
      <c r="W1" s="85"/>
      <c r="X1" s="146"/>
      <c r="Y1" s="209" t="s">
        <v>264</v>
      </c>
      <c r="Z1" s="210"/>
      <c r="AA1" s="210"/>
      <c r="AB1" s="211"/>
      <c r="AC1" s="130" t="s">
        <v>265</v>
      </c>
      <c r="AD1" s="209" t="s">
        <v>267</v>
      </c>
      <c r="AE1" s="211"/>
      <c r="AF1" s="101" t="s">
        <v>302</v>
      </c>
      <c r="AG1" s="32" t="s">
        <v>388</v>
      </c>
    </row>
    <row r="2" spans="1:34" s="2" customFormat="1" x14ac:dyDescent="0.2">
      <c r="B2" s="40" t="s">
        <v>49</v>
      </c>
      <c r="C2" s="9"/>
      <c r="D2" s="41"/>
      <c r="E2" s="42"/>
      <c r="F2" s="42"/>
      <c r="G2" s="43"/>
      <c r="H2" s="42"/>
      <c r="I2" s="43" t="s">
        <v>324</v>
      </c>
      <c r="J2" s="43" t="s">
        <v>325</v>
      </c>
      <c r="K2" s="43"/>
      <c r="L2" s="43"/>
      <c r="M2" s="43"/>
      <c r="N2" s="43" t="s">
        <v>406</v>
      </c>
      <c r="O2" s="43" t="s">
        <v>411</v>
      </c>
      <c r="P2" s="43" t="s">
        <v>412</v>
      </c>
      <c r="Q2" s="43" t="s">
        <v>427</v>
      </c>
      <c r="R2" s="43" t="s">
        <v>325</v>
      </c>
      <c r="S2" s="43" t="s">
        <v>431</v>
      </c>
      <c r="T2" s="43" t="s">
        <v>430</v>
      </c>
      <c r="U2" s="43" t="s">
        <v>478</v>
      </c>
      <c r="V2" s="43" t="s">
        <v>480</v>
      </c>
      <c r="W2" s="76"/>
      <c r="X2" s="77"/>
      <c r="Y2" s="77" t="s">
        <v>261</v>
      </c>
      <c r="Z2" s="77" t="s">
        <v>263</v>
      </c>
      <c r="AA2" s="77" t="s">
        <v>262</v>
      </c>
      <c r="AB2" s="77" t="s">
        <v>270</v>
      </c>
      <c r="AC2" s="77" t="s">
        <v>266</v>
      </c>
      <c r="AD2" s="77" t="s">
        <v>268</v>
      </c>
      <c r="AE2" s="77" t="s">
        <v>269</v>
      </c>
      <c r="AF2" s="86"/>
      <c r="AG2" s="86" t="s">
        <v>389</v>
      </c>
    </row>
    <row r="3" spans="1:34" s="59" customFormat="1" x14ac:dyDescent="0.2">
      <c r="A3" s="61">
        <v>60403</v>
      </c>
      <c r="B3" s="117" t="s">
        <v>231</v>
      </c>
      <c r="C3" s="60">
        <v>0</v>
      </c>
      <c r="D3" s="62"/>
      <c r="E3" s="117" t="s">
        <v>131</v>
      </c>
      <c r="F3" s="60" t="s">
        <v>183</v>
      </c>
      <c r="G3" s="121" t="s">
        <v>61</v>
      </c>
      <c r="H3" s="63"/>
      <c r="I3" s="102">
        <v>3859600</v>
      </c>
      <c r="J3" s="102">
        <v>204800</v>
      </c>
      <c r="K3" s="172">
        <v>153.1</v>
      </c>
      <c r="L3" s="102">
        <v>7790000</v>
      </c>
      <c r="M3" s="172">
        <v>125.2</v>
      </c>
      <c r="N3" s="102">
        <v>305000</v>
      </c>
      <c r="O3" s="102">
        <f>ROUND(L3/K3*159.8,-2)</f>
        <v>8130900</v>
      </c>
      <c r="P3" s="102">
        <f>ROUND(N3/M3*131.5,-2)</f>
        <v>320300</v>
      </c>
      <c r="Q3" s="102">
        <f>ROUND(O3/159.8*174,-2)</f>
        <v>8853400</v>
      </c>
      <c r="R3" s="102">
        <f>ROUND(P3/131.5*147.3,-2)</f>
        <v>358800</v>
      </c>
      <c r="S3" s="102">
        <f>ROUND(Q3/124*128.4,-2)</f>
        <v>9167600</v>
      </c>
      <c r="T3" s="102">
        <f>ROUND(R3/122.3*124.4,-2)</f>
        <v>365000</v>
      </c>
      <c r="U3" s="102">
        <f>ROUND(S3/128.4*133.4,-2)</f>
        <v>9524600</v>
      </c>
      <c r="V3" s="102">
        <f>ROUND(T3/124.4*129.6,-2)</f>
        <v>380300</v>
      </c>
      <c r="W3" s="63" t="s">
        <v>362</v>
      </c>
      <c r="X3" s="69" t="s">
        <v>339</v>
      </c>
      <c r="Y3" s="79"/>
      <c r="Z3" s="79"/>
      <c r="AA3" s="79"/>
      <c r="AB3" s="79"/>
      <c r="AC3" s="79"/>
      <c r="AD3" s="79"/>
      <c r="AE3" s="79"/>
      <c r="AF3" s="63"/>
      <c r="AG3" s="147"/>
      <c r="AH3" s="110"/>
    </row>
    <row r="4" spans="1:34" s="66" customFormat="1" ht="25.5" x14ac:dyDescent="0.2">
      <c r="A4" s="61">
        <v>60403</v>
      </c>
      <c r="B4" s="117" t="s">
        <v>284</v>
      </c>
      <c r="C4" s="60"/>
      <c r="D4" s="62"/>
      <c r="E4" s="117" t="s">
        <v>101</v>
      </c>
      <c r="F4" s="60" t="s">
        <v>184</v>
      </c>
      <c r="G4" s="121" t="s">
        <v>59</v>
      </c>
      <c r="H4" s="63" t="s">
        <v>6</v>
      </c>
      <c r="I4" s="102">
        <v>4917900</v>
      </c>
      <c r="J4" s="102">
        <v>202400</v>
      </c>
      <c r="K4" s="172">
        <v>153.1</v>
      </c>
      <c r="L4" s="102">
        <v>5230000</v>
      </c>
      <c r="M4" s="172">
        <v>125.2</v>
      </c>
      <c r="N4" s="102">
        <f>430000+300000</f>
        <v>730000</v>
      </c>
      <c r="O4" s="102">
        <f t="shared" ref="O4:O17" si="0">ROUND(L4/K4*161.5,-2)</f>
        <v>5516900</v>
      </c>
      <c r="P4" s="102">
        <f t="shared" ref="P4:P29" si="1">ROUND(N4/M4*131.5,-2)</f>
        <v>766700</v>
      </c>
      <c r="Q4" s="102">
        <f t="shared" ref="Q4:Q29" si="2">ROUND(O4/159.8*174,-2)</f>
        <v>6007100</v>
      </c>
      <c r="R4" s="102">
        <f t="shared" ref="R4:R29" si="3">ROUND(P4/131.5*147.3,-2)</f>
        <v>858800</v>
      </c>
      <c r="S4" s="102">
        <f t="shared" ref="S4:S29" si="4">ROUND(Q4/124*128.4,-2)</f>
        <v>6220300</v>
      </c>
      <c r="T4" s="102">
        <f t="shared" ref="T4:T29" si="5">ROUND(R4/122.3*124.4,-2)</f>
        <v>873500</v>
      </c>
      <c r="U4" s="102">
        <f t="shared" ref="U4:U29" si="6">ROUND(S4/128.4*133.4,-2)</f>
        <v>6462500</v>
      </c>
      <c r="V4" s="102">
        <f t="shared" ref="V4:V29" si="7">ROUND(T4/124.4*129.6,-2)</f>
        <v>910000</v>
      </c>
      <c r="W4" s="63" t="s">
        <v>368</v>
      </c>
      <c r="X4" s="63" t="s">
        <v>331</v>
      </c>
      <c r="Y4" s="79"/>
      <c r="Z4" s="79"/>
      <c r="AA4" s="92" t="s">
        <v>268</v>
      </c>
      <c r="AB4" s="92" t="s">
        <v>268</v>
      </c>
      <c r="AC4" s="79"/>
      <c r="AD4" s="92" t="s">
        <v>268</v>
      </c>
      <c r="AE4" s="79"/>
      <c r="AF4" s="63"/>
      <c r="AG4" s="147"/>
      <c r="AH4" s="110"/>
    </row>
    <row r="5" spans="1:34" s="66" customFormat="1" x14ac:dyDescent="0.2">
      <c r="A5" s="61">
        <v>60403</v>
      </c>
      <c r="B5" s="117" t="s">
        <v>232</v>
      </c>
      <c r="C5" s="60">
        <v>0</v>
      </c>
      <c r="D5" s="62"/>
      <c r="E5" s="117" t="s">
        <v>107</v>
      </c>
      <c r="F5" s="60" t="s">
        <v>144</v>
      </c>
      <c r="G5" s="121" t="s">
        <v>59</v>
      </c>
      <c r="H5" s="63"/>
      <c r="I5" s="102">
        <v>3691600</v>
      </c>
      <c r="J5" s="102">
        <v>285500</v>
      </c>
      <c r="K5" s="172">
        <v>153.1</v>
      </c>
      <c r="L5" s="102">
        <v>4030000</v>
      </c>
      <c r="M5" s="172">
        <v>125.2</v>
      </c>
      <c r="N5" s="102">
        <f>540000+360000</f>
        <v>900000</v>
      </c>
      <c r="O5" s="102">
        <f t="shared" si="0"/>
        <v>4251100</v>
      </c>
      <c r="P5" s="102">
        <f t="shared" si="1"/>
        <v>945300</v>
      </c>
      <c r="Q5" s="102">
        <f t="shared" si="2"/>
        <v>4628900</v>
      </c>
      <c r="R5" s="102">
        <f t="shared" si="3"/>
        <v>1058900</v>
      </c>
      <c r="S5" s="102">
        <f t="shared" si="4"/>
        <v>4793200</v>
      </c>
      <c r="T5" s="102">
        <f t="shared" si="5"/>
        <v>1077100</v>
      </c>
      <c r="U5" s="102">
        <f t="shared" si="6"/>
        <v>4979900</v>
      </c>
      <c r="V5" s="102">
        <f t="shared" si="7"/>
        <v>1122100</v>
      </c>
      <c r="W5" s="63" t="s">
        <v>368</v>
      </c>
      <c r="X5" s="63" t="s">
        <v>331</v>
      </c>
      <c r="Y5" s="79"/>
      <c r="Z5" s="79"/>
      <c r="AA5" s="92" t="s">
        <v>268</v>
      </c>
      <c r="AB5" s="79"/>
      <c r="AC5" s="79" t="s">
        <v>271</v>
      </c>
      <c r="AD5" s="79"/>
      <c r="AE5" s="79"/>
      <c r="AF5" s="63"/>
      <c r="AG5" s="147"/>
      <c r="AH5" s="110"/>
    </row>
    <row r="6" spans="1:34" s="59" customFormat="1" x14ac:dyDescent="0.2">
      <c r="A6" s="61">
        <v>60403</v>
      </c>
      <c r="B6" s="117" t="s">
        <v>272</v>
      </c>
      <c r="C6" s="60"/>
      <c r="D6" s="62"/>
      <c r="E6" s="117" t="s">
        <v>51</v>
      </c>
      <c r="F6" s="60" t="s">
        <v>144</v>
      </c>
      <c r="G6" s="121" t="s">
        <v>59</v>
      </c>
      <c r="H6" s="63"/>
      <c r="I6" s="102">
        <v>342400</v>
      </c>
      <c r="J6" s="102">
        <v>0</v>
      </c>
      <c r="K6" s="172">
        <v>153.1</v>
      </c>
      <c r="L6" s="102">
        <v>605000</v>
      </c>
      <c r="M6" s="172"/>
      <c r="N6" s="102"/>
      <c r="O6" s="102">
        <f t="shared" si="0"/>
        <v>638200</v>
      </c>
      <c r="P6" s="102"/>
      <c r="Q6" s="102">
        <f t="shared" si="2"/>
        <v>694900</v>
      </c>
      <c r="R6" s="102">
        <f t="shared" si="3"/>
        <v>0</v>
      </c>
      <c r="S6" s="102">
        <f t="shared" si="4"/>
        <v>719600</v>
      </c>
      <c r="T6" s="102">
        <f t="shared" si="5"/>
        <v>0</v>
      </c>
      <c r="U6" s="102">
        <f t="shared" si="6"/>
        <v>747600</v>
      </c>
      <c r="V6" s="102">
        <f t="shared" si="7"/>
        <v>0</v>
      </c>
      <c r="W6" s="63" t="s">
        <v>368</v>
      </c>
      <c r="X6" s="79"/>
      <c r="Y6" s="79"/>
      <c r="Z6" s="79"/>
      <c r="AA6" s="92" t="s">
        <v>268</v>
      </c>
      <c r="AB6" s="79"/>
      <c r="AC6" s="79"/>
      <c r="AD6" s="79"/>
      <c r="AE6" s="79"/>
      <c r="AF6" s="63"/>
      <c r="AG6" s="147"/>
      <c r="AH6" s="110"/>
    </row>
    <row r="7" spans="1:34" s="59" customFormat="1" x14ac:dyDescent="0.2">
      <c r="A7" s="61">
        <v>60403</v>
      </c>
      <c r="B7" s="117" t="s">
        <v>132</v>
      </c>
      <c r="C7" s="60">
        <v>0</v>
      </c>
      <c r="D7" s="62"/>
      <c r="E7" s="117" t="s">
        <v>112</v>
      </c>
      <c r="F7" s="60" t="s">
        <v>145</v>
      </c>
      <c r="G7" s="121" t="s">
        <v>59</v>
      </c>
      <c r="H7" s="63"/>
      <c r="I7" s="102">
        <v>18519800</v>
      </c>
      <c r="J7" s="102">
        <v>1967500</v>
      </c>
      <c r="K7" s="172">
        <v>153.1</v>
      </c>
      <c r="L7" s="102">
        <v>22950000</v>
      </c>
      <c r="M7" s="172">
        <v>124.6</v>
      </c>
      <c r="N7" s="102">
        <f>ROUND(J7/122.3*124.6,-2)</f>
        <v>2004500</v>
      </c>
      <c r="O7" s="102">
        <f t="shared" si="0"/>
        <v>24209200</v>
      </c>
      <c r="P7" s="102">
        <f t="shared" si="1"/>
        <v>2115500</v>
      </c>
      <c r="Q7" s="102">
        <f t="shared" si="2"/>
        <v>26360500</v>
      </c>
      <c r="R7" s="102">
        <f t="shared" si="3"/>
        <v>2369700</v>
      </c>
      <c r="S7" s="102">
        <f t="shared" si="4"/>
        <v>27295900</v>
      </c>
      <c r="T7" s="102">
        <f t="shared" si="5"/>
        <v>2410400</v>
      </c>
      <c r="U7" s="102">
        <f t="shared" si="6"/>
        <v>28358800</v>
      </c>
      <c r="V7" s="102">
        <f t="shared" si="7"/>
        <v>2511200</v>
      </c>
      <c r="W7" s="63" t="s">
        <v>368</v>
      </c>
      <c r="X7" s="79"/>
      <c r="Y7" s="79"/>
      <c r="Z7" s="79"/>
      <c r="AA7" s="92" t="s">
        <v>268</v>
      </c>
      <c r="AB7" s="92" t="s">
        <v>268</v>
      </c>
      <c r="AC7" s="79" t="s">
        <v>271</v>
      </c>
      <c r="AD7" s="79"/>
      <c r="AE7" s="79"/>
      <c r="AF7" s="63"/>
      <c r="AG7" s="147"/>
      <c r="AH7" s="110"/>
    </row>
    <row r="8" spans="1:34" s="66" customFormat="1" x14ac:dyDescent="0.2">
      <c r="A8" s="61">
        <v>60403</v>
      </c>
      <c r="B8" s="117" t="s">
        <v>285</v>
      </c>
      <c r="C8" s="60">
        <v>0</v>
      </c>
      <c r="D8" s="62"/>
      <c r="E8" s="117" t="s">
        <v>111</v>
      </c>
      <c r="F8" s="60" t="s">
        <v>185</v>
      </c>
      <c r="G8" s="121" t="s">
        <v>59</v>
      </c>
      <c r="H8" s="63"/>
      <c r="I8" s="102">
        <v>6903700</v>
      </c>
      <c r="J8" s="102">
        <v>225800</v>
      </c>
      <c r="K8" s="172">
        <v>153.1</v>
      </c>
      <c r="L8" s="102">
        <v>7790000</v>
      </c>
      <c r="M8" s="172">
        <v>125.2</v>
      </c>
      <c r="N8" s="102">
        <f>600000+370000</f>
        <v>970000</v>
      </c>
      <c r="O8" s="102">
        <f t="shared" si="0"/>
        <v>8217400</v>
      </c>
      <c r="P8" s="102">
        <f t="shared" si="1"/>
        <v>1018800</v>
      </c>
      <c r="Q8" s="102">
        <f t="shared" si="2"/>
        <v>8947600</v>
      </c>
      <c r="R8" s="102">
        <f t="shared" si="3"/>
        <v>1141200</v>
      </c>
      <c r="S8" s="102">
        <f t="shared" si="4"/>
        <v>9265100</v>
      </c>
      <c r="T8" s="102">
        <f t="shared" si="5"/>
        <v>1160800</v>
      </c>
      <c r="U8" s="102">
        <f t="shared" si="6"/>
        <v>9625900</v>
      </c>
      <c r="V8" s="102">
        <f t="shared" si="7"/>
        <v>1209300</v>
      </c>
      <c r="W8" s="63" t="s">
        <v>368</v>
      </c>
      <c r="X8" s="63" t="s">
        <v>331</v>
      </c>
      <c r="Y8" s="82"/>
      <c r="Z8" s="82"/>
      <c r="AA8" s="92" t="s">
        <v>268</v>
      </c>
      <c r="AB8" s="92" t="s">
        <v>268</v>
      </c>
      <c r="AC8" s="82"/>
      <c r="AD8" s="82"/>
      <c r="AE8" s="82"/>
      <c r="AF8" s="69" t="s">
        <v>312</v>
      </c>
      <c r="AG8" s="148"/>
      <c r="AH8" s="110"/>
    </row>
    <row r="9" spans="1:34" s="59" customFormat="1" x14ac:dyDescent="0.2">
      <c r="A9" s="61">
        <v>60403</v>
      </c>
      <c r="B9" s="117" t="s">
        <v>286</v>
      </c>
      <c r="C9" s="67"/>
      <c r="D9" s="68"/>
      <c r="E9" s="120" t="s">
        <v>114</v>
      </c>
      <c r="F9" s="67" t="s">
        <v>146</v>
      </c>
      <c r="G9" s="122" t="s">
        <v>59</v>
      </c>
      <c r="H9" s="69" t="s">
        <v>21</v>
      </c>
      <c r="I9" s="102">
        <v>10894000</v>
      </c>
      <c r="J9" s="102">
        <v>983600</v>
      </c>
      <c r="K9" s="172">
        <v>153.1</v>
      </c>
      <c r="L9" s="102">
        <v>12640000</v>
      </c>
      <c r="M9" s="172">
        <v>124.6</v>
      </c>
      <c r="N9" s="102">
        <f>ROUND(J9/122.3*124.6,-2)</f>
        <v>1002100</v>
      </c>
      <c r="O9" s="102">
        <f t="shared" si="0"/>
        <v>13333500</v>
      </c>
      <c r="P9" s="102">
        <f t="shared" si="1"/>
        <v>1057600</v>
      </c>
      <c r="Q9" s="102">
        <f t="shared" si="2"/>
        <v>14518300</v>
      </c>
      <c r="R9" s="102">
        <f t="shared" si="3"/>
        <v>1184700</v>
      </c>
      <c r="S9" s="102">
        <f t="shared" si="4"/>
        <v>15033500</v>
      </c>
      <c r="T9" s="102">
        <f t="shared" si="5"/>
        <v>1205000</v>
      </c>
      <c r="U9" s="102">
        <f t="shared" si="6"/>
        <v>15618900</v>
      </c>
      <c r="V9" s="102">
        <f t="shared" si="7"/>
        <v>1255400</v>
      </c>
      <c r="W9" s="63" t="s">
        <v>368</v>
      </c>
      <c r="X9" s="79"/>
      <c r="Y9" s="79"/>
      <c r="Z9" s="92" t="s">
        <v>268</v>
      </c>
      <c r="AA9" s="92" t="s">
        <v>268</v>
      </c>
      <c r="AB9" s="92" t="s">
        <v>268</v>
      </c>
      <c r="AC9" s="79"/>
      <c r="AD9" s="79"/>
      <c r="AE9" s="92" t="s">
        <v>268</v>
      </c>
      <c r="AF9" s="63"/>
      <c r="AG9" s="147"/>
      <c r="AH9" s="110"/>
    </row>
    <row r="10" spans="1:34" s="59" customFormat="1" x14ac:dyDescent="0.2">
      <c r="A10" s="61">
        <v>60403</v>
      </c>
      <c r="B10" s="117" t="s">
        <v>233</v>
      </c>
      <c r="C10" s="60">
        <v>0</v>
      </c>
      <c r="D10" s="62"/>
      <c r="E10" s="145" t="s">
        <v>106</v>
      </c>
      <c r="F10" s="60" t="s">
        <v>186</v>
      </c>
      <c r="G10" s="121" t="s">
        <v>59</v>
      </c>
      <c r="H10" s="63"/>
      <c r="I10" s="102">
        <v>3187200</v>
      </c>
      <c r="J10" s="102">
        <v>258700</v>
      </c>
      <c r="K10" s="172">
        <v>153.1</v>
      </c>
      <c r="L10" s="102">
        <v>4310000</v>
      </c>
      <c r="M10" s="172">
        <v>125.2</v>
      </c>
      <c r="N10" s="102">
        <f>665000+405000</f>
        <v>1070000</v>
      </c>
      <c r="O10" s="102">
        <f t="shared" si="0"/>
        <v>4546500</v>
      </c>
      <c r="P10" s="102">
        <f t="shared" si="1"/>
        <v>1123800</v>
      </c>
      <c r="Q10" s="102">
        <f t="shared" si="2"/>
        <v>4950500</v>
      </c>
      <c r="R10" s="102">
        <f t="shared" si="3"/>
        <v>1258800</v>
      </c>
      <c r="S10" s="102">
        <f t="shared" si="4"/>
        <v>5126200</v>
      </c>
      <c r="T10" s="102">
        <f t="shared" si="5"/>
        <v>1280400</v>
      </c>
      <c r="U10" s="102">
        <f t="shared" si="6"/>
        <v>5325800</v>
      </c>
      <c r="V10" s="102">
        <f t="shared" si="7"/>
        <v>1333900</v>
      </c>
      <c r="W10" s="63" t="s">
        <v>368</v>
      </c>
      <c r="X10" s="63" t="s">
        <v>331</v>
      </c>
      <c r="Y10" s="82"/>
      <c r="Z10" s="82"/>
      <c r="AA10" s="92" t="s">
        <v>268</v>
      </c>
      <c r="AB10" s="92" t="s">
        <v>268</v>
      </c>
      <c r="AC10" s="82" t="s">
        <v>271</v>
      </c>
      <c r="AD10" s="82"/>
      <c r="AE10" s="92" t="s">
        <v>268</v>
      </c>
      <c r="AF10" s="69"/>
      <c r="AG10" s="148"/>
      <c r="AH10" s="110"/>
    </row>
    <row r="11" spans="1:34" s="59" customFormat="1" x14ac:dyDescent="0.2">
      <c r="A11" s="61">
        <v>60403</v>
      </c>
      <c r="B11" s="117" t="s">
        <v>234</v>
      </c>
      <c r="C11" s="60">
        <v>0</v>
      </c>
      <c r="D11" s="62"/>
      <c r="E11" s="117" t="s">
        <v>104</v>
      </c>
      <c r="F11" s="60" t="s">
        <v>187</v>
      </c>
      <c r="G11" s="121" t="s">
        <v>59</v>
      </c>
      <c r="H11" s="63"/>
      <c r="I11" s="102">
        <v>1680600</v>
      </c>
      <c r="J11" s="102">
        <v>177700</v>
      </c>
      <c r="K11" s="172">
        <v>153.1</v>
      </c>
      <c r="L11" s="102">
        <v>2080000</v>
      </c>
      <c r="M11" s="172">
        <v>125.2</v>
      </c>
      <c r="N11" s="102">
        <f>305000+235000</f>
        <v>540000</v>
      </c>
      <c r="O11" s="102">
        <f t="shared" si="0"/>
        <v>2194100</v>
      </c>
      <c r="P11" s="102">
        <f t="shared" si="1"/>
        <v>567200</v>
      </c>
      <c r="Q11" s="102">
        <f t="shared" si="2"/>
        <v>2389100</v>
      </c>
      <c r="R11" s="102">
        <f t="shared" si="3"/>
        <v>635400</v>
      </c>
      <c r="S11" s="102">
        <f t="shared" si="4"/>
        <v>2473900</v>
      </c>
      <c r="T11" s="102">
        <f t="shared" si="5"/>
        <v>646300</v>
      </c>
      <c r="U11" s="102">
        <f t="shared" si="6"/>
        <v>2570200</v>
      </c>
      <c r="V11" s="102">
        <f t="shared" si="7"/>
        <v>673300</v>
      </c>
      <c r="W11" s="63" t="s">
        <v>368</v>
      </c>
      <c r="X11" s="63" t="s">
        <v>331</v>
      </c>
      <c r="Y11" s="82"/>
      <c r="Z11" s="82"/>
      <c r="AA11" s="92" t="s">
        <v>268</v>
      </c>
      <c r="AB11" s="92" t="s">
        <v>268</v>
      </c>
      <c r="AC11" s="82"/>
      <c r="AD11" s="82"/>
      <c r="AE11" s="82"/>
      <c r="AF11" s="69"/>
      <c r="AG11" s="148"/>
      <c r="AH11" s="70"/>
    </row>
    <row r="12" spans="1:34" s="59" customFormat="1" x14ac:dyDescent="0.2">
      <c r="A12" s="61">
        <v>60403</v>
      </c>
      <c r="B12" s="117" t="s">
        <v>235</v>
      </c>
      <c r="C12" s="67"/>
      <c r="D12" s="68"/>
      <c r="E12" s="120" t="s">
        <v>104</v>
      </c>
      <c r="F12" s="67" t="s">
        <v>187</v>
      </c>
      <c r="G12" s="122" t="s">
        <v>59</v>
      </c>
      <c r="H12" s="69" t="s">
        <v>21</v>
      </c>
      <c r="I12" s="102">
        <v>161800</v>
      </c>
      <c r="J12" s="102">
        <v>0</v>
      </c>
      <c r="K12" s="172">
        <v>153.1</v>
      </c>
      <c r="L12" s="102">
        <v>175000</v>
      </c>
      <c r="M12" s="172">
        <v>125.2</v>
      </c>
      <c r="N12" s="102">
        <f>ROUND(J12/122.3*124.6,-2)</f>
        <v>0</v>
      </c>
      <c r="O12" s="102">
        <f t="shared" si="0"/>
        <v>184600</v>
      </c>
      <c r="P12" s="102">
        <f t="shared" si="1"/>
        <v>0</v>
      </c>
      <c r="Q12" s="102">
        <f t="shared" si="2"/>
        <v>201000</v>
      </c>
      <c r="R12" s="102">
        <f t="shared" si="3"/>
        <v>0</v>
      </c>
      <c r="S12" s="102">
        <f t="shared" si="4"/>
        <v>208100</v>
      </c>
      <c r="T12" s="102">
        <f t="shared" si="5"/>
        <v>0</v>
      </c>
      <c r="U12" s="102">
        <f t="shared" si="6"/>
        <v>216200</v>
      </c>
      <c r="V12" s="102">
        <f t="shared" si="7"/>
        <v>0</v>
      </c>
      <c r="W12" s="63" t="s">
        <v>368</v>
      </c>
      <c r="X12" s="100" t="s">
        <v>332</v>
      </c>
      <c r="Y12" s="79"/>
      <c r="Z12" s="79"/>
      <c r="AA12" s="79"/>
      <c r="AB12" s="79"/>
      <c r="AC12" s="79"/>
      <c r="AD12" s="79"/>
      <c r="AE12" s="79"/>
      <c r="AF12" s="63"/>
      <c r="AG12" s="147"/>
      <c r="AH12" s="110"/>
    </row>
    <row r="13" spans="1:34" s="66" customFormat="1" ht="25.5" x14ac:dyDescent="0.2">
      <c r="A13" s="61">
        <v>60403</v>
      </c>
      <c r="B13" s="117" t="s">
        <v>370</v>
      </c>
      <c r="C13" s="60"/>
      <c r="D13" s="62"/>
      <c r="E13" s="117" t="s">
        <v>242</v>
      </c>
      <c r="F13" s="60" t="s">
        <v>243</v>
      </c>
      <c r="G13" s="122" t="s">
        <v>59</v>
      </c>
      <c r="H13" s="69"/>
      <c r="I13" s="102">
        <v>591500</v>
      </c>
      <c r="J13" s="102">
        <v>0</v>
      </c>
      <c r="K13" s="172">
        <v>153.1</v>
      </c>
      <c r="L13" s="102">
        <v>3190000</v>
      </c>
      <c r="M13" s="172">
        <v>125.2</v>
      </c>
      <c r="N13" s="102">
        <f>ROUND(J13/122.3*124.6,-2)</f>
        <v>0</v>
      </c>
      <c r="O13" s="102">
        <f t="shared" si="0"/>
        <v>3365000</v>
      </c>
      <c r="P13" s="102">
        <f t="shared" si="1"/>
        <v>0</v>
      </c>
      <c r="Q13" s="102">
        <f t="shared" si="2"/>
        <v>3664000</v>
      </c>
      <c r="R13" s="102">
        <f t="shared" si="3"/>
        <v>0</v>
      </c>
      <c r="S13" s="102">
        <f t="shared" si="4"/>
        <v>3794000</v>
      </c>
      <c r="T13" s="102">
        <f t="shared" si="5"/>
        <v>0</v>
      </c>
      <c r="U13" s="102">
        <f t="shared" si="6"/>
        <v>3941700</v>
      </c>
      <c r="V13" s="102">
        <f t="shared" si="7"/>
        <v>0</v>
      </c>
      <c r="W13" s="63" t="s">
        <v>368</v>
      </c>
      <c r="X13" s="100" t="s">
        <v>367</v>
      </c>
      <c r="Y13" s="79"/>
      <c r="Z13" s="79"/>
      <c r="AA13" s="92" t="s">
        <v>268</v>
      </c>
      <c r="AB13" s="79"/>
      <c r="AC13" s="79"/>
      <c r="AD13" s="79"/>
      <c r="AE13" s="79"/>
      <c r="AF13" s="63" t="s">
        <v>319</v>
      </c>
      <c r="AG13" s="147"/>
      <c r="AH13" s="110"/>
    </row>
    <row r="14" spans="1:34" s="66" customFormat="1" x14ac:dyDescent="0.2">
      <c r="A14" s="61">
        <v>60403</v>
      </c>
      <c r="B14" s="117" t="s">
        <v>236</v>
      </c>
      <c r="C14" s="67"/>
      <c r="D14" s="68"/>
      <c r="E14" s="120" t="s">
        <v>110</v>
      </c>
      <c r="F14" s="67" t="s">
        <v>153</v>
      </c>
      <c r="G14" s="122" t="s">
        <v>59</v>
      </c>
      <c r="H14" s="69" t="s">
        <v>21</v>
      </c>
      <c r="I14" s="102">
        <v>2260000</v>
      </c>
      <c r="J14" s="102">
        <v>448200</v>
      </c>
      <c r="K14" s="172">
        <v>153.1</v>
      </c>
      <c r="L14" s="102">
        <v>2790000</v>
      </c>
      <c r="M14" s="172">
        <v>125.2</v>
      </c>
      <c r="N14" s="102">
        <f>450000+190000</f>
        <v>640000</v>
      </c>
      <c r="O14" s="102">
        <f t="shared" si="0"/>
        <v>2943100</v>
      </c>
      <c r="P14" s="102">
        <f t="shared" si="1"/>
        <v>672200</v>
      </c>
      <c r="Q14" s="102">
        <f t="shared" si="2"/>
        <v>3204600</v>
      </c>
      <c r="R14" s="102">
        <f t="shared" si="3"/>
        <v>753000</v>
      </c>
      <c r="S14" s="102">
        <f t="shared" si="4"/>
        <v>3318300</v>
      </c>
      <c r="T14" s="102">
        <f t="shared" si="5"/>
        <v>765900</v>
      </c>
      <c r="U14" s="102">
        <f t="shared" si="6"/>
        <v>3447500</v>
      </c>
      <c r="V14" s="102">
        <f t="shared" si="7"/>
        <v>797900</v>
      </c>
      <c r="W14" s="63" t="s">
        <v>368</v>
      </c>
      <c r="X14" s="63" t="s">
        <v>331</v>
      </c>
      <c r="Y14" s="79"/>
      <c r="Z14" s="79"/>
      <c r="AA14" s="79"/>
      <c r="AB14" s="79"/>
      <c r="AC14" s="79"/>
      <c r="AD14" s="92" t="s">
        <v>268</v>
      </c>
      <c r="AE14" s="79"/>
      <c r="AF14" s="63"/>
      <c r="AG14" s="147"/>
      <c r="AH14" s="110"/>
    </row>
    <row r="15" spans="1:34" s="59" customFormat="1" x14ac:dyDescent="0.2">
      <c r="A15" s="61">
        <v>60403</v>
      </c>
      <c r="B15" s="117" t="s">
        <v>373</v>
      </c>
      <c r="C15" s="60">
        <v>0</v>
      </c>
      <c r="D15" s="62"/>
      <c r="E15" s="117" t="s">
        <v>105</v>
      </c>
      <c r="F15" s="60" t="s">
        <v>188</v>
      </c>
      <c r="G15" s="121" t="s">
        <v>64</v>
      </c>
      <c r="H15" s="63"/>
      <c r="I15" s="102">
        <v>0</v>
      </c>
      <c r="J15" s="102">
        <v>164200</v>
      </c>
      <c r="K15" s="172">
        <v>153.1</v>
      </c>
      <c r="L15" s="102">
        <v>850000</v>
      </c>
      <c r="M15" s="172">
        <v>125.2</v>
      </c>
      <c r="N15" s="102">
        <f>275000+14000</f>
        <v>289000</v>
      </c>
      <c r="O15" s="102">
        <f t="shared" si="0"/>
        <v>896600</v>
      </c>
      <c r="P15" s="102">
        <f t="shared" si="1"/>
        <v>303500</v>
      </c>
      <c r="Q15" s="102">
        <f t="shared" si="2"/>
        <v>976300</v>
      </c>
      <c r="R15" s="102">
        <f t="shared" si="3"/>
        <v>340000</v>
      </c>
      <c r="S15" s="102">
        <f t="shared" si="4"/>
        <v>1010900</v>
      </c>
      <c r="T15" s="102">
        <f t="shared" si="5"/>
        <v>345800</v>
      </c>
      <c r="U15" s="102">
        <f t="shared" si="6"/>
        <v>1050300</v>
      </c>
      <c r="V15" s="102">
        <f t="shared" si="7"/>
        <v>360300</v>
      </c>
      <c r="W15" s="63" t="s">
        <v>371</v>
      </c>
      <c r="X15" s="63" t="s">
        <v>333</v>
      </c>
      <c r="Y15" s="79"/>
      <c r="Z15" s="79"/>
      <c r="AA15" s="79" t="s">
        <v>268</v>
      </c>
      <c r="AB15" s="79" t="s">
        <v>268</v>
      </c>
      <c r="AC15" s="79" t="s">
        <v>271</v>
      </c>
      <c r="AD15" s="79"/>
      <c r="AE15" s="79"/>
      <c r="AF15" s="63"/>
      <c r="AG15" s="147"/>
      <c r="AH15" s="110"/>
    </row>
    <row r="16" spans="1:34" s="110" customFormat="1" ht="25.5" x14ac:dyDescent="0.2">
      <c r="A16" s="61">
        <v>60403</v>
      </c>
      <c r="B16" s="117" t="s">
        <v>287</v>
      </c>
      <c r="C16" s="60">
        <v>0</v>
      </c>
      <c r="D16" s="62"/>
      <c r="E16" s="117" t="s">
        <v>102</v>
      </c>
      <c r="F16" s="60" t="s">
        <v>190</v>
      </c>
      <c r="G16" s="121" t="s">
        <v>57</v>
      </c>
      <c r="H16" s="63"/>
      <c r="I16" s="102">
        <v>0</v>
      </c>
      <c r="J16" s="102">
        <v>121500</v>
      </c>
      <c r="K16" s="172">
        <v>153.1</v>
      </c>
      <c r="L16" s="102">
        <v>4210000</v>
      </c>
      <c r="M16" s="172">
        <v>125.2</v>
      </c>
      <c r="N16" s="102">
        <f>360000+265000</f>
        <v>625000</v>
      </c>
      <c r="O16" s="102">
        <f t="shared" si="0"/>
        <v>4441000</v>
      </c>
      <c r="P16" s="102">
        <f t="shared" si="1"/>
        <v>656400</v>
      </c>
      <c r="Q16" s="102">
        <f t="shared" si="2"/>
        <v>4835600</v>
      </c>
      <c r="R16" s="102">
        <f t="shared" si="3"/>
        <v>735300</v>
      </c>
      <c r="S16" s="102">
        <f t="shared" si="4"/>
        <v>5007200</v>
      </c>
      <c r="T16" s="102">
        <f t="shared" si="5"/>
        <v>747900</v>
      </c>
      <c r="U16" s="102">
        <f t="shared" si="6"/>
        <v>5202200</v>
      </c>
      <c r="V16" s="102">
        <f t="shared" si="7"/>
        <v>779200</v>
      </c>
      <c r="W16" s="63" t="s">
        <v>374</v>
      </c>
      <c r="X16" s="63" t="s">
        <v>334</v>
      </c>
      <c r="Y16" s="79"/>
      <c r="Z16" s="79"/>
      <c r="AA16" s="79" t="s">
        <v>268</v>
      </c>
      <c r="AB16" s="79"/>
      <c r="AC16" s="79" t="s">
        <v>271</v>
      </c>
      <c r="AD16" s="79"/>
      <c r="AE16" s="79"/>
      <c r="AF16" s="63"/>
      <c r="AG16" s="147"/>
    </row>
    <row r="17" spans="1:34" s="59" customFormat="1" x14ac:dyDescent="0.2">
      <c r="A17" s="61">
        <v>60403</v>
      </c>
      <c r="B17" s="117" t="s">
        <v>344</v>
      </c>
      <c r="C17" s="60">
        <v>0</v>
      </c>
      <c r="D17" s="62"/>
      <c r="E17" s="117" t="s">
        <v>133</v>
      </c>
      <c r="F17" s="60" t="s">
        <v>190</v>
      </c>
      <c r="G17" s="121" t="s">
        <v>57</v>
      </c>
      <c r="H17" s="63"/>
      <c r="I17" s="102">
        <v>0</v>
      </c>
      <c r="J17" s="102">
        <v>326300</v>
      </c>
      <c r="K17" s="172">
        <v>153.1</v>
      </c>
      <c r="L17" s="102">
        <v>3410000</v>
      </c>
      <c r="M17" s="172">
        <v>124.6</v>
      </c>
      <c r="N17" s="102">
        <f>ROUND(J17/122.3*124.6,-2)</f>
        <v>332400</v>
      </c>
      <c r="O17" s="102">
        <f t="shared" si="0"/>
        <v>3597100</v>
      </c>
      <c r="P17" s="102">
        <f t="shared" si="1"/>
        <v>350800</v>
      </c>
      <c r="Q17" s="102">
        <f t="shared" si="2"/>
        <v>3916700</v>
      </c>
      <c r="R17" s="102">
        <f t="shared" si="3"/>
        <v>392900</v>
      </c>
      <c r="S17" s="102">
        <f t="shared" si="4"/>
        <v>4055700</v>
      </c>
      <c r="T17" s="102">
        <f t="shared" si="5"/>
        <v>399600</v>
      </c>
      <c r="U17" s="102">
        <f t="shared" si="6"/>
        <v>4213600</v>
      </c>
      <c r="V17" s="102">
        <f t="shared" si="7"/>
        <v>416300</v>
      </c>
      <c r="W17" s="63" t="s">
        <v>374</v>
      </c>
      <c r="Y17" s="79"/>
      <c r="Z17" s="79"/>
      <c r="AA17" s="92"/>
      <c r="AB17" s="79"/>
      <c r="AC17" s="79"/>
      <c r="AD17" s="79"/>
      <c r="AE17" s="79"/>
      <c r="AF17" s="63"/>
      <c r="AG17" s="147"/>
      <c r="AH17" s="110"/>
    </row>
    <row r="18" spans="1:34" s="59" customFormat="1" ht="25.5" x14ac:dyDescent="0.2">
      <c r="A18" s="61"/>
      <c r="B18" s="117" t="s">
        <v>378</v>
      </c>
      <c r="C18" s="60"/>
      <c r="D18" s="62"/>
      <c r="E18" s="117" t="s">
        <v>336</v>
      </c>
      <c r="F18" s="72" t="s">
        <v>377</v>
      </c>
      <c r="G18" s="128" t="s">
        <v>376</v>
      </c>
      <c r="H18" s="63"/>
      <c r="I18" s="102"/>
      <c r="J18" s="102"/>
      <c r="K18" s="172"/>
      <c r="L18" s="102"/>
      <c r="M18" s="172">
        <v>125.2</v>
      </c>
      <c r="N18" s="102">
        <f>775000+355000</f>
        <v>1130000</v>
      </c>
      <c r="O18" s="102"/>
      <c r="P18" s="102">
        <f t="shared" si="1"/>
        <v>1186900</v>
      </c>
      <c r="Q18" s="102">
        <f t="shared" si="2"/>
        <v>0</v>
      </c>
      <c r="R18" s="102">
        <f t="shared" si="3"/>
        <v>1329500</v>
      </c>
      <c r="S18" s="102">
        <f t="shared" si="4"/>
        <v>0</v>
      </c>
      <c r="T18" s="102">
        <f t="shared" si="5"/>
        <v>1352300</v>
      </c>
      <c r="U18" s="102">
        <f t="shared" si="6"/>
        <v>0</v>
      </c>
      <c r="V18" s="102">
        <f t="shared" si="7"/>
        <v>1408800</v>
      </c>
      <c r="W18" s="63"/>
      <c r="X18" s="63" t="s">
        <v>334</v>
      </c>
      <c r="Y18" s="82"/>
      <c r="Z18" s="82"/>
      <c r="AA18" s="92" t="s">
        <v>268</v>
      </c>
      <c r="AB18" s="82"/>
      <c r="AC18" s="82" t="s">
        <v>271</v>
      </c>
      <c r="AD18" s="82"/>
      <c r="AE18" s="82"/>
      <c r="AF18" s="69"/>
      <c r="AG18" s="148"/>
      <c r="AH18" s="110"/>
    </row>
    <row r="19" spans="1:34" s="70" customFormat="1" x14ac:dyDescent="0.2">
      <c r="A19" s="61">
        <v>60403</v>
      </c>
      <c r="B19" s="117" t="s">
        <v>379</v>
      </c>
      <c r="C19" s="60">
        <v>0</v>
      </c>
      <c r="D19" s="62"/>
      <c r="E19" s="117" t="s">
        <v>108</v>
      </c>
      <c r="F19" s="63" t="s">
        <v>191</v>
      </c>
      <c r="G19" s="121" t="s">
        <v>57</v>
      </c>
      <c r="H19" s="63"/>
      <c r="I19" s="102">
        <v>3249700</v>
      </c>
      <c r="J19" s="102"/>
      <c r="K19" s="172">
        <v>153.1</v>
      </c>
      <c r="L19" s="102">
        <v>3980000</v>
      </c>
      <c r="M19" s="172"/>
      <c r="N19" s="102"/>
      <c r="O19" s="102">
        <f>ROUND(L19/K19*161.5,-2)</f>
        <v>4198400</v>
      </c>
      <c r="P19" s="102"/>
      <c r="Q19" s="102">
        <f t="shared" si="2"/>
        <v>4571500</v>
      </c>
      <c r="R19" s="102">
        <f t="shared" si="3"/>
        <v>0</v>
      </c>
      <c r="S19" s="102">
        <f t="shared" si="4"/>
        <v>4733700</v>
      </c>
      <c r="T19" s="102">
        <f t="shared" si="5"/>
        <v>0</v>
      </c>
      <c r="U19" s="102">
        <f t="shared" si="6"/>
        <v>4918000</v>
      </c>
      <c r="V19" s="102">
        <f t="shared" si="7"/>
        <v>0</v>
      </c>
      <c r="W19" s="63" t="s">
        <v>374</v>
      </c>
      <c r="X19" s="79"/>
      <c r="Y19" s="79"/>
      <c r="Z19" s="79"/>
      <c r="AA19" s="92" t="s">
        <v>268</v>
      </c>
      <c r="AB19" s="79"/>
      <c r="AC19" s="79" t="s">
        <v>271</v>
      </c>
      <c r="AD19" s="79"/>
      <c r="AE19" s="79"/>
      <c r="AF19" s="63"/>
      <c r="AG19" s="147"/>
      <c r="AH19" s="110"/>
    </row>
    <row r="20" spans="1:34" s="70" customFormat="1" x14ac:dyDescent="0.2">
      <c r="A20" s="61">
        <v>64230090</v>
      </c>
      <c r="B20" s="117" t="s">
        <v>237</v>
      </c>
      <c r="C20" s="60"/>
      <c r="D20" s="62"/>
      <c r="E20" s="117" t="s">
        <v>109</v>
      </c>
      <c r="F20" s="60" t="s">
        <v>192</v>
      </c>
      <c r="G20" s="121" t="s">
        <v>62</v>
      </c>
      <c r="H20" s="63"/>
      <c r="I20" s="102">
        <v>2863600</v>
      </c>
      <c r="J20" s="102">
        <v>191200</v>
      </c>
      <c r="K20" s="172">
        <v>153.1</v>
      </c>
      <c r="L20" s="102">
        <v>3260000</v>
      </c>
      <c r="M20" s="172">
        <v>125.2</v>
      </c>
      <c r="N20" s="102">
        <f>375000+145000</f>
        <v>520000</v>
      </c>
      <c r="O20" s="102">
        <f>ROUND(L20/K20*161.5,-2)</f>
        <v>3438900</v>
      </c>
      <c r="P20" s="102">
        <f t="shared" si="1"/>
        <v>546200</v>
      </c>
      <c r="Q20" s="102">
        <f t="shared" si="2"/>
        <v>3744500</v>
      </c>
      <c r="R20" s="102">
        <f t="shared" si="3"/>
        <v>611800</v>
      </c>
      <c r="S20" s="102">
        <f t="shared" si="4"/>
        <v>3877400</v>
      </c>
      <c r="T20" s="102">
        <f t="shared" si="5"/>
        <v>622300</v>
      </c>
      <c r="U20" s="102">
        <f t="shared" si="6"/>
        <v>4028400</v>
      </c>
      <c r="V20" s="102">
        <f t="shared" si="7"/>
        <v>648300</v>
      </c>
      <c r="W20" s="63" t="s">
        <v>382</v>
      </c>
      <c r="X20" s="69" t="s">
        <v>340</v>
      </c>
      <c r="Y20" s="82"/>
      <c r="Z20" s="82"/>
      <c r="AA20" s="92" t="s">
        <v>268</v>
      </c>
      <c r="AB20" s="82"/>
      <c r="AC20" s="82"/>
      <c r="AD20" s="82"/>
      <c r="AE20" s="82"/>
      <c r="AF20" s="69"/>
      <c r="AG20" s="148"/>
    </row>
    <row r="21" spans="1:34" s="59" customFormat="1" x14ac:dyDescent="0.2">
      <c r="A21" s="61">
        <v>60403</v>
      </c>
      <c r="B21" s="117" t="s">
        <v>383</v>
      </c>
      <c r="C21" s="60"/>
      <c r="D21" s="62"/>
      <c r="E21" s="117" t="s">
        <v>109</v>
      </c>
      <c r="F21" s="60" t="s">
        <v>192</v>
      </c>
      <c r="G21" s="121" t="s">
        <v>62</v>
      </c>
      <c r="H21" s="63"/>
      <c r="I21" s="102">
        <v>0</v>
      </c>
      <c r="J21" s="102">
        <v>71000</v>
      </c>
      <c r="K21" s="102"/>
      <c r="L21" s="102">
        <f>ROUND(I21/144.3*151.5,-2)</f>
        <v>0</v>
      </c>
      <c r="M21" s="172">
        <v>125.2</v>
      </c>
      <c r="N21" s="102">
        <v>75000</v>
      </c>
      <c r="O21" s="102"/>
      <c r="P21" s="102">
        <f t="shared" si="1"/>
        <v>78800</v>
      </c>
      <c r="Q21" s="102">
        <f t="shared" si="2"/>
        <v>0</v>
      </c>
      <c r="R21" s="102">
        <f t="shared" si="3"/>
        <v>88300</v>
      </c>
      <c r="S21" s="102">
        <f t="shared" si="4"/>
        <v>0</v>
      </c>
      <c r="T21" s="102">
        <f t="shared" si="5"/>
        <v>89800</v>
      </c>
      <c r="U21" s="102">
        <f t="shared" si="6"/>
        <v>0</v>
      </c>
      <c r="V21" s="102">
        <f t="shared" si="7"/>
        <v>93600</v>
      </c>
      <c r="W21" s="63"/>
      <c r="X21" s="63" t="s">
        <v>337</v>
      </c>
      <c r="Y21" s="79"/>
      <c r="Z21" s="79"/>
      <c r="AA21" s="92" t="s">
        <v>268</v>
      </c>
      <c r="AB21" s="79"/>
      <c r="AC21" s="79"/>
      <c r="AD21" s="79"/>
      <c r="AE21" s="79"/>
      <c r="AF21" s="63" t="s">
        <v>320</v>
      </c>
      <c r="AG21" s="147"/>
      <c r="AH21" s="110"/>
    </row>
    <row r="22" spans="1:34" s="66" customFormat="1" x14ac:dyDescent="0.2">
      <c r="A22" s="61">
        <v>60403</v>
      </c>
      <c r="B22" s="117" t="s">
        <v>238</v>
      </c>
      <c r="C22" s="67"/>
      <c r="D22" s="68"/>
      <c r="E22" s="120" t="s">
        <v>113</v>
      </c>
      <c r="F22" s="67" t="s">
        <v>173</v>
      </c>
      <c r="G22" s="122" t="s">
        <v>58</v>
      </c>
      <c r="H22" s="69" t="s">
        <v>21</v>
      </c>
      <c r="I22" s="102">
        <v>17990800</v>
      </c>
      <c r="J22" s="102">
        <v>2513800</v>
      </c>
      <c r="K22" s="172">
        <v>154.9</v>
      </c>
      <c r="L22" s="102">
        <v>20850000</v>
      </c>
      <c r="M22" s="172">
        <v>124.6</v>
      </c>
      <c r="N22" s="102">
        <f>ROUND(J22/122.3*124.6,-2)</f>
        <v>2561100</v>
      </c>
      <c r="O22" s="102">
        <f>ROUND(L22/K22*161.5,-2)</f>
        <v>21738400</v>
      </c>
      <c r="P22" s="102">
        <f t="shared" si="1"/>
        <v>2702900</v>
      </c>
      <c r="Q22" s="102">
        <f t="shared" si="2"/>
        <v>23670100</v>
      </c>
      <c r="R22" s="102">
        <f t="shared" si="3"/>
        <v>3027700</v>
      </c>
      <c r="S22" s="102">
        <f t="shared" si="4"/>
        <v>24510000</v>
      </c>
      <c r="T22" s="102">
        <f t="shared" si="5"/>
        <v>3079700</v>
      </c>
      <c r="U22" s="102">
        <f t="shared" si="6"/>
        <v>25464400</v>
      </c>
      <c r="V22" s="102">
        <f t="shared" si="7"/>
        <v>3208400</v>
      </c>
      <c r="W22" s="63" t="s">
        <v>347</v>
      </c>
      <c r="X22" s="79"/>
      <c r="Y22" s="79"/>
      <c r="Z22" s="92" t="s">
        <v>268</v>
      </c>
      <c r="AA22" s="92" t="s">
        <v>268</v>
      </c>
      <c r="AB22" s="92" t="s">
        <v>268</v>
      </c>
      <c r="AC22" s="79" t="s">
        <v>271</v>
      </c>
      <c r="AD22" s="79"/>
      <c r="AE22" s="79"/>
      <c r="AF22" s="63"/>
      <c r="AG22" s="147"/>
      <c r="AH22" s="59"/>
    </row>
    <row r="23" spans="1:34" s="59" customFormat="1" x14ac:dyDescent="0.2">
      <c r="A23" s="61">
        <v>60403</v>
      </c>
      <c r="B23" s="117" t="s">
        <v>288</v>
      </c>
      <c r="C23" s="60"/>
      <c r="D23" s="62"/>
      <c r="E23" s="117" t="s">
        <v>103</v>
      </c>
      <c r="F23" s="60" t="s">
        <v>193</v>
      </c>
      <c r="G23" s="121" t="s">
        <v>58</v>
      </c>
      <c r="H23" s="63" t="s">
        <v>6</v>
      </c>
      <c r="I23" s="102">
        <v>0</v>
      </c>
      <c r="J23" s="102">
        <v>392300</v>
      </c>
      <c r="K23" s="102"/>
      <c r="L23" s="102">
        <f>ROUND(I23/144.3*151.5,-2)</f>
        <v>0</v>
      </c>
      <c r="M23" s="172">
        <v>125.2</v>
      </c>
      <c r="N23" s="102">
        <v>370000</v>
      </c>
      <c r="O23" s="102"/>
      <c r="P23" s="102">
        <f t="shared" si="1"/>
        <v>388600</v>
      </c>
      <c r="Q23" s="102">
        <f t="shared" si="2"/>
        <v>0</v>
      </c>
      <c r="R23" s="102">
        <f t="shared" si="3"/>
        <v>435300</v>
      </c>
      <c r="S23" s="102">
        <f t="shared" si="4"/>
        <v>0</v>
      </c>
      <c r="T23" s="102">
        <f t="shared" si="5"/>
        <v>442800</v>
      </c>
      <c r="U23" s="102">
        <f t="shared" si="6"/>
        <v>0</v>
      </c>
      <c r="V23" s="102">
        <f t="shared" si="7"/>
        <v>461300</v>
      </c>
      <c r="W23" s="69"/>
      <c r="X23" s="63" t="s">
        <v>338</v>
      </c>
      <c r="Y23" s="82"/>
      <c r="Z23" s="82"/>
      <c r="AA23" s="92" t="s">
        <v>268</v>
      </c>
      <c r="AB23" s="92" t="s">
        <v>268</v>
      </c>
      <c r="AC23" s="82"/>
      <c r="AD23" s="82"/>
      <c r="AE23" s="82"/>
      <c r="AF23" s="69"/>
      <c r="AG23" s="148"/>
      <c r="AH23" s="70"/>
    </row>
    <row r="24" spans="1:34" s="70" customFormat="1" ht="38.25" x14ac:dyDescent="0.2">
      <c r="A24" s="61">
        <v>60403</v>
      </c>
      <c r="B24" s="117" t="s">
        <v>360</v>
      </c>
      <c r="C24" s="60"/>
      <c r="D24" s="62"/>
      <c r="E24" s="117" t="s">
        <v>241</v>
      </c>
      <c r="F24" s="60" t="s">
        <v>193</v>
      </c>
      <c r="G24" s="121" t="s">
        <v>58</v>
      </c>
      <c r="H24" s="63"/>
      <c r="I24" s="102">
        <v>6362000</v>
      </c>
      <c r="J24" s="102"/>
      <c r="K24" s="172">
        <v>154.9</v>
      </c>
      <c r="L24" s="102">
        <v>8910000</v>
      </c>
      <c r="M24" s="172"/>
      <c r="N24" s="102"/>
      <c r="O24" s="102">
        <f>ROUND(L24/K24*161.5,-2)</f>
        <v>9289600</v>
      </c>
      <c r="P24" s="102"/>
      <c r="Q24" s="102">
        <f t="shared" si="2"/>
        <v>10115100</v>
      </c>
      <c r="R24" s="102">
        <f t="shared" si="3"/>
        <v>0</v>
      </c>
      <c r="S24" s="102">
        <f t="shared" si="4"/>
        <v>10474000</v>
      </c>
      <c r="T24" s="102">
        <f t="shared" si="5"/>
        <v>0</v>
      </c>
      <c r="U24" s="102">
        <f t="shared" si="6"/>
        <v>10881900</v>
      </c>
      <c r="V24" s="102">
        <f t="shared" si="7"/>
        <v>0</v>
      </c>
      <c r="W24" s="63" t="s">
        <v>347</v>
      </c>
      <c r="X24" s="82"/>
      <c r="Y24" s="82"/>
      <c r="Z24" s="82"/>
      <c r="AA24" s="92" t="s">
        <v>268</v>
      </c>
      <c r="AB24" s="92" t="s">
        <v>268</v>
      </c>
      <c r="AC24" s="82"/>
      <c r="AD24" s="82"/>
      <c r="AE24" s="82"/>
      <c r="AF24" s="69"/>
      <c r="AG24" s="148"/>
    </row>
    <row r="25" spans="1:34" s="59" customFormat="1" x14ac:dyDescent="0.2">
      <c r="A25" s="61">
        <v>60403</v>
      </c>
      <c r="B25" s="117" t="s">
        <v>239</v>
      </c>
      <c r="C25" s="60"/>
      <c r="D25" s="62"/>
      <c r="E25" s="117" t="s">
        <v>134</v>
      </c>
      <c r="F25" s="60" t="s">
        <v>193</v>
      </c>
      <c r="G25" s="121" t="s">
        <v>58</v>
      </c>
      <c r="H25" s="63"/>
      <c r="I25" s="102">
        <v>0</v>
      </c>
      <c r="J25" s="102">
        <v>424300</v>
      </c>
      <c r="K25" s="172"/>
      <c r="L25" s="102">
        <f>ROUND(I25/144.3*151.5,-2)</f>
        <v>0</v>
      </c>
      <c r="M25" s="172">
        <v>125.2</v>
      </c>
      <c r="N25" s="102">
        <v>375000</v>
      </c>
      <c r="O25" s="102"/>
      <c r="P25" s="102">
        <f t="shared" si="1"/>
        <v>393900</v>
      </c>
      <c r="Q25" s="102">
        <f t="shared" si="2"/>
        <v>0</v>
      </c>
      <c r="R25" s="102">
        <f t="shared" si="3"/>
        <v>441200</v>
      </c>
      <c r="S25" s="102">
        <f t="shared" si="4"/>
        <v>0</v>
      </c>
      <c r="T25" s="102">
        <f t="shared" si="5"/>
        <v>448800</v>
      </c>
      <c r="U25" s="102">
        <f t="shared" si="6"/>
        <v>0</v>
      </c>
      <c r="V25" s="102">
        <f t="shared" si="7"/>
        <v>467600</v>
      </c>
      <c r="W25" s="63"/>
      <c r="X25" s="63" t="s">
        <v>338</v>
      </c>
      <c r="Y25" s="79"/>
      <c r="Z25" s="79"/>
      <c r="AA25" s="79"/>
      <c r="AB25" s="79"/>
      <c r="AC25" s="79"/>
      <c r="AD25" s="79"/>
      <c r="AE25" s="79"/>
      <c r="AF25" s="63"/>
      <c r="AG25" s="147"/>
      <c r="AH25" s="110"/>
    </row>
    <row r="26" spans="1:34" s="70" customFormat="1" ht="25.5" x14ac:dyDescent="0.2">
      <c r="A26" s="61">
        <v>60403</v>
      </c>
      <c r="B26" s="117" t="s">
        <v>359</v>
      </c>
      <c r="C26" s="67"/>
      <c r="D26" s="68"/>
      <c r="E26" s="120" t="s">
        <v>358</v>
      </c>
      <c r="F26" s="67" t="s">
        <v>194</v>
      </c>
      <c r="G26" s="122" t="s">
        <v>58</v>
      </c>
      <c r="H26" s="69" t="s">
        <v>21</v>
      </c>
      <c r="I26" s="102">
        <v>5135800</v>
      </c>
      <c r="J26" s="102">
        <v>161900</v>
      </c>
      <c r="K26" s="172">
        <v>154.9</v>
      </c>
      <c r="L26" s="102">
        <v>7200000</v>
      </c>
      <c r="M26" s="172">
        <v>125.2</v>
      </c>
      <c r="N26" s="102">
        <v>1095000</v>
      </c>
      <c r="O26" s="102">
        <f>ROUND(L26/K26*161.5,-2)</f>
        <v>7506800</v>
      </c>
      <c r="P26" s="102">
        <f t="shared" si="1"/>
        <v>1150100</v>
      </c>
      <c r="Q26" s="102">
        <f t="shared" si="2"/>
        <v>8173900</v>
      </c>
      <c r="R26" s="102">
        <f t="shared" si="3"/>
        <v>1288300</v>
      </c>
      <c r="S26" s="102">
        <f t="shared" si="4"/>
        <v>8463900</v>
      </c>
      <c r="T26" s="102">
        <f t="shared" si="5"/>
        <v>1310400</v>
      </c>
      <c r="U26" s="102">
        <f t="shared" si="6"/>
        <v>8793500</v>
      </c>
      <c r="V26" s="102">
        <f t="shared" si="7"/>
        <v>1365200</v>
      </c>
      <c r="W26" s="63" t="s">
        <v>347</v>
      </c>
      <c r="X26" s="110" t="s">
        <v>338</v>
      </c>
      <c r="Y26" s="82"/>
      <c r="Z26" s="92" t="s">
        <v>268</v>
      </c>
      <c r="AA26" s="92" t="s">
        <v>268</v>
      </c>
      <c r="AB26" s="92" t="s">
        <v>268</v>
      </c>
      <c r="AC26" s="82"/>
      <c r="AD26" s="92" t="s">
        <v>268</v>
      </c>
      <c r="AE26" s="82"/>
      <c r="AF26" s="69"/>
      <c r="AG26" s="148"/>
    </row>
    <row r="27" spans="1:34" s="59" customFormat="1" ht="25.5" x14ac:dyDescent="0.2">
      <c r="A27" s="61">
        <v>60403</v>
      </c>
      <c r="B27" s="117" t="s">
        <v>273</v>
      </c>
      <c r="C27" s="60" t="s">
        <v>18</v>
      </c>
      <c r="D27" s="62" t="s">
        <v>50</v>
      </c>
      <c r="E27" s="117" t="s">
        <v>228</v>
      </c>
      <c r="F27" s="60" t="s">
        <v>179</v>
      </c>
      <c r="G27" s="121" t="s">
        <v>58</v>
      </c>
      <c r="H27" s="63"/>
      <c r="I27" s="102">
        <v>5098300</v>
      </c>
      <c r="J27" s="102">
        <v>229400</v>
      </c>
      <c r="K27" s="172">
        <v>154.9</v>
      </c>
      <c r="L27" s="102">
        <v>6400000</v>
      </c>
      <c r="M27" s="172">
        <v>125.2</v>
      </c>
      <c r="N27" s="102">
        <v>1110000</v>
      </c>
      <c r="O27" s="102">
        <f>ROUND(L27/K27*161.5,-2)</f>
        <v>6672700</v>
      </c>
      <c r="P27" s="102">
        <f t="shared" si="1"/>
        <v>1165900</v>
      </c>
      <c r="Q27" s="102">
        <f t="shared" si="2"/>
        <v>7265600</v>
      </c>
      <c r="R27" s="102">
        <f t="shared" si="3"/>
        <v>1306000</v>
      </c>
      <c r="S27" s="102">
        <f t="shared" si="4"/>
        <v>7523400</v>
      </c>
      <c r="T27" s="102">
        <f t="shared" si="5"/>
        <v>1328400</v>
      </c>
      <c r="U27" s="102">
        <f t="shared" si="6"/>
        <v>7816400</v>
      </c>
      <c r="V27" s="102">
        <f t="shared" si="7"/>
        <v>1383900</v>
      </c>
      <c r="W27" s="63" t="s">
        <v>347</v>
      </c>
      <c r="X27" s="63" t="s">
        <v>338</v>
      </c>
      <c r="Y27" s="82"/>
      <c r="Z27" s="82"/>
      <c r="AA27" s="92" t="s">
        <v>268</v>
      </c>
      <c r="AB27" s="82"/>
      <c r="AC27" s="82"/>
      <c r="AD27" s="82"/>
      <c r="AE27" s="82"/>
      <c r="AF27" s="69"/>
      <c r="AG27" s="148"/>
      <c r="AH27" s="70"/>
    </row>
    <row r="28" spans="1:34" s="59" customFormat="1" x14ac:dyDescent="0.2">
      <c r="A28" s="61">
        <v>60403</v>
      </c>
      <c r="B28" s="117" t="s">
        <v>240</v>
      </c>
      <c r="C28" s="60"/>
      <c r="D28" s="62"/>
      <c r="E28" s="117" t="s">
        <v>135</v>
      </c>
      <c r="F28" s="60" t="s">
        <v>195</v>
      </c>
      <c r="G28" s="121" t="s">
        <v>58</v>
      </c>
      <c r="H28" s="63"/>
      <c r="I28" s="102">
        <v>4183400</v>
      </c>
      <c r="J28" s="102">
        <v>243000</v>
      </c>
      <c r="K28" s="172">
        <v>154.9</v>
      </c>
      <c r="L28" s="102">
        <v>4890000</v>
      </c>
      <c r="M28" s="172">
        <v>125.2</v>
      </c>
      <c r="N28" s="102">
        <v>910000</v>
      </c>
      <c r="O28" s="102">
        <f>ROUND(L28/K28*161.5,-2)</f>
        <v>5098400</v>
      </c>
      <c r="P28" s="102">
        <f t="shared" si="1"/>
        <v>955800</v>
      </c>
      <c r="Q28" s="102">
        <f t="shared" si="2"/>
        <v>5551400</v>
      </c>
      <c r="R28" s="102">
        <f t="shared" si="3"/>
        <v>1070600</v>
      </c>
      <c r="S28" s="102">
        <f t="shared" si="4"/>
        <v>5748400</v>
      </c>
      <c r="T28" s="102">
        <f t="shared" si="5"/>
        <v>1089000</v>
      </c>
      <c r="U28" s="102">
        <f t="shared" si="6"/>
        <v>5972200</v>
      </c>
      <c r="V28" s="102">
        <f t="shared" si="7"/>
        <v>1134500</v>
      </c>
      <c r="W28" s="63" t="s">
        <v>347</v>
      </c>
      <c r="X28" s="63" t="s">
        <v>338</v>
      </c>
      <c r="Y28" s="82"/>
      <c r="Z28" s="82"/>
      <c r="AA28" s="92" t="s">
        <v>268</v>
      </c>
      <c r="AB28" s="82"/>
      <c r="AC28" s="82"/>
      <c r="AD28" s="92" t="s">
        <v>268</v>
      </c>
      <c r="AE28" s="82"/>
      <c r="AF28" s="69" t="s">
        <v>321</v>
      </c>
      <c r="AG28" s="148"/>
      <c r="AH28" s="70"/>
    </row>
    <row r="29" spans="1:34" s="59" customFormat="1" x14ac:dyDescent="0.2">
      <c r="A29" s="61">
        <v>60403</v>
      </c>
      <c r="B29" s="114" t="s">
        <v>361</v>
      </c>
      <c r="C29" s="60"/>
      <c r="D29" s="62"/>
      <c r="E29" s="117" t="s">
        <v>244</v>
      </c>
      <c r="F29" s="60" t="s">
        <v>195</v>
      </c>
      <c r="G29" s="121" t="s">
        <v>58</v>
      </c>
      <c r="H29" s="63"/>
      <c r="I29" s="102">
        <v>161800</v>
      </c>
      <c r="J29" s="102">
        <v>0</v>
      </c>
      <c r="K29" s="172">
        <v>154.9</v>
      </c>
      <c r="L29" s="102">
        <v>170000</v>
      </c>
      <c r="M29" s="172">
        <v>125.2</v>
      </c>
      <c r="N29" s="102">
        <f>ROUND(J29/122.3*124.6,-2)</f>
        <v>0</v>
      </c>
      <c r="O29" s="102">
        <f>ROUND(L29/K29*161.5,-2)</f>
        <v>177200</v>
      </c>
      <c r="P29" s="102">
        <f t="shared" si="1"/>
        <v>0</v>
      </c>
      <c r="Q29" s="102">
        <f t="shared" si="2"/>
        <v>192900</v>
      </c>
      <c r="R29" s="102">
        <f t="shared" si="3"/>
        <v>0</v>
      </c>
      <c r="S29" s="102">
        <f t="shared" si="4"/>
        <v>199700</v>
      </c>
      <c r="T29" s="102">
        <f t="shared" si="5"/>
        <v>0</v>
      </c>
      <c r="U29" s="102">
        <f t="shared" si="6"/>
        <v>207500</v>
      </c>
      <c r="V29" s="102">
        <f t="shared" si="7"/>
        <v>0</v>
      </c>
      <c r="W29" s="63" t="s">
        <v>347</v>
      </c>
      <c r="X29" s="82"/>
      <c r="Y29" s="82"/>
      <c r="Z29" s="82"/>
      <c r="AA29" s="82"/>
      <c r="AB29" s="82"/>
      <c r="AC29" s="82"/>
      <c r="AD29" s="82"/>
      <c r="AE29" s="82"/>
      <c r="AF29" s="69"/>
      <c r="AG29" s="148">
        <v>43315</v>
      </c>
      <c r="AH29" s="70"/>
    </row>
    <row r="30" spans="1:34" s="10" customFormat="1" ht="13.5" thickBot="1" x14ac:dyDescent="0.25">
      <c r="A30" s="46"/>
      <c r="B30" s="47"/>
      <c r="C30" s="47"/>
      <c r="D30" s="48"/>
      <c r="E30" s="47"/>
      <c r="F30" s="47"/>
      <c r="G30" s="49"/>
      <c r="H30" s="49"/>
      <c r="I30" s="49"/>
      <c r="J30" s="49"/>
      <c r="K30" s="49"/>
      <c r="L30" s="49"/>
      <c r="M30" s="49"/>
      <c r="N30" s="49"/>
      <c r="O30" s="49"/>
      <c r="P30" s="49"/>
      <c r="Q30" s="49"/>
      <c r="R30" s="49"/>
      <c r="S30" s="49"/>
      <c r="T30" s="49"/>
      <c r="U30" s="49"/>
      <c r="V30" s="49"/>
      <c r="W30" s="58"/>
    </row>
    <row r="31" spans="1:34" ht="13.5" thickBot="1" x14ac:dyDescent="0.25">
      <c r="A31" s="50"/>
      <c r="B31" s="50" t="s">
        <v>52</v>
      </c>
      <c r="C31" s="51"/>
      <c r="D31" s="52"/>
      <c r="E31" s="53"/>
      <c r="F31" s="53"/>
      <c r="I31" s="54">
        <v>102055500</v>
      </c>
      <c r="J31" s="173">
        <v>9593100</v>
      </c>
      <c r="K31" s="171"/>
      <c r="L31" s="54">
        <f t="shared" ref="L31:V31" si="8">SUM(L3:L29)</f>
        <v>137710000</v>
      </c>
      <c r="M31" s="54"/>
      <c r="N31" s="54">
        <f t="shared" si="8"/>
        <v>17554100</v>
      </c>
      <c r="O31" s="54">
        <f t="shared" si="8"/>
        <v>144585600</v>
      </c>
      <c r="P31" s="54">
        <f t="shared" si="8"/>
        <v>18467200</v>
      </c>
      <c r="Q31" s="54">
        <f t="shared" si="8"/>
        <v>157433500</v>
      </c>
      <c r="R31" s="54">
        <f t="shared" si="8"/>
        <v>20686200</v>
      </c>
      <c r="S31" s="54">
        <f t="shared" si="8"/>
        <v>163020000</v>
      </c>
      <c r="T31" s="54">
        <f t="shared" si="8"/>
        <v>21041200</v>
      </c>
      <c r="U31" s="54">
        <f t="shared" si="8"/>
        <v>169368000</v>
      </c>
      <c r="V31" s="54">
        <f t="shared" si="8"/>
        <v>21920800</v>
      </c>
    </row>
  </sheetData>
  <customSheetViews>
    <customSheetView guid="{7F5D1218-4D93-4B14-B25A-0C03ABC4F8A6}" showPageBreaks="1" fitToPage="1" printArea="1" hiddenColumns="1">
      <selection activeCell="E12" sqref="E12"/>
      <pageMargins left="0.59055118110236227" right="0" top="1.5748031496062993" bottom="0.98425196850393704" header="0.62992125984251968" footer="0.70866141732283472"/>
      <pageSetup paperSize="8" fitToHeight="2" orientation="portrait" r:id="rId1"/>
      <headerFooter alignWithMargins="0">
        <oddFooter>&amp;L&amp;8&amp;F &amp;A&amp;C&amp;8&amp;P&amp;R&amp;8&amp;D</oddFooter>
      </headerFooter>
    </customSheetView>
  </customSheetViews>
  <mergeCells count="2">
    <mergeCell ref="Y1:AB1"/>
    <mergeCell ref="AD1:AE1"/>
  </mergeCells>
  <phoneticPr fontId="4" type="noConversion"/>
  <pageMargins left="0.59055118110236227" right="0.39370078740157483" top="1.5748031496062993" bottom="0.98425196850393704" header="0.62992125984251968" footer="0.70866141732283472"/>
  <pageSetup paperSize="9" scale="99" fitToHeight="2" orientation="landscape" r:id="rId2"/>
  <headerFooter alignWithMargins="0">
    <oddFooter>&amp;L&amp;9&amp;F &amp;A&amp;C&amp;9&amp;P</oddFooter>
  </headerFooter>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2"/>
  <sheetViews>
    <sheetView zoomScaleNormal="100" workbookViewId="0">
      <selection activeCell="R1" sqref="R1:S1048576"/>
    </sheetView>
  </sheetViews>
  <sheetFormatPr defaultRowHeight="12.75" x14ac:dyDescent="0.2"/>
  <cols>
    <col min="1" max="1" width="13.42578125" style="3" customWidth="1"/>
    <col min="2" max="2" width="34.7109375" style="4" customWidth="1"/>
    <col min="3" max="3" width="27.140625" style="6" bestFit="1" customWidth="1"/>
    <col min="4" max="4" width="11" style="35" bestFit="1" customWidth="1"/>
    <col min="5" max="5" width="14.42578125" style="35" bestFit="1" customWidth="1"/>
    <col min="6" max="6" width="18.7109375" style="8" bestFit="1" customWidth="1"/>
    <col min="7" max="7" width="18.7109375" style="8" customWidth="1"/>
    <col min="8" max="8" width="30.7109375" style="75" customWidth="1"/>
    <col min="9" max="16384" width="9.140625" style="1"/>
  </cols>
  <sheetData>
    <row r="1" spans="1:15" s="7" customFormat="1" ht="26.25" customHeight="1" thickBot="1" x14ac:dyDescent="0.25">
      <c r="A1" s="28" t="s">
        <v>0</v>
      </c>
      <c r="B1" s="37" t="s">
        <v>1</v>
      </c>
      <c r="C1" s="37" t="s">
        <v>3</v>
      </c>
      <c r="D1" s="55" t="s">
        <v>138</v>
      </c>
      <c r="E1" s="55" t="s">
        <v>139</v>
      </c>
      <c r="F1" s="105" t="s">
        <v>206</v>
      </c>
      <c r="G1" s="169" t="s">
        <v>407</v>
      </c>
      <c r="H1" s="85"/>
      <c r="I1" s="212" t="s">
        <v>264</v>
      </c>
      <c r="J1" s="212"/>
      <c r="K1" s="212"/>
      <c r="L1" s="212"/>
      <c r="M1" s="91" t="s">
        <v>265</v>
      </c>
      <c r="N1" s="212" t="s">
        <v>267</v>
      </c>
      <c r="O1" s="212"/>
    </row>
    <row r="2" spans="1:15" s="2" customFormat="1" ht="25.5" x14ac:dyDescent="0.2">
      <c r="A2" s="29"/>
      <c r="B2" s="106" t="s">
        <v>207</v>
      </c>
      <c r="C2" s="107"/>
      <c r="D2" s="108"/>
      <c r="E2" s="108"/>
      <c r="F2" s="104"/>
      <c r="G2" s="104"/>
      <c r="H2" s="76"/>
      <c r="I2" s="77" t="s">
        <v>261</v>
      </c>
      <c r="J2" s="77" t="s">
        <v>263</v>
      </c>
      <c r="K2" s="77" t="s">
        <v>262</v>
      </c>
      <c r="L2" s="77" t="s">
        <v>270</v>
      </c>
      <c r="M2" s="77" t="s">
        <v>266</v>
      </c>
      <c r="N2" s="77" t="s">
        <v>268</v>
      </c>
      <c r="O2" s="77" t="s">
        <v>269</v>
      </c>
    </row>
    <row r="3" spans="1:15" s="2" customFormat="1" x14ac:dyDescent="0.2">
      <c r="A3" s="61">
        <v>60510</v>
      </c>
      <c r="B3" s="30" t="s">
        <v>209</v>
      </c>
      <c r="C3" s="30" t="s">
        <v>210</v>
      </c>
      <c r="D3" s="33" t="s">
        <v>163</v>
      </c>
      <c r="E3" s="33" t="s">
        <v>57</v>
      </c>
      <c r="F3" s="104">
        <v>18000</v>
      </c>
      <c r="G3" s="104"/>
      <c r="H3" s="76"/>
      <c r="I3" s="86"/>
      <c r="J3" s="86"/>
      <c r="K3" s="86"/>
      <c r="L3" s="86"/>
      <c r="M3" s="86"/>
      <c r="N3" s="86"/>
      <c r="O3" s="86"/>
    </row>
    <row r="4" spans="1:15" s="2" customFormat="1" x14ac:dyDescent="0.2">
      <c r="A4" s="61">
        <v>60510</v>
      </c>
      <c r="B4" s="30" t="s">
        <v>274</v>
      </c>
      <c r="C4" s="30" t="s">
        <v>211</v>
      </c>
      <c r="D4" s="33" t="s">
        <v>148</v>
      </c>
      <c r="E4" s="33" t="s">
        <v>59</v>
      </c>
      <c r="F4" s="104">
        <v>15000</v>
      </c>
      <c r="G4" s="104"/>
      <c r="H4" s="71"/>
      <c r="I4" s="86"/>
      <c r="J4" s="86"/>
      <c r="K4" s="86"/>
      <c r="L4" s="86"/>
      <c r="M4" s="86"/>
      <c r="N4" s="86"/>
      <c r="O4" s="86"/>
    </row>
    <row r="5" spans="1:15" s="2" customFormat="1" ht="25.5" x14ac:dyDescent="0.2">
      <c r="A5" s="61">
        <v>60510</v>
      </c>
      <c r="B5" s="30" t="s">
        <v>212</v>
      </c>
      <c r="C5" s="30" t="s">
        <v>213</v>
      </c>
      <c r="D5" s="33" t="s">
        <v>214</v>
      </c>
      <c r="E5" s="33" t="s">
        <v>59</v>
      </c>
      <c r="F5" s="104">
        <v>21000</v>
      </c>
      <c r="G5" s="104"/>
      <c r="H5" s="76"/>
      <c r="I5" s="86"/>
      <c r="J5" s="86"/>
      <c r="K5" s="86"/>
      <c r="L5" s="86"/>
      <c r="M5" s="86"/>
      <c r="N5" s="86"/>
      <c r="O5" s="86"/>
    </row>
    <row r="6" spans="1:15" s="2" customFormat="1" x14ac:dyDescent="0.2">
      <c r="A6" s="61">
        <v>60510</v>
      </c>
      <c r="B6" s="30" t="s">
        <v>215</v>
      </c>
      <c r="C6" s="30" t="s">
        <v>208</v>
      </c>
      <c r="D6" s="33" t="s">
        <v>165</v>
      </c>
      <c r="E6" s="33" t="s">
        <v>57</v>
      </c>
      <c r="F6" s="104">
        <v>30000</v>
      </c>
      <c r="G6" s="104"/>
      <c r="H6" s="76"/>
      <c r="I6" s="86"/>
      <c r="J6" s="86"/>
      <c r="K6" s="86"/>
      <c r="L6" s="86"/>
      <c r="M6" s="86"/>
      <c r="N6" s="86"/>
      <c r="O6" s="86"/>
    </row>
    <row r="7" spans="1:15" s="2" customFormat="1" x14ac:dyDescent="0.2">
      <c r="A7" s="61">
        <v>60510</v>
      </c>
      <c r="B7" s="30" t="s">
        <v>216</v>
      </c>
      <c r="C7" s="30" t="s">
        <v>217</v>
      </c>
      <c r="D7" s="33" t="s">
        <v>218</v>
      </c>
      <c r="E7" s="33" t="s">
        <v>59</v>
      </c>
      <c r="F7" s="104">
        <v>9000</v>
      </c>
      <c r="G7" s="104"/>
      <c r="H7" s="76"/>
      <c r="I7" s="86"/>
      <c r="J7" s="86"/>
      <c r="K7" s="86"/>
      <c r="L7" s="86"/>
      <c r="M7" s="86"/>
      <c r="N7" s="86"/>
      <c r="O7" s="86"/>
    </row>
    <row r="8" spans="1:15" s="2" customFormat="1" ht="25.5" x14ac:dyDescent="0.2">
      <c r="A8" s="61">
        <v>60510</v>
      </c>
      <c r="B8" s="30" t="s">
        <v>219</v>
      </c>
      <c r="C8" s="30" t="s">
        <v>220</v>
      </c>
      <c r="D8" s="33" t="s">
        <v>221</v>
      </c>
      <c r="E8" s="33" t="s">
        <v>58</v>
      </c>
      <c r="F8" s="104">
        <v>30000</v>
      </c>
      <c r="G8" s="104"/>
      <c r="H8" s="76"/>
      <c r="I8" s="86"/>
      <c r="J8" s="86"/>
      <c r="K8" s="86"/>
      <c r="L8" s="86"/>
      <c r="M8" s="86"/>
      <c r="N8" s="86"/>
      <c r="O8" s="86"/>
    </row>
    <row r="9" spans="1:15" s="2" customFormat="1" ht="25.5" x14ac:dyDescent="0.2">
      <c r="A9" s="61">
        <v>60510</v>
      </c>
      <c r="B9" s="30" t="s">
        <v>248</v>
      </c>
      <c r="C9" s="30" t="s">
        <v>252</v>
      </c>
      <c r="D9" s="33"/>
      <c r="E9" s="33" t="s">
        <v>59</v>
      </c>
      <c r="F9" s="104">
        <v>25000</v>
      </c>
      <c r="G9" s="104"/>
      <c r="H9" s="76"/>
      <c r="I9" s="86"/>
      <c r="J9" s="86"/>
      <c r="K9" s="86"/>
      <c r="L9" s="86"/>
      <c r="M9" s="86"/>
      <c r="N9" s="86"/>
      <c r="O9" s="86"/>
    </row>
    <row r="10" spans="1:15" s="2" customFormat="1" ht="38.25" x14ac:dyDescent="0.2">
      <c r="A10" s="61"/>
      <c r="B10" s="30" t="s">
        <v>346</v>
      </c>
      <c r="C10" s="30" t="s">
        <v>66</v>
      </c>
      <c r="D10" s="33" t="s">
        <v>148</v>
      </c>
      <c r="E10" s="33" t="s">
        <v>59</v>
      </c>
      <c r="F10" s="104">
        <v>755300</v>
      </c>
      <c r="G10" s="170" t="s">
        <v>345</v>
      </c>
      <c r="H10" s="76"/>
      <c r="I10" s="86"/>
      <c r="J10" s="86"/>
      <c r="K10" s="86"/>
      <c r="L10" s="86"/>
      <c r="M10" s="86"/>
      <c r="N10" s="86"/>
      <c r="O10" s="86"/>
    </row>
    <row r="11" spans="1:15" s="2" customFormat="1" ht="25.5" x14ac:dyDescent="0.2">
      <c r="A11" s="61">
        <v>60510</v>
      </c>
      <c r="B11" s="30" t="s">
        <v>289</v>
      </c>
      <c r="C11" s="30" t="s">
        <v>253</v>
      </c>
      <c r="D11" s="33"/>
      <c r="E11" s="33" t="s">
        <v>64</v>
      </c>
      <c r="F11" s="104">
        <v>15000</v>
      </c>
      <c r="G11" s="104"/>
      <c r="H11" s="76"/>
      <c r="I11" s="86"/>
      <c r="J11" s="86"/>
      <c r="K11" s="86"/>
      <c r="L11" s="86"/>
      <c r="M11" s="86"/>
      <c r="N11" s="86"/>
      <c r="O11" s="86"/>
    </row>
    <row r="12" spans="1:15" s="2" customFormat="1" x14ac:dyDescent="0.2">
      <c r="A12" s="61">
        <v>60510</v>
      </c>
      <c r="B12" s="30" t="s">
        <v>249</v>
      </c>
      <c r="C12" s="30" t="s">
        <v>290</v>
      </c>
      <c r="D12" s="33"/>
      <c r="E12" s="33" t="s">
        <v>57</v>
      </c>
      <c r="F12" s="104">
        <v>20000</v>
      </c>
      <c r="G12" s="104"/>
      <c r="H12" s="76"/>
      <c r="I12" s="86"/>
      <c r="J12" s="86"/>
      <c r="K12" s="86"/>
      <c r="L12" s="86"/>
      <c r="M12" s="86"/>
      <c r="N12" s="86"/>
      <c r="O12" s="86"/>
    </row>
    <row r="13" spans="1:15" s="2" customFormat="1" x14ac:dyDescent="0.2">
      <c r="A13" s="61">
        <v>60510</v>
      </c>
      <c r="B13" s="30" t="s">
        <v>250</v>
      </c>
      <c r="C13" s="30" t="s">
        <v>291</v>
      </c>
      <c r="D13" s="33"/>
      <c r="E13" s="33" t="s">
        <v>57</v>
      </c>
      <c r="F13" s="104">
        <v>15000</v>
      </c>
      <c r="G13" s="104"/>
      <c r="H13" s="76"/>
      <c r="I13" s="86"/>
      <c r="J13" s="86"/>
      <c r="K13" s="86"/>
      <c r="L13" s="86"/>
      <c r="M13" s="86"/>
      <c r="N13" s="86"/>
      <c r="O13" s="86"/>
    </row>
    <row r="14" spans="1:15" s="2" customFormat="1" x14ac:dyDescent="0.2">
      <c r="A14" s="61">
        <v>60510</v>
      </c>
      <c r="B14" s="30" t="s">
        <v>251</v>
      </c>
      <c r="C14" s="30" t="s">
        <v>292</v>
      </c>
      <c r="D14" s="33"/>
      <c r="E14" s="33" t="s">
        <v>57</v>
      </c>
      <c r="F14" s="104">
        <v>40000</v>
      </c>
      <c r="G14" s="104"/>
      <c r="H14" s="76"/>
      <c r="I14" s="86"/>
      <c r="J14" s="86"/>
      <c r="K14" s="86"/>
      <c r="L14" s="86"/>
      <c r="M14" s="86"/>
      <c r="N14" s="86"/>
      <c r="O14" s="86"/>
    </row>
    <row r="15" spans="1:15" s="2" customFormat="1" x14ac:dyDescent="0.2">
      <c r="A15" s="61">
        <v>60510</v>
      </c>
      <c r="B15" s="30" t="s">
        <v>293</v>
      </c>
      <c r="C15" s="30" t="s">
        <v>254</v>
      </c>
      <c r="D15" s="33"/>
      <c r="E15" s="33" t="s">
        <v>58</v>
      </c>
      <c r="F15" s="104">
        <v>20000</v>
      </c>
      <c r="G15" s="104"/>
      <c r="H15" s="76"/>
      <c r="I15" s="86"/>
      <c r="J15" s="86"/>
      <c r="K15" s="86"/>
      <c r="L15" s="86"/>
      <c r="M15" s="86"/>
      <c r="N15" s="86"/>
      <c r="O15" s="86"/>
    </row>
    <row r="16" spans="1:15" s="2" customFormat="1" x14ac:dyDescent="0.2">
      <c r="A16" s="61">
        <v>60510</v>
      </c>
      <c r="B16" s="30" t="s">
        <v>294</v>
      </c>
      <c r="C16" s="30" t="s">
        <v>255</v>
      </c>
      <c r="D16" s="33"/>
      <c r="E16" s="33" t="s">
        <v>58</v>
      </c>
      <c r="F16" s="104">
        <v>10000</v>
      </c>
      <c r="G16" s="104"/>
      <c r="H16" s="76"/>
      <c r="I16" s="86"/>
      <c r="J16" s="86"/>
      <c r="K16" s="86"/>
      <c r="L16" s="86"/>
      <c r="M16" s="86"/>
      <c r="N16" s="86"/>
      <c r="O16" s="86"/>
    </row>
    <row r="17" spans="1:15" s="2" customFormat="1" x14ac:dyDescent="0.2">
      <c r="A17" s="61">
        <v>60510</v>
      </c>
      <c r="B17" s="30" t="s">
        <v>295</v>
      </c>
      <c r="C17" s="30" t="s">
        <v>255</v>
      </c>
      <c r="D17" s="33"/>
      <c r="E17" s="33" t="s">
        <v>58</v>
      </c>
      <c r="F17" s="104">
        <v>10000</v>
      </c>
      <c r="G17" s="104"/>
      <c r="H17" s="76"/>
      <c r="I17" s="86"/>
      <c r="J17" s="86"/>
      <c r="K17" s="86"/>
      <c r="L17" s="86"/>
      <c r="M17" s="86"/>
      <c r="N17" s="86"/>
      <c r="O17" s="86"/>
    </row>
    <row r="18" spans="1:15" s="2" customFormat="1" x14ac:dyDescent="0.2">
      <c r="A18" s="61">
        <v>60510</v>
      </c>
      <c r="B18" s="30" t="s">
        <v>296</v>
      </c>
      <c r="C18" s="30" t="s">
        <v>71</v>
      </c>
      <c r="D18" s="33"/>
      <c r="E18" s="33" t="s">
        <v>58</v>
      </c>
      <c r="F18" s="104">
        <v>5000</v>
      </c>
      <c r="G18" s="104"/>
      <c r="H18" s="76"/>
      <c r="I18" s="86"/>
      <c r="J18" s="86"/>
      <c r="K18" s="86"/>
      <c r="L18" s="86"/>
      <c r="M18" s="86"/>
      <c r="N18" s="86"/>
      <c r="O18" s="86"/>
    </row>
    <row r="19" spans="1:15" s="2" customFormat="1" ht="13.5" thickBot="1" x14ac:dyDescent="0.25">
      <c r="A19" s="86"/>
      <c r="B19" s="31" t="s">
        <v>222</v>
      </c>
      <c r="C19" s="32"/>
      <c r="D19" s="34"/>
      <c r="E19" s="34"/>
      <c r="F19" s="103">
        <f>SUM(F3:F18)</f>
        <v>1038300</v>
      </c>
      <c r="G19" s="168"/>
      <c r="H19" s="76"/>
      <c r="I19" s="86"/>
      <c r="J19" s="86"/>
      <c r="K19" s="86"/>
      <c r="L19" s="86"/>
      <c r="M19" s="86"/>
      <c r="N19" s="86"/>
      <c r="O19" s="86"/>
    </row>
    <row r="20" spans="1:15" x14ac:dyDescent="0.2">
      <c r="H20" s="89"/>
      <c r="I20" s="90"/>
      <c r="J20" s="90"/>
      <c r="K20" s="90"/>
      <c r="L20" s="90"/>
      <c r="M20" s="90"/>
      <c r="N20" s="90"/>
      <c r="O20" s="90"/>
    </row>
    <row r="22" spans="1:15" x14ac:dyDescent="0.2">
      <c r="A22" s="3" t="s">
        <v>275</v>
      </c>
    </row>
  </sheetData>
  <customSheetViews>
    <customSheetView guid="{7F5D1218-4D93-4B14-B25A-0C03ABC4F8A6}" showPageBreaks="1" fitToPage="1" printArea="1">
      <selection activeCell="H43" sqref="H43"/>
      <pageMargins left="0.70866141732283472" right="0.70866141732283472" top="1.5354330708661419" bottom="0.94488188976377963" header="0.31496062992125984" footer="0.70866141732283472"/>
      <pageSetup paperSize="8" orientation="portrait" r:id="rId1"/>
      <headerFooter>
        <oddFooter>&amp;L&amp;F &amp;A&amp;C&amp;P&amp;R&amp;D</oddFooter>
      </headerFooter>
    </customSheetView>
  </customSheetViews>
  <mergeCells count="2">
    <mergeCell ref="I1:L1"/>
    <mergeCell ref="N1:O1"/>
  </mergeCells>
  <pageMargins left="0.59055118110236227" right="0.39370078740157483" top="1.5748031496062993" bottom="0.98425196850393704" header="0.31496062992125984" footer="0.70866141732283472"/>
  <pageSetup paperSize="9" orientation="landscape" r:id="rId2"/>
  <headerFooter>
    <oddFooter>&amp;L&amp;F &amp;A&amp;C&amp;P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370E-803A-445B-9FE0-B72AD8495831}">
  <dimension ref="A1:H18"/>
  <sheetViews>
    <sheetView topLeftCell="A7" workbookViewId="0">
      <selection activeCell="B19" sqref="B19"/>
    </sheetView>
  </sheetViews>
  <sheetFormatPr defaultColWidth="17.42578125" defaultRowHeight="12.75" x14ac:dyDescent="0.2"/>
  <cols>
    <col min="2" max="2" width="30.140625" bestFit="1" customWidth="1"/>
    <col min="3" max="3" width="16" bestFit="1" customWidth="1"/>
    <col min="4" max="5" width="0" hidden="1" customWidth="1"/>
    <col min="8" max="8" width="37" bestFit="1" customWidth="1"/>
  </cols>
  <sheetData>
    <row r="1" spans="1:8" ht="15" x14ac:dyDescent="0.25">
      <c r="A1" s="181"/>
      <c r="B1" s="181"/>
      <c r="C1" s="181"/>
      <c r="D1" s="187"/>
      <c r="E1" s="187"/>
      <c r="F1" s="187"/>
      <c r="G1" s="181"/>
      <c r="H1" s="181"/>
    </row>
    <row r="2" spans="1:8" ht="18.75" x14ac:dyDescent="0.3">
      <c r="A2" s="185" t="s">
        <v>432</v>
      </c>
      <c r="B2" s="181"/>
      <c r="C2" s="181"/>
      <c r="D2" s="181"/>
      <c r="E2" s="196"/>
      <c r="F2" s="196"/>
      <c r="G2" s="181"/>
      <c r="H2" s="181"/>
    </row>
    <row r="3" spans="1:8" ht="15" x14ac:dyDescent="0.25">
      <c r="A3" s="183"/>
      <c r="B3" s="181"/>
      <c r="C3" s="181"/>
      <c r="D3" s="181"/>
      <c r="E3" s="196"/>
      <c r="F3" s="196"/>
      <c r="G3" s="181"/>
      <c r="H3" s="181"/>
    </row>
    <row r="5" spans="1:8" s="194" customFormat="1" ht="30" x14ac:dyDescent="0.2">
      <c r="A5" s="192" t="s">
        <v>433</v>
      </c>
      <c r="B5" s="192" t="s">
        <v>434</v>
      </c>
      <c r="C5" s="193" t="s">
        <v>455</v>
      </c>
      <c r="D5" s="193" t="s">
        <v>436</v>
      </c>
      <c r="E5" s="193"/>
      <c r="F5" s="193"/>
      <c r="G5" s="193" t="s">
        <v>437</v>
      </c>
      <c r="H5" s="192" t="s">
        <v>438</v>
      </c>
    </row>
    <row r="6" spans="1:8" ht="15" x14ac:dyDescent="0.25">
      <c r="A6" s="182" t="s">
        <v>439</v>
      </c>
      <c r="B6" s="181"/>
      <c r="C6" s="181"/>
      <c r="D6" s="181"/>
      <c r="E6" s="196"/>
      <c r="F6" s="196"/>
      <c r="G6" s="181"/>
      <c r="H6" s="181"/>
    </row>
    <row r="7" spans="1:8" ht="15" x14ac:dyDescent="0.25">
      <c r="A7" s="181"/>
      <c r="B7" s="183" t="s">
        <v>440</v>
      </c>
      <c r="C7" s="181">
        <v>2022</v>
      </c>
      <c r="D7" s="188">
        <v>13000</v>
      </c>
      <c r="E7" s="102">
        <f>ROUND(D7/122.3*124.4,-2)</f>
        <v>13200</v>
      </c>
      <c r="F7" s="102">
        <f t="shared" ref="F7:F16" si="0">ROUND(D7/124.4*129.6,-2)</f>
        <v>13500</v>
      </c>
      <c r="G7" s="186" t="s">
        <v>441</v>
      </c>
      <c r="H7" s="181" t="s">
        <v>442</v>
      </c>
    </row>
    <row r="8" spans="1:8" ht="15" x14ac:dyDescent="0.25">
      <c r="A8" s="181"/>
      <c r="B8" s="183" t="s">
        <v>443</v>
      </c>
      <c r="C8" s="181">
        <v>2022</v>
      </c>
      <c r="D8" s="188">
        <v>140000</v>
      </c>
      <c r="E8" s="102">
        <f t="shared" ref="E8:E16" si="1">ROUND(D8/122.3*124.4,-2)</f>
        <v>142400</v>
      </c>
      <c r="F8" s="102">
        <f t="shared" si="0"/>
        <v>145900</v>
      </c>
      <c r="G8" s="186" t="s">
        <v>441</v>
      </c>
      <c r="H8" s="181" t="s">
        <v>444</v>
      </c>
    </row>
    <row r="9" spans="1:8" ht="15" x14ac:dyDescent="0.25">
      <c r="A9" s="181"/>
      <c r="B9" s="183" t="s">
        <v>445</v>
      </c>
      <c r="C9" s="181">
        <v>2022</v>
      </c>
      <c r="D9" s="188">
        <v>55000</v>
      </c>
      <c r="E9" s="102">
        <f t="shared" si="1"/>
        <v>55900</v>
      </c>
      <c r="F9" s="102">
        <f t="shared" si="0"/>
        <v>57300</v>
      </c>
      <c r="G9" s="186" t="s">
        <v>441</v>
      </c>
      <c r="H9" s="181" t="s">
        <v>444</v>
      </c>
    </row>
    <row r="10" spans="1:8" ht="15" x14ac:dyDescent="0.25">
      <c r="A10" s="181"/>
      <c r="B10" s="183" t="s">
        <v>446</v>
      </c>
      <c r="C10" s="181">
        <v>2022</v>
      </c>
      <c r="D10" s="189">
        <v>11000</v>
      </c>
      <c r="E10" s="102">
        <f t="shared" si="1"/>
        <v>11200</v>
      </c>
      <c r="F10" s="102">
        <f t="shared" si="0"/>
        <v>11500</v>
      </c>
      <c r="G10" s="186" t="s">
        <v>441</v>
      </c>
      <c r="H10" s="181" t="s">
        <v>444</v>
      </c>
    </row>
    <row r="11" spans="1:8" ht="15" x14ac:dyDescent="0.25">
      <c r="A11" s="181"/>
      <c r="B11" s="183" t="s">
        <v>447</v>
      </c>
      <c r="C11" s="181">
        <v>2022</v>
      </c>
      <c r="D11" s="189">
        <v>73000</v>
      </c>
      <c r="E11" s="102">
        <f t="shared" si="1"/>
        <v>74300</v>
      </c>
      <c r="F11" s="102">
        <f t="shared" si="0"/>
        <v>76100</v>
      </c>
      <c r="G11" s="186" t="s">
        <v>441</v>
      </c>
      <c r="H11" s="181" t="s">
        <v>448</v>
      </c>
    </row>
    <row r="12" spans="1:8" ht="15" x14ac:dyDescent="0.25">
      <c r="A12" s="181"/>
      <c r="B12" s="183" t="s">
        <v>449</v>
      </c>
      <c r="C12" s="181">
        <v>2022</v>
      </c>
      <c r="D12" s="188">
        <v>7500</v>
      </c>
      <c r="E12" s="102">
        <f t="shared" si="1"/>
        <v>7600</v>
      </c>
      <c r="F12" s="102">
        <f t="shared" si="0"/>
        <v>7800</v>
      </c>
      <c r="G12" s="186" t="s">
        <v>441</v>
      </c>
      <c r="H12" s="181"/>
    </row>
    <row r="13" spans="1:8" ht="15" x14ac:dyDescent="0.25">
      <c r="A13" s="181"/>
      <c r="B13" s="183" t="s">
        <v>450</v>
      </c>
      <c r="C13" s="181">
        <v>2022</v>
      </c>
      <c r="D13" s="189">
        <v>0</v>
      </c>
      <c r="E13" s="102">
        <f t="shared" si="1"/>
        <v>0</v>
      </c>
      <c r="F13" s="102">
        <f t="shared" si="0"/>
        <v>0</v>
      </c>
      <c r="G13" s="186" t="s">
        <v>441</v>
      </c>
      <c r="H13" s="181"/>
    </row>
    <row r="14" spans="1:8" ht="15" x14ac:dyDescent="0.25">
      <c r="A14" s="181"/>
      <c r="B14" s="183" t="s">
        <v>451</v>
      </c>
      <c r="C14" s="181">
        <v>2022</v>
      </c>
      <c r="D14" s="188">
        <v>35000</v>
      </c>
      <c r="E14" s="102">
        <f t="shared" si="1"/>
        <v>35600</v>
      </c>
      <c r="F14" s="102">
        <f t="shared" si="0"/>
        <v>36500</v>
      </c>
      <c r="G14" s="186" t="s">
        <v>441</v>
      </c>
      <c r="H14" s="181"/>
    </row>
    <row r="15" spans="1:8" ht="15" x14ac:dyDescent="0.25">
      <c r="A15" s="181"/>
      <c r="B15" s="183" t="s">
        <v>452</v>
      </c>
      <c r="C15" s="181">
        <v>2022</v>
      </c>
      <c r="D15" s="188">
        <v>400000</v>
      </c>
      <c r="E15" s="102">
        <f t="shared" si="1"/>
        <v>406900</v>
      </c>
      <c r="F15" s="102">
        <f t="shared" si="0"/>
        <v>416700</v>
      </c>
      <c r="G15" s="186" t="s">
        <v>441</v>
      </c>
      <c r="H15" s="181"/>
    </row>
    <row r="16" spans="1:8" ht="15" x14ac:dyDescent="0.25">
      <c r="A16" s="181"/>
      <c r="B16" s="183" t="s">
        <v>453</v>
      </c>
      <c r="C16" s="181"/>
      <c r="D16" s="190">
        <v>35000</v>
      </c>
      <c r="E16" s="102">
        <f t="shared" si="1"/>
        <v>35600</v>
      </c>
      <c r="F16" s="102">
        <f t="shared" si="0"/>
        <v>36500</v>
      </c>
      <c r="G16" s="186"/>
      <c r="H16" s="181"/>
    </row>
    <row r="17" spans="1:6" ht="15" x14ac:dyDescent="0.25">
      <c r="A17" s="182"/>
      <c r="B17" s="181"/>
      <c r="C17" s="181"/>
      <c r="D17" s="189"/>
      <c r="E17" s="189"/>
      <c r="F17" s="189"/>
    </row>
    <row r="18" spans="1:6" ht="15" x14ac:dyDescent="0.25">
      <c r="A18" s="184" t="s">
        <v>454</v>
      </c>
      <c r="B18" s="181"/>
      <c r="C18" s="181"/>
      <c r="D18" s="191">
        <f>SUM(D7:D17)</f>
        <v>769500</v>
      </c>
      <c r="E18" s="191">
        <f>SUM(E7:E17)</f>
        <v>782700</v>
      </c>
      <c r="F18" s="191">
        <f>SUM(F7:F16)</f>
        <v>801800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60B7-D333-4D9F-A48A-12EA593C68C8}">
  <dimension ref="A1:H31"/>
  <sheetViews>
    <sheetView workbookViewId="0">
      <selection activeCell="B35" sqref="B35"/>
    </sheetView>
  </sheetViews>
  <sheetFormatPr defaultRowHeight="12.75" x14ac:dyDescent="0.2"/>
  <cols>
    <col min="1" max="1" width="15.85546875" customWidth="1"/>
    <col min="2" max="2" width="30.140625" bestFit="1" customWidth="1"/>
    <col min="3" max="3" width="12.85546875" customWidth="1"/>
    <col min="4" max="4" width="17.7109375" hidden="1" customWidth="1"/>
    <col min="5" max="5" width="13.140625" hidden="1" customWidth="1"/>
    <col min="6" max="6" width="13.140625" customWidth="1"/>
    <col min="7" max="7" width="12.85546875" customWidth="1"/>
    <col min="8" max="8" width="38.28515625" bestFit="1" customWidth="1"/>
  </cols>
  <sheetData>
    <row r="1" spans="1:8" ht="18.75" x14ac:dyDescent="0.3">
      <c r="A1" s="200" t="s">
        <v>456</v>
      </c>
      <c r="B1" s="196"/>
      <c r="C1" s="196"/>
      <c r="D1" s="196"/>
      <c r="G1" s="196"/>
      <c r="H1" s="196"/>
    </row>
    <row r="2" spans="1:8" ht="15" x14ac:dyDescent="0.25">
      <c r="A2" s="198"/>
      <c r="B2" s="196"/>
      <c r="C2" s="196"/>
      <c r="D2" s="196"/>
      <c r="G2" s="196"/>
      <c r="H2" s="196"/>
    </row>
    <row r="4" spans="1:8" s="194" customFormat="1" ht="30" x14ac:dyDescent="0.2">
      <c r="A4" s="192" t="s">
        <v>433</v>
      </c>
      <c r="B4" s="192" t="s">
        <v>434</v>
      </c>
      <c r="C4" s="193" t="s">
        <v>435</v>
      </c>
      <c r="D4" s="193" t="s">
        <v>436</v>
      </c>
      <c r="G4" s="193" t="s">
        <v>437</v>
      </c>
      <c r="H4" s="192" t="s">
        <v>438</v>
      </c>
    </row>
    <row r="5" spans="1:8" ht="15" x14ac:dyDescent="0.25">
      <c r="A5" s="197" t="s">
        <v>439</v>
      </c>
      <c r="B5" s="196"/>
      <c r="C5" s="196"/>
      <c r="D5" s="196"/>
      <c r="G5" s="196"/>
      <c r="H5" s="196"/>
    </row>
    <row r="6" spans="1:8" ht="15" x14ac:dyDescent="0.25">
      <c r="A6" s="196"/>
      <c r="B6" s="198" t="s">
        <v>440</v>
      </c>
      <c r="C6" s="196">
        <v>2022</v>
      </c>
      <c r="D6" s="188">
        <v>13000</v>
      </c>
      <c r="E6" s="102">
        <f>ROUND(D6/122.3*124.4,-1)</f>
        <v>13220</v>
      </c>
      <c r="F6" s="102">
        <f t="shared" ref="F6:F29" si="0">ROUND(D6/124.4*129.6,-2)</f>
        <v>13500</v>
      </c>
      <c r="G6" s="201" t="s">
        <v>441</v>
      </c>
      <c r="H6" s="196" t="s">
        <v>442</v>
      </c>
    </row>
    <row r="7" spans="1:8" ht="15" x14ac:dyDescent="0.25">
      <c r="A7" s="196"/>
      <c r="B7" s="198" t="s">
        <v>443</v>
      </c>
      <c r="C7" s="196">
        <v>2022</v>
      </c>
      <c r="D7" s="188">
        <v>140000</v>
      </c>
      <c r="E7" s="102">
        <f t="shared" ref="E7:E29" si="1">ROUND(D7/122.3*124.4,-1)</f>
        <v>142400</v>
      </c>
      <c r="F7" s="102">
        <f t="shared" si="0"/>
        <v>145900</v>
      </c>
      <c r="G7" s="201" t="s">
        <v>441</v>
      </c>
      <c r="H7" s="196" t="s">
        <v>444</v>
      </c>
    </row>
    <row r="8" spans="1:8" ht="15" x14ac:dyDescent="0.25">
      <c r="A8" s="196"/>
      <c r="B8" s="198" t="s">
        <v>445</v>
      </c>
      <c r="C8" s="196">
        <v>2022</v>
      </c>
      <c r="D8" s="188">
        <v>55000</v>
      </c>
      <c r="E8" s="102">
        <f t="shared" si="1"/>
        <v>55940</v>
      </c>
      <c r="F8" s="102">
        <f t="shared" si="0"/>
        <v>57300</v>
      </c>
      <c r="G8" s="201" t="s">
        <v>441</v>
      </c>
      <c r="H8" s="196" t="s">
        <v>444</v>
      </c>
    </row>
    <row r="9" spans="1:8" ht="15" x14ac:dyDescent="0.25">
      <c r="A9" s="196"/>
      <c r="B9" s="198" t="s">
        <v>446</v>
      </c>
      <c r="C9" s="196">
        <v>2022</v>
      </c>
      <c r="D9" s="189">
        <v>11000</v>
      </c>
      <c r="E9" s="102">
        <f t="shared" si="1"/>
        <v>11190</v>
      </c>
      <c r="F9" s="102">
        <f t="shared" si="0"/>
        <v>11500</v>
      </c>
      <c r="G9" s="201" t="s">
        <v>441</v>
      </c>
      <c r="H9" s="196" t="s">
        <v>444</v>
      </c>
    </row>
    <row r="10" spans="1:8" ht="15" x14ac:dyDescent="0.25">
      <c r="A10" s="196"/>
      <c r="B10" s="198" t="s">
        <v>447</v>
      </c>
      <c r="C10" s="196">
        <v>2022</v>
      </c>
      <c r="D10" s="189">
        <v>73000</v>
      </c>
      <c r="E10" s="102">
        <f t="shared" si="1"/>
        <v>74250</v>
      </c>
      <c r="F10" s="102">
        <f t="shared" si="0"/>
        <v>76100</v>
      </c>
      <c r="G10" s="201" t="s">
        <v>441</v>
      </c>
      <c r="H10" s="196" t="s">
        <v>448</v>
      </c>
    </row>
    <row r="11" spans="1:8" ht="15" x14ac:dyDescent="0.25">
      <c r="A11" s="196"/>
      <c r="B11" s="198" t="s">
        <v>457</v>
      </c>
      <c r="C11" s="196">
        <v>2022</v>
      </c>
      <c r="D11" s="188">
        <v>77500</v>
      </c>
      <c r="E11" s="102">
        <f t="shared" si="1"/>
        <v>78830</v>
      </c>
      <c r="F11" s="102">
        <f t="shared" si="0"/>
        <v>80700</v>
      </c>
      <c r="G11" s="202">
        <v>7</v>
      </c>
      <c r="H11" s="196" t="s">
        <v>458</v>
      </c>
    </row>
    <row r="12" spans="1:8" ht="15" x14ac:dyDescent="0.25">
      <c r="A12" s="196"/>
      <c r="B12" s="198" t="s">
        <v>459</v>
      </c>
      <c r="C12" s="196">
        <v>2022</v>
      </c>
      <c r="D12" s="189">
        <v>28000</v>
      </c>
      <c r="E12" s="102">
        <f t="shared" si="1"/>
        <v>28480</v>
      </c>
      <c r="F12" s="102">
        <f t="shared" si="0"/>
        <v>29200</v>
      </c>
      <c r="G12" s="201" t="s">
        <v>441</v>
      </c>
      <c r="H12" s="196" t="s">
        <v>458</v>
      </c>
    </row>
    <row r="13" spans="1:8" ht="15" x14ac:dyDescent="0.25">
      <c r="A13" s="196"/>
      <c r="B13" s="198" t="s">
        <v>450</v>
      </c>
      <c r="C13" s="196">
        <v>2022</v>
      </c>
      <c r="D13" s="189">
        <v>20000</v>
      </c>
      <c r="E13" s="102">
        <f t="shared" si="1"/>
        <v>20340</v>
      </c>
      <c r="F13" s="102">
        <f t="shared" si="0"/>
        <v>20800</v>
      </c>
      <c r="G13" s="201" t="s">
        <v>441</v>
      </c>
      <c r="H13" s="196"/>
    </row>
    <row r="14" spans="1:8" ht="15" x14ac:dyDescent="0.25">
      <c r="A14" s="196"/>
      <c r="B14" s="198" t="s">
        <v>451</v>
      </c>
      <c r="C14" s="196">
        <v>2022</v>
      </c>
      <c r="D14" s="188">
        <v>35000</v>
      </c>
      <c r="E14" s="102">
        <f t="shared" si="1"/>
        <v>35600</v>
      </c>
      <c r="F14" s="102">
        <f t="shared" si="0"/>
        <v>36500</v>
      </c>
      <c r="G14" s="201"/>
      <c r="H14" s="196"/>
    </row>
    <row r="15" spans="1:8" ht="15" x14ac:dyDescent="0.25">
      <c r="A15" s="196"/>
      <c r="B15" s="198" t="s">
        <v>452</v>
      </c>
      <c r="C15" s="196">
        <v>2022</v>
      </c>
      <c r="D15" s="188">
        <v>400000</v>
      </c>
      <c r="E15" s="102">
        <f t="shared" si="1"/>
        <v>406870</v>
      </c>
      <c r="F15" s="102">
        <f t="shared" si="0"/>
        <v>416700</v>
      </c>
      <c r="G15" s="201"/>
      <c r="H15" s="196"/>
    </row>
    <row r="16" spans="1:8" ht="15" x14ac:dyDescent="0.25">
      <c r="A16" s="197"/>
      <c r="B16" s="198" t="s">
        <v>453</v>
      </c>
      <c r="C16" s="196"/>
      <c r="D16" s="190">
        <v>35000</v>
      </c>
      <c r="E16" s="102">
        <f t="shared" si="1"/>
        <v>35600</v>
      </c>
      <c r="F16" s="102">
        <f t="shared" si="0"/>
        <v>36500</v>
      </c>
    </row>
    <row r="17" spans="1:6" ht="15" x14ac:dyDescent="0.25">
      <c r="A17" s="197"/>
      <c r="B17" s="198" t="s">
        <v>460</v>
      </c>
      <c r="C17" s="196"/>
      <c r="D17" s="188">
        <v>1000</v>
      </c>
      <c r="E17" s="102">
        <f t="shared" si="1"/>
        <v>1020</v>
      </c>
      <c r="F17" s="102">
        <f t="shared" si="0"/>
        <v>1000</v>
      </c>
    </row>
    <row r="18" spans="1:6" ht="15" x14ac:dyDescent="0.25">
      <c r="A18" s="197"/>
      <c r="B18" s="198"/>
      <c r="C18" s="196"/>
      <c r="D18" s="189"/>
      <c r="E18" s="102">
        <f t="shared" si="1"/>
        <v>0</v>
      </c>
      <c r="F18" s="102">
        <f t="shared" si="0"/>
        <v>0</v>
      </c>
    </row>
    <row r="19" spans="1:6" ht="15" x14ac:dyDescent="0.25">
      <c r="A19" s="197" t="s">
        <v>461</v>
      </c>
      <c r="B19" s="196"/>
      <c r="C19" s="196"/>
      <c r="D19" s="189"/>
      <c r="E19" s="102">
        <f t="shared" si="1"/>
        <v>0</v>
      </c>
      <c r="F19" s="102">
        <f t="shared" si="0"/>
        <v>0</v>
      </c>
    </row>
    <row r="20" spans="1:6" ht="15" x14ac:dyDescent="0.25">
      <c r="A20" s="196"/>
      <c r="B20" s="198" t="s">
        <v>462</v>
      </c>
      <c r="C20" s="196">
        <v>2022</v>
      </c>
      <c r="D20" s="188">
        <v>15000</v>
      </c>
      <c r="E20" s="102">
        <f t="shared" si="1"/>
        <v>15260</v>
      </c>
      <c r="F20" s="102">
        <f t="shared" si="0"/>
        <v>15600</v>
      </c>
    </row>
    <row r="21" spans="1:6" ht="15" x14ac:dyDescent="0.25">
      <c r="A21" s="196"/>
      <c r="B21" s="198" t="s">
        <v>463</v>
      </c>
      <c r="C21" s="196">
        <v>2022</v>
      </c>
      <c r="D21" s="189">
        <v>5000</v>
      </c>
      <c r="E21" s="102">
        <f t="shared" si="1"/>
        <v>5090</v>
      </c>
      <c r="F21" s="102">
        <f t="shared" si="0"/>
        <v>5200</v>
      </c>
    </row>
    <row r="22" spans="1:6" ht="15" x14ac:dyDescent="0.25">
      <c r="A22" s="197"/>
      <c r="B22" s="196"/>
      <c r="C22" s="196"/>
      <c r="D22" s="189"/>
      <c r="E22" s="102">
        <f t="shared" si="1"/>
        <v>0</v>
      </c>
      <c r="F22" s="102">
        <f t="shared" si="0"/>
        <v>0</v>
      </c>
    </row>
    <row r="23" spans="1:6" ht="15" x14ac:dyDescent="0.25">
      <c r="A23" s="197" t="s">
        <v>464</v>
      </c>
      <c r="B23" s="196"/>
      <c r="C23" s="196"/>
      <c r="D23" s="189"/>
      <c r="E23" s="102">
        <f t="shared" si="1"/>
        <v>0</v>
      </c>
      <c r="F23" s="102">
        <f t="shared" si="0"/>
        <v>0</v>
      </c>
    </row>
    <row r="24" spans="1:6" ht="15" x14ac:dyDescent="0.25">
      <c r="A24" s="196"/>
      <c r="B24" s="198" t="s">
        <v>449</v>
      </c>
      <c r="C24" s="196">
        <v>2022</v>
      </c>
      <c r="D24" s="188">
        <v>7500</v>
      </c>
      <c r="E24" s="102">
        <f t="shared" si="1"/>
        <v>7630</v>
      </c>
      <c r="F24" s="102">
        <f t="shared" si="0"/>
        <v>7800</v>
      </c>
    </row>
    <row r="25" spans="1:6" ht="15" x14ac:dyDescent="0.25">
      <c r="A25" s="196"/>
      <c r="B25" s="198" t="s">
        <v>465</v>
      </c>
      <c r="C25" s="196">
        <v>2022</v>
      </c>
      <c r="D25" s="189">
        <v>5500</v>
      </c>
      <c r="E25" s="102">
        <f t="shared" si="1"/>
        <v>5590</v>
      </c>
      <c r="F25" s="102">
        <f t="shared" si="0"/>
        <v>5700</v>
      </c>
    </row>
    <row r="26" spans="1:6" x14ac:dyDescent="0.2">
      <c r="D26" s="195"/>
      <c r="E26" s="102">
        <f t="shared" si="1"/>
        <v>0</v>
      </c>
      <c r="F26" s="102">
        <f t="shared" si="0"/>
        <v>0</v>
      </c>
    </row>
    <row r="27" spans="1:6" ht="15" x14ac:dyDescent="0.25">
      <c r="A27" s="196" t="s">
        <v>466</v>
      </c>
      <c r="B27" s="196"/>
      <c r="C27" s="196"/>
      <c r="D27" s="189"/>
      <c r="E27" s="102">
        <f t="shared" si="1"/>
        <v>0</v>
      </c>
      <c r="F27" s="102">
        <f t="shared" si="0"/>
        <v>0</v>
      </c>
    </row>
    <row r="28" spans="1:6" ht="15" x14ac:dyDescent="0.25">
      <c r="A28" s="196"/>
      <c r="B28" s="198" t="s">
        <v>449</v>
      </c>
      <c r="C28" s="196">
        <v>2022</v>
      </c>
      <c r="D28" s="188">
        <v>7500</v>
      </c>
      <c r="E28" s="102">
        <f t="shared" si="1"/>
        <v>7630</v>
      </c>
      <c r="F28" s="102">
        <f t="shared" si="0"/>
        <v>7800</v>
      </c>
    </row>
    <row r="29" spans="1:6" ht="15" x14ac:dyDescent="0.25">
      <c r="A29" s="196"/>
      <c r="B29" s="198" t="s">
        <v>467</v>
      </c>
      <c r="C29" s="196">
        <v>2022</v>
      </c>
      <c r="D29" s="189">
        <v>2500</v>
      </c>
      <c r="E29" s="102">
        <f t="shared" si="1"/>
        <v>2540</v>
      </c>
      <c r="F29" s="102">
        <f t="shared" si="0"/>
        <v>2600</v>
      </c>
    </row>
    <row r="30" spans="1:6" x14ac:dyDescent="0.2">
      <c r="D30" s="195"/>
    </row>
    <row r="31" spans="1:6" ht="15" x14ac:dyDescent="0.25">
      <c r="A31" s="199" t="s">
        <v>454</v>
      </c>
      <c r="B31" s="196"/>
      <c r="C31" s="196"/>
      <c r="D31" s="191">
        <f>SUM(D6:D30)</f>
        <v>931500</v>
      </c>
      <c r="E31" s="191">
        <f>SUM(E6:E30)+20</f>
        <v>947500</v>
      </c>
      <c r="F31" s="191">
        <f>SUM(F6:F29)</f>
        <v>970400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Totaal</vt:lpstr>
      <vt:lpstr>Gem Bezit</vt:lpstr>
      <vt:lpstr>PO en VO</vt:lpstr>
      <vt:lpstr>kunst</vt:lpstr>
      <vt:lpstr>Dataplace ICT</vt:lpstr>
      <vt:lpstr>Lingewaard ICT</vt:lpstr>
      <vt:lpstr>'Gem Bezit'!Afdrukbereik</vt:lpstr>
      <vt:lpstr>kunst!Afdrukbereik</vt:lpstr>
      <vt:lpstr>'PO en VO'!Afdrukbereik</vt:lpstr>
      <vt:lpstr>Totaal!Afdrukbereik</vt:lpstr>
      <vt:lpstr>'Gem Bezit'!Afdruktitels</vt:lpstr>
      <vt:lpstr>'PO en VO'!Afdruktitels</vt:lpstr>
    </vt:vector>
  </TitlesOfParts>
  <Company>PixxelMedia V.O.F.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Jimmy Ramkisoen</dc:creator>
  <cp:lastModifiedBy>Petra Cornelisse</cp:lastModifiedBy>
  <cp:lastPrinted>2022-01-13T09:00:22Z</cp:lastPrinted>
  <dcterms:created xsi:type="dcterms:W3CDTF">2007-10-05T06:33:25Z</dcterms:created>
  <dcterms:modified xsi:type="dcterms:W3CDTF">2025-01-07T12:49:21Z</dcterms:modified>
</cp:coreProperties>
</file>