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Hogeschool der Kunsten Den Haag\EA\2025\Bestek\"/>
    </mc:Choice>
  </mc:AlternateContent>
  <xr:revisionPtr revIDLastSave="0" documentId="8_{A83E345B-413E-4DF1-914B-D497AB6CDF0A}" xr6:coauthVersionLast="47" xr6:coauthVersionMax="47" xr10:uidLastSave="{00000000-0000-0000-0000-000000000000}"/>
  <bookViews>
    <workbookView xWindow="-120" yWindow="-120" windowWidth="25440" windowHeight="15270" activeTab="1" xr2:uid="{61735FB4-A4DE-42E1-9588-60CFD9B13F09}"/>
  </bookViews>
  <sheets>
    <sheet name="Overzicht" sheetId="5" r:id="rId1"/>
    <sheet name="Specificatie" sheetId="1" r:id="rId2"/>
    <sheet name="Taxaties" sheetId="8" r:id="rId3"/>
    <sheet name="Mutaties" sheetId="7" state="hidden" r:id="rId4"/>
    <sheet name="Verrekening Jaarpremie" sheetId="2" r:id="rId5"/>
    <sheet name="Periodepremies" sheetId="9" state="hidden" r:id="rId6"/>
    <sheet name="Verrekening Pro Rata-CAD" sheetId="3" state="hidden" r:id="rId7"/>
    <sheet name="Data" sheetId="4" state="hidden" r:id="rId8"/>
  </sheets>
  <definedNames>
    <definedName name="_xlnm._FilterDatabase" localSheetId="1" hidden="1">Specificatie!$A$1:$AB$18</definedName>
    <definedName name="Bouwaard">Data!$B$2:$B$6</definedName>
    <definedName name="CAD">Data!$C$2:$C$3</definedName>
    <definedName name="courtage">'Verrekening Jaarpremie'!#REF!</definedName>
    <definedName name="Interest">Data!$A$2:$A$16</definedName>
    <definedName name="_xlnm.Print_Area" localSheetId="1">Specificatie!$A$1:$AC$19</definedName>
    <definedName name="Taxatie">Data!$D$2:$D$4</definedName>
  </definedNames>
  <calcPr calcId="191028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1" l="1"/>
  <c r="J13" i="9"/>
  <c r="J12" i="9"/>
  <c r="C13" i="9"/>
  <c r="C12" i="9"/>
  <c r="A20" i="7"/>
  <c r="C20" i="7"/>
  <c r="E20" i="7"/>
  <c r="J20" i="7" s="1"/>
  <c r="K20" i="7" s="1"/>
  <c r="N20" i="7"/>
  <c r="R20" i="7" a="1"/>
  <c r="R20" i="7" s="1"/>
  <c r="V20" i="7"/>
  <c r="W20" i="7"/>
  <c r="X20" i="7"/>
  <c r="Y20" i="7"/>
  <c r="Z20" i="7"/>
  <c r="AA20" i="7"/>
  <c r="AB20" i="7"/>
  <c r="AC20" i="7"/>
  <c r="AD20" i="7"/>
  <c r="AE20" i="7"/>
  <c r="A21" i="7"/>
  <c r="C21" i="7"/>
  <c r="E21" i="7"/>
  <c r="J21" i="7" s="1"/>
  <c r="K21" i="7" s="1"/>
  <c r="N21" i="7"/>
  <c r="Q21" i="7" s="1"/>
  <c r="S21" i="7" a="1"/>
  <c r="S21" i="7" s="1"/>
  <c r="T21" i="7"/>
  <c r="V21" i="7"/>
  <c r="W21" i="7"/>
  <c r="X21" i="7"/>
  <c r="Y21" i="7"/>
  <c r="Z21" i="7"/>
  <c r="AA21" i="7"/>
  <c r="AB21" i="7"/>
  <c r="AC21" i="7"/>
  <c r="AD21" i="7"/>
  <c r="AE21" i="7"/>
  <c r="A22" i="7"/>
  <c r="C22" i="7"/>
  <c r="E22" i="7"/>
  <c r="J22" i="7" s="1"/>
  <c r="K22" i="7" s="1"/>
  <c r="N22" i="7"/>
  <c r="R22" i="7" a="1"/>
  <c r="R22" i="7" s="1"/>
  <c r="V22" i="7"/>
  <c r="W22" i="7"/>
  <c r="X22" i="7"/>
  <c r="Y22" i="7"/>
  <c r="Z22" i="7"/>
  <c r="AA22" i="7"/>
  <c r="AB22" i="7"/>
  <c r="AC22" i="7"/>
  <c r="AD22" i="7"/>
  <c r="AE22" i="7"/>
  <c r="A23" i="7"/>
  <c r="C23" i="7"/>
  <c r="E23" i="7"/>
  <c r="J23" i="7" s="1"/>
  <c r="K23" i="7" s="1"/>
  <c r="N23" i="7"/>
  <c r="Q23" i="7" s="1"/>
  <c r="S23" i="7" a="1"/>
  <c r="S23" i="7" s="1"/>
  <c r="T23" i="7"/>
  <c r="V23" i="7"/>
  <c r="W23" i="7"/>
  <c r="X23" i="7"/>
  <c r="Y23" i="7"/>
  <c r="Z23" i="7"/>
  <c r="AA23" i="7"/>
  <c r="AB23" i="7"/>
  <c r="AC23" i="7"/>
  <c r="AD23" i="7"/>
  <c r="AE23" i="7"/>
  <c r="A24" i="7"/>
  <c r="C24" i="7"/>
  <c r="E24" i="7"/>
  <c r="J24" i="7" s="1"/>
  <c r="K24" i="7" s="1"/>
  <c r="N24" i="7"/>
  <c r="V24" i="7"/>
  <c r="W24" i="7"/>
  <c r="X24" i="7"/>
  <c r="Y24" i="7"/>
  <c r="Z24" i="7"/>
  <c r="AA24" i="7"/>
  <c r="AB24" i="7"/>
  <c r="AC24" i="7"/>
  <c r="AD24" i="7"/>
  <c r="AE24" i="7"/>
  <c r="A25" i="7"/>
  <c r="C25" i="7"/>
  <c r="E25" i="7"/>
  <c r="J25" i="7" s="1"/>
  <c r="K25" i="7" s="1"/>
  <c r="N25" i="7"/>
  <c r="Q25" i="7" s="1"/>
  <c r="S25" i="7" a="1"/>
  <c r="S25" i="7" s="1"/>
  <c r="T25" i="7"/>
  <c r="V25" i="7"/>
  <c r="W25" i="7"/>
  <c r="X25" i="7"/>
  <c r="Y25" i="7"/>
  <c r="Z25" i="7"/>
  <c r="AA25" i="7"/>
  <c r="AB25" i="7"/>
  <c r="AC25" i="7"/>
  <c r="AD25" i="7"/>
  <c r="AE25" i="7"/>
  <c r="A26" i="7"/>
  <c r="C26" i="7"/>
  <c r="E26" i="7"/>
  <c r="J26" i="7" s="1"/>
  <c r="K26" i="7" s="1"/>
  <c r="N26" i="7"/>
  <c r="R26" i="7" a="1"/>
  <c r="R26" i="7" s="1"/>
  <c r="V26" i="7"/>
  <c r="W26" i="7"/>
  <c r="X26" i="7"/>
  <c r="Y26" i="7"/>
  <c r="Z26" i="7"/>
  <c r="AA26" i="7"/>
  <c r="AB26" i="7"/>
  <c r="AC26" i="7"/>
  <c r="AD26" i="7"/>
  <c r="AE26" i="7"/>
  <c r="A27" i="7"/>
  <c r="C27" i="7"/>
  <c r="E27" i="7"/>
  <c r="J27" i="7" s="1"/>
  <c r="K27" i="7" s="1"/>
  <c r="N27" i="7"/>
  <c r="Q27" i="7" s="1"/>
  <c r="S27" i="7" a="1"/>
  <c r="S27" i="7" s="1"/>
  <c r="T27" i="7"/>
  <c r="V27" i="7"/>
  <c r="W27" i="7"/>
  <c r="X27" i="7"/>
  <c r="Y27" i="7"/>
  <c r="Z27" i="7"/>
  <c r="AA27" i="7"/>
  <c r="AB27" i="7"/>
  <c r="AC27" i="7"/>
  <c r="AD27" i="7"/>
  <c r="AE27" i="7"/>
  <c r="A28" i="7"/>
  <c r="C28" i="7"/>
  <c r="E28" i="7"/>
  <c r="J28" i="7" s="1"/>
  <c r="K28" i="7" s="1"/>
  <c r="N28" i="7"/>
  <c r="V28" i="7"/>
  <c r="W28" i="7"/>
  <c r="X28" i="7"/>
  <c r="Y28" i="7"/>
  <c r="Z28" i="7"/>
  <c r="AA28" i="7"/>
  <c r="AB28" i="7"/>
  <c r="AC28" i="7"/>
  <c r="AD28" i="7"/>
  <c r="AE28" i="7"/>
  <c r="A29" i="7"/>
  <c r="C29" i="7"/>
  <c r="E29" i="7"/>
  <c r="J29" i="7" s="1"/>
  <c r="K29" i="7" s="1"/>
  <c r="N29" i="7"/>
  <c r="Q29" i="7" s="1"/>
  <c r="S29" i="7" a="1"/>
  <c r="S29" i="7" s="1"/>
  <c r="T29" i="7"/>
  <c r="V29" i="7"/>
  <c r="W29" i="7"/>
  <c r="X29" i="7"/>
  <c r="Y29" i="7"/>
  <c r="Z29" i="7"/>
  <c r="AA29" i="7"/>
  <c r="AB29" i="7"/>
  <c r="AC29" i="7"/>
  <c r="AD29" i="7"/>
  <c r="AE29" i="7"/>
  <c r="A30" i="7"/>
  <c r="C30" i="7"/>
  <c r="E30" i="7"/>
  <c r="J30" i="7" s="1"/>
  <c r="K30" i="7" s="1"/>
  <c r="N30" i="7"/>
  <c r="R30" i="7" s="1" a="1"/>
  <c r="R30" i="7" s="1"/>
  <c r="V30" i="7"/>
  <c r="W30" i="7"/>
  <c r="X30" i="7"/>
  <c r="Y30" i="7"/>
  <c r="Z30" i="7"/>
  <c r="AA30" i="7"/>
  <c r="AB30" i="7"/>
  <c r="AC30" i="7"/>
  <c r="AD30" i="7"/>
  <c r="AE30" i="7"/>
  <c r="A31" i="7"/>
  <c r="C31" i="7"/>
  <c r="E31" i="7"/>
  <c r="J31" i="7" s="1"/>
  <c r="K31" i="7" s="1"/>
  <c r="N31" i="7"/>
  <c r="Q31" i="7" s="1"/>
  <c r="S31" i="7" a="1"/>
  <c r="S31" i="7" s="1"/>
  <c r="T31" i="7"/>
  <c r="V31" i="7"/>
  <c r="W31" i="7"/>
  <c r="X31" i="7"/>
  <c r="Y31" i="7"/>
  <c r="Z31" i="7"/>
  <c r="AA31" i="7"/>
  <c r="AB31" i="7"/>
  <c r="AC31" i="7"/>
  <c r="AD31" i="7"/>
  <c r="AE31" i="7"/>
  <c r="A32" i="7"/>
  <c r="C32" i="7"/>
  <c r="E32" i="7"/>
  <c r="J32" i="7" s="1"/>
  <c r="K32" i="7" s="1"/>
  <c r="N32" i="7"/>
  <c r="R32" i="7" a="1"/>
  <c r="R32" i="7" s="1"/>
  <c r="V32" i="7"/>
  <c r="W32" i="7"/>
  <c r="X32" i="7"/>
  <c r="Y32" i="7"/>
  <c r="Z32" i="7"/>
  <c r="AA32" i="7"/>
  <c r="AB32" i="7"/>
  <c r="AC32" i="7"/>
  <c r="AD32" i="7"/>
  <c r="AE32" i="7"/>
  <c r="A33" i="7"/>
  <c r="C33" i="7"/>
  <c r="E33" i="7"/>
  <c r="J33" i="7"/>
  <c r="K33" i="7" s="1"/>
  <c r="N33" i="7"/>
  <c r="Q33" i="7" s="1"/>
  <c r="S33" i="7" a="1"/>
  <c r="S33" i="7" s="1"/>
  <c r="T33" i="7"/>
  <c r="V33" i="7"/>
  <c r="W33" i="7"/>
  <c r="X33" i="7"/>
  <c r="Y33" i="7"/>
  <c r="Z33" i="7"/>
  <c r="AA33" i="7"/>
  <c r="AB33" i="7"/>
  <c r="AC33" i="7"/>
  <c r="AD33" i="7"/>
  <c r="AE33" i="7"/>
  <c r="A34" i="7"/>
  <c r="C34" i="7"/>
  <c r="E34" i="7"/>
  <c r="J34" i="7" s="1"/>
  <c r="K34" i="7" s="1"/>
  <c r="N34" i="7"/>
  <c r="R34" i="7" a="1"/>
  <c r="R34" i="7" s="1"/>
  <c r="V34" i="7"/>
  <c r="W34" i="7"/>
  <c r="X34" i="7"/>
  <c r="Y34" i="7"/>
  <c r="Z34" i="7"/>
  <c r="AA34" i="7"/>
  <c r="AB34" i="7"/>
  <c r="AC34" i="7"/>
  <c r="AD34" i="7"/>
  <c r="AE34" i="7"/>
  <c r="A35" i="7"/>
  <c r="C35" i="7"/>
  <c r="E35" i="7"/>
  <c r="J35" i="7" s="1"/>
  <c r="K35" i="7" s="1"/>
  <c r="N35" i="7"/>
  <c r="Q35" i="7" s="1"/>
  <c r="S35" i="7" a="1"/>
  <c r="S35" i="7" s="1"/>
  <c r="T35" i="7"/>
  <c r="V35" i="7"/>
  <c r="W35" i="7"/>
  <c r="X35" i="7"/>
  <c r="Y35" i="7"/>
  <c r="Z35" i="7"/>
  <c r="AA35" i="7"/>
  <c r="AB35" i="7"/>
  <c r="AC35" i="7"/>
  <c r="AD35" i="7"/>
  <c r="AE35" i="7"/>
  <c r="A36" i="7"/>
  <c r="C36" i="7"/>
  <c r="E36" i="7"/>
  <c r="J36" i="7" s="1"/>
  <c r="K36" i="7" s="1"/>
  <c r="N36" i="7"/>
  <c r="R36" i="7" s="1" a="1"/>
  <c r="R36" i="7" s="1"/>
  <c r="V36" i="7"/>
  <c r="W36" i="7"/>
  <c r="X36" i="7"/>
  <c r="Y36" i="7"/>
  <c r="Z36" i="7"/>
  <c r="AA36" i="7"/>
  <c r="AB36" i="7"/>
  <c r="AC36" i="7"/>
  <c r="AD36" i="7"/>
  <c r="AE36" i="7"/>
  <c r="A37" i="7"/>
  <c r="C37" i="7"/>
  <c r="E37" i="7"/>
  <c r="J37" i="7" s="1"/>
  <c r="K37" i="7" s="1"/>
  <c r="N37" i="7"/>
  <c r="Q37" i="7" s="1"/>
  <c r="S37" i="7" a="1"/>
  <c r="S37" i="7" s="1"/>
  <c r="T37" i="7"/>
  <c r="V37" i="7"/>
  <c r="W37" i="7"/>
  <c r="X37" i="7"/>
  <c r="Y37" i="7"/>
  <c r="Z37" i="7"/>
  <c r="AA37" i="7"/>
  <c r="AB37" i="7"/>
  <c r="AC37" i="7"/>
  <c r="AD37" i="7"/>
  <c r="AE37" i="7"/>
  <c r="A38" i="7"/>
  <c r="C38" i="7"/>
  <c r="E38" i="7"/>
  <c r="J38" i="7" s="1"/>
  <c r="K38" i="7" s="1"/>
  <c r="N38" i="7"/>
  <c r="S38" i="7" a="1"/>
  <c r="S38" i="7" s="1"/>
  <c r="V38" i="7"/>
  <c r="W38" i="7"/>
  <c r="X38" i="7"/>
  <c r="Y38" i="7"/>
  <c r="Z38" i="7"/>
  <c r="AA38" i="7"/>
  <c r="AB38" i="7"/>
  <c r="AC38" i="7"/>
  <c r="AD38" i="7"/>
  <c r="AE38" i="7"/>
  <c r="A39" i="7"/>
  <c r="C39" i="7"/>
  <c r="E39" i="7"/>
  <c r="J39" i="7" s="1"/>
  <c r="K39" i="7" s="1"/>
  <c r="N39" i="7"/>
  <c r="S39" i="7" s="1" a="1"/>
  <c r="S39" i="7" s="1"/>
  <c r="T39" i="7"/>
  <c r="V39" i="7"/>
  <c r="W39" i="7"/>
  <c r="X39" i="7"/>
  <c r="Y39" i="7"/>
  <c r="Z39" i="7"/>
  <c r="AA39" i="7"/>
  <c r="AB39" i="7"/>
  <c r="AC39" i="7"/>
  <c r="AD39" i="7"/>
  <c r="AE39" i="7"/>
  <c r="A40" i="7"/>
  <c r="C40" i="7"/>
  <c r="E40" i="7"/>
  <c r="J40" i="7" s="1"/>
  <c r="K40" i="7" s="1"/>
  <c r="N40" i="7"/>
  <c r="R40" i="7" a="1"/>
  <c r="R40" i="7" s="1"/>
  <c r="S40" i="7" a="1"/>
  <c r="S40" i="7" s="1"/>
  <c r="V40" i="7"/>
  <c r="W40" i="7"/>
  <c r="X40" i="7"/>
  <c r="Y40" i="7"/>
  <c r="Z40" i="7"/>
  <c r="AA40" i="7"/>
  <c r="AB40" i="7"/>
  <c r="AC40" i="7"/>
  <c r="AD40" i="7"/>
  <c r="AE40" i="7"/>
  <c r="A41" i="7"/>
  <c r="C41" i="7"/>
  <c r="E41" i="7"/>
  <c r="J41" i="7" s="1"/>
  <c r="K41" i="7" s="1"/>
  <c r="N41" i="7"/>
  <c r="S41" i="7" s="1" a="1"/>
  <c r="S41" i="7" s="1"/>
  <c r="T41" i="7"/>
  <c r="V41" i="7"/>
  <c r="W41" i="7"/>
  <c r="X41" i="7"/>
  <c r="Y41" i="7"/>
  <c r="Z41" i="7"/>
  <c r="AA41" i="7"/>
  <c r="AB41" i="7"/>
  <c r="AC41" i="7"/>
  <c r="AD41" i="7"/>
  <c r="AE41" i="7"/>
  <c r="A42" i="7"/>
  <c r="C42" i="7"/>
  <c r="E42" i="7"/>
  <c r="J42" i="7" s="1"/>
  <c r="K42" i="7" s="1"/>
  <c r="N42" i="7"/>
  <c r="R42" i="7" a="1"/>
  <c r="R42" i="7" s="1"/>
  <c r="S42" i="7" a="1"/>
  <c r="S42" i="7" s="1"/>
  <c r="V42" i="7"/>
  <c r="W42" i="7"/>
  <c r="X42" i="7"/>
  <c r="Y42" i="7"/>
  <c r="Z42" i="7"/>
  <c r="AA42" i="7"/>
  <c r="AB42" i="7"/>
  <c r="AC42" i="7"/>
  <c r="AD42" i="7"/>
  <c r="AE42" i="7"/>
  <c r="A43" i="7"/>
  <c r="C43" i="7"/>
  <c r="E43" i="7"/>
  <c r="J43" i="7" s="1"/>
  <c r="K43" i="7" s="1"/>
  <c r="N43" i="7"/>
  <c r="S43" i="7" a="1"/>
  <c r="S43" i="7" s="1"/>
  <c r="T43" i="7"/>
  <c r="V43" i="7"/>
  <c r="W43" i="7"/>
  <c r="X43" i="7"/>
  <c r="Y43" i="7"/>
  <c r="Z43" i="7"/>
  <c r="AA43" i="7"/>
  <c r="AB43" i="7"/>
  <c r="AC43" i="7"/>
  <c r="AD43" i="7"/>
  <c r="AE43" i="7"/>
  <c r="A44" i="7"/>
  <c r="C44" i="7"/>
  <c r="E44" i="7"/>
  <c r="J44" i="7" s="1"/>
  <c r="K44" i="7" s="1"/>
  <c r="N44" i="7"/>
  <c r="R44" i="7" a="1"/>
  <c r="R44" i="7" s="1"/>
  <c r="S44" i="7" a="1"/>
  <c r="S44" i="7" s="1"/>
  <c r="V44" i="7"/>
  <c r="W44" i="7"/>
  <c r="X44" i="7"/>
  <c r="Y44" i="7"/>
  <c r="Z44" i="7"/>
  <c r="AA44" i="7"/>
  <c r="AB44" i="7"/>
  <c r="AC44" i="7"/>
  <c r="AD44" i="7"/>
  <c r="AE44" i="7"/>
  <c r="A45" i="7"/>
  <c r="C45" i="7"/>
  <c r="E45" i="7"/>
  <c r="J45" i="7" s="1"/>
  <c r="K45" i="7" s="1"/>
  <c r="N45" i="7"/>
  <c r="S45" i="7" a="1"/>
  <c r="S45" i="7" s="1"/>
  <c r="T45" i="7"/>
  <c r="V45" i="7"/>
  <c r="W45" i="7"/>
  <c r="X45" i="7"/>
  <c r="Y45" i="7"/>
  <c r="Z45" i="7"/>
  <c r="AA45" i="7"/>
  <c r="AB45" i="7"/>
  <c r="AC45" i="7"/>
  <c r="AD45" i="7"/>
  <c r="AE45" i="7"/>
  <c r="A46" i="7"/>
  <c r="C46" i="7"/>
  <c r="E46" i="7"/>
  <c r="J46" i="7" s="1"/>
  <c r="K46" i="7" s="1"/>
  <c r="N46" i="7"/>
  <c r="V46" i="7"/>
  <c r="W46" i="7"/>
  <c r="X46" i="7"/>
  <c r="Y46" i="7"/>
  <c r="Z46" i="7"/>
  <c r="AA46" i="7"/>
  <c r="AB46" i="7"/>
  <c r="AC46" i="7"/>
  <c r="AD46" i="7"/>
  <c r="AE46" i="7"/>
  <c r="A47" i="7"/>
  <c r="C47" i="7"/>
  <c r="E47" i="7"/>
  <c r="J47" i="7" s="1"/>
  <c r="K47" i="7" s="1"/>
  <c r="N47" i="7"/>
  <c r="R47" i="7" s="1" a="1"/>
  <c r="Q47" i="7"/>
  <c r="R47" i="7"/>
  <c r="S47" i="7" a="1"/>
  <c r="S47" i="7" s="1"/>
  <c r="V47" i="7"/>
  <c r="W47" i="7"/>
  <c r="X47" i="7"/>
  <c r="Y47" i="7"/>
  <c r="Z47" i="7"/>
  <c r="AA47" i="7"/>
  <c r="AB47" i="7"/>
  <c r="AC47" i="7"/>
  <c r="AD47" i="7"/>
  <c r="AE47" i="7"/>
  <c r="A48" i="7"/>
  <c r="C48" i="7"/>
  <c r="E48" i="7"/>
  <c r="J48" i="7" s="1"/>
  <c r="K48" i="7" s="1"/>
  <c r="N48" i="7"/>
  <c r="V48" i="7"/>
  <c r="W48" i="7"/>
  <c r="X48" i="7"/>
  <c r="Y48" i="7"/>
  <c r="Z48" i="7"/>
  <c r="AA48" i="7"/>
  <c r="AB48" i="7"/>
  <c r="AC48" i="7"/>
  <c r="AD48" i="7"/>
  <c r="AE48" i="7"/>
  <c r="A49" i="7"/>
  <c r="C49" i="7"/>
  <c r="E49" i="7"/>
  <c r="J49" i="7" s="1"/>
  <c r="K49" i="7" s="1"/>
  <c r="N49" i="7"/>
  <c r="Q49" i="7"/>
  <c r="R49" i="7" a="1"/>
  <c r="R49" i="7"/>
  <c r="S49" i="7" a="1"/>
  <c r="S49" i="7" s="1"/>
  <c r="T49" i="7"/>
  <c r="V49" i="7"/>
  <c r="W49" i="7"/>
  <c r="X49" i="7"/>
  <c r="Y49" i="7"/>
  <c r="Z49" i="7"/>
  <c r="AA49" i="7"/>
  <c r="AB49" i="7"/>
  <c r="AC49" i="7"/>
  <c r="AD49" i="7"/>
  <c r="AE49" i="7"/>
  <c r="A50" i="7"/>
  <c r="C50" i="7"/>
  <c r="E50" i="7"/>
  <c r="J50" i="7" s="1"/>
  <c r="K50" i="7" s="1"/>
  <c r="N50" i="7"/>
  <c r="R50" i="7" s="1" a="1"/>
  <c r="R50" i="7" s="1"/>
  <c r="V50" i="7"/>
  <c r="W50" i="7"/>
  <c r="X50" i="7"/>
  <c r="Y50" i="7"/>
  <c r="Z50" i="7"/>
  <c r="AA50" i="7"/>
  <c r="AB50" i="7"/>
  <c r="AC50" i="7"/>
  <c r="AD50" i="7"/>
  <c r="AE50" i="7"/>
  <c r="A51" i="7"/>
  <c r="C51" i="7"/>
  <c r="E51" i="7"/>
  <c r="J51" i="7" s="1"/>
  <c r="K51" i="7" s="1"/>
  <c r="N51" i="7"/>
  <c r="Q51" i="7" s="1"/>
  <c r="S51" i="7" a="1"/>
  <c r="S51" i="7" s="1"/>
  <c r="T51" i="7"/>
  <c r="V51" i="7"/>
  <c r="W51" i="7"/>
  <c r="X51" i="7"/>
  <c r="Y51" i="7"/>
  <c r="Z51" i="7"/>
  <c r="AA51" i="7"/>
  <c r="AB51" i="7"/>
  <c r="AC51" i="7"/>
  <c r="AD51" i="7"/>
  <c r="AE51" i="7"/>
  <c r="A52" i="7"/>
  <c r="C52" i="7"/>
  <c r="E52" i="7"/>
  <c r="J52" i="7" s="1"/>
  <c r="K52" i="7" s="1"/>
  <c r="N52" i="7"/>
  <c r="R52" i="7" a="1"/>
  <c r="R52" i="7" s="1"/>
  <c r="V52" i="7"/>
  <c r="W52" i="7"/>
  <c r="X52" i="7"/>
  <c r="Y52" i="7"/>
  <c r="Z52" i="7"/>
  <c r="AA52" i="7"/>
  <c r="AB52" i="7"/>
  <c r="AC52" i="7"/>
  <c r="AD52" i="7"/>
  <c r="AE52" i="7"/>
  <c r="A53" i="7"/>
  <c r="C53" i="7"/>
  <c r="E53" i="7"/>
  <c r="J53" i="7"/>
  <c r="K53" i="7" s="1"/>
  <c r="N53" i="7"/>
  <c r="Q53" i="7" s="1"/>
  <c r="S53" i="7" a="1"/>
  <c r="S53" i="7" s="1"/>
  <c r="T53" i="7"/>
  <c r="V53" i="7"/>
  <c r="W53" i="7"/>
  <c r="X53" i="7"/>
  <c r="Y53" i="7"/>
  <c r="Z53" i="7"/>
  <c r="AA53" i="7"/>
  <c r="AB53" i="7"/>
  <c r="AC53" i="7"/>
  <c r="AD53" i="7"/>
  <c r="AE53" i="7"/>
  <c r="A54" i="7"/>
  <c r="C54" i="7"/>
  <c r="E54" i="7"/>
  <c r="J54" i="7" s="1"/>
  <c r="K54" i="7" s="1"/>
  <c r="N54" i="7"/>
  <c r="V54" i="7"/>
  <c r="W54" i="7"/>
  <c r="X54" i="7"/>
  <c r="Y54" i="7"/>
  <c r="Z54" i="7"/>
  <c r="AA54" i="7"/>
  <c r="AB54" i="7"/>
  <c r="AC54" i="7"/>
  <c r="AD54" i="7"/>
  <c r="AE54" i="7"/>
  <c r="A55" i="7"/>
  <c r="C55" i="7"/>
  <c r="E55" i="7"/>
  <c r="J55" i="7" s="1"/>
  <c r="K55" i="7" s="1"/>
  <c r="N55" i="7"/>
  <c r="Q55" i="7" s="1"/>
  <c r="S55" i="7" a="1"/>
  <c r="S55" i="7" s="1"/>
  <c r="T55" i="7"/>
  <c r="V55" i="7"/>
  <c r="W55" i="7"/>
  <c r="X55" i="7"/>
  <c r="Y55" i="7"/>
  <c r="Z55" i="7"/>
  <c r="AA55" i="7"/>
  <c r="AB55" i="7"/>
  <c r="AC55" i="7"/>
  <c r="AD55" i="7"/>
  <c r="AE55" i="7"/>
  <c r="A56" i="7"/>
  <c r="C56" i="7"/>
  <c r="E56" i="7"/>
  <c r="J56" i="7" s="1"/>
  <c r="K56" i="7" s="1"/>
  <c r="N56" i="7"/>
  <c r="R56" i="7" a="1"/>
  <c r="R56" i="7" s="1"/>
  <c r="V56" i="7"/>
  <c r="W56" i="7"/>
  <c r="X56" i="7"/>
  <c r="Y56" i="7"/>
  <c r="Z56" i="7"/>
  <c r="AA56" i="7"/>
  <c r="AB56" i="7"/>
  <c r="AC56" i="7"/>
  <c r="AD56" i="7"/>
  <c r="AE56" i="7"/>
  <c r="A57" i="7"/>
  <c r="C57" i="7"/>
  <c r="E57" i="7"/>
  <c r="J57" i="7" s="1"/>
  <c r="K57" i="7" s="1"/>
  <c r="N57" i="7"/>
  <c r="Q57" i="7" s="1"/>
  <c r="S57" i="7" a="1"/>
  <c r="S57" i="7" s="1"/>
  <c r="T57" i="7"/>
  <c r="V57" i="7"/>
  <c r="W57" i="7"/>
  <c r="X57" i="7"/>
  <c r="Y57" i="7"/>
  <c r="Z57" i="7"/>
  <c r="AA57" i="7"/>
  <c r="AB57" i="7"/>
  <c r="AC57" i="7"/>
  <c r="AD57" i="7"/>
  <c r="AE57" i="7"/>
  <c r="A58" i="7"/>
  <c r="C58" i="7"/>
  <c r="E58" i="7"/>
  <c r="J58" i="7" s="1"/>
  <c r="K58" i="7" s="1"/>
  <c r="N58" i="7"/>
  <c r="V58" i="7"/>
  <c r="W58" i="7"/>
  <c r="X58" i="7"/>
  <c r="Y58" i="7"/>
  <c r="Z58" i="7"/>
  <c r="AA58" i="7"/>
  <c r="AB58" i="7"/>
  <c r="AC58" i="7"/>
  <c r="AD58" i="7"/>
  <c r="AE58" i="7"/>
  <c r="A59" i="7"/>
  <c r="C59" i="7"/>
  <c r="E59" i="7"/>
  <c r="J59" i="7" s="1"/>
  <c r="K59" i="7" s="1"/>
  <c r="N59" i="7"/>
  <c r="Q59" i="7" s="1"/>
  <c r="S59" i="7" a="1"/>
  <c r="S59" i="7" s="1"/>
  <c r="T59" i="7"/>
  <c r="V59" i="7"/>
  <c r="W59" i="7"/>
  <c r="X59" i="7"/>
  <c r="Y59" i="7"/>
  <c r="Z59" i="7"/>
  <c r="AA59" i="7"/>
  <c r="AB59" i="7"/>
  <c r="AC59" i="7"/>
  <c r="AD59" i="7"/>
  <c r="AE59" i="7"/>
  <c r="A60" i="7"/>
  <c r="C60" i="7"/>
  <c r="E60" i="7"/>
  <c r="J60" i="7" s="1"/>
  <c r="K60" i="7" s="1"/>
  <c r="N60" i="7"/>
  <c r="R60" i="7" a="1"/>
  <c r="R60" i="7" s="1"/>
  <c r="V60" i="7"/>
  <c r="W60" i="7"/>
  <c r="X60" i="7"/>
  <c r="Y60" i="7"/>
  <c r="Z60" i="7"/>
  <c r="AA60" i="7"/>
  <c r="AB60" i="7"/>
  <c r="AC60" i="7"/>
  <c r="AD60" i="7"/>
  <c r="AE60" i="7"/>
  <c r="A61" i="7"/>
  <c r="C61" i="7"/>
  <c r="E61" i="7"/>
  <c r="J61" i="7" s="1"/>
  <c r="K61" i="7" s="1"/>
  <c r="N61" i="7"/>
  <c r="Q61" i="7" s="1"/>
  <c r="S61" i="7" a="1"/>
  <c r="S61" i="7" s="1"/>
  <c r="T61" i="7"/>
  <c r="V61" i="7"/>
  <c r="W61" i="7"/>
  <c r="X61" i="7"/>
  <c r="Y61" i="7"/>
  <c r="Z61" i="7"/>
  <c r="AA61" i="7"/>
  <c r="AB61" i="7"/>
  <c r="AC61" i="7"/>
  <c r="AD61" i="7"/>
  <c r="AE61" i="7"/>
  <c r="A62" i="7"/>
  <c r="C62" i="7"/>
  <c r="E62" i="7"/>
  <c r="J62" i="7" s="1"/>
  <c r="K62" i="7" s="1"/>
  <c r="N62" i="7"/>
  <c r="R62" i="7" s="1" a="1"/>
  <c r="R62" i="7" s="1"/>
  <c r="V62" i="7"/>
  <c r="W62" i="7"/>
  <c r="X62" i="7"/>
  <c r="Y62" i="7"/>
  <c r="Z62" i="7"/>
  <c r="AA62" i="7"/>
  <c r="AB62" i="7"/>
  <c r="AC62" i="7"/>
  <c r="AD62" i="7"/>
  <c r="AE62" i="7"/>
  <c r="A63" i="7"/>
  <c r="C63" i="7"/>
  <c r="E63" i="7"/>
  <c r="J63" i="7" s="1"/>
  <c r="K63" i="7" s="1"/>
  <c r="N63" i="7"/>
  <c r="Q63" i="7" s="1"/>
  <c r="S63" i="7" a="1"/>
  <c r="S63" i="7" s="1"/>
  <c r="T63" i="7"/>
  <c r="V63" i="7"/>
  <c r="W63" i="7"/>
  <c r="X63" i="7"/>
  <c r="Y63" i="7"/>
  <c r="Z63" i="7"/>
  <c r="AA63" i="7"/>
  <c r="AB63" i="7"/>
  <c r="AC63" i="7"/>
  <c r="AD63" i="7"/>
  <c r="AE63" i="7"/>
  <c r="A64" i="7"/>
  <c r="C64" i="7"/>
  <c r="E64" i="7"/>
  <c r="J64" i="7" s="1"/>
  <c r="K64" i="7" s="1"/>
  <c r="N64" i="7"/>
  <c r="R64" i="7" a="1"/>
  <c r="R64" i="7" s="1"/>
  <c r="V64" i="7"/>
  <c r="W64" i="7"/>
  <c r="X64" i="7"/>
  <c r="Y64" i="7"/>
  <c r="Z64" i="7"/>
  <c r="AA64" i="7"/>
  <c r="AB64" i="7"/>
  <c r="AC64" i="7"/>
  <c r="AD64" i="7"/>
  <c r="AE64" i="7"/>
  <c r="A65" i="7"/>
  <c r="C65" i="7"/>
  <c r="E65" i="7"/>
  <c r="J65" i="7" s="1"/>
  <c r="K65" i="7" s="1"/>
  <c r="N65" i="7"/>
  <c r="Q65" i="7" s="1"/>
  <c r="S65" i="7" a="1"/>
  <c r="S65" i="7" s="1"/>
  <c r="T65" i="7"/>
  <c r="V65" i="7"/>
  <c r="W65" i="7"/>
  <c r="X65" i="7"/>
  <c r="Y65" i="7"/>
  <c r="Z65" i="7"/>
  <c r="AA65" i="7"/>
  <c r="AB65" i="7"/>
  <c r="AC65" i="7"/>
  <c r="AD65" i="7"/>
  <c r="AE65" i="7"/>
  <c r="A66" i="7"/>
  <c r="C66" i="7"/>
  <c r="E66" i="7"/>
  <c r="J66" i="7" s="1"/>
  <c r="K66" i="7" s="1"/>
  <c r="N66" i="7"/>
  <c r="T66" i="7" s="1"/>
  <c r="Q66" i="7"/>
  <c r="S66" i="7" a="1"/>
  <c r="S66" i="7" s="1"/>
  <c r="V66" i="7"/>
  <c r="W66" i="7"/>
  <c r="X66" i="7"/>
  <c r="Y66" i="7"/>
  <c r="Z66" i="7"/>
  <c r="AA66" i="7"/>
  <c r="AB66" i="7"/>
  <c r="AC66" i="7"/>
  <c r="AD66" i="7"/>
  <c r="AE66" i="7"/>
  <c r="A67" i="7"/>
  <c r="C67" i="7"/>
  <c r="E67" i="7"/>
  <c r="J67" i="7" s="1"/>
  <c r="K67" i="7" s="1"/>
  <c r="N67" i="7"/>
  <c r="R67" i="7" s="1" a="1"/>
  <c r="R67" i="7" s="1"/>
  <c r="Q67" i="7"/>
  <c r="U67" i="7" s="1"/>
  <c r="S67" i="7" a="1"/>
  <c r="S67" i="7"/>
  <c r="T67" i="7"/>
  <c r="V67" i="7"/>
  <c r="W67" i="7"/>
  <c r="X67" i="7"/>
  <c r="Y67" i="7"/>
  <c r="Z67" i="7"/>
  <c r="AA67" i="7"/>
  <c r="AB67" i="7"/>
  <c r="AC67" i="7"/>
  <c r="AD67" i="7"/>
  <c r="AE67" i="7"/>
  <c r="A68" i="7"/>
  <c r="C68" i="7"/>
  <c r="E68" i="7"/>
  <c r="J68" i="7" s="1"/>
  <c r="K68" i="7" s="1"/>
  <c r="N68" i="7"/>
  <c r="T68" i="7" s="1"/>
  <c r="Q68" i="7"/>
  <c r="R68" i="7" a="1"/>
  <c r="R68" i="7" s="1"/>
  <c r="S68" i="7" a="1"/>
  <c r="S68" i="7" s="1"/>
  <c r="V68" i="7"/>
  <c r="W68" i="7"/>
  <c r="X68" i="7"/>
  <c r="Y68" i="7"/>
  <c r="Z68" i="7"/>
  <c r="AA68" i="7"/>
  <c r="AB68" i="7"/>
  <c r="AC68" i="7"/>
  <c r="AD68" i="7"/>
  <c r="AE68" i="7"/>
  <c r="A69" i="7"/>
  <c r="C69" i="7"/>
  <c r="E69" i="7"/>
  <c r="J69" i="7" s="1"/>
  <c r="K69" i="7" s="1"/>
  <c r="N69" i="7"/>
  <c r="Q69" i="7"/>
  <c r="U69" i="7" s="1"/>
  <c r="R69" i="7" a="1"/>
  <c r="R69" i="7"/>
  <c r="S69" i="7" a="1"/>
  <c r="S69" i="7"/>
  <c r="T69" i="7"/>
  <c r="V69" i="7"/>
  <c r="W69" i="7"/>
  <c r="X69" i="7"/>
  <c r="Y69" i="7"/>
  <c r="Z69" i="7"/>
  <c r="AA69" i="7"/>
  <c r="AB69" i="7"/>
  <c r="AC69" i="7"/>
  <c r="AD69" i="7"/>
  <c r="AE69" i="7"/>
  <c r="A70" i="7"/>
  <c r="C70" i="7"/>
  <c r="E70" i="7"/>
  <c r="J70" i="7" s="1"/>
  <c r="K70" i="7" s="1"/>
  <c r="N70" i="7"/>
  <c r="R70" i="7" s="1" a="1"/>
  <c r="R70" i="7" s="1"/>
  <c r="Q70" i="7"/>
  <c r="V70" i="7"/>
  <c r="W70" i="7"/>
  <c r="X70" i="7"/>
  <c r="Y70" i="7"/>
  <c r="Z70" i="7"/>
  <c r="AA70" i="7"/>
  <c r="AB70" i="7"/>
  <c r="AC70" i="7"/>
  <c r="AD70" i="7"/>
  <c r="AE70" i="7"/>
  <c r="A71" i="7"/>
  <c r="C71" i="7"/>
  <c r="E71" i="7"/>
  <c r="J71" i="7" s="1"/>
  <c r="K71" i="7" s="1"/>
  <c r="N71" i="7"/>
  <c r="T71" i="7" s="1"/>
  <c r="Q71" i="7"/>
  <c r="R71" i="7" a="1"/>
  <c r="R71" i="7"/>
  <c r="S71" i="7" a="1"/>
  <c r="S71" i="7" s="1"/>
  <c r="V71" i="7"/>
  <c r="W71" i="7"/>
  <c r="X71" i="7"/>
  <c r="Y71" i="7"/>
  <c r="Z71" i="7"/>
  <c r="AA71" i="7"/>
  <c r="AB71" i="7"/>
  <c r="AC71" i="7"/>
  <c r="AD71" i="7"/>
  <c r="AE71" i="7"/>
  <c r="A72" i="7"/>
  <c r="C72" i="7"/>
  <c r="E72" i="7"/>
  <c r="J72" i="7" s="1"/>
  <c r="K72" i="7" s="1"/>
  <c r="N72" i="7"/>
  <c r="Q72" i="7" s="1"/>
  <c r="V72" i="7"/>
  <c r="W72" i="7"/>
  <c r="X72" i="7"/>
  <c r="Y72" i="7"/>
  <c r="Z72" i="7"/>
  <c r="AA72" i="7"/>
  <c r="AB72" i="7"/>
  <c r="AC72" i="7"/>
  <c r="AD72" i="7"/>
  <c r="AE72" i="7"/>
  <c r="A73" i="7"/>
  <c r="C73" i="7"/>
  <c r="E73" i="7"/>
  <c r="J73" i="7" s="1"/>
  <c r="K73" i="7" s="1"/>
  <c r="N73" i="7"/>
  <c r="T73" i="7" s="1"/>
  <c r="Q73" i="7"/>
  <c r="S73" i="7" a="1"/>
  <c r="S73" i="7" s="1"/>
  <c r="V73" i="7"/>
  <c r="W73" i="7"/>
  <c r="X73" i="7"/>
  <c r="Y73" i="7"/>
  <c r="Z73" i="7"/>
  <c r="AA73" i="7"/>
  <c r="AB73" i="7"/>
  <c r="AC73" i="7"/>
  <c r="AD73" i="7"/>
  <c r="AE73" i="7"/>
  <c r="A74" i="7"/>
  <c r="C74" i="7"/>
  <c r="E74" i="7"/>
  <c r="J74" i="7" s="1"/>
  <c r="K74" i="7" s="1"/>
  <c r="N74" i="7"/>
  <c r="Q74" i="7" s="1"/>
  <c r="V74" i="7"/>
  <c r="W74" i="7"/>
  <c r="X74" i="7"/>
  <c r="Y74" i="7"/>
  <c r="Z74" i="7"/>
  <c r="AA74" i="7"/>
  <c r="AB74" i="7"/>
  <c r="AC74" i="7"/>
  <c r="AD74" i="7"/>
  <c r="AE74" i="7"/>
  <c r="A75" i="7"/>
  <c r="C75" i="7"/>
  <c r="E75" i="7"/>
  <c r="J75" i="7" s="1"/>
  <c r="K75" i="7" s="1"/>
  <c r="N75" i="7"/>
  <c r="T75" i="7" s="1"/>
  <c r="Q75" i="7"/>
  <c r="S75" i="7" a="1"/>
  <c r="S75" i="7" s="1"/>
  <c r="V75" i="7"/>
  <c r="W75" i="7"/>
  <c r="X75" i="7"/>
  <c r="Y75" i="7"/>
  <c r="Z75" i="7"/>
  <c r="AA75" i="7"/>
  <c r="AB75" i="7"/>
  <c r="AC75" i="7"/>
  <c r="AD75" i="7"/>
  <c r="AE75" i="7"/>
  <c r="A76" i="7"/>
  <c r="C76" i="7"/>
  <c r="E76" i="7"/>
  <c r="J76" i="7" s="1"/>
  <c r="K76" i="7" s="1"/>
  <c r="N76" i="7"/>
  <c r="Q76" i="7" s="1"/>
  <c r="V76" i="7"/>
  <c r="W76" i="7"/>
  <c r="X76" i="7"/>
  <c r="Y76" i="7"/>
  <c r="Z76" i="7"/>
  <c r="AA76" i="7"/>
  <c r="AB76" i="7"/>
  <c r="AC76" i="7"/>
  <c r="AD76" i="7"/>
  <c r="AE76" i="7"/>
  <c r="A77" i="7"/>
  <c r="C77" i="7"/>
  <c r="E77" i="7"/>
  <c r="J77" i="7" s="1"/>
  <c r="K77" i="7" s="1"/>
  <c r="N77" i="7"/>
  <c r="T77" i="7" s="1"/>
  <c r="Q77" i="7"/>
  <c r="S77" i="7" a="1"/>
  <c r="S77" i="7" s="1"/>
  <c r="V77" i="7"/>
  <c r="W77" i="7"/>
  <c r="X77" i="7"/>
  <c r="Y77" i="7"/>
  <c r="Z77" i="7"/>
  <c r="AA77" i="7"/>
  <c r="AB77" i="7"/>
  <c r="AC77" i="7"/>
  <c r="AD77" i="7"/>
  <c r="AE77" i="7"/>
  <c r="A78" i="7"/>
  <c r="C78" i="7"/>
  <c r="E78" i="7"/>
  <c r="J78" i="7" s="1"/>
  <c r="K78" i="7" s="1"/>
  <c r="N78" i="7"/>
  <c r="Q78" i="7" s="1"/>
  <c r="V78" i="7"/>
  <c r="W78" i="7"/>
  <c r="X78" i="7"/>
  <c r="Y78" i="7"/>
  <c r="Z78" i="7"/>
  <c r="AA78" i="7"/>
  <c r="AB78" i="7"/>
  <c r="AC78" i="7"/>
  <c r="AD78" i="7"/>
  <c r="AE78" i="7"/>
  <c r="A79" i="7"/>
  <c r="C79" i="7"/>
  <c r="E79" i="7"/>
  <c r="J79" i="7" s="1"/>
  <c r="K79" i="7" s="1"/>
  <c r="N79" i="7"/>
  <c r="T79" i="7" s="1"/>
  <c r="Q79" i="7"/>
  <c r="S79" i="7" a="1"/>
  <c r="S79" i="7" s="1"/>
  <c r="V79" i="7"/>
  <c r="W79" i="7"/>
  <c r="X79" i="7"/>
  <c r="Y79" i="7"/>
  <c r="Z79" i="7"/>
  <c r="AA79" i="7"/>
  <c r="AB79" i="7"/>
  <c r="AC79" i="7"/>
  <c r="AD79" i="7"/>
  <c r="AE79" i="7"/>
  <c r="A80" i="7"/>
  <c r="C80" i="7"/>
  <c r="E80" i="7"/>
  <c r="J80" i="7" s="1"/>
  <c r="K80" i="7" s="1"/>
  <c r="N80" i="7"/>
  <c r="Q80" i="7" s="1"/>
  <c r="V80" i="7"/>
  <c r="W80" i="7"/>
  <c r="X80" i="7"/>
  <c r="Y80" i="7"/>
  <c r="Z80" i="7"/>
  <c r="AA80" i="7"/>
  <c r="AB80" i="7"/>
  <c r="AC80" i="7"/>
  <c r="AD80" i="7"/>
  <c r="AE80" i="7"/>
  <c r="A81" i="7"/>
  <c r="C81" i="7"/>
  <c r="E81" i="7"/>
  <c r="J81" i="7" s="1"/>
  <c r="K81" i="7" s="1"/>
  <c r="N81" i="7"/>
  <c r="T81" i="7" s="1"/>
  <c r="Q81" i="7"/>
  <c r="S81" i="7" a="1"/>
  <c r="S81" i="7" s="1"/>
  <c r="V81" i="7"/>
  <c r="W81" i="7"/>
  <c r="X81" i="7"/>
  <c r="Y81" i="7"/>
  <c r="Z81" i="7"/>
  <c r="AA81" i="7"/>
  <c r="AB81" i="7"/>
  <c r="AC81" i="7"/>
  <c r="AD81" i="7"/>
  <c r="AE81" i="7"/>
  <c r="A82" i="7"/>
  <c r="C82" i="7"/>
  <c r="E82" i="7"/>
  <c r="J82" i="7" s="1"/>
  <c r="K82" i="7" s="1"/>
  <c r="N82" i="7"/>
  <c r="Q82" i="7"/>
  <c r="V82" i="7"/>
  <c r="W82" i="7"/>
  <c r="X82" i="7"/>
  <c r="Y82" i="7"/>
  <c r="Z82" i="7"/>
  <c r="AA82" i="7"/>
  <c r="AB82" i="7"/>
  <c r="AC82" i="7"/>
  <c r="AD82" i="7"/>
  <c r="AE82" i="7"/>
  <c r="A83" i="7"/>
  <c r="C83" i="7"/>
  <c r="E83" i="7"/>
  <c r="J83" i="7" s="1"/>
  <c r="K83" i="7" s="1"/>
  <c r="N83" i="7"/>
  <c r="T83" i="7" s="1"/>
  <c r="Q83" i="7"/>
  <c r="S83" i="7" a="1"/>
  <c r="S83" i="7"/>
  <c r="V83" i="7"/>
  <c r="W83" i="7"/>
  <c r="X83" i="7"/>
  <c r="Y83" i="7"/>
  <c r="Z83" i="7"/>
  <c r="AA83" i="7"/>
  <c r="AB83" i="7"/>
  <c r="AC83" i="7"/>
  <c r="AD83" i="7"/>
  <c r="AE83" i="7"/>
  <c r="A84" i="7"/>
  <c r="C84" i="7"/>
  <c r="E84" i="7"/>
  <c r="J84" i="7" s="1"/>
  <c r="K84" i="7" s="1"/>
  <c r="N84" i="7"/>
  <c r="Q84" i="7"/>
  <c r="S84" i="7" a="1"/>
  <c r="S84" i="7" s="1"/>
  <c r="V84" i="7"/>
  <c r="W84" i="7"/>
  <c r="X84" i="7"/>
  <c r="Y84" i="7"/>
  <c r="Z84" i="7"/>
  <c r="AA84" i="7"/>
  <c r="AB84" i="7"/>
  <c r="AC84" i="7"/>
  <c r="AD84" i="7"/>
  <c r="AE84" i="7"/>
  <c r="A85" i="7"/>
  <c r="C85" i="7"/>
  <c r="E85" i="7"/>
  <c r="J85" i="7" s="1"/>
  <c r="K85" i="7" s="1"/>
  <c r="N85" i="7"/>
  <c r="Q85" i="7"/>
  <c r="S85" i="7" a="1"/>
  <c r="S85" i="7" s="1"/>
  <c r="V85" i="7"/>
  <c r="W85" i="7"/>
  <c r="X85" i="7"/>
  <c r="Y85" i="7"/>
  <c r="Z85" i="7"/>
  <c r="AA85" i="7"/>
  <c r="AB85" i="7"/>
  <c r="AC85" i="7"/>
  <c r="AD85" i="7"/>
  <c r="AE85" i="7"/>
  <c r="A86" i="7"/>
  <c r="C86" i="7"/>
  <c r="E86" i="7"/>
  <c r="J86" i="7" s="1"/>
  <c r="K86" i="7" s="1"/>
  <c r="N86" i="7"/>
  <c r="S86" i="7" s="1" a="1"/>
  <c r="S86" i="7" s="1"/>
  <c r="V86" i="7"/>
  <c r="W86" i="7"/>
  <c r="X86" i="7"/>
  <c r="Y86" i="7"/>
  <c r="Z86" i="7"/>
  <c r="AA86" i="7"/>
  <c r="AB86" i="7"/>
  <c r="AC86" i="7"/>
  <c r="AD86" i="7"/>
  <c r="AE86" i="7"/>
  <c r="A87" i="7"/>
  <c r="C87" i="7"/>
  <c r="E87" i="7"/>
  <c r="J87" i="7" s="1"/>
  <c r="K87" i="7" s="1"/>
  <c r="N87" i="7"/>
  <c r="Q87" i="7"/>
  <c r="S87" i="7" a="1"/>
  <c r="S87" i="7" s="1"/>
  <c r="V87" i="7"/>
  <c r="W87" i="7"/>
  <c r="X87" i="7"/>
  <c r="Y87" i="7"/>
  <c r="Z87" i="7"/>
  <c r="AA87" i="7"/>
  <c r="AB87" i="7"/>
  <c r="AC87" i="7"/>
  <c r="AD87" i="7"/>
  <c r="AE87" i="7"/>
  <c r="A88" i="7"/>
  <c r="C88" i="7"/>
  <c r="E88" i="7"/>
  <c r="J88" i="7" s="1"/>
  <c r="K88" i="7" s="1"/>
  <c r="N88" i="7"/>
  <c r="Q88" i="7"/>
  <c r="R88" i="7" a="1"/>
  <c r="R88" i="7" s="1"/>
  <c r="S88" i="7" a="1"/>
  <c r="S88" i="7" s="1"/>
  <c r="T88" i="7"/>
  <c r="V88" i="7"/>
  <c r="W88" i="7"/>
  <c r="X88" i="7"/>
  <c r="Y88" i="7"/>
  <c r="Z88" i="7"/>
  <c r="AA88" i="7"/>
  <c r="AB88" i="7"/>
  <c r="AC88" i="7"/>
  <c r="AD88" i="7"/>
  <c r="AE88" i="7"/>
  <c r="A89" i="7"/>
  <c r="C89" i="7"/>
  <c r="E89" i="7"/>
  <c r="J89" i="7" s="1"/>
  <c r="K89" i="7" s="1"/>
  <c r="N89" i="7"/>
  <c r="Q89" i="7" s="1"/>
  <c r="V89" i="7"/>
  <c r="W89" i="7"/>
  <c r="X89" i="7"/>
  <c r="Y89" i="7"/>
  <c r="Z89" i="7"/>
  <c r="AA89" i="7"/>
  <c r="AB89" i="7"/>
  <c r="AC89" i="7"/>
  <c r="AD89" i="7"/>
  <c r="AE89" i="7"/>
  <c r="A90" i="7"/>
  <c r="C90" i="7"/>
  <c r="E90" i="7"/>
  <c r="J90" i="7" s="1"/>
  <c r="K90" i="7" s="1"/>
  <c r="N90" i="7"/>
  <c r="T90" i="7" s="1"/>
  <c r="Q90" i="7"/>
  <c r="R90" i="7" a="1"/>
  <c r="R90" i="7" s="1"/>
  <c r="S90" i="7" a="1"/>
  <c r="S90" i="7" s="1"/>
  <c r="V90" i="7"/>
  <c r="W90" i="7"/>
  <c r="X90" i="7"/>
  <c r="Y90" i="7"/>
  <c r="Z90" i="7"/>
  <c r="AA90" i="7"/>
  <c r="AB90" i="7"/>
  <c r="AC90" i="7"/>
  <c r="AD90" i="7"/>
  <c r="AE90" i="7"/>
  <c r="A91" i="7"/>
  <c r="C91" i="7"/>
  <c r="E91" i="7"/>
  <c r="J91" i="7" s="1"/>
  <c r="K91" i="7" s="1"/>
  <c r="N91" i="7"/>
  <c r="Q91" i="7" s="1"/>
  <c r="V91" i="7"/>
  <c r="W91" i="7"/>
  <c r="X91" i="7"/>
  <c r="Y91" i="7"/>
  <c r="Z91" i="7"/>
  <c r="AA91" i="7"/>
  <c r="AB91" i="7"/>
  <c r="AC91" i="7"/>
  <c r="AD91" i="7"/>
  <c r="AE91" i="7"/>
  <c r="A92" i="7"/>
  <c r="C92" i="7"/>
  <c r="E92" i="7"/>
  <c r="J92" i="7" s="1"/>
  <c r="K92" i="7" s="1"/>
  <c r="N92" i="7"/>
  <c r="T92" i="7" s="1"/>
  <c r="Q92" i="7"/>
  <c r="R92" i="7" a="1"/>
  <c r="R92" i="7" s="1"/>
  <c r="S92" i="7" a="1"/>
  <c r="S92" i="7" s="1"/>
  <c r="V92" i="7"/>
  <c r="W92" i="7"/>
  <c r="X92" i="7"/>
  <c r="Y92" i="7"/>
  <c r="Z92" i="7"/>
  <c r="AA92" i="7"/>
  <c r="AB92" i="7"/>
  <c r="AC92" i="7"/>
  <c r="AD92" i="7"/>
  <c r="AE92" i="7"/>
  <c r="A93" i="7"/>
  <c r="C93" i="7"/>
  <c r="E93" i="7"/>
  <c r="J93" i="7" s="1"/>
  <c r="K93" i="7" s="1"/>
  <c r="N93" i="7"/>
  <c r="Q93" i="7" s="1"/>
  <c r="V93" i="7"/>
  <c r="W93" i="7"/>
  <c r="X93" i="7"/>
  <c r="Y93" i="7"/>
  <c r="Z93" i="7"/>
  <c r="AA93" i="7"/>
  <c r="AB93" i="7"/>
  <c r="AC93" i="7"/>
  <c r="AD93" i="7"/>
  <c r="AE93" i="7"/>
  <c r="A94" i="7"/>
  <c r="C94" i="7"/>
  <c r="E94" i="7"/>
  <c r="J94" i="7" s="1"/>
  <c r="K94" i="7" s="1"/>
  <c r="N94" i="7"/>
  <c r="T94" i="7" s="1"/>
  <c r="Q94" i="7"/>
  <c r="R94" i="7" a="1"/>
  <c r="R94" i="7" s="1"/>
  <c r="S94" i="7" a="1"/>
  <c r="S94" i="7" s="1"/>
  <c r="V94" i="7"/>
  <c r="W94" i="7"/>
  <c r="X94" i="7"/>
  <c r="Y94" i="7"/>
  <c r="Z94" i="7"/>
  <c r="AA94" i="7"/>
  <c r="AB94" i="7"/>
  <c r="AC94" i="7"/>
  <c r="AD94" i="7"/>
  <c r="AE94" i="7"/>
  <c r="A95" i="7"/>
  <c r="C95" i="7"/>
  <c r="E95" i="7"/>
  <c r="J95" i="7" s="1"/>
  <c r="K95" i="7" s="1"/>
  <c r="N95" i="7"/>
  <c r="Q95" i="7" s="1"/>
  <c r="V95" i="7"/>
  <c r="W95" i="7"/>
  <c r="X95" i="7"/>
  <c r="Y95" i="7"/>
  <c r="Z95" i="7"/>
  <c r="AA95" i="7"/>
  <c r="AB95" i="7"/>
  <c r="AC95" i="7"/>
  <c r="AD95" i="7"/>
  <c r="AE95" i="7"/>
  <c r="A96" i="7"/>
  <c r="C96" i="7"/>
  <c r="E96" i="7"/>
  <c r="J96" i="7" s="1"/>
  <c r="K96" i="7" s="1"/>
  <c r="N96" i="7"/>
  <c r="T96" i="7" s="1"/>
  <c r="Q96" i="7"/>
  <c r="R96" i="7" a="1"/>
  <c r="R96" i="7" s="1"/>
  <c r="S96" i="7" a="1"/>
  <c r="S96" i="7" s="1"/>
  <c r="V96" i="7"/>
  <c r="W96" i="7"/>
  <c r="X96" i="7"/>
  <c r="Y96" i="7"/>
  <c r="Z96" i="7"/>
  <c r="AA96" i="7"/>
  <c r="AB96" i="7"/>
  <c r="AC96" i="7"/>
  <c r="AD96" i="7"/>
  <c r="AE96" i="7"/>
  <c r="A97" i="7"/>
  <c r="C97" i="7"/>
  <c r="E97" i="7"/>
  <c r="J97" i="7" s="1"/>
  <c r="K97" i="7" s="1"/>
  <c r="N97" i="7"/>
  <c r="Q97" i="7" s="1"/>
  <c r="V97" i="7"/>
  <c r="W97" i="7"/>
  <c r="X97" i="7"/>
  <c r="Y97" i="7"/>
  <c r="Z97" i="7"/>
  <c r="AA97" i="7"/>
  <c r="AB97" i="7"/>
  <c r="AC97" i="7"/>
  <c r="AD97" i="7"/>
  <c r="AE97" i="7"/>
  <c r="A98" i="7"/>
  <c r="C98" i="7"/>
  <c r="E98" i="7"/>
  <c r="J98" i="7" s="1"/>
  <c r="K98" i="7" s="1"/>
  <c r="N98" i="7"/>
  <c r="T98" i="7" s="1"/>
  <c r="Q98" i="7"/>
  <c r="R98" i="7" a="1"/>
  <c r="R98" i="7" s="1"/>
  <c r="S98" i="7" a="1"/>
  <c r="S98" i="7" s="1"/>
  <c r="V98" i="7"/>
  <c r="W98" i="7"/>
  <c r="X98" i="7"/>
  <c r="Y98" i="7"/>
  <c r="Z98" i="7"/>
  <c r="AA98" i="7"/>
  <c r="AB98" i="7"/>
  <c r="AC98" i="7"/>
  <c r="AD98" i="7"/>
  <c r="AE98" i="7"/>
  <c r="A99" i="7"/>
  <c r="C99" i="7"/>
  <c r="E99" i="7"/>
  <c r="J99" i="7" s="1"/>
  <c r="K99" i="7" s="1"/>
  <c r="N99" i="7"/>
  <c r="Q99" i="7" s="1"/>
  <c r="V99" i="7"/>
  <c r="W99" i="7"/>
  <c r="X99" i="7"/>
  <c r="Y99" i="7"/>
  <c r="Z99" i="7"/>
  <c r="AA99" i="7"/>
  <c r="AB99" i="7"/>
  <c r="AC99" i="7"/>
  <c r="AD99" i="7"/>
  <c r="AE99" i="7"/>
  <c r="B12" i="8"/>
  <c r="F12" i="8" s="1" a="1"/>
  <c r="F12" i="8" s="1"/>
  <c r="B13" i="8"/>
  <c r="F13" i="8" s="1" a="1"/>
  <c r="F13" i="8" s="1"/>
  <c r="B14" i="8"/>
  <c r="F14" i="8" s="1" a="1"/>
  <c r="F14" i="8" s="1"/>
  <c r="B15" i="8"/>
  <c r="F15" i="8" s="1" a="1"/>
  <c r="F15" i="8" s="1"/>
  <c r="B16" i="8"/>
  <c r="F16" i="8" s="1" a="1"/>
  <c r="F16" i="8" s="1"/>
  <c r="B17" i="8"/>
  <c r="F17" i="8" s="1" a="1"/>
  <c r="F17" i="8" s="1"/>
  <c r="B18" i="8"/>
  <c r="F18" i="8" s="1" a="1"/>
  <c r="F18" i="8" s="1"/>
  <c r="B19" i="8"/>
  <c r="F19" i="8" s="1" a="1"/>
  <c r="F19" i="8" s="1"/>
  <c r="B20" i="8"/>
  <c r="F20" i="8" s="1" a="1"/>
  <c r="F20" i="8" s="1"/>
  <c r="B21" i="8"/>
  <c r="F21" i="8" s="1" a="1"/>
  <c r="F21" i="8" s="1"/>
  <c r="B22" i="8"/>
  <c r="F22" i="8" s="1" a="1"/>
  <c r="F22" i="8" s="1"/>
  <c r="B23" i="8"/>
  <c r="F23" i="8" s="1" a="1"/>
  <c r="F23" i="8" s="1"/>
  <c r="B24" i="8"/>
  <c r="F24" i="8" s="1" a="1"/>
  <c r="F24" i="8" s="1"/>
  <c r="M30" i="9"/>
  <c r="K29" i="9"/>
  <c r="J29" i="9"/>
  <c r="I29" i="9"/>
  <c r="K28" i="9"/>
  <c r="J28" i="9"/>
  <c r="I28" i="9"/>
  <c r="K27" i="9"/>
  <c r="J27" i="9"/>
  <c r="I27" i="9"/>
  <c r="K26" i="9"/>
  <c r="J26" i="9"/>
  <c r="I26" i="9"/>
  <c r="K25" i="9"/>
  <c r="J25" i="9"/>
  <c r="I25" i="9"/>
  <c r="K24" i="9"/>
  <c r="J24" i="9"/>
  <c r="I24" i="9"/>
  <c r="K23" i="9"/>
  <c r="J23" i="9"/>
  <c r="I23" i="9"/>
  <c r="K22" i="9"/>
  <c r="J22" i="9"/>
  <c r="I22" i="9"/>
  <c r="K21" i="9"/>
  <c r="J21" i="9"/>
  <c r="I21" i="9"/>
  <c r="K20" i="9"/>
  <c r="J20" i="9"/>
  <c r="I20" i="9"/>
  <c r="F30" i="9"/>
  <c r="D29" i="9"/>
  <c r="C29" i="9"/>
  <c r="B29" i="9"/>
  <c r="D28" i="9"/>
  <c r="C28" i="9"/>
  <c r="B28" i="9"/>
  <c r="D27" i="9"/>
  <c r="C27" i="9"/>
  <c r="B27" i="9"/>
  <c r="D26" i="9"/>
  <c r="C26" i="9"/>
  <c r="B26" i="9"/>
  <c r="D25" i="9"/>
  <c r="C25" i="9"/>
  <c r="B25" i="9"/>
  <c r="D24" i="9"/>
  <c r="C24" i="9"/>
  <c r="B24" i="9"/>
  <c r="D23" i="9"/>
  <c r="C23" i="9"/>
  <c r="B23" i="9"/>
  <c r="D22" i="9"/>
  <c r="C22" i="9"/>
  <c r="B22" i="9"/>
  <c r="D21" i="9"/>
  <c r="C21" i="9"/>
  <c r="B21" i="9"/>
  <c r="D20" i="9"/>
  <c r="C20" i="9"/>
  <c r="B20" i="9"/>
  <c r="B6" i="8"/>
  <c r="B7" i="8"/>
  <c r="B8" i="8"/>
  <c r="B9" i="8"/>
  <c r="B10" i="8"/>
  <c r="B11" i="8"/>
  <c r="B5" i="8"/>
  <c r="V11" i="7"/>
  <c r="AG9" i="7"/>
  <c r="AH9" i="7"/>
  <c r="AI9" i="7"/>
  <c r="AJ9" i="7"/>
  <c r="AK9" i="7"/>
  <c r="AL9" i="7"/>
  <c r="AM9" i="7"/>
  <c r="AN9" i="7"/>
  <c r="AO9" i="7"/>
  <c r="AF9" i="7"/>
  <c r="W9" i="7"/>
  <c r="X9" i="7"/>
  <c r="Y9" i="7"/>
  <c r="Z9" i="7"/>
  <c r="AA9" i="7"/>
  <c r="AB9" i="7"/>
  <c r="AC9" i="7"/>
  <c r="AD9" i="7"/>
  <c r="AE9" i="7"/>
  <c r="V9" i="7"/>
  <c r="AA12" i="7"/>
  <c r="AB12" i="7"/>
  <c r="AC12" i="7"/>
  <c r="AD12" i="7"/>
  <c r="AE12" i="7"/>
  <c r="AA13" i="7"/>
  <c r="AB13" i="7"/>
  <c r="AC13" i="7"/>
  <c r="AD13" i="7"/>
  <c r="AE13" i="7"/>
  <c r="AA14" i="7"/>
  <c r="AB14" i="7"/>
  <c r="AC14" i="7"/>
  <c r="AD14" i="7"/>
  <c r="AE14" i="7"/>
  <c r="AA15" i="7"/>
  <c r="AB15" i="7"/>
  <c r="AC15" i="7"/>
  <c r="AD15" i="7"/>
  <c r="AE15" i="7"/>
  <c r="AA16" i="7"/>
  <c r="AB16" i="7"/>
  <c r="AC16" i="7"/>
  <c r="AD16" i="7"/>
  <c r="AE16" i="7"/>
  <c r="AA17" i="7"/>
  <c r="AB17" i="7"/>
  <c r="AC17" i="7"/>
  <c r="AD17" i="7"/>
  <c r="AE17" i="7"/>
  <c r="AA18" i="7"/>
  <c r="AB18" i="7"/>
  <c r="AC18" i="7"/>
  <c r="AD18" i="7"/>
  <c r="AE18" i="7"/>
  <c r="AA19" i="7"/>
  <c r="AB19" i="7"/>
  <c r="AC19" i="7"/>
  <c r="AD19" i="7"/>
  <c r="AE19" i="7"/>
  <c r="AE11" i="7"/>
  <c r="AD11" i="7"/>
  <c r="AC11" i="7"/>
  <c r="AB11" i="7"/>
  <c r="AA11" i="7"/>
  <c r="AG8" i="7"/>
  <c r="AH8" i="7"/>
  <c r="AI8" i="7"/>
  <c r="AJ8" i="7"/>
  <c r="AK8" i="7"/>
  <c r="AL8" i="7"/>
  <c r="AM8" i="7"/>
  <c r="AN8" i="7"/>
  <c r="AO8" i="7"/>
  <c r="D20" i="3"/>
  <c r="C20" i="3"/>
  <c r="B20" i="3"/>
  <c r="D19" i="3"/>
  <c r="C19" i="3"/>
  <c r="B19" i="3"/>
  <c r="D18" i="3"/>
  <c r="C18" i="3"/>
  <c r="B18" i="3"/>
  <c r="D17" i="3"/>
  <c r="C17" i="3"/>
  <c r="B17" i="3"/>
  <c r="B17" i="2"/>
  <c r="B18" i="2"/>
  <c r="B19" i="2"/>
  <c r="B20" i="2"/>
  <c r="AA8" i="7"/>
  <c r="AB8" i="7"/>
  <c r="AC8" i="7"/>
  <c r="AD8" i="7"/>
  <c r="AE8" i="7"/>
  <c r="AG69" i="7" l="1"/>
  <c r="AM69" i="7"/>
  <c r="K30" i="9"/>
  <c r="U90" i="7"/>
  <c r="U88" i="7"/>
  <c r="U98" i="7"/>
  <c r="U96" i="7"/>
  <c r="U94" i="7"/>
  <c r="U92" i="7"/>
  <c r="S54" i="7" a="1"/>
  <c r="S54" i="7" s="1"/>
  <c r="T54" i="7"/>
  <c r="Q54" i="7"/>
  <c r="U54" i="7" s="1"/>
  <c r="R54" i="7" a="1"/>
  <c r="R54" i="7" s="1"/>
  <c r="AO69" i="7"/>
  <c r="S64" i="7" a="1"/>
  <c r="S64" i="7" s="1"/>
  <c r="T64" i="7"/>
  <c r="Q64" i="7"/>
  <c r="T95" i="7"/>
  <c r="T93" i="7"/>
  <c r="T91" i="7"/>
  <c r="T89" i="7"/>
  <c r="T87" i="7"/>
  <c r="R87" i="7" a="1"/>
  <c r="R87" i="7" s="1"/>
  <c r="U87" i="7" s="1"/>
  <c r="T85" i="7"/>
  <c r="R85" i="7" a="1"/>
  <c r="R85" i="7" s="1"/>
  <c r="U85" i="7" s="1"/>
  <c r="AH69" i="7"/>
  <c r="AI69" i="7"/>
  <c r="AJ69" i="7"/>
  <c r="AK69" i="7"/>
  <c r="AL69" i="7"/>
  <c r="AF69" i="7"/>
  <c r="AN69" i="7"/>
  <c r="AK67" i="7"/>
  <c r="AF67" i="7"/>
  <c r="AN67" i="7"/>
  <c r="AG67" i="7"/>
  <c r="AO67" i="7"/>
  <c r="AH67" i="7"/>
  <c r="AI67" i="7"/>
  <c r="AL67" i="7"/>
  <c r="S99" i="7" a="1"/>
  <c r="S99" i="7" s="1"/>
  <c r="S97" i="7" a="1"/>
  <c r="S97" i="7" s="1"/>
  <c r="S95" i="7" a="1"/>
  <c r="S95" i="7" s="1"/>
  <c r="U95" i="7" s="1"/>
  <c r="S93" i="7" a="1"/>
  <c r="S93" i="7" s="1"/>
  <c r="S91" i="7" a="1"/>
  <c r="S91" i="7" s="1"/>
  <c r="U91" i="7" s="1"/>
  <c r="S89" i="7" a="1"/>
  <c r="S89" i="7" s="1"/>
  <c r="R84" i="7" a="1"/>
  <c r="R84" i="7" s="1"/>
  <c r="U84" i="7" s="1"/>
  <c r="T84" i="7"/>
  <c r="AM67" i="7"/>
  <c r="T97" i="7"/>
  <c r="R82" i="7" a="1"/>
  <c r="R82" i="7" s="1"/>
  <c r="S82" i="7" a="1"/>
  <c r="S82" i="7" s="1"/>
  <c r="T82" i="7"/>
  <c r="U81" i="7"/>
  <c r="AJ67" i="7"/>
  <c r="T99" i="7"/>
  <c r="R99" i="7" a="1"/>
  <c r="R99" i="7" s="1"/>
  <c r="U99" i="7" s="1"/>
  <c r="R97" i="7" a="1"/>
  <c r="R97" i="7" s="1"/>
  <c r="U97" i="7" s="1"/>
  <c r="R95" i="7" a="1"/>
  <c r="R95" i="7" s="1"/>
  <c r="R93" i="7" a="1"/>
  <c r="R93" i="7" s="1"/>
  <c r="U93" i="7" s="1"/>
  <c r="R91" i="7" a="1"/>
  <c r="R91" i="7" s="1"/>
  <c r="R89" i="7" a="1"/>
  <c r="R89" i="7" s="1"/>
  <c r="U89" i="7" s="1"/>
  <c r="U79" i="7"/>
  <c r="U77" i="7"/>
  <c r="S58" i="7" a="1"/>
  <c r="S58" i="7" s="1"/>
  <c r="T58" i="7"/>
  <c r="Q58" i="7"/>
  <c r="U58" i="7" s="1"/>
  <c r="R58" i="7" a="1"/>
  <c r="R58" i="7" s="1"/>
  <c r="S48" i="7" a="1"/>
  <c r="S48" i="7" s="1"/>
  <c r="T48" i="7"/>
  <c r="Q48" i="7"/>
  <c r="R48" i="7" a="1"/>
  <c r="R48" i="7" s="1"/>
  <c r="R86" i="7" a="1"/>
  <c r="R86" i="7" s="1"/>
  <c r="T86" i="7"/>
  <c r="Q86" i="7"/>
  <c r="U86" i="7" s="1"/>
  <c r="U71" i="7"/>
  <c r="U68" i="7"/>
  <c r="U23" i="7"/>
  <c r="R83" i="7" a="1"/>
  <c r="R83" i="7" s="1"/>
  <c r="U83" i="7" s="1"/>
  <c r="R81" i="7" a="1"/>
  <c r="R81" i="7" s="1"/>
  <c r="T80" i="7"/>
  <c r="R79" i="7" a="1"/>
  <c r="R79" i="7" s="1"/>
  <c r="T78" i="7"/>
  <c r="R77" i="7" a="1"/>
  <c r="R77" i="7" s="1"/>
  <c r="T76" i="7"/>
  <c r="R75" i="7" a="1"/>
  <c r="R75" i="7" s="1"/>
  <c r="U75" i="7" s="1"/>
  <c r="T74" i="7"/>
  <c r="R73" i="7" a="1"/>
  <c r="R73" i="7" s="1"/>
  <c r="U73" i="7" s="1"/>
  <c r="T72" i="7"/>
  <c r="T70" i="7"/>
  <c r="U63" i="7"/>
  <c r="S56" i="7" a="1"/>
  <c r="S56" i="7" s="1"/>
  <c r="T56" i="7"/>
  <c r="Q56" i="7"/>
  <c r="U56" i="7" s="1"/>
  <c r="S80" i="7" a="1"/>
  <c r="S80" i="7" s="1"/>
  <c r="S78" i="7" a="1"/>
  <c r="S78" i="7" s="1"/>
  <c r="S76" i="7" a="1"/>
  <c r="S76" i="7" s="1"/>
  <c r="S74" i="7" a="1"/>
  <c r="S74" i="7" s="1"/>
  <c r="S72" i="7" a="1"/>
  <c r="S72" i="7" s="1"/>
  <c r="S70" i="7" a="1"/>
  <c r="S70" i="7" s="1"/>
  <c r="R66" i="7" a="1"/>
  <c r="R66" i="7" s="1"/>
  <c r="U66" i="7" s="1"/>
  <c r="S60" i="7" a="1"/>
  <c r="S60" i="7" s="1"/>
  <c r="T60" i="7"/>
  <c r="Q60" i="7"/>
  <c r="U51" i="7"/>
  <c r="S62" i="7" a="1"/>
  <c r="S62" i="7" s="1"/>
  <c r="T62" i="7"/>
  <c r="Q62" i="7"/>
  <c r="U53" i="7"/>
  <c r="U49" i="7"/>
  <c r="U35" i="7"/>
  <c r="S24" i="7" a="1"/>
  <c r="S24" i="7" s="1"/>
  <c r="T24" i="7"/>
  <c r="Q24" i="7"/>
  <c r="R24" i="7" a="1"/>
  <c r="R24" i="7" s="1"/>
  <c r="R80" i="7" a="1"/>
  <c r="R80" i="7" s="1"/>
  <c r="U80" i="7" s="1"/>
  <c r="R78" i="7" a="1"/>
  <c r="R78" i="7" s="1"/>
  <c r="R76" i="7" a="1"/>
  <c r="R76" i="7" s="1"/>
  <c r="R74" i="7" a="1"/>
  <c r="R74" i="7" s="1"/>
  <c r="U74" i="7" s="1"/>
  <c r="R72" i="7" a="1"/>
  <c r="R72" i="7" s="1"/>
  <c r="U65" i="7"/>
  <c r="T38" i="7"/>
  <c r="Q38" i="7"/>
  <c r="U38" i="7" s="1"/>
  <c r="R38" i="7" a="1"/>
  <c r="R38" i="7" s="1"/>
  <c r="S50" i="7" a="1"/>
  <c r="S50" i="7" s="1"/>
  <c r="T50" i="7"/>
  <c r="Q50" i="7"/>
  <c r="U50" i="7" s="1"/>
  <c r="T46" i="7"/>
  <c r="Q46" i="7"/>
  <c r="R46" i="7" a="1"/>
  <c r="R46" i="7" s="1"/>
  <c r="S46" i="7" a="1"/>
  <c r="S46" i="7" s="1"/>
  <c r="S28" i="7" a="1"/>
  <c r="S28" i="7" s="1"/>
  <c r="T28" i="7"/>
  <c r="Q28" i="7"/>
  <c r="R28" i="7" a="1"/>
  <c r="R28" i="7" s="1"/>
  <c r="S52" i="7" a="1"/>
  <c r="S52" i="7" s="1"/>
  <c r="T52" i="7"/>
  <c r="Q52" i="7"/>
  <c r="S26" i="7" a="1"/>
  <c r="S26" i="7" s="1"/>
  <c r="T26" i="7"/>
  <c r="Q26" i="7"/>
  <c r="U26" i="7" s="1"/>
  <c r="S22" i="7" a="1"/>
  <c r="S22" i="7" s="1"/>
  <c r="T22" i="7"/>
  <c r="Q22" i="7"/>
  <c r="R65" i="7" a="1"/>
  <c r="R65" i="7" s="1"/>
  <c r="R63" i="7" a="1"/>
  <c r="R63" i="7" s="1"/>
  <c r="R61" i="7" a="1"/>
  <c r="R61" i="7" s="1"/>
  <c r="U61" i="7" s="1"/>
  <c r="R59" i="7" a="1"/>
  <c r="R59" i="7" s="1"/>
  <c r="U59" i="7" s="1"/>
  <c r="R57" i="7" a="1"/>
  <c r="R57" i="7" s="1"/>
  <c r="U57" i="7" s="1"/>
  <c r="R55" i="7" a="1"/>
  <c r="R55" i="7" s="1"/>
  <c r="U55" i="7" s="1"/>
  <c r="R53" i="7" a="1"/>
  <c r="R53" i="7" s="1"/>
  <c r="R51" i="7" a="1"/>
  <c r="R51" i="7" s="1"/>
  <c r="Q45" i="7"/>
  <c r="U45" i="7" s="1"/>
  <c r="R45" i="7" a="1"/>
  <c r="R45" i="7" s="1"/>
  <c r="T44" i="7"/>
  <c r="Q44" i="7"/>
  <c r="Q39" i="7"/>
  <c r="R39" i="7" a="1"/>
  <c r="R39" i="7" s="1"/>
  <c r="S36" i="7" a="1"/>
  <c r="S36" i="7" s="1"/>
  <c r="T36" i="7"/>
  <c r="Q36" i="7"/>
  <c r="U36" i="7" s="1"/>
  <c r="S20" i="7" a="1"/>
  <c r="S20" i="7" s="1"/>
  <c r="T20" i="7"/>
  <c r="Q20" i="7"/>
  <c r="Q43" i="7"/>
  <c r="U43" i="7" s="1"/>
  <c r="R43" i="7" a="1"/>
  <c r="R43" i="7" s="1"/>
  <c r="T42" i="7"/>
  <c r="Q42" i="7"/>
  <c r="U42" i="7" s="1"/>
  <c r="T40" i="7"/>
  <c r="Q40" i="7"/>
  <c r="U40" i="7" s="1"/>
  <c r="S34" i="7" a="1"/>
  <c r="S34" i="7" s="1"/>
  <c r="T34" i="7"/>
  <c r="Q34" i="7"/>
  <c r="U34" i="7" s="1"/>
  <c r="T47" i="7"/>
  <c r="U47" i="7" s="1"/>
  <c r="S32" i="7" a="1"/>
  <c r="S32" i="7" s="1"/>
  <c r="T32" i="7"/>
  <c r="Q32" i="7"/>
  <c r="U32" i="7" s="1"/>
  <c r="Q41" i="7"/>
  <c r="R41" i="7" a="1"/>
  <c r="R41" i="7" s="1"/>
  <c r="S30" i="7" a="1"/>
  <c r="S30" i="7" s="1"/>
  <c r="T30" i="7"/>
  <c r="Q30" i="7"/>
  <c r="R37" i="7" a="1"/>
  <c r="R37" i="7" s="1"/>
  <c r="U37" i="7" s="1"/>
  <c r="R35" i="7" a="1"/>
  <c r="R35" i="7" s="1"/>
  <c r="R33" i="7" a="1"/>
  <c r="R33" i="7" s="1"/>
  <c r="U33" i="7" s="1"/>
  <c r="R31" i="7" a="1"/>
  <c r="R31" i="7" s="1"/>
  <c r="U31" i="7" s="1"/>
  <c r="R29" i="7" a="1"/>
  <c r="R29" i="7" s="1"/>
  <c r="U29" i="7" s="1"/>
  <c r="R27" i="7" a="1"/>
  <c r="R27" i="7" s="1"/>
  <c r="U27" i="7" s="1"/>
  <c r="R25" i="7" a="1"/>
  <c r="R25" i="7" s="1"/>
  <c r="U25" i="7" s="1"/>
  <c r="R23" i="7" a="1"/>
  <c r="R23" i="7" s="1"/>
  <c r="R21" i="7" a="1"/>
  <c r="R21" i="7" s="1"/>
  <c r="U21" i="7" s="1"/>
  <c r="D30" i="9"/>
  <c r="W12" i="7"/>
  <c r="X12" i="7"/>
  <c r="Y12" i="7"/>
  <c r="Z12" i="7"/>
  <c r="W13" i="7"/>
  <c r="X13" i="7"/>
  <c r="Y13" i="7"/>
  <c r="Z13" i="7"/>
  <c r="W14" i="7"/>
  <c r="X14" i="7"/>
  <c r="Y14" i="7"/>
  <c r="Z14" i="7"/>
  <c r="W15" i="7"/>
  <c r="X15" i="7"/>
  <c r="Y15" i="7"/>
  <c r="Z15" i="7"/>
  <c r="W16" i="7"/>
  <c r="X16" i="7"/>
  <c r="Y16" i="7"/>
  <c r="Z16" i="7"/>
  <c r="W17" i="7"/>
  <c r="X17" i="7"/>
  <c r="Y17" i="7"/>
  <c r="Z17" i="7"/>
  <c r="W18" i="7"/>
  <c r="X18" i="7"/>
  <c r="Y18" i="7"/>
  <c r="Z18" i="7"/>
  <c r="W19" i="7"/>
  <c r="X19" i="7"/>
  <c r="Y19" i="7"/>
  <c r="Z19" i="7"/>
  <c r="Z11" i="7"/>
  <c r="Y11" i="7"/>
  <c r="X11" i="7"/>
  <c r="W11" i="7"/>
  <c r="V12" i="7"/>
  <c r="V13" i="7"/>
  <c r="V14" i="7"/>
  <c r="V15" i="7"/>
  <c r="V16" i="7"/>
  <c r="V17" i="7"/>
  <c r="V18" i="7"/>
  <c r="V19" i="7"/>
  <c r="E12" i="7"/>
  <c r="E13" i="7"/>
  <c r="E14" i="7"/>
  <c r="E15" i="7"/>
  <c r="E16" i="7"/>
  <c r="E17" i="7"/>
  <c r="E18" i="7"/>
  <c r="E19" i="7"/>
  <c r="E11" i="7"/>
  <c r="C12" i="7"/>
  <c r="C13" i="7"/>
  <c r="C14" i="7"/>
  <c r="C15" i="7"/>
  <c r="C16" i="7"/>
  <c r="C17" i="7"/>
  <c r="C18" i="7"/>
  <c r="C19" i="7"/>
  <c r="C11" i="7"/>
  <c r="A11" i="7"/>
  <c r="A12" i="7"/>
  <c r="A13" i="7"/>
  <c r="A15" i="7"/>
  <c r="A16" i="7"/>
  <c r="A17" i="7"/>
  <c r="A18" i="7"/>
  <c r="A19" i="7"/>
  <c r="A14" i="7"/>
  <c r="R15" i="1"/>
  <c r="R16" i="1"/>
  <c r="R17" i="1"/>
  <c r="R18" i="1"/>
  <c r="D20" i="2"/>
  <c r="D19" i="2"/>
  <c r="D18" i="2"/>
  <c r="D17" i="2"/>
  <c r="C20" i="2"/>
  <c r="C19" i="2"/>
  <c r="C18" i="2"/>
  <c r="C17" i="2"/>
  <c r="AK37" i="7" l="1"/>
  <c r="AM37" i="7"/>
  <c r="AF37" i="7"/>
  <c r="AN37" i="7"/>
  <c r="AG37" i="7"/>
  <c r="AO37" i="7"/>
  <c r="AI37" i="7"/>
  <c r="AH37" i="7"/>
  <c r="AJ37" i="7"/>
  <c r="AL37" i="7"/>
  <c r="AK47" i="7"/>
  <c r="AJ47" i="7"/>
  <c r="AL47" i="7"/>
  <c r="AM47" i="7"/>
  <c r="AN47" i="7"/>
  <c r="AF47" i="7"/>
  <c r="AO47" i="7"/>
  <c r="AH47" i="7"/>
  <c r="AG47" i="7"/>
  <c r="AI47" i="7"/>
  <c r="AK55" i="7"/>
  <c r="AL55" i="7"/>
  <c r="AM55" i="7"/>
  <c r="AF55" i="7"/>
  <c r="AN55" i="7"/>
  <c r="AG55" i="7"/>
  <c r="AO55" i="7"/>
  <c r="AI55" i="7"/>
  <c r="AJ55" i="7"/>
  <c r="AH55" i="7"/>
  <c r="AH75" i="7"/>
  <c r="AI75" i="7"/>
  <c r="AJ75" i="7"/>
  <c r="AK75" i="7"/>
  <c r="AL75" i="7"/>
  <c r="AF75" i="7"/>
  <c r="AN75" i="7"/>
  <c r="AO75" i="7"/>
  <c r="AM75" i="7"/>
  <c r="AG75" i="7"/>
  <c r="AM89" i="7"/>
  <c r="AF89" i="7"/>
  <c r="AN89" i="7"/>
  <c r="AG89" i="7"/>
  <c r="AO89" i="7"/>
  <c r="AH89" i="7"/>
  <c r="AI89" i="7"/>
  <c r="AL89" i="7"/>
  <c r="AJ89" i="7"/>
  <c r="AK89" i="7"/>
  <c r="AK21" i="7"/>
  <c r="AL21" i="7"/>
  <c r="AM21" i="7"/>
  <c r="AF21" i="7"/>
  <c r="AN21" i="7"/>
  <c r="AG21" i="7"/>
  <c r="AO21" i="7"/>
  <c r="AI21" i="7"/>
  <c r="AH21" i="7"/>
  <c r="AJ21" i="7"/>
  <c r="AJ83" i="7"/>
  <c r="AK83" i="7"/>
  <c r="AF83" i="7"/>
  <c r="AN83" i="7"/>
  <c r="AH83" i="7"/>
  <c r="AG83" i="7"/>
  <c r="AI83" i="7"/>
  <c r="AL83" i="7"/>
  <c r="AM83" i="7"/>
  <c r="AO83" i="7"/>
  <c r="AM95" i="7"/>
  <c r="AJ95" i="7"/>
  <c r="AF95" i="7"/>
  <c r="AN95" i="7"/>
  <c r="AL95" i="7"/>
  <c r="AG95" i="7"/>
  <c r="AO95" i="7"/>
  <c r="AI95" i="7"/>
  <c r="AH95" i="7"/>
  <c r="AK95" i="7"/>
  <c r="AK25" i="7"/>
  <c r="AL25" i="7"/>
  <c r="AM25" i="7"/>
  <c r="AF25" i="7"/>
  <c r="AN25" i="7"/>
  <c r="AG25" i="7"/>
  <c r="AO25" i="7"/>
  <c r="AI25" i="7"/>
  <c r="AJ25" i="7"/>
  <c r="AH25" i="7"/>
  <c r="AK57" i="7"/>
  <c r="AL57" i="7"/>
  <c r="AM57" i="7"/>
  <c r="AF57" i="7"/>
  <c r="AN57" i="7"/>
  <c r="AG57" i="7"/>
  <c r="AO57" i="7"/>
  <c r="AI57" i="7"/>
  <c r="AH57" i="7"/>
  <c r="AJ57" i="7"/>
  <c r="AG66" i="7"/>
  <c r="AO66" i="7"/>
  <c r="AJ66" i="7"/>
  <c r="AK66" i="7"/>
  <c r="AF66" i="7"/>
  <c r="AH66" i="7"/>
  <c r="AI66" i="7"/>
  <c r="AL66" i="7"/>
  <c r="AM66" i="7"/>
  <c r="AN66" i="7"/>
  <c r="AK27" i="7"/>
  <c r="AL27" i="7"/>
  <c r="AM27" i="7"/>
  <c r="AF27" i="7"/>
  <c r="AN27" i="7"/>
  <c r="AG27" i="7"/>
  <c r="AO27" i="7"/>
  <c r="AI27" i="7"/>
  <c r="AH27" i="7"/>
  <c r="AJ27" i="7"/>
  <c r="AK59" i="7"/>
  <c r="AL59" i="7"/>
  <c r="AM59" i="7"/>
  <c r="AF59" i="7"/>
  <c r="AN59" i="7"/>
  <c r="AG59" i="7"/>
  <c r="AO59" i="7"/>
  <c r="AI59" i="7"/>
  <c r="AJ59" i="7"/>
  <c r="AH59" i="7"/>
  <c r="AM93" i="7"/>
  <c r="AF93" i="7"/>
  <c r="AN93" i="7"/>
  <c r="AG93" i="7"/>
  <c r="AO93" i="7"/>
  <c r="AH93" i="7"/>
  <c r="AI93" i="7"/>
  <c r="AJ93" i="7"/>
  <c r="AL93" i="7"/>
  <c r="AK93" i="7"/>
  <c r="AJ85" i="7"/>
  <c r="AK85" i="7"/>
  <c r="AF85" i="7"/>
  <c r="AN85" i="7"/>
  <c r="AO85" i="7"/>
  <c r="AG85" i="7"/>
  <c r="AH85" i="7"/>
  <c r="AI85" i="7"/>
  <c r="AL85" i="7"/>
  <c r="AM85" i="7"/>
  <c r="AK29" i="7"/>
  <c r="AL29" i="7"/>
  <c r="AM29" i="7"/>
  <c r="AF29" i="7"/>
  <c r="AN29" i="7"/>
  <c r="AG29" i="7"/>
  <c r="AO29" i="7"/>
  <c r="AI29" i="7"/>
  <c r="AJ29" i="7"/>
  <c r="AH29" i="7"/>
  <c r="AK61" i="7"/>
  <c r="AL61" i="7"/>
  <c r="AM61" i="7"/>
  <c r="AF61" i="7"/>
  <c r="AN61" i="7"/>
  <c r="AG61" i="7"/>
  <c r="AO61" i="7"/>
  <c r="AI61" i="7"/>
  <c r="AH61" i="7"/>
  <c r="AJ61" i="7"/>
  <c r="AK31" i="7"/>
  <c r="AL31" i="7"/>
  <c r="AM31" i="7"/>
  <c r="AF31" i="7"/>
  <c r="AN31" i="7"/>
  <c r="AG31" i="7"/>
  <c r="AO31" i="7"/>
  <c r="AI31" i="7"/>
  <c r="AH31" i="7"/>
  <c r="AJ31" i="7"/>
  <c r="AM97" i="7"/>
  <c r="AF97" i="7"/>
  <c r="AN97" i="7"/>
  <c r="AG97" i="7"/>
  <c r="AO97" i="7"/>
  <c r="AI97" i="7"/>
  <c r="AH97" i="7"/>
  <c r="AJ97" i="7"/>
  <c r="AL97" i="7"/>
  <c r="AK97" i="7"/>
  <c r="AJ87" i="7"/>
  <c r="AF87" i="7"/>
  <c r="AN87" i="7"/>
  <c r="AL87" i="7"/>
  <c r="AM87" i="7"/>
  <c r="AO87" i="7"/>
  <c r="AK87" i="7"/>
  <c r="AG87" i="7"/>
  <c r="AH87" i="7"/>
  <c r="AI87" i="7"/>
  <c r="AK33" i="7"/>
  <c r="AL33" i="7"/>
  <c r="AM33" i="7"/>
  <c r="AF33" i="7"/>
  <c r="AN33" i="7"/>
  <c r="AG33" i="7"/>
  <c r="AO33" i="7"/>
  <c r="AI33" i="7"/>
  <c r="AH33" i="7"/>
  <c r="AJ33" i="7"/>
  <c r="AM99" i="7"/>
  <c r="AF99" i="7"/>
  <c r="AN99" i="7"/>
  <c r="AG99" i="7"/>
  <c r="AO99" i="7"/>
  <c r="AH99" i="7"/>
  <c r="AI99" i="7"/>
  <c r="AJ99" i="7"/>
  <c r="AK99" i="7"/>
  <c r="AL99" i="7"/>
  <c r="AM91" i="7"/>
  <c r="AF91" i="7"/>
  <c r="AN91" i="7"/>
  <c r="AL91" i="7"/>
  <c r="AG91" i="7"/>
  <c r="AO91" i="7"/>
  <c r="AH91" i="7"/>
  <c r="AI91" i="7"/>
  <c r="AJ91" i="7"/>
  <c r="AK91" i="7"/>
  <c r="AH73" i="7"/>
  <c r="AI73" i="7"/>
  <c r="AJ73" i="7"/>
  <c r="AK73" i="7"/>
  <c r="AL73" i="7"/>
  <c r="AF73" i="7"/>
  <c r="AN73" i="7"/>
  <c r="AO73" i="7"/>
  <c r="AG73" i="7"/>
  <c r="AM73" i="7"/>
  <c r="AG40" i="7"/>
  <c r="AO40" i="7"/>
  <c r="AI40" i="7"/>
  <c r="AJ40" i="7"/>
  <c r="AK40" i="7"/>
  <c r="AM40" i="7"/>
  <c r="AH40" i="7"/>
  <c r="AL40" i="7"/>
  <c r="AN40" i="7"/>
  <c r="AF40" i="7"/>
  <c r="AK65" i="7"/>
  <c r="AM65" i="7"/>
  <c r="AF65" i="7"/>
  <c r="AN65" i="7"/>
  <c r="AG65" i="7"/>
  <c r="AO65" i="7"/>
  <c r="AH65" i="7"/>
  <c r="AI65" i="7"/>
  <c r="AJ65" i="7"/>
  <c r="AL65" i="7"/>
  <c r="U28" i="7"/>
  <c r="U72" i="7"/>
  <c r="AG32" i="7"/>
  <c r="AO32" i="7"/>
  <c r="AH32" i="7"/>
  <c r="AI32" i="7"/>
  <c r="AJ32" i="7"/>
  <c r="AK32" i="7"/>
  <c r="AM32" i="7"/>
  <c r="AL32" i="7"/>
  <c r="AF32" i="7"/>
  <c r="AN32" i="7"/>
  <c r="AG26" i="7"/>
  <c r="AO26" i="7"/>
  <c r="AH26" i="7"/>
  <c r="AI26" i="7"/>
  <c r="AJ26" i="7"/>
  <c r="AK26" i="7"/>
  <c r="AM26" i="7"/>
  <c r="AF26" i="7"/>
  <c r="AL26" i="7"/>
  <c r="AN26" i="7"/>
  <c r="U30" i="7"/>
  <c r="AG42" i="7"/>
  <c r="AO42" i="7"/>
  <c r="AI42" i="7"/>
  <c r="AJ42" i="7"/>
  <c r="AM42" i="7"/>
  <c r="AF42" i="7"/>
  <c r="AH42" i="7"/>
  <c r="AK42" i="7"/>
  <c r="AL42" i="7"/>
  <c r="AN42" i="7"/>
  <c r="AG36" i="7"/>
  <c r="AO36" i="7"/>
  <c r="AH36" i="7"/>
  <c r="AI36" i="7"/>
  <c r="AJ36" i="7"/>
  <c r="AK36" i="7"/>
  <c r="AM36" i="7"/>
  <c r="AL36" i="7"/>
  <c r="AN36" i="7"/>
  <c r="AF36" i="7"/>
  <c r="AK45" i="7"/>
  <c r="AF45" i="7"/>
  <c r="AN45" i="7"/>
  <c r="AG45" i="7"/>
  <c r="AH45" i="7"/>
  <c r="AI45" i="7"/>
  <c r="AJ45" i="7"/>
  <c r="AM45" i="7"/>
  <c r="AL45" i="7"/>
  <c r="AO45" i="7"/>
  <c r="AL74" i="7"/>
  <c r="AM74" i="7"/>
  <c r="AF74" i="7"/>
  <c r="AN74" i="7"/>
  <c r="AG74" i="7"/>
  <c r="AO74" i="7"/>
  <c r="AH74" i="7"/>
  <c r="AJ74" i="7"/>
  <c r="AI74" i="7"/>
  <c r="AK74" i="7"/>
  <c r="AK35" i="7"/>
  <c r="AL35" i="7"/>
  <c r="AM35" i="7"/>
  <c r="AF35" i="7"/>
  <c r="AN35" i="7"/>
  <c r="AG35" i="7"/>
  <c r="AO35" i="7"/>
  <c r="AI35" i="7"/>
  <c r="AH35" i="7"/>
  <c r="AJ35" i="7"/>
  <c r="AK51" i="7"/>
  <c r="AL51" i="7"/>
  <c r="AM51" i="7"/>
  <c r="AF51" i="7"/>
  <c r="AN51" i="7"/>
  <c r="AG51" i="7"/>
  <c r="AO51" i="7"/>
  <c r="AI51" i="7"/>
  <c r="AH51" i="7"/>
  <c r="AJ51" i="7"/>
  <c r="AP67" i="7"/>
  <c r="AQ67" i="7" s="1" a="1"/>
  <c r="AQ67" i="7" s="1"/>
  <c r="AG50" i="7"/>
  <c r="AO50" i="7"/>
  <c r="AH50" i="7"/>
  <c r="AI50" i="7"/>
  <c r="AJ50" i="7"/>
  <c r="AK50" i="7"/>
  <c r="AM50" i="7"/>
  <c r="AL50" i="7"/>
  <c r="AF50" i="7"/>
  <c r="AN50" i="7"/>
  <c r="AK63" i="7"/>
  <c r="AL63" i="7"/>
  <c r="AM63" i="7"/>
  <c r="AF63" i="7"/>
  <c r="AN63" i="7"/>
  <c r="AG63" i="7"/>
  <c r="AO63" i="7"/>
  <c r="AH63" i="7"/>
  <c r="AJ63" i="7"/>
  <c r="AI63" i="7"/>
  <c r="AF86" i="7"/>
  <c r="AN86" i="7"/>
  <c r="AJ86" i="7"/>
  <c r="AH86" i="7"/>
  <c r="AI86" i="7"/>
  <c r="AK86" i="7"/>
  <c r="AG86" i="7"/>
  <c r="AL86" i="7"/>
  <c r="AM86" i="7"/>
  <c r="AO86" i="7"/>
  <c r="AG58" i="7"/>
  <c r="AO58" i="7"/>
  <c r="AH58" i="7"/>
  <c r="AI58" i="7"/>
  <c r="AJ58" i="7"/>
  <c r="AK58" i="7"/>
  <c r="AM58" i="7"/>
  <c r="AF58" i="7"/>
  <c r="AL58" i="7"/>
  <c r="AN58" i="7"/>
  <c r="AG54" i="7"/>
  <c r="AO54" i="7"/>
  <c r="AH54" i="7"/>
  <c r="AI54" i="7"/>
  <c r="AJ54" i="7"/>
  <c r="AK54" i="7"/>
  <c r="AM54" i="7"/>
  <c r="AF54" i="7"/>
  <c r="AL54" i="7"/>
  <c r="AN54" i="7"/>
  <c r="U22" i="7"/>
  <c r="U76" i="7"/>
  <c r="U60" i="7"/>
  <c r="AI92" i="7"/>
  <c r="AJ92" i="7"/>
  <c r="AK92" i="7"/>
  <c r="AL92" i="7"/>
  <c r="AM92" i="7"/>
  <c r="AH92" i="7"/>
  <c r="AF92" i="7"/>
  <c r="AN92" i="7"/>
  <c r="AG92" i="7"/>
  <c r="AO92" i="7"/>
  <c r="U52" i="7"/>
  <c r="U78" i="7"/>
  <c r="AK49" i="7"/>
  <c r="AL49" i="7"/>
  <c r="AM49" i="7"/>
  <c r="AF49" i="7"/>
  <c r="AN49" i="7"/>
  <c r="AG49" i="7"/>
  <c r="AO49" i="7"/>
  <c r="AI49" i="7"/>
  <c r="AH49" i="7"/>
  <c r="AJ49" i="7"/>
  <c r="U48" i="7"/>
  <c r="AJ81" i="7"/>
  <c r="AK81" i="7"/>
  <c r="AL81" i="7"/>
  <c r="AF81" i="7"/>
  <c r="AN81" i="7"/>
  <c r="AH81" i="7"/>
  <c r="AI81" i="7"/>
  <c r="AG81" i="7"/>
  <c r="AM81" i="7"/>
  <c r="AO81" i="7"/>
  <c r="AF84" i="7"/>
  <c r="AN84" i="7"/>
  <c r="AG84" i="7"/>
  <c r="AO84" i="7"/>
  <c r="AJ84" i="7"/>
  <c r="AH84" i="7"/>
  <c r="AI84" i="7"/>
  <c r="AK84" i="7"/>
  <c r="AL84" i="7"/>
  <c r="AM84" i="7"/>
  <c r="U64" i="7"/>
  <c r="AI94" i="7"/>
  <c r="AJ94" i="7"/>
  <c r="AH94" i="7"/>
  <c r="AK94" i="7"/>
  <c r="AL94" i="7"/>
  <c r="AM94" i="7"/>
  <c r="AF94" i="7"/>
  <c r="AN94" i="7"/>
  <c r="AG94" i="7"/>
  <c r="AO94" i="7"/>
  <c r="AI88" i="7"/>
  <c r="AJ88" i="7"/>
  <c r="AK88" i="7"/>
  <c r="AL88" i="7"/>
  <c r="AM88" i="7"/>
  <c r="AF88" i="7"/>
  <c r="AN88" i="7"/>
  <c r="AG88" i="7"/>
  <c r="AO88" i="7"/>
  <c r="AH88" i="7"/>
  <c r="AG34" i="7"/>
  <c r="AO34" i="7"/>
  <c r="AH34" i="7"/>
  <c r="AI34" i="7"/>
  <c r="AJ34" i="7"/>
  <c r="AK34" i="7"/>
  <c r="AM34" i="7"/>
  <c r="AN34" i="7"/>
  <c r="AF34" i="7"/>
  <c r="AL34" i="7"/>
  <c r="AK43" i="7"/>
  <c r="AM43" i="7"/>
  <c r="AF43" i="7"/>
  <c r="AN43" i="7"/>
  <c r="AI43" i="7"/>
  <c r="AG43" i="7"/>
  <c r="AH43" i="7"/>
  <c r="AJ43" i="7"/>
  <c r="AL43" i="7"/>
  <c r="AO43" i="7"/>
  <c r="AG38" i="7"/>
  <c r="AO38" i="7"/>
  <c r="AI38" i="7"/>
  <c r="AJ38" i="7"/>
  <c r="AK38" i="7"/>
  <c r="AM38" i="7"/>
  <c r="AF38" i="7"/>
  <c r="AH38" i="7"/>
  <c r="AL38" i="7"/>
  <c r="AN38" i="7"/>
  <c r="AM80" i="7"/>
  <c r="AF80" i="7"/>
  <c r="AN80" i="7"/>
  <c r="AG80" i="7"/>
  <c r="AO80" i="7"/>
  <c r="AH80" i="7"/>
  <c r="AJ80" i="7"/>
  <c r="AI80" i="7"/>
  <c r="AK80" i="7"/>
  <c r="AL80" i="7"/>
  <c r="AK53" i="7"/>
  <c r="AL53" i="7"/>
  <c r="AM53" i="7"/>
  <c r="AF53" i="7"/>
  <c r="AN53" i="7"/>
  <c r="AG53" i="7"/>
  <c r="AO53" i="7"/>
  <c r="AI53" i="7"/>
  <c r="AH53" i="7"/>
  <c r="AJ53" i="7"/>
  <c r="AG56" i="7"/>
  <c r="AO56" i="7"/>
  <c r="AH56" i="7"/>
  <c r="AI56" i="7"/>
  <c r="AJ56" i="7"/>
  <c r="AK56" i="7"/>
  <c r="AM56" i="7"/>
  <c r="AF56" i="7"/>
  <c r="AL56" i="7"/>
  <c r="AN56" i="7"/>
  <c r="AK23" i="7"/>
  <c r="AL23" i="7"/>
  <c r="AM23" i="7"/>
  <c r="AF23" i="7"/>
  <c r="AN23" i="7"/>
  <c r="AG23" i="7"/>
  <c r="AO23" i="7"/>
  <c r="AI23" i="7"/>
  <c r="AH23" i="7"/>
  <c r="AJ23" i="7"/>
  <c r="AH77" i="7"/>
  <c r="AI77" i="7"/>
  <c r="AJ77" i="7"/>
  <c r="AK77" i="7"/>
  <c r="AL77" i="7"/>
  <c r="AF77" i="7"/>
  <c r="AN77" i="7"/>
  <c r="AO77" i="7"/>
  <c r="AM77" i="7"/>
  <c r="AG77" i="7"/>
  <c r="AP69" i="7"/>
  <c r="AQ69" i="7" s="1" a="1"/>
  <c r="AQ69" i="7" s="1"/>
  <c r="AI96" i="7"/>
  <c r="AJ96" i="7"/>
  <c r="AM96" i="7"/>
  <c r="AK96" i="7"/>
  <c r="AN96" i="7"/>
  <c r="AL96" i="7"/>
  <c r="AF96" i="7"/>
  <c r="AH96" i="7"/>
  <c r="AG96" i="7"/>
  <c r="AO96" i="7"/>
  <c r="U41" i="7"/>
  <c r="U20" i="7"/>
  <c r="U39" i="7"/>
  <c r="U46" i="7"/>
  <c r="U62" i="7"/>
  <c r="AJ68" i="7"/>
  <c r="AK68" i="7"/>
  <c r="AI68" i="7"/>
  <c r="AL68" i="7"/>
  <c r="AM68" i="7"/>
  <c r="AN68" i="7"/>
  <c r="AO68" i="7"/>
  <c r="AG68" i="7"/>
  <c r="AF68" i="7"/>
  <c r="AH68" i="7"/>
  <c r="AH79" i="7"/>
  <c r="AI79" i="7"/>
  <c r="AJ79" i="7"/>
  <c r="AK79" i="7"/>
  <c r="AL79" i="7"/>
  <c r="AF79" i="7"/>
  <c r="AN79" i="7"/>
  <c r="AO79" i="7"/>
  <c r="AM79" i="7"/>
  <c r="AG79" i="7"/>
  <c r="AI98" i="7"/>
  <c r="AM98" i="7"/>
  <c r="AJ98" i="7"/>
  <c r="AF98" i="7"/>
  <c r="AN98" i="7"/>
  <c r="AH98" i="7"/>
  <c r="AK98" i="7"/>
  <c r="AL98" i="7"/>
  <c r="AG98" i="7"/>
  <c r="AO98" i="7"/>
  <c r="U44" i="7"/>
  <c r="U24" i="7"/>
  <c r="U70" i="7"/>
  <c r="AH71" i="7"/>
  <c r="AI71" i="7"/>
  <c r="AJ71" i="7"/>
  <c r="AK71" i="7"/>
  <c r="AL71" i="7"/>
  <c r="AF71" i="7"/>
  <c r="AN71" i="7"/>
  <c r="AO71" i="7"/>
  <c r="AM71" i="7"/>
  <c r="AG71" i="7"/>
  <c r="U82" i="7"/>
  <c r="AI90" i="7"/>
  <c r="AH90" i="7"/>
  <c r="AJ90" i="7"/>
  <c r="AK90" i="7"/>
  <c r="AL90" i="7"/>
  <c r="AM90" i="7"/>
  <c r="AF90" i="7"/>
  <c r="AN90" i="7"/>
  <c r="AG90" i="7"/>
  <c r="AO90" i="7"/>
  <c r="S19" i="1"/>
  <c r="N19" i="1"/>
  <c r="F21" i="2"/>
  <c r="I100" i="7"/>
  <c r="H100" i="7"/>
  <c r="G100" i="7"/>
  <c r="F100" i="7"/>
  <c r="N16" i="7"/>
  <c r="T16" i="7" s="1"/>
  <c r="AF8" i="7"/>
  <c r="W8" i="7"/>
  <c r="X8" i="7"/>
  <c r="Y8" i="7"/>
  <c r="Z8" i="7"/>
  <c r="V8" i="7"/>
  <c r="AP94" i="7" l="1"/>
  <c r="AQ94" i="7" s="1" a="1"/>
  <c r="AQ94" i="7" s="1"/>
  <c r="AP47" i="7"/>
  <c r="AQ47" i="7" s="1" a="1"/>
  <c r="AQ47" i="7" s="1"/>
  <c r="AP55" i="7"/>
  <c r="AQ55" i="7" s="1" a="1"/>
  <c r="AQ55" i="7" s="1"/>
  <c r="AP54" i="7"/>
  <c r="AQ54" i="7" s="1" a="1"/>
  <c r="AQ54" i="7" s="1"/>
  <c r="AP56" i="7"/>
  <c r="AQ56" i="7" s="1" a="1"/>
  <c r="AQ56" i="7" s="1"/>
  <c r="AP26" i="7"/>
  <c r="AQ26" i="7" s="1" a="1"/>
  <c r="AQ26" i="7" s="1"/>
  <c r="AP81" i="7"/>
  <c r="AQ81" i="7" s="1" a="1"/>
  <c r="AQ81" i="7" s="1"/>
  <c r="AG52" i="7"/>
  <c r="AO52" i="7"/>
  <c r="AH52" i="7"/>
  <c r="AI52" i="7"/>
  <c r="AJ52" i="7"/>
  <c r="AK52" i="7"/>
  <c r="AM52" i="7"/>
  <c r="AF52" i="7"/>
  <c r="AN52" i="7"/>
  <c r="AL52" i="7"/>
  <c r="AP34" i="7"/>
  <c r="AQ34" i="7" s="1" a="1"/>
  <c r="AQ34" i="7" s="1"/>
  <c r="AP84" i="7"/>
  <c r="AQ84" i="7" s="1" a="1"/>
  <c r="AQ84" i="7" s="1"/>
  <c r="AP35" i="7"/>
  <c r="AQ35" i="7" s="1" a="1"/>
  <c r="AQ35" i="7" s="1"/>
  <c r="AP36" i="7"/>
  <c r="AQ36" i="7" s="1" a="1"/>
  <c r="AQ36" i="7" s="1"/>
  <c r="AP32" i="7"/>
  <c r="AQ32" i="7" s="1" a="1"/>
  <c r="AQ32" i="7" s="1"/>
  <c r="AP85" i="7"/>
  <c r="AQ85" i="7" s="1" a="1"/>
  <c r="AQ85" i="7" s="1"/>
  <c r="AP83" i="7"/>
  <c r="AQ83" i="7" s="1" a="1"/>
  <c r="AQ83" i="7" s="1"/>
  <c r="AF82" i="7"/>
  <c r="AN82" i="7"/>
  <c r="AG82" i="7"/>
  <c r="AO82" i="7"/>
  <c r="AH82" i="7"/>
  <c r="AJ82" i="7"/>
  <c r="AI82" i="7"/>
  <c r="AK82" i="7"/>
  <c r="AL82" i="7"/>
  <c r="AM82" i="7"/>
  <c r="AP98" i="7"/>
  <c r="AQ98" i="7" s="1" a="1"/>
  <c r="AQ98" i="7" s="1"/>
  <c r="AG62" i="7"/>
  <c r="AO62" i="7"/>
  <c r="AH62" i="7"/>
  <c r="AI62" i="7"/>
  <c r="AJ62" i="7"/>
  <c r="AK62" i="7"/>
  <c r="AM62" i="7"/>
  <c r="AL62" i="7"/>
  <c r="AN62" i="7"/>
  <c r="AF62" i="7"/>
  <c r="AP96" i="7"/>
  <c r="AQ96" i="7" s="1" a="1"/>
  <c r="AQ96" i="7" s="1"/>
  <c r="AP80" i="7"/>
  <c r="AQ80" i="7" s="1" a="1"/>
  <c r="AQ80" i="7" s="1"/>
  <c r="AP58" i="7"/>
  <c r="AQ58" i="7" s="1" a="1"/>
  <c r="AQ58" i="7" s="1"/>
  <c r="AP63" i="7"/>
  <c r="AQ63" i="7" s="1" a="1"/>
  <c r="AQ63" i="7" s="1"/>
  <c r="AL72" i="7"/>
  <c r="AM72" i="7"/>
  <c r="AF72" i="7"/>
  <c r="AN72" i="7"/>
  <c r="AG72" i="7"/>
  <c r="AO72" i="7"/>
  <c r="AH72" i="7"/>
  <c r="AJ72" i="7"/>
  <c r="AI72" i="7"/>
  <c r="AK72" i="7"/>
  <c r="AP91" i="7"/>
  <c r="AQ91" i="7" s="1" a="1"/>
  <c r="AQ91" i="7" s="1"/>
  <c r="AP97" i="7"/>
  <c r="AQ97" i="7" s="1" a="1"/>
  <c r="AQ97" i="7" s="1"/>
  <c r="AP31" i="7"/>
  <c r="AQ31" i="7" s="1" a="1"/>
  <c r="AQ31" i="7" s="1"/>
  <c r="AP57" i="7"/>
  <c r="AQ57" i="7" s="1" a="1"/>
  <c r="AQ57" i="7" s="1"/>
  <c r="AP21" i="7"/>
  <c r="AQ21" i="7" s="1" a="1"/>
  <c r="AQ21" i="7" s="1"/>
  <c r="AP68" i="7"/>
  <c r="AQ68" i="7" s="1" a="1"/>
  <c r="AQ68" i="7" s="1"/>
  <c r="AP79" i="7"/>
  <c r="AQ79" i="7" s="1" a="1"/>
  <c r="AQ79" i="7" s="1"/>
  <c r="AP23" i="7"/>
  <c r="AQ23" i="7" s="1" a="1"/>
  <c r="AQ23" i="7" s="1"/>
  <c r="AP90" i="7"/>
  <c r="AQ90" i="7" s="1" a="1"/>
  <c r="AQ90" i="7" s="1"/>
  <c r="AG46" i="7"/>
  <c r="AO46" i="7"/>
  <c r="AJ46" i="7"/>
  <c r="AH46" i="7"/>
  <c r="AI46" i="7"/>
  <c r="AK46" i="7"/>
  <c r="AL46" i="7"/>
  <c r="AM46" i="7"/>
  <c r="AF46" i="7"/>
  <c r="AN46" i="7"/>
  <c r="AP49" i="7"/>
  <c r="AQ49" i="7" s="1" a="1"/>
  <c r="AQ49" i="7" s="1"/>
  <c r="AG60" i="7"/>
  <c r="AO60" i="7"/>
  <c r="AH60" i="7"/>
  <c r="AI60" i="7"/>
  <c r="AJ60" i="7"/>
  <c r="AK60" i="7"/>
  <c r="AM60" i="7"/>
  <c r="AF60" i="7"/>
  <c r="AL60" i="7"/>
  <c r="AN60" i="7"/>
  <c r="AP86" i="7"/>
  <c r="AQ86" i="7" s="1" a="1"/>
  <c r="AQ86" i="7" s="1"/>
  <c r="AG28" i="7"/>
  <c r="AO28" i="7"/>
  <c r="AH28" i="7"/>
  <c r="AI28" i="7"/>
  <c r="AJ28" i="7"/>
  <c r="AK28" i="7"/>
  <c r="AM28" i="7"/>
  <c r="AF28" i="7"/>
  <c r="AL28" i="7"/>
  <c r="AN28" i="7"/>
  <c r="AP65" i="7"/>
  <c r="AQ65" i="7" s="1" a="1"/>
  <c r="AQ65" i="7" s="1"/>
  <c r="AP87" i="7"/>
  <c r="AQ87" i="7" s="1" a="1"/>
  <c r="AQ87" i="7" s="1"/>
  <c r="AK39" i="7"/>
  <c r="AM39" i="7"/>
  <c r="AF39" i="7"/>
  <c r="AN39" i="7"/>
  <c r="AG39" i="7"/>
  <c r="AO39" i="7"/>
  <c r="AI39" i="7"/>
  <c r="AH39" i="7"/>
  <c r="AJ39" i="7"/>
  <c r="AL39" i="7"/>
  <c r="AG48" i="7"/>
  <c r="AO48" i="7"/>
  <c r="AH48" i="7"/>
  <c r="AI48" i="7"/>
  <c r="AJ48" i="7"/>
  <c r="AK48" i="7"/>
  <c r="AM48" i="7"/>
  <c r="AF48" i="7"/>
  <c r="AL48" i="7"/>
  <c r="AN48" i="7"/>
  <c r="AP92" i="7"/>
  <c r="AQ92" i="7" s="1" a="1"/>
  <c r="AQ92" i="7" s="1"/>
  <c r="AL76" i="7"/>
  <c r="AM76" i="7"/>
  <c r="AF76" i="7"/>
  <c r="AN76" i="7"/>
  <c r="AG76" i="7"/>
  <c r="AO76" i="7"/>
  <c r="AH76" i="7"/>
  <c r="AJ76" i="7"/>
  <c r="AI76" i="7"/>
  <c r="AK76" i="7"/>
  <c r="AP74" i="7"/>
  <c r="AQ74" i="7" s="1" a="1"/>
  <c r="AQ74" i="7" s="1"/>
  <c r="AP73" i="7"/>
  <c r="AQ73" i="7" s="1" a="1"/>
  <c r="AQ73" i="7" s="1"/>
  <c r="AP99" i="7"/>
  <c r="AQ99" i="7" s="1" a="1"/>
  <c r="AQ99" i="7" s="1"/>
  <c r="AP33" i="7"/>
  <c r="AQ33" i="7" s="1" a="1"/>
  <c r="AQ33" i="7" s="1"/>
  <c r="AP61" i="7"/>
  <c r="AQ61" i="7" s="1" a="1"/>
  <c r="AQ61" i="7" s="1"/>
  <c r="AP93" i="7"/>
  <c r="AQ93" i="7" s="1" a="1"/>
  <c r="AQ93" i="7" s="1"/>
  <c r="AP59" i="7"/>
  <c r="AQ59" i="7" s="1" a="1"/>
  <c r="AQ59" i="7" s="1"/>
  <c r="AP25" i="7"/>
  <c r="AQ25" i="7" s="1" a="1"/>
  <c r="AQ25" i="7" s="1"/>
  <c r="AP75" i="7"/>
  <c r="AQ75" i="7" s="1" a="1"/>
  <c r="AQ75" i="7" s="1"/>
  <c r="AL70" i="7"/>
  <c r="AM70" i="7"/>
  <c r="AF70" i="7"/>
  <c r="AN70" i="7"/>
  <c r="AG70" i="7"/>
  <c r="AO70" i="7"/>
  <c r="AH70" i="7"/>
  <c r="AJ70" i="7"/>
  <c r="AI70" i="7"/>
  <c r="AK70" i="7"/>
  <c r="AG20" i="7"/>
  <c r="AO20" i="7"/>
  <c r="AH20" i="7"/>
  <c r="AI20" i="7"/>
  <c r="AJ20" i="7"/>
  <c r="AK20" i="7"/>
  <c r="AM20" i="7"/>
  <c r="AL20" i="7"/>
  <c r="AN20" i="7"/>
  <c r="AF20" i="7"/>
  <c r="AP43" i="7"/>
  <c r="AQ43" i="7" s="1" a="1"/>
  <c r="AQ43" i="7" s="1"/>
  <c r="AG22" i="7"/>
  <c r="AO22" i="7"/>
  <c r="AH22" i="7"/>
  <c r="AI22" i="7"/>
  <c r="AJ22" i="7"/>
  <c r="AK22" i="7"/>
  <c r="AM22" i="7"/>
  <c r="AF22" i="7"/>
  <c r="AL22" i="7"/>
  <c r="AN22" i="7"/>
  <c r="AG30" i="7"/>
  <c r="AO30" i="7"/>
  <c r="AH30" i="7"/>
  <c r="AI30" i="7"/>
  <c r="AJ30" i="7"/>
  <c r="AK30" i="7"/>
  <c r="AM30" i="7"/>
  <c r="AF30" i="7"/>
  <c r="AN30" i="7"/>
  <c r="AL30" i="7"/>
  <c r="AP37" i="7"/>
  <c r="AQ37" i="7" s="1" a="1"/>
  <c r="AQ37" i="7" s="1"/>
  <c r="AG24" i="7"/>
  <c r="AO24" i="7"/>
  <c r="AH24" i="7"/>
  <c r="AI24" i="7"/>
  <c r="AJ24" i="7"/>
  <c r="AK24" i="7"/>
  <c r="AM24" i="7"/>
  <c r="AF24" i="7"/>
  <c r="AL24" i="7"/>
  <c r="AN24" i="7"/>
  <c r="AP40" i="7"/>
  <c r="AQ40" i="7" s="1" a="1"/>
  <c r="AQ40" i="7" s="1"/>
  <c r="AP29" i="7"/>
  <c r="AQ29" i="7" s="1" a="1"/>
  <c r="AQ29" i="7" s="1"/>
  <c r="AP27" i="7"/>
  <c r="AQ27" i="7" s="1" a="1"/>
  <c r="AQ27" i="7" s="1"/>
  <c r="AP89" i="7"/>
  <c r="AQ89" i="7" s="1" a="1"/>
  <c r="AQ89" i="7" s="1"/>
  <c r="AK41" i="7"/>
  <c r="AM41" i="7"/>
  <c r="AF41" i="7"/>
  <c r="AN41" i="7"/>
  <c r="AI41" i="7"/>
  <c r="AJ41" i="7"/>
  <c r="AL41" i="7"/>
  <c r="AO41" i="7"/>
  <c r="AG41" i="7"/>
  <c r="AH41" i="7"/>
  <c r="AP77" i="7"/>
  <c r="AQ77" i="7" s="1" a="1"/>
  <c r="AQ77" i="7" s="1"/>
  <c r="AP53" i="7"/>
  <c r="AQ53" i="7" s="1" a="1"/>
  <c r="AQ53" i="7" s="1"/>
  <c r="AP71" i="7"/>
  <c r="AQ71" i="7" s="1" a="1"/>
  <c r="AQ71" i="7" s="1"/>
  <c r="AG44" i="7"/>
  <c r="AO44" i="7"/>
  <c r="AI44" i="7"/>
  <c r="AJ44" i="7"/>
  <c r="AM44" i="7"/>
  <c r="AF44" i="7"/>
  <c r="AH44" i="7"/>
  <c r="AK44" i="7"/>
  <c r="AL44" i="7"/>
  <c r="AN44" i="7"/>
  <c r="AP38" i="7"/>
  <c r="AQ38" i="7" s="1" a="1"/>
  <c r="AQ38" i="7" s="1"/>
  <c r="AP88" i="7"/>
  <c r="AQ88" i="7" s="1" a="1"/>
  <c r="AQ88" i="7" s="1"/>
  <c r="AG64" i="7"/>
  <c r="AO64" i="7"/>
  <c r="AH64" i="7"/>
  <c r="AI64" i="7"/>
  <c r="AJ64" i="7"/>
  <c r="AK64" i="7"/>
  <c r="AF64" i="7"/>
  <c r="AL64" i="7"/>
  <c r="AM64" i="7"/>
  <c r="AN64" i="7"/>
  <c r="AL78" i="7"/>
  <c r="AM78" i="7"/>
  <c r="AF78" i="7"/>
  <c r="AN78" i="7"/>
  <c r="AG78" i="7"/>
  <c r="AO78" i="7"/>
  <c r="AH78" i="7"/>
  <c r="AJ78" i="7"/>
  <c r="AI78" i="7"/>
  <c r="AK78" i="7"/>
  <c r="AP50" i="7"/>
  <c r="AQ50" i="7" s="1" a="1"/>
  <c r="AQ50" i="7" s="1"/>
  <c r="AP51" i="7"/>
  <c r="AQ51" i="7" s="1" a="1"/>
  <c r="AQ51" i="7" s="1"/>
  <c r="AP45" i="7"/>
  <c r="AQ45" i="7" s="1" a="1"/>
  <c r="AQ45" i="7" s="1"/>
  <c r="AP42" i="7"/>
  <c r="AQ42" i="7" s="1" a="1"/>
  <c r="AQ42" i="7" s="1"/>
  <c r="AP66" i="7"/>
  <c r="AQ66" i="7" s="1" a="1"/>
  <c r="AQ66" i="7" s="1"/>
  <c r="AP95" i="7"/>
  <c r="AQ95" i="7" s="1" a="1"/>
  <c r="AQ95" i="7" s="1"/>
  <c r="S16" i="7" a="1"/>
  <c r="S16" i="7" s="1"/>
  <c r="R16" i="7" a="1"/>
  <c r="R16" i="7" s="1"/>
  <c r="Q16" i="7"/>
  <c r="C13" i="2"/>
  <c r="C12" i="2"/>
  <c r="N19" i="7"/>
  <c r="R19" i="7" s="1" a="1"/>
  <c r="R19" i="7" s="1"/>
  <c r="N18" i="7"/>
  <c r="N17" i="7"/>
  <c r="N15" i="7"/>
  <c r="R15" i="7" s="1" a="1"/>
  <c r="R15" i="7" s="1"/>
  <c r="N14" i="7"/>
  <c r="R14" i="7" s="1" a="1"/>
  <c r="R14" i="7" s="1"/>
  <c r="N13" i="7"/>
  <c r="R13" i="7" s="1" a="1"/>
  <c r="R13" i="7" s="1"/>
  <c r="N12" i="7"/>
  <c r="N11" i="7"/>
  <c r="Y8" i="1"/>
  <c r="Z8" i="1"/>
  <c r="AA8" i="1"/>
  <c r="AB8" i="1"/>
  <c r="Y9" i="1"/>
  <c r="Z9" i="1"/>
  <c r="AA9" i="1"/>
  <c r="AB9" i="1"/>
  <c r="AP28" i="7" l="1"/>
  <c r="AQ28" i="7" s="1" a="1"/>
  <c r="AQ28" i="7" s="1"/>
  <c r="AP20" i="7"/>
  <c r="AQ20" i="7" s="1" a="1"/>
  <c r="AQ20" i="7" s="1"/>
  <c r="AP76" i="7"/>
  <c r="AQ76" i="7" s="1" a="1"/>
  <c r="AQ76" i="7" s="1"/>
  <c r="AP41" i="7"/>
  <c r="AQ41" i="7" s="1" a="1"/>
  <c r="AQ41" i="7" s="1"/>
  <c r="AP60" i="7"/>
  <c r="AQ60" i="7" s="1" a="1"/>
  <c r="AQ60" i="7" s="1"/>
  <c r="AP64" i="7"/>
  <c r="AQ64" i="7" s="1" a="1"/>
  <c r="AQ64" i="7" s="1"/>
  <c r="AP30" i="7"/>
  <c r="AQ30" i="7" s="1" a="1"/>
  <c r="AQ30" i="7" s="1"/>
  <c r="AP46" i="7"/>
  <c r="AQ46" i="7" s="1" a="1"/>
  <c r="AQ46" i="7" s="1"/>
  <c r="AP62" i="7"/>
  <c r="AQ62" i="7" s="1" a="1"/>
  <c r="AQ62" i="7" s="1"/>
  <c r="AP52" i="7"/>
  <c r="AQ52" i="7" s="1" a="1"/>
  <c r="AQ52" i="7" s="1"/>
  <c r="AP78" i="7"/>
  <c r="AQ78" i="7" s="1" a="1"/>
  <c r="AQ78" i="7" s="1"/>
  <c r="AP72" i="7"/>
  <c r="AQ72" i="7" s="1" a="1"/>
  <c r="AQ72" i="7" s="1"/>
  <c r="AP44" i="7"/>
  <c r="AQ44" i="7" s="1" a="1"/>
  <c r="AQ44" i="7" s="1"/>
  <c r="AP22" i="7"/>
  <c r="AQ22" i="7" s="1" a="1"/>
  <c r="AQ22" i="7" s="1"/>
  <c r="AP70" i="7"/>
  <c r="AQ70" i="7" s="1" a="1"/>
  <c r="AQ70" i="7" s="1"/>
  <c r="AP39" i="7"/>
  <c r="AQ39" i="7" s="1" a="1"/>
  <c r="AQ39" i="7" s="1"/>
  <c r="AP82" i="7"/>
  <c r="AQ82" i="7" s="1" a="1"/>
  <c r="AQ82" i="7" s="1"/>
  <c r="AP24" i="7"/>
  <c r="AQ24" i="7" s="1" a="1"/>
  <c r="AQ24" i="7" s="1"/>
  <c r="AP48" i="7"/>
  <c r="AQ48" i="7" s="1" a="1"/>
  <c r="AQ48" i="7" s="1"/>
  <c r="U16" i="7"/>
  <c r="D21" i="3"/>
  <c r="D21" i="2"/>
  <c r="J17" i="7"/>
  <c r="K17" i="7" s="1"/>
  <c r="J18" i="7"/>
  <c r="K18" i="7" s="1"/>
  <c r="J19" i="7"/>
  <c r="K19" i="7" s="1"/>
  <c r="J12" i="7"/>
  <c r="K12" i="7" s="1"/>
  <c r="J13" i="7"/>
  <c r="K13" i="7" s="1"/>
  <c r="J16" i="7"/>
  <c r="K16" i="7" s="1"/>
  <c r="J14" i="7"/>
  <c r="K14" i="7" s="1"/>
  <c r="J15" i="7"/>
  <c r="K15" i="7" s="1"/>
  <c r="Q17" i="7"/>
  <c r="R17" i="7" a="1"/>
  <c r="R17" i="7" s="1"/>
  <c r="Q18" i="7"/>
  <c r="R18" i="7" a="1"/>
  <c r="R18" i="7" s="1"/>
  <c r="Q11" i="7"/>
  <c r="R11" i="7" a="1"/>
  <c r="R11" i="7" s="1"/>
  <c r="Q12" i="7"/>
  <c r="R12" i="7" a="1"/>
  <c r="R12" i="7" s="1"/>
  <c r="T19" i="7"/>
  <c r="T18" i="7"/>
  <c r="T17" i="7"/>
  <c r="T11" i="7"/>
  <c r="T15" i="7"/>
  <c r="T14" i="7"/>
  <c r="T13" i="7"/>
  <c r="T12" i="7"/>
  <c r="S11" i="7" a="1"/>
  <c r="S11" i="7" s="1"/>
  <c r="S15" i="7" a="1"/>
  <c r="S15" i="7" s="1"/>
  <c r="S18" i="7" a="1"/>
  <c r="S18" i="7" s="1"/>
  <c r="S14" i="7" a="1"/>
  <c r="S14" i="7" s="1"/>
  <c r="S13" i="7" a="1"/>
  <c r="S13" i="7" s="1"/>
  <c r="S17" i="7" a="1"/>
  <c r="S17" i="7" s="1"/>
  <c r="S12" i="7" a="1"/>
  <c r="S12" i="7" s="1"/>
  <c r="S19" i="7" a="1"/>
  <c r="S19" i="7" s="1"/>
  <c r="Q15" i="7"/>
  <c r="Q19" i="7"/>
  <c r="Q14" i="7"/>
  <c r="Q13" i="7"/>
  <c r="AM16" i="7" l="1"/>
  <c r="AN16" i="7"/>
  <c r="AO16" i="7"/>
  <c r="AL16" i="7"/>
  <c r="AK16" i="7"/>
  <c r="AH16" i="7"/>
  <c r="AJ16" i="7"/>
  <c r="AG16" i="7"/>
  <c r="AI16" i="7"/>
  <c r="AF16" i="7"/>
  <c r="R14" i="1"/>
  <c r="R13" i="1"/>
  <c r="T100" i="7"/>
  <c r="R100" i="7"/>
  <c r="S100" i="7"/>
  <c r="Q100" i="7"/>
  <c r="J11" i="7"/>
  <c r="J100" i="7" s="1"/>
  <c r="E100" i="7"/>
  <c r="U15" i="7"/>
  <c r="U19" i="7"/>
  <c r="U18" i="7"/>
  <c r="U11" i="7"/>
  <c r="U14" i="7"/>
  <c r="U17" i="7"/>
  <c r="U13" i="7"/>
  <c r="U12" i="7"/>
  <c r="P14" i="1" l="1"/>
  <c r="O14" i="1" s="1"/>
  <c r="Z14" i="1" s="1"/>
  <c r="P13" i="1"/>
  <c r="O13" i="1" s="1"/>
  <c r="AM13" i="7"/>
  <c r="AN13" i="7"/>
  <c r="AL13" i="7"/>
  <c r="AO13" i="7"/>
  <c r="AK13" i="7"/>
  <c r="AG13" i="7"/>
  <c r="AH13" i="7"/>
  <c r="AI13" i="7"/>
  <c r="AJ13" i="7"/>
  <c r="AF12" i="7"/>
  <c r="AL12" i="7"/>
  <c r="AM12" i="7"/>
  <c r="AN12" i="7"/>
  <c r="AO12" i="7"/>
  <c r="AK12" i="7"/>
  <c r="AJ12" i="7"/>
  <c r="AI12" i="7"/>
  <c r="AG12" i="7"/>
  <c r="AH12" i="7"/>
  <c r="AN18" i="7"/>
  <c r="AO18" i="7"/>
  <c r="AL18" i="7"/>
  <c r="AM18" i="7"/>
  <c r="AK18" i="7"/>
  <c r="AJ18" i="7"/>
  <c r="AI18" i="7"/>
  <c r="AG18" i="7"/>
  <c r="AH18" i="7"/>
  <c r="AN19" i="7"/>
  <c r="AO19" i="7"/>
  <c r="AM19" i="7"/>
  <c r="AL19" i="7"/>
  <c r="AK19" i="7"/>
  <c r="AG19" i="7"/>
  <c r="AH19" i="7"/>
  <c r="AI19" i="7"/>
  <c r="AJ19" i="7"/>
  <c r="AL17" i="7"/>
  <c r="AO17" i="7"/>
  <c r="AN17" i="7"/>
  <c r="AM17" i="7"/>
  <c r="AK17" i="7"/>
  <c r="AG17" i="7"/>
  <c r="AH17" i="7"/>
  <c r="AI17" i="7"/>
  <c r="AJ17" i="7"/>
  <c r="AM15" i="7"/>
  <c r="AL15" i="7"/>
  <c r="AO15" i="7"/>
  <c r="AN15" i="7"/>
  <c r="AK15" i="7"/>
  <c r="AG15" i="7"/>
  <c r="AI15" i="7"/>
  <c r="AH15" i="7"/>
  <c r="AJ15" i="7"/>
  <c r="AL14" i="7"/>
  <c r="AM14" i="7"/>
  <c r="AN14" i="7"/>
  <c r="AO14" i="7"/>
  <c r="AK14" i="7"/>
  <c r="AI14" i="7"/>
  <c r="AG14" i="7"/>
  <c r="AJ14" i="7"/>
  <c r="AH14" i="7"/>
  <c r="AM11" i="7"/>
  <c r="AL11" i="7"/>
  <c r="AO11" i="7"/>
  <c r="AN11" i="7"/>
  <c r="AK11" i="7"/>
  <c r="AJ11" i="7"/>
  <c r="AH11" i="7"/>
  <c r="E19" i="3" s="1"/>
  <c r="AI11" i="7"/>
  <c r="E20" i="3" s="1"/>
  <c r="AG11" i="7"/>
  <c r="E18" i="3" s="1"/>
  <c r="AP16" i="7"/>
  <c r="AQ16" i="7" s="1" a="1"/>
  <c r="AQ16" i="7" s="1"/>
  <c r="U100" i="7"/>
  <c r="AF15" i="7"/>
  <c r="AF13" i="7"/>
  <c r="AF14" i="7"/>
  <c r="AF18" i="7"/>
  <c r="AF19" i="7"/>
  <c r="AF17" i="7"/>
  <c r="Y13" i="1" l="1"/>
  <c r="Z13" i="1"/>
  <c r="AB14" i="1"/>
  <c r="Y14" i="1"/>
  <c r="AA14" i="1"/>
  <c r="AB13" i="1"/>
  <c r="AA13" i="1"/>
  <c r="AO100" i="7"/>
  <c r="AN100" i="7"/>
  <c r="AL100" i="7"/>
  <c r="AM100" i="7"/>
  <c r="AI100" i="7"/>
  <c r="AG100" i="7"/>
  <c r="AH100" i="7"/>
  <c r="AJ100" i="7"/>
  <c r="AK100" i="7"/>
  <c r="AP14" i="7"/>
  <c r="AQ14" i="7" s="1" a="1"/>
  <c r="AQ14" i="7" s="1"/>
  <c r="AP15" i="7"/>
  <c r="AQ15" i="7" s="1" a="1"/>
  <c r="AQ15" i="7" s="1"/>
  <c r="AP18" i="7"/>
  <c r="AQ18" i="7" s="1" a="1"/>
  <c r="AQ18" i="7" s="1"/>
  <c r="AP12" i="7"/>
  <c r="AQ12" i="7" s="1" a="1"/>
  <c r="AQ12" i="7" s="1"/>
  <c r="AP19" i="7"/>
  <c r="AQ19" i="7" s="1" a="1"/>
  <c r="AQ19" i="7" s="1"/>
  <c r="AP17" i="7"/>
  <c r="AQ17" i="7" s="1" a="1"/>
  <c r="AQ17" i="7" s="1"/>
  <c r="AP13" i="7"/>
  <c r="AQ13" i="7" s="1" a="1"/>
  <c r="AQ13" i="7" s="1"/>
  <c r="AF11" i="7"/>
  <c r="E17" i="3" s="1"/>
  <c r="P15" i="1"/>
  <c r="O15" i="1" s="1"/>
  <c r="P18" i="1"/>
  <c r="O18" i="1" s="1"/>
  <c r="P17" i="1"/>
  <c r="O17" i="1" s="1"/>
  <c r="P16" i="1"/>
  <c r="O16" i="1" s="1"/>
  <c r="AC14" i="1" l="1"/>
  <c r="AC13" i="1"/>
  <c r="Z15" i="1"/>
  <c r="Y15" i="1"/>
  <c r="AA15" i="1"/>
  <c r="AB15" i="1"/>
  <c r="AB18" i="1"/>
  <c r="Z18" i="1"/>
  <c r="AA18" i="1"/>
  <c r="Y18" i="1"/>
  <c r="Z16" i="1"/>
  <c r="AA16" i="1"/>
  <c r="Y16" i="1"/>
  <c r="AB16" i="1"/>
  <c r="Z17" i="1"/>
  <c r="AA17" i="1"/>
  <c r="Y17" i="1"/>
  <c r="AB17" i="1"/>
  <c r="AF100" i="7"/>
  <c r="AP11" i="7"/>
  <c r="AP100" i="7" s="1"/>
  <c r="E21" i="3" l="1"/>
  <c r="AC15" i="1"/>
  <c r="AC16" i="1"/>
  <c r="K11" i="7"/>
  <c r="AQ11" i="7" a="1"/>
  <c r="AQ11" i="7" s="1"/>
  <c r="AC17" i="1"/>
  <c r="AC18" i="1"/>
  <c r="R12" i="1" l="1"/>
  <c r="P12" i="1" s="1"/>
  <c r="K100" i="7"/>
  <c r="P19" i="1" l="1"/>
  <c r="R19" i="1"/>
  <c r="O12" i="1" l="1"/>
  <c r="O19" i="1" l="1"/>
  <c r="L28" i="9"/>
  <c r="Z12" i="1"/>
  <c r="L21" i="9" s="1"/>
  <c r="L29" i="9"/>
  <c r="AA12" i="1"/>
  <c r="L22" i="9" s="1"/>
  <c r="AB12" i="1"/>
  <c r="L23" i="9" s="1"/>
  <c r="Y12" i="1"/>
  <c r="L20" i="9" s="1"/>
  <c r="L24" i="9"/>
  <c r="L25" i="9"/>
  <c r="L26" i="9"/>
  <c r="L27" i="9"/>
  <c r="E20" i="9" l="1"/>
  <c r="N24" i="9"/>
  <c r="E24" i="9"/>
  <c r="G24" i="9" s="1"/>
  <c r="N23" i="9"/>
  <c r="E23" i="9"/>
  <c r="G23" i="9" s="1"/>
  <c r="E22" i="9"/>
  <c r="G22" i="9" s="1"/>
  <c r="N22" i="9"/>
  <c r="N29" i="9"/>
  <c r="E29" i="9"/>
  <c r="G29" i="9" s="1"/>
  <c r="N27" i="9"/>
  <c r="E27" i="9"/>
  <c r="G27" i="9" s="1"/>
  <c r="N21" i="9"/>
  <c r="E21" i="9"/>
  <c r="G21" i="9" s="1"/>
  <c r="N26" i="9"/>
  <c r="E26" i="9"/>
  <c r="G26" i="9" s="1"/>
  <c r="N28" i="9"/>
  <c r="E28" i="9"/>
  <c r="G28" i="9" s="1"/>
  <c r="N25" i="9"/>
  <c r="E25" i="9"/>
  <c r="G25" i="9" s="1"/>
  <c r="E20" i="2"/>
  <c r="G20" i="2" s="1"/>
  <c r="E18" i="2"/>
  <c r="G18" i="2" s="1"/>
  <c r="Y19" i="1"/>
  <c r="E19" i="2"/>
  <c r="G19" i="2" s="1"/>
  <c r="AA19" i="1"/>
  <c r="E17" i="2"/>
  <c r="AC12" i="1"/>
  <c r="AC19" i="1" s="1"/>
  <c r="Z19" i="1"/>
  <c r="AB19" i="1"/>
  <c r="N20" i="9" l="1"/>
  <c r="N30" i="9" s="1"/>
  <c r="L30" i="9"/>
  <c r="G20" i="9"/>
  <c r="G30" i="9" s="1"/>
  <c r="E30" i="9"/>
  <c r="E21" i="2"/>
  <c r="G17" i="2"/>
  <c r="G2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<sst xmlns="http://schemas.openxmlformats.org/spreadsheetml/2006/main" count="386" uniqueCount="162">
  <si>
    <t>Totaaloverzicht</t>
  </si>
  <si>
    <t>Polisnummer</t>
  </si>
  <si>
    <t>Verzekeringsnemer</t>
  </si>
  <si>
    <t>VNAB-nummer</t>
  </si>
  <si>
    <t>Behorende bij</t>
  </si>
  <si>
    <t>Van</t>
  </si>
  <si>
    <t>Tot</t>
  </si>
  <si>
    <t>Periode</t>
  </si>
  <si>
    <t>Rijlabels</t>
  </si>
  <si>
    <t>Verz. Waarde</t>
  </si>
  <si>
    <t>Jaarpremie</t>
  </si>
  <si>
    <t>-</t>
  </si>
  <si>
    <t>Eindtotalen</t>
  </si>
  <si>
    <t>Mutaties</t>
  </si>
  <si>
    <t>Situatie voorgaande polis</t>
  </si>
  <si>
    <t>TOTAAL AANDEEL</t>
  </si>
  <si>
    <t>VERZEKERAARS:</t>
  </si>
  <si>
    <t>Verzekerde</t>
  </si>
  <si>
    <t>Certificaat</t>
  </si>
  <si>
    <t>Sub</t>
  </si>
  <si>
    <t>Verzekerde interest</t>
  </si>
  <si>
    <t>Bestemming</t>
  </si>
  <si>
    <t>Omschrijving</t>
  </si>
  <si>
    <t>Schadevergoedingstermijn</t>
  </si>
  <si>
    <t>Bouwaard</t>
  </si>
  <si>
    <t>Getaxeerd?</t>
  </si>
  <si>
    <t>Adres</t>
  </si>
  <si>
    <t>Postcode</t>
  </si>
  <si>
    <t>Plaats</t>
  </si>
  <si>
    <t>Land</t>
  </si>
  <si>
    <t>Vorkbedrag</t>
  </si>
  <si>
    <t>Premiegrondslag</t>
  </si>
  <si>
    <t>Verzekerde waarde</t>
  </si>
  <si>
    <t>Index nieuw</t>
  </si>
  <si>
    <t>Verz. Waarde Oud:</t>
  </si>
  <si>
    <t>Index oud</t>
  </si>
  <si>
    <t>Verzekeraar 1</t>
  </si>
  <si>
    <t>Verzekeraar 2</t>
  </si>
  <si>
    <t>Verzekeraar 3</t>
  </si>
  <si>
    <t>Verzekeraar 4</t>
  </si>
  <si>
    <t>Verzekeraar 5</t>
  </si>
  <si>
    <t>Verzekeraar 6</t>
  </si>
  <si>
    <t>Verzekeraar 7</t>
  </si>
  <si>
    <t>Verzekeraar 8</t>
  </si>
  <si>
    <t>Verzekeraar 9</t>
  </si>
  <si>
    <t>Verzekeraar 10</t>
  </si>
  <si>
    <t>Totale jaarpremie:</t>
  </si>
  <si>
    <t>Ja/Nee</t>
  </si>
  <si>
    <t>inclusief mutaties</t>
  </si>
  <si>
    <t>Aandeel:</t>
  </si>
  <si>
    <t>Getaxeerd</t>
  </si>
  <si>
    <t>Verzekerde Waarde</t>
  </si>
  <si>
    <t>Promillage 1</t>
  </si>
  <si>
    <t>Promillage 2</t>
  </si>
  <si>
    <t>Promillage 3</t>
  </si>
  <si>
    <t>Promillage 4</t>
  </si>
  <si>
    <t>Jaarpremie 1</t>
  </si>
  <si>
    <t>Jaarpremie 2</t>
  </si>
  <si>
    <t>Jaarpremie 3</t>
  </si>
  <si>
    <t>Jaarpremie 4</t>
  </si>
  <si>
    <t>Total</t>
  </si>
  <si>
    <t>Hide</t>
  </si>
  <si>
    <t>Soort interest</t>
  </si>
  <si>
    <t>Taxateur</t>
  </si>
  <si>
    <t>Taxatiedatum</t>
  </si>
  <si>
    <t>Rapportnummer</t>
  </si>
  <si>
    <t>Geldigheid</t>
  </si>
  <si>
    <t>Klant</t>
  </si>
  <si>
    <t>Omschrijving mutatie:</t>
  </si>
  <si>
    <t>Verzekerd bedrag</t>
  </si>
  <si>
    <t>Mutatiedatum</t>
  </si>
  <si>
    <t>Vervaldatum</t>
  </si>
  <si>
    <t>Dagen</t>
  </si>
  <si>
    <t>Dagen per jaar</t>
  </si>
  <si>
    <t>Sprake van CAD?</t>
  </si>
  <si>
    <t>Verrekeningen</t>
  </si>
  <si>
    <t>Aandelen</t>
  </si>
  <si>
    <t>Premieverrekening</t>
  </si>
  <si>
    <t>Totaal</t>
  </si>
  <si>
    <t>Omschrijving mutatie</t>
  </si>
  <si>
    <t>Subnummer</t>
  </si>
  <si>
    <t>Oud</t>
  </si>
  <si>
    <t>Investering Nieuw</t>
  </si>
  <si>
    <t>Investering bestaand</t>
  </si>
  <si>
    <t>Verlaging</t>
  </si>
  <si>
    <t>Afvoer</t>
  </si>
  <si>
    <t>Inclusief mutatie</t>
  </si>
  <si>
    <t>Som mutaties</t>
  </si>
  <si>
    <t>Investering nieuw2</t>
  </si>
  <si>
    <t>Investering bestaand2</t>
  </si>
  <si>
    <t>Verlaging2</t>
  </si>
  <si>
    <t>Afvoer2</t>
  </si>
  <si>
    <t>Verzekeraar 12</t>
  </si>
  <si>
    <t>Verzekeraar 13</t>
  </si>
  <si>
    <t>Verzekeraar 14</t>
  </si>
  <si>
    <t>Verzekeraar 15</t>
  </si>
  <si>
    <t>Verzekeraar 16</t>
  </si>
  <si>
    <t>Verzekeraar 17</t>
  </si>
  <si>
    <t>Verzekeraar 18</t>
  </si>
  <si>
    <t>Verzekeraar 19</t>
  </si>
  <si>
    <t>Verzekeraar 20</t>
  </si>
  <si>
    <t>Verzekeraar 21</t>
  </si>
  <si>
    <t>Totaal2</t>
  </si>
  <si>
    <t>Boeking</t>
  </si>
  <si>
    <t>Nee</t>
  </si>
  <si>
    <t xml:space="preserve">Termijn: </t>
  </si>
  <si>
    <t>Datum</t>
  </si>
  <si>
    <t xml:space="preserve">Van </t>
  </si>
  <si>
    <t>Verzekeraar</t>
  </si>
  <si>
    <t>Relatienummer</t>
  </si>
  <si>
    <t>Aandeel</t>
  </si>
  <si>
    <t>Al geboekt met nota</t>
  </si>
  <si>
    <t>Nog te boeken</t>
  </si>
  <si>
    <t>Toeslag Halfjaarpremie</t>
  </si>
  <si>
    <t>Toeslag Kwartaalpremie</t>
  </si>
  <si>
    <t>Halfjaarpremie</t>
  </si>
  <si>
    <t>Kwartaalpremie</t>
  </si>
  <si>
    <t>Boeking/restitutie</t>
  </si>
  <si>
    <t>Interest</t>
  </si>
  <si>
    <t>CAD</t>
  </si>
  <si>
    <t>Taxatie</t>
  </si>
  <si>
    <t>Ja</t>
  </si>
  <si>
    <t>Bedrijfsschade</t>
  </si>
  <si>
    <t>Hout, harde dekking</t>
  </si>
  <si>
    <t>Bedrijfsuitrusting</t>
  </si>
  <si>
    <t>Hout, rieten dekking</t>
  </si>
  <si>
    <t>Bijzondere kosten</t>
  </si>
  <si>
    <t>Steen, harde dekking</t>
  </si>
  <si>
    <t>Exploitatiekosten</t>
  </si>
  <si>
    <t>Steen, rieten dekking</t>
  </si>
  <si>
    <t>Extra kosten</t>
  </si>
  <si>
    <t>Gebouwen</t>
  </si>
  <si>
    <t>Goederen</t>
  </si>
  <si>
    <t>Goederen van derden</t>
  </si>
  <si>
    <t>Huurdersbelang</t>
  </si>
  <si>
    <t>Huurderving</t>
  </si>
  <si>
    <t>Opruimingskosten</t>
  </si>
  <si>
    <t>Overig</t>
  </si>
  <si>
    <t>Reconstructiekosten</t>
  </si>
  <si>
    <t>Woningverbetering</t>
  </si>
  <si>
    <t>Vervangende polis 4</t>
  </si>
  <si>
    <t>B0100085277</t>
  </si>
  <si>
    <t>Stichting Hogeschool der kunsten Den Haag</t>
  </si>
  <si>
    <t>koninklijke Academie van beeldende kunsten
BAKB</t>
  </si>
  <si>
    <t>Prinsessegracht 4
Bleyenburg 38</t>
  </si>
  <si>
    <t>s-Gravenhage</t>
  </si>
  <si>
    <t>Nederland</t>
  </si>
  <si>
    <t>Troostwijk Taxaties B.V.</t>
  </si>
  <si>
    <t>Den Haag</t>
  </si>
  <si>
    <t>lutherse kerk orgel</t>
  </si>
  <si>
    <t>Lutherse Burgwal 7</t>
  </si>
  <si>
    <t>koninklijk conservatorium</t>
  </si>
  <si>
    <t>Spuiplein 150</t>
  </si>
  <si>
    <t>zijnde het maximum bedrag per gebeurtenis
als premier risque gedurende een maximum
termijn van schadevergoeding van 104 weken
tot dekking van reconstructiekosten (als
omschreven in clausule
Reconstructiekostendekking BM031-013/2).</t>
  </si>
  <si>
    <t>zijnde het maximum bedrag per gebeurtenis
als premier risque gedurende een maximum
termijn van schadevergoeding van 104 weken
tot dekking van bijzondere kosten (als
omschreven in clausule Bijzondere kosten
BM021-016).</t>
  </si>
  <si>
    <t>zijnde het maximum bedrag per gebeurtenis
als premier risque gedurende een maximum
termijn van schadevergoeding van 104 weken
tot dekking van exploitatiekosten conform
clausule B 051-028/2 verzekering van
exploitatiekosten.</t>
  </si>
  <si>
    <t xml:space="preserve">MS Amlin </t>
  </si>
  <si>
    <t>Nationale-Nederlanden</t>
  </si>
  <si>
    <t>Allianz</t>
  </si>
  <si>
    <t>Zurich</t>
  </si>
  <si>
    <t>Vervangende polis 3</t>
  </si>
  <si>
    <t>Al geboekt met nota 6938396 d.d. 01-01-2024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</si>
</sst>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00"/>
    <numFmt numFmtId="165" formatCode="0.000\ \‰"/>
    <numFmt numFmtId="166" formatCode="_-* #,##0.00_-;\-* #,##0.00_-;_-* &quot;-&quot;??_-;_-@_-"/>
    <numFmt numFmtId="167" formatCode="_-[$€-2]* #,##0.00_-;\-[$€-2]* #,##0.00_-;_-[$€-2]* &quot;-&quot;??_-"/>
    <numFmt numFmtId="168" formatCode="0.0%"/>
    <numFmt numFmtId="169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entury"/>
      <family val="1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Verdana Pro Cond"/>
      <family val="2"/>
    </font>
    <font>
      <sz val="11"/>
      <color theme="1"/>
      <name val="Verdana Pro Cond"/>
      <family val="2"/>
    </font>
    <font>
      <sz val="10"/>
      <name val="Arial"/>
      <family val="2"/>
    </font>
    <font>
      <b/>
      <i/>
      <sz val="10"/>
      <color theme="1"/>
      <name val="Verdana Pro Cond"/>
      <family val="2"/>
    </font>
    <font>
      <i/>
      <sz val="11"/>
      <color theme="1"/>
      <name val="Calibri"/>
      <family val="2"/>
      <scheme val="minor"/>
    </font>
    <font>
      <b/>
      <i/>
      <sz val="12"/>
      <color theme="1"/>
      <name val="Verdana Pro Cond"/>
      <family val="2"/>
    </font>
    <font>
      <sz val="10"/>
      <color theme="1"/>
      <name val="Verdana Pro Cond"/>
      <family val="2"/>
    </font>
    <font>
      <i/>
      <sz val="12"/>
      <color theme="1"/>
      <name val="Verdana Pro Cond"/>
      <family val="2"/>
    </font>
    <font>
      <i/>
      <sz val="11"/>
      <color theme="1"/>
      <name val="Verdana Pro Cond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69">
    <xf numFmtId="0" fontId="0" fillId="0" borderId="0" xfId="0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44" fontId="8" fillId="0" borderId="0" xfId="0" applyNumberFormat="1" applyFont="1" applyAlignment="1">
      <alignment vertical="top"/>
    </xf>
    <xf numFmtId="0" fontId="9" fillId="7" borderId="11" xfId="0" applyFont="1" applyFill="1" applyBorder="1"/>
    <xf numFmtId="0" fontId="10" fillId="7" borderId="12" xfId="0" applyFont="1" applyFill="1" applyBorder="1"/>
    <xf numFmtId="0" fontId="10" fillId="7" borderId="13" xfId="0" applyFont="1" applyFill="1" applyBorder="1"/>
    <xf numFmtId="0" fontId="10" fillId="7" borderId="9" xfId="0" applyFont="1" applyFill="1" applyBorder="1"/>
    <xf numFmtId="0" fontId="10" fillId="7" borderId="9" xfId="0" applyFont="1" applyFill="1" applyBorder="1" applyAlignment="1">
      <alignment horizontal="left" vertical="top"/>
    </xf>
    <xf numFmtId="0" fontId="14" fillId="2" borderId="0" xfId="0" applyFont="1" applyFill="1" applyAlignment="1">
      <alignment vertical="top"/>
    </xf>
    <xf numFmtId="0" fontId="14" fillId="2" borderId="10" xfId="0" applyFont="1" applyFill="1" applyBorder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4" borderId="3" xfId="0" applyFont="1" applyFill="1" applyBorder="1" applyAlignment="1">
      <alignment vertical="top"/>
    </xf>
    <xf numFmtId="0" fontId="12" fillId="4" borderId="3" xfId="0" applyFont="1" applyFill="1" applyBorder="1" applyAlignment="1">
      <alignment vertical="top" wrapText="1"/>
    </xf>
    <xf numFmtId="0" fontId="12" fillId="3" borderId="17" xfId="0" applyFont="1" applyFill="1" applyBorder="1" applyAlignment="1">
      <alignment vertical="top"/>
    </xf>
    <xf numFmtId="0" fontId="12" fillId="7" borderId="3" xfId="0" applyFont="1" applyFill="1" applyBorder="1" applyAlignment="1">
      <alignment horizontal="center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/>
    </xf>
    <xf numFmtId="0" fontId="14" fillId="2" borderId="9" xfId="0" applyFont="1" applyFill="1" applyBorder="1"/>
    <xf numFmtId="0" fontId="14" fillId="2" borderId="0" xfId="0" applyFont="1" applyFill="1"/>
    <xf numFmtId="0" fontId="14" fillId="2" borderId="11" xfId="0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vertical="top"/>
    </xf>
    <xf numFmtId="0" fontId="14" fillId="2" borderId="13" xfId="0" applyFont="1" applyFill="1" applyBorder="1" applyAlignment="1">
      <alignment vertical="top"/>
    </xf>
    <xf numFmtId="0" fontId="14" fillId="2" borderId="11" xfId="0" applyFont="1" applyFill="1" applyBorder="1" applyAlignment="1">
      <alignment vertical="top"/>
    </xf>
    <xf numFmtId="0" fontId="12" fillId="3" borderId="9" xfId="0" applyFont="1" applyFill="1" applyBorder="1" applyAlignment="1">
      <alignment vertical="top"/>
    </xf>
    <xf numFmtId="0" fontId="14" fillId="2" borderId="0" xfId="0" applyFont="1" applyFill="1" applyAlignment="1">
      <alignment horizontal="center" vertical="top"/>
    </xf>
    <xf numFmtId="0" fontId="12" fillId="7" borderId="16" xfId="0" applyFont="1" applyFill="1" applyBorder="1" applyAlignment="1">
      <alignment horizontal="center" vertical="top"/>
    </xf>
    <xf numFmtId="0" fontId="12" fillId="7" borderId="17" xfId="0" applyFont="1" applyFill="1" applyBorder="1" applyAlignment="1">
      <alignment vertical="top"/>
    </xf>
    <xf numFmtId="0" fontId="0" fillId="0" borderId="0" xfId="0" quotePrefix="1"/>
    <xf numFmtId="14" fontId="3" fillId="0" borderId="0" xfId="0" applyNumberFormat="1" applyFont="1" applyAlignment="1">
      <alignment vertical="top"/>
    </xf>
    <xf numFmtId="0" fontId="7" fillId="0" borderId="1" xfId="0" applyFont="1" applyBorder="1" applyAlignment="1">
      <alignment vertical="top"/>
    </xf>
    <xf numFmtId="14" fontId="8" fillId="0" borderId="1" xfId="0" applyNumberFormat="1" applyFont="1" applyBorder="1" applyAlignment="1">
      <alignment vertical="top"/>
    </xf>
    <xf numFmtId="0" fontId="17" fillId="7" borderId="0" xfId="0" applyFont="1" applyFill="1" applyAlignment="1">
      <alignment horizontal="left" vertical="top"/>
    </xf>
    <xf numFmtId="0" fontId="17" fillId="7" borderId="10" xfId="0" applyFont="1" applyFill="1" applyBorder="1" applyAlignment="1">
      <alignment horizontal="left" vertical="top"/>
    </xf>
    <xf numFmtId="14" fontId="10" fillId="7" borderId="0" xfId="0" applyNumberFormat="1" applyFont="1" applyFill="1" applyAlignment="1">
      <alignment horizontal="left" vertical="top"/>
    </xf>
    <xf numFmtId="14" fontId="10" fillId="7" borderId="10" xfId="0" applyNumberFormat="1" applyFont="1" applyFill="1" applyBorder="1" applyAlignment="1">
      <alignment horizontal="left" vertical="top"/>
    </xf>
    <xf numFmtId="0" fontId="12" fillId="6" borderId="16" xfId="0" applyFont="1" applyFill="1" applyBorder="1" applyAlignment="1" applyProtection="1">
      <alignment horizontal="center" vertical="top"/>
      <protection locked="0"/>
    </xf>
    <xf numFmtId="0" fontId="12" fillId="6" borderId="3" xfId="0" applyFont="1" applyFill="1" applyBorder="1" applyAlignment="1" applyProtection="1">
      <alignment horizontal="center" vertical="top"/>
      <protection locked="0"/>
    </xf>
    <xf numFmtId="0" fontId="12" fillId="4" borderId="16" xfId="0" applyFont="1" applyFill="1" applyBorder="1" applyAlignment="1" applyProtection="1">
      <alignment vertical="top"/>
      <protection locked="0"/>
    </xf>
    <xf numFmtId="0" fontId="14" fillId="2" borderId="9" xfId="0" applyFont="1" applyFill="1" applyBorder="1" applyAlignment="1" applyProtection="1">
      <alignment vertical="top"/>
      <protection locked="0"/>
    </xf>
    <xf numFmtId="0" fontId="12" fillId="4" borderId="24" xfId="0" applyFont="1" applyFill="1" applyBorder="1" applyAlignment="1" applyProtection="1">
      <alignment vertical="top"/>
      <protection locked="0"/>
    </xf>
    <xf numFmtId="0" fontId="9" fillId="7" borderId="11" xfId="0" applyFont="1" applyFill="1" applyBorder="1" applyAlignment="1">
      <alignment horizontal="left" vertical="top"/>
    </xf>
    <xf numFmtId="0" fontId="9" fillId="7" borderId="12" xfId="0" applyFont="1" applyFill="1" applyBorder="1" applyAlignment="1">
      <alignment horizontal="left" vertical="top"/>
    </xf>
    <xf numFmtId="0" fontId="10" fillId="7" borderId="12" xfId="0" applyFont="1" applyFill="1" applyBorder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9" borderId="30" xfId="0" applyFont="1" applyFill="1" applyBorder="1" applyAlignment="1">
      <alignment horizontal="left" vertical="top"/>
    </xf>
    <xf numFmtId="0" fontId="12" fillId="8" borderId="31" xfId="5" applyFont="1" applyFill="1" applyBorder="1" applyAlignment="1">
      <alignment horizontal="left" vertical="top"/>
    </xf>
    <xf numFmtId="0" fontId="6" fillId="9" borderId="31" xfId="0" applyFont="1" applyFill="1" applyBorder="1" applyAlignment="1">
      <alignment horizontal="left" vertical="top"/>
    </xf>
    <xf numFmtId="0" fontId="9" fillId="5" borderId="18" xfId="0" applyFont="1" applyFill="1" applyBorder="1" applyAlignment="1">
      <alignment horizontal="left" vertical="top"/>
    </xf>
    <xf numFmtId="0" fontId="12" fillId="5" borderId="4" xfId="5" applyFont="1" applyFill="1" applyBorder="1" applyAlignment="1">
      <alignment horizontal="left" vertical="top"/>
    </xf>
    <xf numFmtId="0" fontId="9" fillId="5" borderId="4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center" vertical="top"/>
    </xf>
    <xf numFmtId="0" fontId="6" fillId="5" borderId="22" xfId="0" applyFont="1" applyFill="1" applyBorder="1" applyAlignment="1">
      <alignment horizontal="center" vertical="top"/>
    </xf>
    <xf numFmtId="0" fontId="6" fillId="5" borderId="18" xfId="0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/>
    </xf>
    <xf numFmtId="0" fontId="6" fillId="5" borderId="25" xfId="0" applyFont="1" applyFill="1" applyBorder="1" applyAlignment="1">
      <alignment horizontal="center" vertical="top"/>
    </xf>
    <xf numFmtId="0" fontId="0" fillId="5" borderId="7" xfId="0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10" fontId="0" fillId="5" borderId="7" xfId="0" applyNumberFormat="1" applyFill="1" applyBorder="1" applyAlignment="1">
      <alignment horizontal="center" vertical="top"/>
    </xf>
    <xf numFmtId="10" fontId="0" fillId="5" borderId="1" xfId="0" applyNumberFormat="1" applyFill="1" applyBorder="1" applyAlignment="1">
      <alignment horizontal="center" vertical="top"/>
    </xf>
    <xf numFmtId="0" fontId="0" fillId="5" borderId="8" xfId="0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0" fillId="0" borderId="2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44" fontId="0" fillId="0" borderId="27" xfId="0" applyNumberFormat="1" applyBorder="1" applyAlignment="1">
      <alignment horizontal="left" vertical="top"/>
    </xf>
    <xf numFmtId="0" fontId="1" fillId="0" borderId="27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44" fontId="0" fillId="0" borderId="28" xfId="0" applyNumberForma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2" fillId="7" borderId="33" xfId="0" applyFont="1" applyFill="1" applyBorder="1" applyAlignment="1">
      <alignment horizontal="center" vertical="top"/>
    </xf>
    <xf numFmtId="0" fontId="12" fillId="7" borderId="34" xfId="0" applyFont="1" applyFill="1" applyBorder="1" applyAlignment="1">
      <alignment horizontal="center" vertical="top"/>
    </xf>
    <xf numFmtId="0" fontId="12" fillId="7" borderId="29" xfId="0" applyFont="1" applyFill="1" applyBorder="1" applyAlignment="1">
      <alignment vertical="top"/>
    </xf>
    <xf numFmtId="0" fontId="14" fillId="2" borderId="13" xfId="0" applyFont="1" applyFill="1" applyBorder="1" applyAlignment="1">
      <alignment horizontal="center" vertical="top"/>
    </xf>
    <xf numFmtId="0" fontId="14" fillId="2" borderId="10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vertical="top"/>
    </xf>
    <xf numFmtId="0" fontId="14" fillId="2" borderId="32" xfId="0" applyFont="1" applyFill="1" applyBorder="1" applyAlignment="1">
      <alignment vertical="top"/>
    </xf>
    <xf numFmtId="0" fontId="14" fillId="2" borderId="35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44" fontId="8" fillId="0" borderId="1" xfId="2" applyFont="1" applyFill="1" applyBorder="1" applyAlignment="1">
      <alignment vertical="top"/>
    </xf>
    <xf numFmtId="0" fontId="8" fillId="0" borderId="6" xfId="0" applyFont="1" applyBorder="1" applyAlignment="1">
      <alignment vertical="top"/>
    </xf>
    <xf numFmtId="44" fontId="8" fillId="0" borderId="5" xfId="2" applyFont="1" applyFill="1" applyBorder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22" xfId="0" applyFont="1" applyBorder="1" applyAlignment="1">
      <alignment vertical="top"/>
    </xf>
    <xf numFmtId="0" fontId="15" fillId="4" borderId="16" xfId="0" applyFont="1" applyFill="1" applyBorder="1" applyAlignment="1" applyProtection="1">
      <alignment vertical="top"/>
      <protection locked="0"/>
    </xf>
    <xf numFmtId="0" fontId="15" fillId="4" borderId="24" xfId="0" applyFont="1" applyFill="1" applyBorder="1" applyAlignment="1" applyProtection="1">
      <alignment vertical="top"/>
      <protection locked="0"/>
    </xf>
    <xf numFmtId="0" fontId="15" fillId="4" borderId="3" xfId="0" applyFont="1" applyFill="1" applyBorder="1" applyAlignment="1">
      <alignment vertical="top"/>
    </xf>
    <xf numFmtId="0" fontId="15" fillId="4" borderId="3" xfId="0" applyFont="1" applyFill="1" applyBorder="1" applyAlignment="1">
      <alignment vertical="top" wrapText="1"/>
    </xf>
    <xf numFmtId="0" fontId="15" fillId="3" borderId="9" xfId="0" applyFont="1" applyFill="1" applyBorder="1" applyAlignment="1">
      <alignment vertical="top"/>
    </xf>
    <xf numFmtId="0" fontId="15" fillId="3" borderId="17" xfId="0" applyFont="1" applyFill="1" applyBorder="1" applyAlignment="1">
      <alignment vertical="top"/>
    </xf>
    <xf numFmtId="10" fontId="12" fillId="6" borderId="3" xfId="1" applyNumberFormat="1" applyFont="1" applyFill="1" applyBorder="1" applyAlignment="1" applyProtection="1">
      <alignment horizontal="center" vertical="top"/>
      <protection locked="0"/>
    </xf>
    <xf numFmtId="0" fontId="12" fillId="7" borderId="16" xfId="0" applyFont="1" applyFill="1" applyBorder="1" applyAlignment="1">
      <alignment vertical="top"/>
    </xf>
    <xf numFmtId="0" fontId="15" fillId="7" borderId="17" xfId="0" applyFont="1" applyFill="1" applyBorder="1" applyAlignment="1">
      <alignment vertical="top"/>
    </xf>
    <xf numFmtId="10" fontId="12" fillId="6" borderId="16" xfId="1" applyNumberFormat="1" applyFont="1" applyFill="1" applyBorder="1" applyAlignment="1" applyProtection="1">
      <alignment horizontal="center" vertical="top"/>
      <protection locked="0"/>
    </xf>
    <xf numFmtId="0" fontId="12" fillId="7" borderId="3" xfId="0" applyFont="1" applyFill="1" applyBorder="1" applyAlignment="1">
      <alignment vertical="top"/>
    </xf>
    <xf numFmtId="0" fontId="12" fillId="0" borderId="24" xfId="0" applyFont="1" applyBorder="1" applyAlignment="1" applyProtection="1">
      <alignment vertical="top"/>
      <protection locked="0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0" fontId="12" fillId="0" borderId="16" xfId="0" applyFont="1" applyBorder="1" applyAlignment="1">
      <alignment vertical="top"/>
    </xf>
    <xf numFmtId="0" fontId="12" fillId="0" borderId="17" xfId="0" applyFont="1" applyBorder="1" applyAlignment="1">
      <alignment vertical="top"/>
    </xf>
    <xf numFmtId="0" fontId="12" fillId="0" borderId="24" xfId="0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10" fontId="12" fillId="0" borderId="24" xfId="1" applyNumberFormat="1" applyFont="1" applyFill="1" applyBorder="1" applyAlignment="1" applyProtection="1">
      <alignment horizontal="center" vertical="top"/>
      <protection locked="0"/>
    </xf>
    <xf numFmtId="0" fontId="12" fillId="2" borderId="13" xfId="0" applyFont="1" applyFill="1" applyBorder="1" applyAlignment="1">
      <alignment vertical="top"/>
    </xf>
    <xf numFmtId="0" fontId="12" fillId="2" borderId="10" xfId="0" applyFont="1" applyFill="1" applyBorder="1" applyAlignment="1">
      <alignment vertical="top"/>
    </xf>
    <xf numFmtId="10" fontId="14" fillId="2" borderId="10" xfId="0" applyNumberFormat="1" applyFont="1" applyFill="1" applyBorder="1" applyAlignment="1">
      <alignment vertical="top"/>
    </xf>
    <xf numFmtId="0" fontId="12" fillId="2" borderId="12" xfId="0" applyFont="1" applyFill="1" applyBorder="1" applyAlignment="1">
      <alignment vertical="top"/>
    </xf>
    <xf numFmtId="0" fontId="9" fillId="5" borderId="22" xfId="0" applyFont="1" applyFill="1" applyBorder="1" applyAlignment="1">
      <alignment horizontal="center" vertical="top"/>
    </xf>
    <xf numFmtId="0" fontId="10" fillId="5" borderId="5" xfId="0" applyFont="1" applyFill="1" applyBorder="1" applyAlignment="1">
      <alignment horizontal="left" vertical="top"/>
    </xf>
    <xf numFmtId="0" fontId="10" fillId="5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9" borderId="30" xfId="0" applyFont="1" applyFill="1" applyBorder="1" applyAlignment="1">
      <alignment horizontal="left" vertical="top"/>
    </xf>
    <xf numFmtId="0" fontId="6" fillId="9" borderId="26" xfId="0" applyFont="1" applyFill="1" applyBorder="1" applyAlignment="1">
      <alignment horizontal="left" vertical="top"/>
    </xf>
    <xf numFmtId="0" fontId="6" fillId="5" borderId="18" xfId="0" applyFont="1" applyFill="1" applyBorder="1" applyAlignment="1">
      <alignment horizontal="left" vertical="top"/>
    </xf>
    <xf numFmtId="0" fontId="6" fillId="5" borderId="19" xfId="0" applyFont="1" applyFill="1" applyBorder="1" applyAlignment="1">
      <alignment horizontal="left" vertical="top"/>
    </xf>
    <xf numFmtId="168" fontId="8" fillId="0" borderId="1" xfId="1" applyNumberFormat="1" applyFont="1" applyFill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44" fontId="7" fillId="0" borderId="20" xfId="0" applyNumberFormat="1" applyFont="1" applyBorder="1" applyAlignment="1">
      <alignment vertical="top"/>
    </xf>
    <xf numFmtId="168" fontId="7" fillId="0" borderId="2" xfId="0" applyNumberFormat="1" applyFont="1" applyBorder="1" applyAlignment="1">
      <alignment vertical="top"/>
    </xf>
    <xf numFmtId="44" fontId="7" fillId="0" borderId="2" xfId="0" applyNumberFormat="1" applyFont="1" applyBorder="1" applyAlignment="1">
      <alignment vertical="top"/>
    </xf>
    <xf numFmtId="0" fontId="12" fillId="4" borderId="0" xfId="0" applyFont="1" applyFill="1" applyAlignment="1">
      <alignment vertical="top"/>
    </xf>
    <xf numFmtId="0" fontId="15" fillId="4" borderId="0" xfId="0" applyFont="1" applyFill="1" applyAlignment="1">
      <alignment vertical="top"/>
    </xf>
    <xf numFmtId="0" fontId="12" fillId="4" borderId="34" xfId="0" applyFont="1" applyFill="1" applyBorder="1" applyAlignment="1">
      <alignment vertical="top"/>
    </xf>
    <xf numFmtId="0" fontId="12" fillId="10" borderId="16" xfId="0" applyFont="1" applyFill="1" applyBorder="1" applyAlignment="1">
      <alignment vertical="top"/>
    </xf>
    <xf numFmtId="0" fontId="12" fillId="10" borderId="17" xfId="0" applyFont="1" applyFill="1" applyBorder="1" applyAlignment="1">
      <alignment vertical="top"/>
    </xf>
    <xf numFmtId="0" fontId="12" fillId="10" borderId="24" xfId="0" applyFont="1" applyFill="1" applyBorder="1" applyAlignment="1">
      <alignment vertical="top"/>
    </xf>
    <xf numFmtId="0" fontId="15" fillId="10" borderId="16" xfId="0" applyFont="1" applyFill="1" applyBorder="1" applyAlignment="1">
      <alignment vertical="top"/>
    </xf>
    <xf numFmtId="0" fontId="15" fillId="10" borderId="17" xfId="0" applyFont="1" applyFill="1" applyBorder="1" applyAlignment="1">
      <alignment vertical="top"/>
    </xf>
    <xf numFmtId="0" fontId="15" fillId="10" borderId="24" xfId="0" applyFont="1" applyFill="1" applyBorder="1" applyAlignment="1">
      <alignment vertical="top"/>
    </xf>
    <xf numFmtId="0" fontId="15" fillId="0" borderId="1" xfId="0" applyFont="1" applyBorder="1" applyAlignment="1" applyProtection="1">
      <alignment vertical="top"/>
      <protection locked="0"/>
    </xf>
    <xf numFmtId="164" fontId="15" fillId="0" borderId="1" xfId="0" quotePrefix="1" applyNumberFormat="1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44" fontId="15" fillId="0" borderId="1" xfId="2" applyFont="1" applyFill="1" applyBorder="1" applyAlignment="1" applyProtection="1">
      <alignment vertical="top"/>
      <protection locked="0"/>
    </xf>
    <xf numFmtId="44" fontId="15" fillId="0" borderId="1" xfId="2" applyFont="1" applyFill="1" applyBorder="1" applyAlignment="1">
      <alignment vertical="top"/>
    </xf>
    <xf numFmtId="44" fontId="15" fillId="0" borderId="1" xfId="0" applyNumberFormat="1" applyFont="1" applyBorder="1" applyAlignment="1" applyProtection="1">
      <alignment vertical="top"/>
      <protection locked="0"/>
    </xf>
    <xf numFmtId="165" fontId="15" fillId="0" borderId="1" xfId="0" applyNumberFormat="1" applyFont="1" applyBorder="1" applyAlignment="1" applyProtection="1">
      <alignment horizontal="center" vertical="top"/>
      <protection locked="0"/>
    </xf>
    <xf numFmtId="0" fontId="10" fillId="0" borderId="20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0" borderId="1" xfId="2" applyFont="1" applyFill="1" applyBorder="1" applyAlignment="1" applyProtection="1">
      <alignment horizontal="left" vertical="top"/>
    </xf>
    <xf numFmtId="14" fontId="0" fillId="0" borderId="1" xfId="0" applyNumberFormat="1" applyBorder="1" applyAlignment="1">
      <alignment horizontal="left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44" fontId="0" fillId="0" borderId="38" xfId="2" applyFont="1" applyFill="1" applyBorder="1" applyAlignment="1" applyProtection="1">
      <alignment horizontal="left" vertical="top"/>
    </xf>
    <xf numFmtId="14" fontId="0" fillId="0" borderId="38" xfId="0" applyNumberFormat="1" applyBorder="1" applyAlignment="1">
      <alignment horizontal="left" vertical="top"/>
    </xf>
    <xf numFmtId="165" fontId="1" fillId="0" borderId="38" xfId="0" applyNumberFormat="1" applyFont="1" applyBorder="1" applyAlignment="1">
      <alignment horizontal="center" vertical="top"/>
    </xf>
    <xf numFmtId="0" fontId="0" fillId="0" borderId="3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164" fontId="0" fillId="0" borderId="40" xfId="0" applyNumberFormat="1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44" fontId="0" fillId="0" borderId="37" xfId="2" applyFont="1" applyFill="1" applyBorder="1" applyAlignment="1" applyProtection="1">
      <alignment horizontal="left" vertical="top"/>
    </xf>
    <xf numFmtId="44" fontId="13" fillId="0" borderId="39" xfId="2" applyFont="1" applyFill="1" applyBorder="1" applyAlignment="1" applyProtection="1">
      <alignment horizontal="left" vertical="top"/>
    </xf>
    <xf numFmtId="44" fontId="0" fillId="0" borderId="7" xfId="2" applyFont="1" applyFill="1" applyBorder="1" applyAlignment="1" applyProtection="1">
      <alignment horizontal="left" vertical="top"/>
    </xf>
    <xf numFmtId="44" fontId="13" fillId="0" borderId="8" xfId="2" applyFont="1" applyFill="1" applyBorder="1" applyAlignment="1" applyProtection="1">
      <alignment horizontal="left" vertical="top"/>
    </xf>
    <xf numFmtId="14" fontId="0" fillId="0" borderId="37" xfId="0" applyNumberFormat="1" applyBorder="1" applyAlignment="1">
      <alignment horizontal="left" vertical="top"/>
    </xf>
    <xf numFmtId="14" fontId="0" fillId="0" borderId="7" xfId="0" applyNumberFormat="1" applyBorder="1" applyAlignment="1">
      <alignment horizontal="left" vertical="top"/>
    </xf>
    <xf numFmtId="44" fontId="0" fillId="0" borderId="37" xfId="0" applyNumberFormat="1" applyBorder="1" applyAlignment="1">
      <alignment horizontal="left" vertical="top"/>
    </xf>
    <xf numFmtId="44" fontId="13" fillId="0" borderId="39" xfId="0" applyNumberFormat="1" applyFont="1" applyBorder="1" applyAlignment="1">
      <alignment horizontal="left" vertical="top"/>
    </xf>
    <xf numFmtId="44" fontId="0" fillId="0" borderId="7" xfId="0" applyNumberFormat="1" applyBorder="1" applyAlignment="1">
      <alignment horizontal="left" vertical="top"/>
    </xf>
    <xf numFmtId="44" fontId="13" fillId="0" borderId="8" xfId="0" applyNumberFormat="1" applyFont="1" applyBorder="1" applyAlignment="1">
      <alignment horizontal="left" vertical="top"/>
    </xf>
    <xf numFmtId="44" fontId="0" fillId="0" borderId="41" xfId="2" applyFont="1" applyFill="1" applyBorder="1" applyAlignment="1" applyProtection="1">
      <alignment horizontal="left" vertical="top"/>
    </xf>
    <xf numFmtId="44" fontId="0" fillId="0" borderId="6" xfId="2" applyFont="1" applyFill="1" applyBorder="1" applyAlignment="1" applyProtection="1">
      <alignment horizontal="left" vertical="top"/>
    </xf>
    <xf numFmtId="165" fontId="1" fillId="0" borderId="37" xfId="0" applyNumberFormat="1" applyFont="1" applyBorder="1" applyAlignment="1">
      <alignment horizontal="center" vertical="top"/>
    </xf>
    <xf numFmtId="165" fontId="1" fillId="0" borderId="7" xfId="0" applyNumberFormat="1" applyFont="1" applyBorder="1" applyAlignment="1">
      <alignment horizontal="center" vertical="top"/>
    </xf>
    <xf numFmtId="14" fontId="14" fillId="2" borderId="0" xfId="0" applyNumberFormat="1" applyFont="1" applyFill="1"/>
    <xf numFmtId="14" fontId="14" fillId="2" borderId="0" xfId="0" applyNumberFormat="1" applyFont="1" applyFill="1" applyAlignment="1">
      <alignment vertical="top"/>
    </xf>
    <xf numFmtId="0" fontId="12" fillId="4" borderId="33" xfId="0" applyFont="1" applyFill="1" applyBorder="1" applyAlignment="1" applyProtection="1">
      <alignment vertical="top"/>
      <protection locked="0"/>
    </xf>
    <xf numFmtId="0" fontId="12" fillId="4" borderId="42" xfId="0" applyFont="1" applyFill="1" applyBorder="1" applyAlignment="1" applyProtection="1">
      <alignment vertical="top"/>
      <protection locked="0"/>
    </xf>
    <xf numFmtId="0" fontId="12" fillId="4" borderId="34" xfId="0" applyFont="1" applyFill="1" applyBorder="1" applyAlignment="1">
      <alignment vertical="top" wrapText="1"/>
    </xf>
    <xf numFmtId="0" fontId="12" fillId="4" borderId="12" xfId="0" applyFont="1" applyFill="1" applyBorder="1" applyAlignment="1">
      <alignment vertical="top"/>
    </xf>
    <xf numFmtId="0" fontId="12" fillId="10" borderId="33" xfId="0" applyFont="1" applyFill="1" applyBorder="1" applyAlignment="1">
      <alignment vertical="top"/>
    </xf>
    <xf numFmtId="0" fontId="12" fillId="10" borderId="29" xfId="0" applyFont="1" applyFill="1" applyBorder="1" applyAlignment="1">
      <alignment vertical="top"/>
    </xf>
    <xf numFmtId="0" fontId="12" fillId="10" borderId="42" xfId="0" applyFont="1" applyFill="1" applyBorder="1" applyAlignment="1">
      <alignment vertical="top"/>
    </xf>
    <xf numFmtId="0" fontId="12" fillId="3" borderId="11" xfId="0" applyFont="1" applyFill="1" applyBorder="1" applyAlignment="1">
      <alignment vertical="top"/>
    </xf>
    <xf numFmtId="0" fontId="12" fillId="3" borderId="29" xfId="0" applyFont="1" applyFill="1" applyBorder="1" applyAlignment="1">
      <alignment vertical="top"/>
    </xf>
    <xf numFmtId="0" fontId="12" fillId="6" borderId="33" xfId="0" applyFont="1" applyFill="1" applyBorder="1" applyAlignment="1" applyProtection="1">
      <alignment horizontal="center" vertical="top"/>
      <protection locked="0"/>
    </xf>
    <xf numFmtId="0" fontId="12" fillId="6" borderId="34" xfId="0" applyFont="1" applyFill="1" applyBorder="1" applyAlignment="1" applyProtection="1">
      <alignment horizontal="center" vertical="top"/>
      <protection locked="0"/>
    </xf>
    <xf numFmtId="0" fontId="12" fillId="0" borderId="16" xfId="0" applyFont="1" applyBorder="1" applyAlignment="1" applyProtection="1">
      <alignment vertical="top"/>
      <protection locked="0"/>
    </xf>
    <xf numFmtId="0" fontId="12" fillId="0" borderId="29" xfId="0" applyFont="1" applyBorder="1" applyAlignment="1">
      <alignment vertical="top"/>
    </xf>
    <xf numFmtId="0" fontId="15" fillId="0" borderId="43" xfId="0" applyFont="1" applyBorder="1" applyAlignment="1" applyProtection="1">
      <alignment vertical="top"/>
      <protection locked="0"/>
    </xf>
    <xf numFmtId="0" fontId="15" fillId="0" borderId="44" xfId="0" applyFont="1" applyBorder="1" applyAlignment="1" applyProtection="1">
      <alignment vertical="top"/>
      <protection locked="0"/>
    </xf>
    <xf numFmtId="0" fontId="15" fillId="0" borderId="45" xfId="0" applyFont="1" applyBorder="1" applyAlignment="1" applyProtection="1">
      <alignment horizontal="center" vertical="top"/>
      <protection locked="0"/>
    </xf>
    <xf numFmtId="0" fontId="15" fillId="0" borderId="45" xfId="0" applyFont="1" applyBorder="1" applyAlignment="1" applyProtection="1">
      <alignment vertical="top"/>
      <protection locked="0"/>
    </xf>
    <xf numFmtId="0" fontId="15" fillId="0" borderId="45" xfId="0" applyFont="1" applyBorder="1" applyAlignment="1" applyProtection="1">
      <alignment vertical="top" wrapText="1"/>
      <protection locked="0"/>
    </xf>
    <xf numFmtId="0" fontId="15" fillId="0" borderId="28" xfId="0" applyFont="1" applyBorder="1" applyAlignment="1" applyProtection="1">
      <alignment vertical="top"/>
      <protection locked="0"/>
    </xf>
    <xf numFmtId="44" fontId="15" fillId="0" borderId="43" xfId="0" applyNumberFormat="1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44" fontId="15" fillId="0" borderId="27" xfId="0" applyNumberFormat="1" applyFont="1" applyBorder="1" applyAlignment="1">
      <alignment vertical="top"/>
    </xf>
    <xf numFmtId="44" fontId="15" fillId="0" borderId="43" xfId="0" applyNumberFormat="1" applyFont="1" applyBorder="1" applyAlignment="1">
      <alignment vertical="top"/>
    </xf>
    <xf numFmtId="44" fontId="15" fillId="0" borderId="36" xfId="0" applyNumberFormat="1" applyFont="1" applyBorder="1" applyAlignment="1">
      <alignment vertical="top"/>
    </xf>
    <xf numFmtId="3" fontId="14" fillId="2" borderId="0" xfId="0" applyNumberFormat="1" applyFont="1" applyFill="1" applyAlignment="1">
      <alignment vertical="top"/>
    </xf>
    <xf numFmtId="164" fontId="15" fillId="0" borderId="1" xfId="0" applyNumberFormat="1" applyFont="1" applyBorder="1" applyAlignment="1" applyProtection="1">
      <alignment vertical="top"/>
      <protection locked="0"/>
    </xf>
    <xf numFmtId="0" fontId="0" fillId="0" borderId="1" xfId="0" applyBorder="1"/>
    <xf numFmtId="44" fontId="15" fillId="0" borderId="1" xfId="2" quotePrefix="1" applyFont="1" applyBorder="1" applyAlignment="1">
      <alignment vertical="top"/>
    </xf>
    <xf numFmtId="44" fontId="15" fillId="0" borderId="1" xfId="2" applyFont="1" applyBorder="1" applyAlignment="1">
      <alignment vertical="top"/>
    </xf>
    <xf numFmtId="164" fontId="15" fillId="0" borderId="1" xfId="0" applyNumberFormat="1" applyFont="1" applyBorder="1" applyAlignment="1" applyProtection="1">
      <alignment horizontal="center" vertical="top"/>
      <protection locked="0"/>
    </xf>
    <xf numFmtId="10" fontId="0" fillId="5" borderId="6" xfId="0" applyNumberFormat="1" applyFill="1" applyBorder="1" applyAlignment="1">
      <alignment horizontal="center" vertical="top"/>
    </xf>
    <xf numFmtId="169" fontId="0" fillId="0" borderId="0" xfId="0" applyNumberFormat="1"/>
    <xf numFmtId="0" fontId="14" fillId="2" borderId="9" xfId="0" applyFont="1" applyFill="1" applyBorder="1" applyAlignment="1">
      <alignment vertical="top"/>
    </xf>
    <xf numFmtId="0" fontId="15" fillId="0" borderId="1" xfId="0" applyFont="1" applyBorder="1" applyAlignment="1" applyProtection="1">
      <alignment horizontal="center" vertical="top"/>
      <protection locked="0"/>
    </xf>
    <xf numFmtId="164" fontId="15" fillId="0" borderId="1" xfId="0" applyNumberFormat="1" applyFont="1" applyBorder="1" applyAlignment="1" applyProtection="1">
      <alignment horizontal="left" vertical="top"/>
      <protection locked="0"/>
    </xf>
    <xf numFmtId="0" fontId="0" fillId="11" borderId="0" xfId="0" applyFill="1"/>
    <xf numFmtId="0" fontId="9" fillId="7" borderId="9" xfId="0" applyFont="1" applyFill="1" applyBorder="1" applyAlignment="1">
      <alignment horizontal="left" vertical="top"/>
    </xf>
    <xf numFmtId="0" fontId="9" fillId="7" borderId="0" xfId="0" applyFont="1" applyFill="1" applyAlignment="1">
      <alignment horizontal="left" vertical="top"/>
    </xf>
    <xf numFmtId="0" fontId="3" fillId="11" borderId="0" xfId="0" applyFont="1" applyFill="1" applyAlignment="1">
      <alignment vertical="top"/>
    </xf>
    <xf numFmtId="0" fontId="7" fillId="0" borderId="0" xfId="0" applyFont="1" applyAlignment="1">
      <alignment vertical="top"/>
    </xf>
    <xf numFmtId="14" fontId="8" fillId="0" borderId="0" xfId="0" applyNumberFormat="1" applyFont="1" applyAlignment="1">
      <alignment vertical="top"/>
    </xf>
    <xf numFmtId="9" fontId="8" fillId="0" borderId="1" xfId="0" applyNumberFormat="1" applyFont="1" applyBorder="1" applyAlignment="1">
      <alignment vertical="top"/>
    </xf>
    <xf numFmtId="9" fontId="8" fillId="0" borderId="0" xfId="0" applyNumberFormat="1" applyFont="1" applyAlignment="1">
      <alignment vertical="top"/>
    </xf>
    <xf numFmtId="0" fontId="10" fillId="7" borderId="0" xfId="0" applyFont="1" applyFill="1" applyAlignment="1">
      <alignment horizontal="left"/>
    </xf>
    <xf numFmtId="0" fontId="10" fillId="7" borderId="10" xfId="0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8" fillId="0" borderId="6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4" fontId="8" fillId="0" borderId="1" xfId="2" applyFont="1" applyFill="1" applyBorder="1" applyAlignment="1">
      <alignment horizontal="left" vertical="top"/>
    </xf>
    <xf numFmtId="44" fontId="8" fillId="0" borderId="5" xfId="2" applyFont="1" applyFill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44" fontId="7" fillId="0" borderId="2" xfId="0" applyNumberFormat="1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9" fillId="9" borderId="3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6" fillId="9" borderId="31" xfId="0" applyFont="1" applyFill="1" applyBorder="1" applyAlignment="1">
      <alignment horizontal="center" vertical="top"/>
    </xf>
    <xf numFmtId="0" fontId="6" fillId="9" borderId="26" xfId="0" applyFont="1" applyFill="1" applyBorder="1" applyAlignment="1">
      <alignment horizontal="center" vertical="top"/>
    </xf>
    <xf numFmtId="0" fontId="6" fillId="6" borderId="31" xfId="0" applyFont="1" applyFill="1" applyBorder="1" applyAlignment="1">
      <alignment horizontal="center" vertical="top"/>
    </xf>
    <xf numFmtId="0" fontId="6" fillId="6" borderId="26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10" borderId="26" xfId="0" applyFont="1" applyFill="1" applyBorder="1" applyAlignment="1">
      <alignment horizontal="center" vertical="top"/>
    </xf>
    <xf numFmtId="164" fontId="15" fillId="9" borderId="1" xfId="0" applyNumberFormat="1" applyFont="1" applyFill="1" applyBorder="1" applyAlignment="1" applyProtection="1">
      <alignment horizontal="left" vertical="top"/>
      <protection locked="0"/>
    </xf>
    <xf numFmtId="0" fontId="15" fillId="9" borderId="1" xfId="0" applyFont="1" applyFill="1" applyBorder="1" applyAlignment="1" applyProtection="1">
      <alignment horizontal="center" vertical="top"/>
      <protection locked="0"/>
    </xf>
    <xf numFmtId="164" fontId="15" fillId="9" borderId="1" xfId="0" quotePrefix="1" applyNumberFormat="1" applyFont="1" applyFill="1" applyBorder="1" applyAlignment="1" applyProtection="1">
      <alignment horizontal="center" vertical="top"/>
      <protection locked="0"/>
    </xf>
    <xf numFmtId="0" fontId="15" fillId="9" borderId="1" xfId="0" applyFont="1" applyFill="1" applyBorder="1" applyAlignment="1" applyProtection="1">
      <alignment vertical="top"/>
      <protection locked="0"/>
    </xf>
    <xf numFmtId="0" fontId="15" fillId="9" borderId="1" xfId="0" applyFont="1" applyFill="1" applyBorder="1" applyAlignment="1" applyProtection="1">
      <alignment vertical="top" wrapText="1"/>
      <protection locked="0"/>
    </xf>
    <xf numFmtId="44" fontId="15" fillId="9" borderId="1" xfId="2" applyFont="1" applyFill="1" applyBorder="1" applyAlignment="1" applyProtection="1">
      <alignment vertical="top"/>
      <protection locked="0"/>
    </xf>
    <xf numFmtId="44" fontId="15" fillId="9" borderId="1" xfId="2" applyFont="1" applyFill="1" applyBorder="1" applyAlignment="1">
      <alignment vertical="top"/>
    </xf>
    <xf numFmtId="44" fontId="15" fillId="9" borderId="1" xfId="0" applyNumberFormat="1" applyFont="1" applyFill="1" applyBorder="1" applyAlignment="1" applyProtection="1">
      <alignment vertical="top"/>
      <protection locked="0"/>
    </xf>
    <xf numFmtId="165" fontId="15" fillId="9" borderId="1" xfId="0" applyNumberFormat="1" applyFont="1" applyFill="1" applyBorder="1" applyAlignment="1" applyProtection="1">
      <alignment horizontal="center" vertical="top"/>
      <protection locked="0"/>
    </xf>
    <xf numFmtId="44" fontId="15" fillId="9" borderId="1" xfId="2" quotePrefix="1" applyFont="1" applyFill="1" applyBorder="1" applyAlignment="1">
      <alignment vertical="top"/>
    </xf>
    <xf numFmtId="0" fontId="15" fillId="9" borderId="0" xfId="0" applyFont="1" applyFill="1" applyAlignment="1">
      <alignment vertical="top"/>
    </xf>
  </cellXfs>
  <cellStyles count="10">
    <cellStyle name="Comma 2" xfId="6" xr:uid="{0C31A5CA-2788-47F5-8595-86AF3D8D6340}"/>
    <cellStyle name="Currency" xfId="2" builtinId="4"/>
    <cellStyle name="Euro" xfId="7" xr:uid="{FA1A5A95-47BA-426C-8BF7-4A2E768BBCC7}"/>
    <cellStyle name="Normal" xfId="0" builtinId="0"/>
    <cellStyle name="Normal 2" xfId="3" xr:uid="{042D0CC4-8D3C-4DBD-B577-B57DA9BD067E}"/>
    <cellStyle name="Normal 3" xfId="5" xr:uid="{2CCB5DFE-C7B7-4BFF-AF96-2AC76775BF9A}"/>
    <cellStyle name="Normal 6" xfId="4" xr:uid="{C724D0DD-173B-44D7-8963-C379B248AB9A}"/>
    <cellStyle name="Percent" xfId="1" builtinId="5"/>
    <cellStyle name="Percent 2" xfId="8" xr:uid="{79192040-C87C-4346-9B53-9BACCE0E6A89}"/>
    <cellStyle name="Procent 2" xfId="9" xr:uid="{1489CFF9-A365-4C1F-8D3B-F1F5EF5090E9}"/>
  </cellStyles>
  <dxfs count="2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alignment horizontal="center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"/>
        <family val="1"/>
        <scheme val="none"/>
      </font>
      <numFmt numFmtId="165" formatCode="0.000\ \‰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protection locked="1" hidden="0"/>
    </dxf>
    <dxf>
      <border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5" formatCode="0.000\ \‰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5" formatCode="0.000\ \‰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5" formatCode="0.000\ \‰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5" formatCode="0.000\ \‰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Verdana Pro Cond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numFmt numFmtId="169" formatCode="_ [$€-413]\ * #,##0.00_ ;_ [$€-413]\ * \-#,##0.00_ ;_ [$€-413]\ * &quot;-&quot;??_ ;_ @_ "/>
    </dxf>
  </dxfs>
  <tableStyles count="0" defaultTableStyle="TableStyleMedium2" defaultPivotStyle="PivotStyleLight16"/>
  <colors>
    <mruColors>
      <color rgb="FFCCFFFF"/>
      <color rgb="FF00CCFF"/>
      <color rgb="FFBB9DDB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459441</xdr:colOff>
      <xdr:row>0</xdr:row>
      <xdr:rowOff>67236</xdr:rowOff>
    </xdr:from>
    <xdr:to>
      <xdr:col>5</xdr:col>
      <xdr:colOff>930089</xdr:colOff>
      <xdr:row>5</xdr:row>
      <xdr:rowOff>145678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506631AC-6154-73EC-8367-F7961309246A}"/>
            </a:ext>
          </a:extLst>
        </xdr:cNvPr>
        <xdr:cNvGrpSpPr/>
      </xdr:nvGrpSpPr>
      <xdr:grpSpPr>
        <a:xfrm>
          <a:off x="459441" y="67236"/>
          <a:ext cx="4191001" cy="1042148"/>
          <a:chOff x="605117" y="100853"/>
          <a:chExt cx="4191001" cy="1042148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492A207-1024-FBEB-B980-391B0E1FD167}"/>
              </a:ext>
            </a:extLst>
          </xdr:cNvPr>
          <xdr:cNvSpPr txBox="1"/>
        </xdr:nvSpPr>
        <xdr:spPr>
          <a:xfrm>
            <a:off x="605117" y="100853"/>
            <a:ext cx="4191001" cy="10421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  <a:p>
            <a:endParaRPr lang="nl-NL" sz="1200" b="1">
              <a:latin typeface="Verdana Pro Cond" panose="020B0606030504040204" pitchFamily="34" charset="0"/>
            </a:endParaRPr>
          </a:p>
        </xdr:txBody>
      </xdr:sp>
      <xdr:sp macro="" textlink="Overzicht!B2">
        <xdr:nvSpPr>
          <xdr:cNvPr id="7" name="TextBox 6">
            <a:extLst>
              <a:ext uri="{FF2B5EF4-FFF2-40B4-BE49-F238E27FC236}">
                <a16:creationId xmlns:a16="http://schemas.microsoft.com/office/drawing/2014/main" id="{9E84F944-7E99-82E1-772E-CF0D2A9DA650}"/>
              </a:ext>
            </a:extLst>
          </xdr:cNvPr>
          <xdr:cNvSpPr txBox="1"/>
        </xdr:nvSpPr>
        <xdr:spPr>
          <a:xfrm>
            <a:off x="2555968" y="257735"/>
            <a:ext cx="1525378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B7EC3443-A252-435B-9ABD-5336A70D7FFF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B0100085277</a:t>
            </a:fld>
            <a:endParaRPr lang="nl-NL" sz="1100"/>
          </a:p>
        </xdr:txBody>
      </xdr:sp>
      <xdr:sp macro="" textlink="Overzicht!B3">
        <xdr:nvSpPr>
          <xdr:cNvPr id="8" name="TextBox 7">
            <a:extLst>
              <a:ext uri="{FF2B5EF4-FFF2-40B4-BE49-F238E27FC236}">
                <a16:creationId xmlns:a16="http://schemas.microsoft.com/office/drawing/2014/main" id="{752D5BD6-251D-4108-B613-39B53F158BC0}"/>
              </a:ext>
            </a:extLst>
          </xdr:cNvPr>
          <xdr:cNvSpPr txBox="1"/>
        </xdr:nvSpPr>
        <xdr:spPr>
          <a:xfrm>
            <a:off x="2555968" y="448235"/>
            <a:ext cx="1498013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7D3C797-261C-4850-A661-4A61A009699E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Hogeschool der kunsten Den Haag</a:t>
            </a:fld>
            <a:endParaRPr lang="nl-NL" sz="1100"/>
          </a:p>
        </xdr:txBody>
      </xdr:sp>
      <xdr:sp macro="" textlink="Overzicht!B4">
        <xdr:nvSpPr>
          <xdr:cNvPr id="9" name="TextBox 8">
            <a:extLst>
              <a:ext uri="{FF2B5EF4-FFF2-40B4-BE49-F238E27FC236}">
                <a16:creationId xmlns:a16="http://schemas.microsoft.com/office/drawing/2014/main" id="{24323582-12C8-49F3-AF43-8308884A722C}"/>
              </a:ext>
            </a:extLst>
          </xdr:cNvPr>
          <xdr:cNvSpPr txBox="1"/>
        </xdr:nvSpPr>
        <xdr:spPr>
          <a:xfrm>
            <a:off x="2555968" y="638735"/>
            <a:ext cx="1253526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EE9CC97-A08F-4D7F-809C-16F14AC12225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631704610</a:t>
            </a:fld>
            <a:endParaRPr lang="nl-NL" sz="1100"/>
          </a:p>
        </xdr:txBody>
      </xdr:sp>
      <xdr:sp macro="" textlink="Overzicht!B5">
        <xdr:nvSpPr>
          <xdr:cNvPr id="10" name="TextBox 9">
            <a:extLst>
              <a:ext uri="{FF2B5EF4-FFF2-40B4-BE49-F238E27FC236}">
                <a16:creationId xmlns:a16="http://schemas.microsoft.com/office/drawing/2014/main" id="{2DD6BE25-4C9B-40CF-BB40-9D0F9FC30A6F}"/>
              </a:ext>
            </a:extLst>
          </xdr:cNvPr>
          <xdr:cNvSpPr txBox="1"/>
        </xdr:nvSpPr>
        <xdr:spPr>
          <a:xfrm>
            <a:off x="2555968" y="829235"/>
            <a:ext cx="104567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D4D2D69-4DAD-4C8F-92EB-E5C593D6AB54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Vervangende polis 4</a:t>
            </a:fld>
            <a:endParaRPr lang="nl-NL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323850</xdr:colOff>
      <xdr:row>0</xdr:row>
      <xdr:rowOff>123825</xdr:rowOff>
    </xdr:from>
    <xdr:to>
      <xdr:col>2</xdr:col>
      <xdr:colOff>518090</xdr:colOff>
      <xdr:row>2</xdr:row>
      <xdr:rowOff>53359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BCA0F5-976A-B33F-1F44-E18D611F2D88}"/>
            </a:ext>
          </a:extLst>
        </xdr:cNvPr>
        <xdr:cNvSpPr txBox="1"/>
      </xdr:nvSpPr>
      <xdr:spPr>
        <a:xfrm>
          <a:off x="323850" y="123825"/>
          <a:ext cx="1870640" cy="3105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400" b="1">
              <a:solidFill>
                <a:schemeClr val="bg1"/>
              </a:solidFill>
              <a:latin typeface="Verdana Pro Cond" panose="020B0606030504040204" pitchFamily="34" charset="0"/>
            </a:rPr>
            <a:t>Getaxeerde</a:t>
          </a:r>
          <a:r>
            <a:rPr lang="nl-NL" sz="1400" b="1" baseline="0">
              <a:solidFill>
                <a:schemeClr val="bg1"/>
              </a:solidFill>
              <a:latin typeface="Verdana Pro Cond" panose="020B0606030504040204" pitchFamily="34" charset="0"/>
            </a:rPr>
            <a:t> objecten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459442</xdr:colOff>
      <xdr:row>0</xdr:row>
      <xdr:rowOff>67235</xdr:rowOff>
    </xdr:from>
    <xdr:to>
      <xdr:col>3</xdr:col>
      <xdr:colOff>56031</xdr:colOff>
      <xdr:row>5</xdr:row>
      <xdr:rowOff>168088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CE1006BB-D6D3-4EFE-BFB2-0ACEA4A88E88}"/>
            </a:ext>
          </a:extLst>
        </xdr:cNvPr>
        <xdr:cNvGrpSpPr/>
      </xdr:nvGrpSpPr>
      <xdr:grpSpPr>
        <a:xfrm>
          <a:off x="459442" y="67235"/>
          <a:ext cx="4191001" cy="1053353"/>
          <a:chOff x="605117" y="100853"/>
          <a:chExt cx="4191001" cy="1042148"/>
        </a:xfrm>
      </xdr:grpSpPr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54F33EBE-7B97-CA7E-831A-0177EDAC2F02}"/>
              </a:ext>
            </a:extLst>
          </xdr:cNvPr>
          <xdr:cNvSpPr txBox="1"/>
        </xdr:nvSpPr>
        <xdr:spPr>
          <a:xfrm>
            <a:off x="605117" y="100853"/>
            <a:ext cx="4191001" cy="10421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  <a:p>
            <a:endParaRPr lang="nl-NL" sz="1200" b="1">
              <a:latin typeface="Verdana Pro Cond" panose="020B0606030504040204" pitchFamily="34" charset="0"/>
            </a:endParaRPr>
          </a:p>
        </xdr:txBody>
      </xdr:sp>
      <xdr:sp macro="" textlink="Overzicht!B2">
        <xdr:nvSpPr>
          <xdr:cNvPr id="44" name="TextBox 43">
            <a:extLst>
              <a:ext uri="{FF2B5EF4-FFF2-40B4-BE49-F238E27FC236}">
                <a16:creationId xmlns:a16="http://schemas.microsoft.com/office/drawing/2014/main" id="{A5BD0191-45FD-CEDE-9C77-44056BB8B0AA}"/>
              </a:ext>
            </a:extLst>
          </xdr:cNvPr>
          <xdr:cNvSpPr txBox="1"/>
        </xdr:nvSpPr>
        <xdr:spPr>
          <a:xfrm>
            <a:off x="2555968" y="257735"/>
            <a:ext cx="1525378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B7EC3443-A252-435B-9ABD-5336A70D7FFF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B0100085277</a:t>
            </a:fld>
            <a:endParaRPr lang="nl-NL" sz="1100"/>
          </a:p>
        </xdr:txBody>
      </xdr:sp>
      <xdr:sp macro="" textlink="Overzicht!B3">
        <xdr:nvSpPr>
          <xdr:cNvPr id="45" name="TextBox 44">
            <a:extLst>
              <a:ext uri="{FF2B5EF4-FFF2-40B4-BE49-F238E27FC236}">
                <a16:creationId xmlns:a16="http://schemas.microsoft.com/office/drawing/2014/main" id="{C19CE5F1-7C18-0FC7-9039-AE5F660A3B09}"/>
              </a:ext>
            </a:extLst>
          </xdr:cNvPr>
          <xdr:cNvSpPr txBox="1"/>
        </xdr:nvSpPr>
        <xdr:spPr>
          <a:xfrm>
            <a:off x="2555968" y="448235"/>
            <a:ext cx="1498013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7D3C797-261C-4850-A661-4A61A009699E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Hogeschool der kunsten Den Haag</a:t>
            </a:fld>
            <a:endParaRPr lang="nl-NL" sz="1100"/>
          </a:p>
        </xdr:txBody>
      </xdr:sp>
      <xdr:sp macro="" textlink="Overzicht!B4">
        <xdr:nvSpPr>
          <xdr:cNvPr id="46" name="TextBox 45">
            <a:extLst>
              <a:ext uri="{FF2B5EF4-FFF2-40B4-BE49-F238E27FC236}">
                <a16:creationId xmlns:a16="http://schemas.microsoft.com/office/drawing/2014/main" id="{AC4141DE-2E8B-2427-070B-08E35619B9C8}"/>
              </a:ext>
            </a:extLst>
          </xdr:cNvPr>
          <xdr:cNvSpPr txBox="1"/>
        </xdr:nvSpPr>
        <xdr:spPr>
          <a:xfrm>
            <a:off x="2555968" y="638735"/>
            <a:ext cx="1253526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EE9CC97-A08F-4D7F-809C-16F14AC12225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631704610</a:t>
            </a:fld>
            <a:endParaRPr lang="nl-NL" sz="1100"/>
          </a:p>
        </xdr:txBody>
      </xdr:sp>
      <xdr:sp macro="" textlink="Overzicht!B5">
        <xdr:nvSpPr>
          <xdr:cNvPr id="47" name="TextBox 46">
            <a:extLst>
              <a:ext uri="{FF2B5EF4-FFF2-40B4-BE49-F238E27FC236}">
                <a16:creationId xmlns:a16="http://schemas.microsoft.com/office/drawing/2014/main" id="{E9555F6B-707B-6F81-7BAC-60DAC7573100}"/>
              </a:ext>
            </a:extLst>
          </xdr:cNvPr>
          <xdr:cNvSpPr txBox="1"/>
        </xdr:nvSpPr>
        <xdr:spPr>
          <a:xfrm>
            <a:off x="2555968" y="829235"/>
            <a:ext cx="104567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D4D2D69-4DAD-4C8F-92EB-E5C593D6AB54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Vervangende polis 4</a:t>
            </a:fld>
            <a:endParaRPr lang="nl-NL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95250</xdr:colOff>
      <xdr:row>0</xdr:row>
      <xdr:rowOff>85725</xdr:rowOff>
    </xdr:from>
    <xdr:to>
      <xdr:col>2</xdr:col>
      <xdr:colOff>365025</xdr:colOff>
      <xdr:row>2</xdr:row>
      <xdr:rowOff>34309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CBEB55-CD71-4B6E-9E07-21C2B509E4E1}"/>
            </a:ext>
          </a:extLst>
        </xdr:cNvPr>
        <xdr:cNvSpPr txBox="1"/>
      </xdr:nvSpPr>
      <xdr:spPr>
        <a:xfrm>
          <a:off x="285750" y="85725"/>
          <a:ext cx="2136675" cy="3105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400" b="1">
              <a:solidFill>
                <a:schemeClr val="bg1"/>
              </a:solidFill>
              <a:latin typeface="Verdana Pro Cond" panose="020B0606030504040204" pitchFamily="34" charset="0"/>
            </a:rPr>
            <a:t>Verrekening jaarpremie</a:t>
          </a:r>
        </a:p>
      </xdr:txBody>
    </xdr:sp>
    <xdr:clientData/>
  </xdr:twoCellAnchor>
  <xdr:twoCellAnchor editAs="absolute">
    <xdr:from>
      <xdr:col>1</xdr:col>
      <xdr:colOff>142875</xdr:colOff>
      <xdr:row>3</xdr:row>
      <xdr:rowOff>95250</xdr:rowOff>
    </xdr:from>
    <xdr:to>
      <xdr:col>4</xdr:col>
      <xdr:colOff>85726</xdr:colOff>
      <xdr:row>10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69526B5-0381-44F8-AE07-0A7E573BE958}"/>
            </a:ext>
          </a:extLst>
        </xdr:cNvPr>
        <xdr:cNvGrpSpPr/>
      </xdr:nvGrpSpPr>
      <xdr:grpSpPr>
        <a:xfrm>
          <a:off x="333375" y="638175"/>
          <a:ext cx="4191001" cy="1171575"/>
          <a:chOff x="537882" y="33617"/>
          <a:chExt cx="4191001" cy="1214563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F0F80AC-D6EF-B0BA-EC75-A97B9F5E6EE2}"/>
              </a:ext>
            </a:extLst>
          </xdr:cNvPr>
          <xdr:cNvSpPr txBox="1"/>
        </xdr:nvSpPr>
        <xdr:spPr>
          <a:xfrm>
            <a:off x="537882" y="33617"/>
            <a:ext cx="4191001" cy="12145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</xdr:txBody>
      </xdr:sp>
      <xdr:sp macro="" textlink="Overzicht!B2">
        <xdr:nvSpPr>
          <xdr:cNvPr id="5" name="TextBox 4">
            <a:extLst>
              <a:ext uri="{FF2B5EF4-FFF2-40B4-BE49-F238E27FC236}">
                <a16:creationId xmlns:a16="http://schemas.microsoft.com/office/drawing/2014/main" id="{CCB7AC02-9EB3-AC18-0ACD-810FDAC1717D}"/>
              </a:ext>
            </a:extLst>
          </xdr:cNvPr>
          <xdr:cNvSpPr txBox="1"/>
        </xdr:nvSpPr>
        <xdr:spPr>
          <a:xfrm>
            <a:off x="2488733" y="190500"/>
            <a:ext cx="1525378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B7EC3443-A252-435B-9ABD-5336A70D7FFF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B0100085277</a:t>
            </a:fld>
            <a:endParaRPr lang="nl-NL" sz="1100"/>
          </a:p>
        </xdr:txBody>
      </xdr:sp>
      <xdr:sp macro="" textlink="Overzicht!B3">
        <xdr:nvSpPr>
          <xdr:cNvPr id="6" name="TextBox 5">
            <a:extLst>
              <a:ext uri="{FF2B5EF4-FFF2-40B4-BE49-F238E27FC236}">
                <a16:creationId xmlns:a16="http://schemas.microsoft.com/office/drawing/2014/main" id="{FD4F93F4-942E-B5AA-10FE-DDF24894C0CA}"/>
              </a:ext>
            </a:extLst>
          </xdr:cNvPr>
          <xdr:cNvSpPr txBox="1"/>
        </xdr:nvSpPr>
        <xdr:spPr>
          <a:xfrm>
            <a:off x="2488733" y="381000"/>
            <a:ext cx="1498013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7D3C797-261C-4850-A661-4A61A009699E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Hogeschool der kunsten Den Haag</a:t>
            </a:fld>
            <a:endParaRPr lang="nl-NL" sz="1100"/>
          </a:p>
        </xdr:txBody>
      </xdr:sp>
      <xdr:sp macro="" textlink="Overzicht!B4">
        <xdr:nvSpPr>
          <xdr:cNvPr id="7" name="TextBox 6">
            <a:extLst>
              <a:ext uri="{FF2B5EF4-FFF2-40B4-BE49-F238E27FC236}">
                <a16:creationId xmlns:a16="http://schemas.microsoft.com/office/drawing/2014/main" id="{3013DD1F-9ADC-B2E0-8615-1F7D11323A29}"/>
              </a:ext>
            </a:extLst>
          </xdr:cNvPr>
          <xdr:cNvSpPr txBox="1"/>
        </xdr:nvSpPr>
        <xdr:spPr>
          <a:xfrm>
            <a:off x="2488733" y="571500"/>
            <a:ext cx="1253526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EE9CC97-A08F-4D7F-809C-16F14AC12225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631704610</a:t>
            </a:fld>
            <a:endParaRPr lang="nl-NL" sz="1100"/>
          </a:p>
        </xdr:txBody>
      </xdr:sp>
      <xdr:sp macro="" textlink="Overzicht!B5">
        <xdr:nvSpPr>
          <xdr:cNvPr id="8" name="TextBox 7">
            <a:extLst>
              <a:ext uri="{FF2B5EF4-FFF2-40B4-BE49-F238E27FC236}">
                <a16:creationId xmlns:a16="http://schemas.microsoft.com/office/drawing/2014/main" id="{F6A8CA44-96C4-7720-9DFE-6854491CABB8}"/>
              </a:ext>
            </a:extLst>
          </xdr:cNvPr>
          <xdr:cNvSpPr txBox="1"/>
        </xdr:nvSpPr>
        <xdr:spPr>
          <a:xfrm>
            <a:off x="2488733" y="762000"/>
            <a:ext cx="104567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D4D2D69-4DAD-4C8F-92EB-E5C593D6AB54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Vervangende polis 4</a:t>
            </a:fld>
            <a:endParaRPr lang="nl-NL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142875</xdr:colOff>
      <xdr:row>3</xdr:row>
      <xdr:rowOff>95250</xdr:rowOff>
    </xdr:from>
    <xdr:to>
      <xdr:col>4</xdr:col>
      <xdr:colOff>85726</xdr:colOff>
      <xdr:row>10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6B299CE-76B6-402C-A81B-8D698B58BEBB}"/>
            </a:ext>
          </a:extLst>
        </xdr:cNvPr>
        <xdr:cNvGrpSpPr/>
      </xdr:nvGrpSpPr>
      <xdr:grpSpPr>
        <a:xfrm>
          <a:off x="333375" y="638175"/>
          <a:ext cx="4191001" cy="1171575"/>
          <a:chOff x="537882" y="33617"/>
          <a:chExt cx="4191001" cy="1214563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D3D1D1DA-471A-0D4A-962A-9240F08AFC0A}"/>
              </a:ext>
            </a:extLst>
          </xdr:cNvPr>
          <xdr:cNvSpPr txBox="1"/>
        </xdr:nvSpPr>
        <xdr:spPr>
          <a:xfrm>
            <a:off x="537882" y="33617"/>
            <a:ext cx="4191001" cy="12145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</xdr:txBody>
      </xdr:sp>
      <xdr:sp macro="" textlink="Overzicht!B2">
        <xdr:nvSpPr>
          <xdr:cNvPr id="4" name="TextBox 3">
            <a:extLst>
              <a:ext uri="{FF2B5EF4-FFF2-40B4-BE49-F238E27FC236}">
                <a16:creationId xmlns:a16="http://schemas.microsoft.com/office/drawing/2014/main" id="{4D5C02CC-F15B-E43E-2C67-609280D90704}"/>
              </a:ext>
            </a:extLst>
          </xdr:cNvPr>
          <xdr:cNvSpPr txBox="1"/>
        </xdr:nvSpPr>
        <xdr:spPr>
          <a:xfrm>
            <a:off x="2488733" y="190500"/>
            <a:ext cx="1525378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B7EC3443-A252-435B-9ABD-5336A70D7FFF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B0100085277</a:t>
            </a:fld>
            <a:endParaRPr lang="nl-NL" sz="1100"/>
          </a:p>
        </xdr:txBody>
      </xdr:sp>
      <xdr:sp macro="" textlink="Overzicht!B3">
        <xdr:nvSpPr>
          <xdr:cNvPr id="5" name="TextBox 4">
            <a:extLst>
              <a:ext uri="{FF2B5EF4-FFF2-40B4-BE49-F238E27FC236}">
                <a16:creationId xmlns:a16="http://schemas.microsoft.com/office/drawing/2014/main" id="{1CB44D91-34D7-6FCA-0779-035407003116}"/>
              </a:ext>
            </a:extLst>
          </xdr:cNvPr>
          <xdr:cNvSpPr txBox="1"/>
        </xdr:nvSpPr>
        <xdr:spPr>
          <a:xfrm>
            <a:off x="2488733" y="381000"/>
            <a:ext cx="1498013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7D3C797-261C-4850-A661-4A61A009699E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Hogeschool der kunsten Den Haag</a:t>
            </a:fld>
            <a:endParaRPr lang="nl-NL" sz="1100"/>
          </a:p>
        </xdr:txBody>
      </xdr:sp>
      <xdr:sp macro="" textlink="Overzicht!B4">
        <xdr:nvSpPr>
          <xdr:cNvPr id="6" name="TextBox 5">
            <a:extLst>
              <a:ext uri="{FF2B5EF4-FFF2-40B4-BE49-F238E27FC236}">
                <a16:creationId xmlns:a16="http://schemas.microsoft.com/office/drawing/2014/main" id="{A65D482B-D141-9286-9EFA-ADF8A1F4C225}"/>
              </a:ext>
            </a:extLst>
          </xdr:cNvPr>
          <xdr:cNvSpPr txBox="1"/>
        </xdr:nvSpPr>
        <xdr:spPr>
          <a:xfrm>
            <a:off x="2488733" y="571500"/>
            <a:ext cx="1253526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EE9CC97-A08F-4D7F-809C-16F14AC12225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631704610</a:t>
            </a:fld>
            <a:endParaRPr lang="nl-NL" sz="1100"/>
          </a:p>
        </xdr:txBody>
      </xdr:sp>
      <xdr:sp macro="" textlink="Overzicht!B5">
        <xdr:nvSpPr>
          <xdr:cNvPr id="7" name="TextBox 6">
            <a:extLst>
              <a:ext uri="{FF2B5EF4-FFF2-40B4-BE49-F238E27FC236}">
                <a16:creationId xmlns:a16="http://schemas.microsoft.com/office/drawing/2014/main" id="{1E13D6FB-135C-2128-81B8-36DF32ADD6FF}"/>
              </a:ext>
            </a:extLst>
          </xdr:cNvPr>
          <xdr:cNvSpPr txBox="1"/>
        </xdr:nvSpPr>
        <xdr:spPr>
          <a:xfrm>
            <a:off x="2488733" y="762000"/>
            <a:ext cx="104567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D4D2D69-4DAD-4C8F-92EB-E5C593D6AB54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Vervangende polis 4</a:t>
            </a:fld>
            <a:endParaRPr lang="nl-NL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95250</xdr:colOff>
      <xdr:row>0</xdr:row>
      <xdr:rowOff>85725</xdr:rowOff>
    </xdr:from>
    <xdr:to>
      <xdr:col>2</xdr:col>
      <xdr:colOff>177025</xdr:colOff>
      <xdr:row>2</xdr:row>
      <xdr:rowOff>34309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F86D50-7C86-45ED-B0D2-20B1C0F3CF84}"/>
            </a:ext>
          </a:extLst>
        </xdr:cNvPr>
        <xdr:cNvSpPr txBox="1"/>
      </xdr:nvSpPr>
      <xdr:spPr>
        <a:xfrm>
          <a:off x="285750" y="85725"/>
          <a:ext cx="1948675" cy="3105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400" b="1">
              <a:solidFill>
                <a:schemeClr val="bg1"/>
              </a:solidFill>
              <a:latin typeface="Verdana Pro Cond" panose="020B0606030504040204" pitchFamily="34" charset="0"/>
            </a:rPr>
            <a:t>Verrekening mutaties</a:t>
          </a:r>
        </a:p>
      </xdr:txBody>
    </xdr:sp>
    <xdr:clientData/>
  </xdr:twoCellAnchor>
  <xdr:twoCellAnchor editAs="absolute">
    <xdr:from>
      <xdr:col>1</xdr:col>
      <xdr:colOff>142875</xdr:colOff>
      <xdr:row>3</xdr:row>
      <xdr:rowOff>95250</xdr:rowOff>
    </xdr:from>
    <xdr:to>
      <xdr:col>4</xdr:col>
      <xdr:colOff>85726</xdr:colOff>
      <xdr:row>10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B716162-114D-4D94-B6F4-98C110940674}"/>
            </a:ext>
          </a:extLst>
        </xdr:cNvPr>
        <xdr:cNvGrpSpPr/>
      </xdr:nvGrpSpPr>
      <xdr:grpSpPr>
        <a:xfrm>
          <a:off x="333375" y="638175"/>
          <a:ext cx="4191001" cy="1171575"/>
          <a:chOff x="537882" y="33617"/>
          <a:chExt cx="4191001" cy="1214563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7CA711D-3D42-0348-68D2-B80B6B137202}"/>
              </a:ext>
            </a:extLst>
          </xdr:cNvPr>
          <xdr:cNvSpPr txBox="1"/>
        </xdr:nvSpPr>
        <xdr:spPr>
          <a:xfrm>
            <a:off x="537882" y="33617"/>
            <a:ext cx="4191001" cy="12145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200" b="1">
                <a:latin typeface="Verdana Pro Cond" panose="020B0606030504040204" pitchFamily="34" charset="0"/>
              </a:rPr>
              <a:t>Specificatie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Polisnummer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Verzekeringsnemer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VNAB-nummer</a:t>
            </a:r>
          </a:p>
          <a:p>
            <a:r>
              <a:rPr lang="nl-NL" sz="1200" b="1">
                <a:latin typeface="Verdana Pro Cond" panose="020B0606030504040204" pitchFamily="34" charset="0"/>
              </a:rPr>
              <a:t>Behorende bij</a:t>
            </a:r>
          </a:p>
        </xdr:txBody>
      </xdr:sp>
      <xdr:sp macro="" textlink="Overzicht!B2">
        <xdr:nvSpPr>
          <xdr:cNvPr id="5" name="TextBox 4">
            <a:extLst>
              <a:ext uri="{FF2B5EF4-FFF2-40B4-BE49-F238E27FC236}">
                <a16:creationId xmlns:a16="http://schemas.microsoft.com/office/drawing/2014/main" id="{E6262BC6-90E3-EBBC-9989-453CB529AF0D}"/>
              </a:ext>
            </a:extLst>
          </xdr:cNvPr>
          <xdr:cNvSpPr txBox="1"/>
        </xdr:nvSpPr>
        <xdr:spPr>
          <a:xfrm>
            <a:off x="2488733" y="190500"/>
            <a:ext cx="1525378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B7EC3443-A252-435B-9ABD-5336A70D7FFF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B0100085277</a:t>
            </a:fld>
            <a:endParaRPr lang="nl-NL" sz="1100"/>
          </a:p>
        </xdr:txBody>
      </xdr:sp>
      <xdr:sp macro="" textlink="Overzicht!B3">
        <xdr:nvSpPr>
          <xdr:cNvPr id="6" name="TextBox 5">
            <a:extLst>
              <a:ext uri="{FF2B5EF4-FFF2-40B4-BE49-F238E27FC236}">
                <a16:creationId xmlns:a16="http://schemas.microsoft.com/office/drawing/2014/main" id="{C0D0B5BE-FDF5-B5B5-EFA6-B6934AC2CC0E}"/>
              </a:ext>
            </a:extLst>
          </xdr:cNvPr>
          <xdr:cNvSpPr txBox="1"/>
        </xdr:nvSpPr>
        <xdr:spPr>
          <a:xfrm>
            <a:off x="2488733" y="381000"/>
            <a:ext cx="1498013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7D3C797-261C-4850-A661-4A61A009699E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Stichting Hogeschool der kunsten Den Haag</a:t>
            </a:fld>
            <a:endParaRPr lang="nl-NL" sz="1100"/>
          </a:p>
        </xdr:txBody>
      </xdr:sp>
      <xdr:sp macro="" textlink="Overzicht!B4">
        <xdr:nvSpPr>
          <xdr:cNvPr id="7" name="TextBox 6">
            <a:extLst>
              <a:ext uri="{FF2B5EF4-FFF2-40B4-BE49-F238E27FC236}">
                <a16:creationId xmlns:a16="http://schemas.microsoft.com/office/drawing/2014/main" id="{4C68BE7C-6845-7222-6B86-43C51FB4FBDA}"/>
              </a:ext>
            </a:extLst>
          </xdr:cNvPr>
          <xdr:cNvSpPr txBox="1"/>
        </xdr:nvSpPr>
        <xdr:spPr>
          <a:xfrm>
            <a:off x="2488733" y="571500"/>
            <a:ext cx="1253526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8EE9CC97-A08F-4D7F-809C-16F14AC12225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631704610</a:t>
            </a:fld>
            <a:endParaRPr lang="nl-NL" sz="1100"/>
          </a:p>
        </xdr:txBody>
      </xdr:sp>
      <xdr:sp macro="" textlink="Overzicht!B5">
        <xdr:nvSpPr>
          <xdr:cNvPr id="8" name="TextBox 7">
            <a:extLst>
              <a:ext uri="{FF2B5EF4-FFF2-40B4-BE49-F238E27FC236}">
                <a16:creationId xmlns:a16="http://schemas.microsoft.com/office/drawing/2014/main" id="{CEF45A77-0BB5-0373-764C-70F075BF0E74}"/>
              </a:ext>
            </a:extLst>
          </xdr:cNvPr>
          <xdr:cNvSpPr txBox="1"/>
        </xdr:nvSpPr>
        <xdr:spPr>
          <a:xfrm>
            <a:off x="2488733" y="762000"/>
            <a:ext cx="1045679" cy="2720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fld id="{9D4D2D69-4DAD-4C8F-92EB-E5C593D6AB54}" type="TxLink">
              <a:rPr lang="en-US" sz="1100" b="0" i="0" u="none" strike="noStrike">
                <a:solidFill>
                  <a:srgbClr val="000000"/>
                </a:solidFill>
                <a:latin typeface="Verdana Pro Cond"/>
              </a:rPr>
              <a:pPr/>
              <a:t>Vervangende polis 4</a:t>
            </a:fld>
            <a:endParaRPr lang="nl-NL" sz="1100"/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Wisse" refreshedDate="45294.41339386574" createdVersion="7" refreshedVersion="8" minRefreshableVersion="3" recordCount="7" xr:uid="{02FA22BC-F289-42AE-8C1E-644BE7EA5223}">
  <cacheSource type="worksheet">
    <worksheetSource name="Table3"/>
  </cacheSource>
  <cacheFields count="29">
    <cacheField name="Verzekerde" numFmtId="164">
      <sharedItems containsBlank="1" count="2">
        <s v="Stichting Hogeschool der kunsten Den Haag"/>
        <m u="1"/>
      </sharedItems>
    </cacheField>
    <cacheField name="Certificaat" numFmtId="0">
      <sharedItems containsSemiMixedTypes="0" containsString="0" containsNumber="1" containsInteger="1" minValue="0" maxValue="0"/>
    </cacheField>
    <cacheField name="Sub" numFmtId="164">
      <sharedItems containsSemiMixedTypes="0" containsString="0" containsNumber="1" containsInteger="1" minValue="1" maxValue="7"/>
    </cacheField>
    <cacheField name="Verzekerde interest" numFmtId="0">
      <sharedItems count="6">
        <s v="Gebouwen"/>
        <s v="Bedrijfsuitrusting"/>
        <s v="Reconstructiekosten"/>
        <s v="Bijzondere kosten"/>
        <s v="Exploitatiekosten"/>
        <s v="-" u="1"/>
      </sharedItems>
    </cacheField>
    <cacheField name="Bestemming" numFmtId="0">
      <sharedItems containsBlank="1"/>
    </cacheField>
    <cacheField name="Omschrijving" numFmtId="0">
      <sharedItems containsBlank="1"/>
    </cacheField>
    <cacheField name="Schadevergoedingstermijn" numFmtId="0">
      <sharedItems containsNonDate="0" containsString="0" containsBlank="1"/>
    </cacheField>
    <cacheField name="Bouwaard" numFmtId="0">
      <sharedItems/>
    </cacheField>
    <cacheField name="Getaxeerd" numFmtId="0">
      <sharedItems/>
    </cacheField>
    <cacheField name="Adres" numFmtId="0">
      <sharedItems containsBlank="1"/>
    </cacheField>
    <cacheField name="Postcode" numFmtId="0">
      <sharedItems containsNonDate="0" containsString="0" containsBlank="1"/>
    </cacheField>
    <cacheField name="Plaats" numFmtId="0">
      <sharedItems containsBlank="1"/>
    </cacheField>
    <cacheField name="Land" numFmtId="0">
      <sharedItems/>
    </cacheField>
    <cacheField name="Vorkbedrag" numFmtId="44">
      <sharedItems containsSemiMixedTypes="0" containsString="0" containsNumber="1" containsInteger="1" minValue="0" maxValue="0"/>
    </cacheField>
    <cacheField name="Premiegrondslag" numFmtId="44">
      <sharedItems containsSemiMixedTypes="0" containsString="0" containsNumber="1" containsInteger="1" minValue="376000" maxValue="76887000"/>
    </cacheField>
    <cacheField name="Verzekerde Waarde" numFmtId="44">
      <sharedItems containsSemiMixedTypes="0" containsString="0" containsNumber="1" containsInteger="1" minValue="376000" maxValue="76887000"/>
    </cacheField>
    <cacheField name="Index nieuw" numFmtId="0">
      <sharedItems containsString="0" containsBlank="1" containsNumber="1" minValue="124.4" maxValue="128.4"/>
    </cacheField>
    <cacheField name="Mutaties" numFmtId="44">
      <sharedItems containsSemiMixedTypes="0" containsString="0" containsNumber="1" containsInteger="1" minValue="368000" maxValue="74252000"/>
    </cacheField>
    <cacheField name="Verz. Waarde Oud:" numFmtId="44">
      <sharedItems containsSemiMixedTypes="0" containsString="0" containsNumber="1" containsInteger="1" minValue="368000" maxValue="74252000"/>
    </cacheField>
    <cacheField name="Index oud" numFmtId="0">
      <sharedItems containsString="0" containsBlank="1" containsNumber="1" minValue="115.1" maxValue="124"/>
    </cacheField>
    <cacheField name="Promillage 1" numFmtId="165">
      <sharedItems containsSemiMixedTypes="0" containsString="0" containsNumber="1" minValue="0" maxValue="0.54"/>
    </cacheField>
    <cacheField name="Promillage 2" numFmtId="165">
      <sharedItems containsSemiMixedTypes="0" containsString="0" containsNumber="1" minValue="0" maxValue="0.47"/>
    </cacheField>
    <cacheField name="Promillage 3" numFmtId="165">
      <sharedItems containsSemiMixedTypes="0" containsString="0" containsNumber="1" minValue="0" maxValue="0.54"/>
    </cacheField>
    <cacheField name="Promillage 4" numFmtId="165">
      <sharedItems containsSemiMixedTypes="0" containsString="0" containsNumber="1" minValue="0" maxValue="0.6"/>
    </cacheField>
    <cacheField name="Jaarpremie 1" numFmtId="44">
      <sharedItems containsSemiMixedTypes="0" containsString="0" containsNumber="1" minValue="0" maxValue="12455.694000000001"/>
    </cacheField>
    <cacheField name="Jaarpremie 2" numFmtId="44">
      <sharedItems containsSemiMixedTypes="0" containsString="0" containsNumber="1" minValue="0" maxValue="13551.33375"/>
    </cacheField>
    <cacheField name="Jaarpremie 3" numFmtId="44">
      <sharedItems containsSemiMixedTypes="0" containsString="0" containsNumber="1" minValue="0" maxValue="8303.7960000000003"/>
    </cacheField>
    <cacheField name="Jaarpremie 4" numFmtId="44">
      <sharedItems containsSemiMixedTypes="0" containsString="0" containsNumber="1" minValue="0" maxValue="5766.5249999999996"/>
    </cacheField>
    <cacheField name="Totale jaarpremie:" numFmtId="44">
      <sharedItems containsSemiMixedTypes="0" containsString="0" containsNumber="1" minValue="0" maxValue="40077.3487500000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n v="0"/>
    <n v="1"/>
    <x v="0"/>
    <s v="koninklijke Academie van beeldende kunsten_x000a_BAKB"/>
    <m/>
    <m/>
    <s v="-"/>
    <s v="Ja"/>
    <s v="Prinsessegracht 4_x000a_Bleyenburg 38"/>
    <m/>
    <s v="s-Gravenhage"/>
    <s v="Nederland"/>
    <n v="0"/>
    <n v="76887000"/>
    <n v="76887000"/>
    <n v="128.4"/>
    <n v="74252000"/>
    <n v="74252000"/>
    <n v="124"/>
    <n v="0.54"/>
    <n v="0.47"/>
    <n v="0.54"/>
    <n v="0.6"/>
    <n v="12455.694000000001"/>
    <n v="13551.33375"/>
    <n v="8303.7960000000003"/>
    <n v="5766.5249999999996"/>
    <n v="40077.348750000005"/>
  </r>
  <r>
    <x v="0"/>
    <n v="0"/>
    <n v="2"/>
    <x v="1"/>
    <m/>
    <m/>
    <m/>
    <s v="-"/>
    <s v="Ja"/>
    <s v="Prinsessegracht 4_x000a_Bleyenburg 38"/>
    <m/>
    <s v="Den Haag"/>
    <s v="Nederland"/>
    <n v="0"/>
    <n v="14051000"/>
    <n v="14051000"/>
    <n v="124.4"/>
    <n v="13000000"/>
    <n v="13000000"/>
    <n v="115.1"/>
    <n v="0.54"/>
    <n v="0.47"/>
    <n v="0.54"/>
    <n v="0.6"/>
    <n v="2276.2620000000002"/>
    <n v="2476.48875"/>
    <n v="1517.5080000000003"/>
    <n v="1053.825"/>
    <n v="7324.0837500000007"/>
  </r>
  <r>
    <x v="0"/>
    <n v="0"/>
    <n v="3"/>
    <x v="1"/>
    <m/>
    <s v="lutherse kerk orgel"/>
    <m/>
    <s v="-"/>
    <s v="Ja"/>
    <s v="Lutherse Burgwal 7"/>
    <m/>
    <s v="Den Haag"/>
    <s v="Nederland"/>
    <n v="0"/>
    <n v="376000"/>
    <n v="376000"/>
    <n v="124.4"/>
    <n v="368000"/>
    <n v="368000"/>
    <n v="122"/>
    <n v="0.54"/>
    <n v="0.47"/>
    <n v="0.54"/>
    <n v="0.6"/>
    <n v="60.911999999999992"/>
    <n v="66.27"/>
    <n v="40.608000000000004"/>
    <n v="28.2"/>
    <n v="195.98999999999998"/>
  </r>
  <r>
    <x v="0"/>
    <n v="0"/>
    <n v="4"/>
    <x v="1"/>
    <m/>
    <s v="koninklijk conservatorium"/>
    <m/>
    <s v="-"/>
    <s v="Ja"/>
    <s v="Spuiplein 150"/>
    <m/>
    <s v="Den Haag"/>
    <s v="Nederland"/>
    <n v="0"/>
    <n v="23657000"/>
    <n v="23657000"/>
    <n v="124.4"/>
    <n v="23200000"/>
    <n v="23200000"/>
    <n v="122"/>
    <n v="0.54"/>
    <n v="0.47"/>
    <n v="0.54"/>
    <n v="0.6"/>
    <n v="3832.4340000000002"/>
    <n v="4169.5462500000003"/>
    <n v="2554.9560000000001"/>
    <n v="1774.2750000000001"/>
    <n v="12331.21125"/>
  </r>
  <r>
    <x v="0"/>
    <n v="0"/>
    <n v="5"/>
    <x v="2"/>
    <m/>
    <s v="zijnde het maximum bedrag per gebeurtenis_x000a_als premier risque gedurende een maximum_x000a_termijn van schadevergoeding van 104 weken_x000a_tot dekking van reconstructiekosten (als_x000a_omschreven in clausule_x000a_Reconstructiekostendekking BM031-013/2)."/>
    <m/>
    <s v="-"/>
    <s v="-"/>
    <m/>
    <m/>
    <m/>
    <s v="Nederland"/>
    <n v="0"/>
    <n v="1500000"/>
    <n v="1500000"/>
    <m/>
    <n v="1500000"/>
    <n v="1500000"/>
    <m/>
    <n v="0"/>
    <n v="0"/>
    <n v="0"/>
    <n v="0"/>
    <n v="0"/>
    <n v="0"/>
    <n v="0"/>
    <n v="0"/>
    <n v="0"/>
  </r>
  <r>
    <x v="0"/>
    <n v="0"/>
    <n v="6"/>
    <x v="3"/>
    <m/>
    <s v="zijnde het maximum bedrag per gebeurtenis_x000a_als premier risque gedurende een maximum_x000a_termijn van schadevergoeding van 104 weken_x000a_tot dekking van bijzondere kosten (als_x000a_omschreven in clausule Bijzondere kosten_x000a_BM021-016)."/>
    <m/>
    <s v="-"/>
    <s v="-"/>
    <m/>
    <m/>
    <m/>
    <s v="Nederland"/>
    <n v="0"/>
    <n v="2500000"/>
    <n v="2500000"/>
    <m/>
    <n v="2500000"/>
    <n v="2500000"/>
    <m/>
    <n v="0"/>
    <n v="0"/>
    <n v="0"/>
    <n v="0"/>
    <n v="0"/>
    <n v="0"/>
    <n v="0"/>
    <n v="0"/>
    <n v="0"/>
  </r>
  <r>
    <x v="0"/>
    <n v="0"/>
    <n v="7"/>
    <x v="4"/>
    <m/>
    <s v="zijnde het maximum bedrag per gebeurtenis_x000a_als premier risque gedurende een maximum_x000a_termijn van schadevergoeding van 104 weken_x000a_tot dekking van exploitatiekosten conform_x000a_clausule B 051-028/2 verzekering van_x000a_exploitatiekosten."/>
    <m/>
    <s v="-"/>
    <s v="-"/>
    <m/>
    <m/>
    <m/>
    <s v="Nederland"/>
    <n v="0"/>
    <n v="1500000"/>
    <n v="1500000"/>
    <m/>
    <n v="1500000"/>
    <n v="1500000"/>
    <m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959641-0EA8-483E-A565-48C9284FFECD}" name="PivotTable1" cacheId="6" applyNumberFormats="0" applyBorderFormats="0" applyFontFormats="0" applyPatternFormats="0" applyAlignmentFormats="0" applyWidthHeightFormats="1" dataCaption="Values" grandTotalCaption="Eindtotalen" updatedVersion="8" minRefreshableVersion="3" useAutoFormatting="1" itemPrintTitles="1" createdVersion="7" indent="0" outline="1" outlineData="1" multipleFieldFilters="0" rowHeaderCaption="Rijlabels">
  <location ref="A10:C17" firstHeaderRow="0" firstDataRow="1" firstDataCol="1"/>
  <pivotFields count="29">
    <pivotField axis="axisRow" showAll="0">
      <items count="3">
        <item m="1" x="1"/>
        <item x="0"/>
        <item t="default"/>
      </items>
    </pivotField>
    <pivotField showAll="0"/>
    <pivotField numFmtId="164" showAll="0"/>
    <pivotField axis="axisRow" showAll="0">
      <items count="7">
        <item m="1" x="5"/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4" showAll="0"/>
    <pivotField numFmtId="44" showAll="0"/>
    <pivotField dataField="1" numFmtId="44" showAll="0"/>
    <pivotField showAll="0"/>
    <pivotField numFmtId="44" showAll="0"/>
    <pivotField numFmtId="44" showAll="0"/>
    <pivotField showAll="0"/>
    <pivotField numFmtId="165" showAll="0"/>
    <pivotField numFmtId="165" showAll="0"/>
    <pivotField numFmtId="165" showAll="0"/>
    <pivotField numFmtId="165" showAll="0"/>
    <pivotField numFmtId="44" showAll="0"/>
    <pivotField numFmtId="44" showAll="0"/>
    <pivotField numFmtId="44" showAll="0"/>
    <pivotField numFmtId="44" showAll="0"/>
    <pivotField dataField="1" numFmtId="44" showAll="0"/>
  </pivotFields>
  <rowFields count="2">
    <field x="0"/>
    <field x="3"/>
  </rowFields>
  <rowItems count="7">
    <i>
      <x v="1"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Verz. Waarde" fld="15" baseField="0" baseItem="0"/>
    <dataField name="Jaarpremie" fld="28" baseField="0" baseItem="0"/>
  </dataFields>
  <formats count="1">
    <format dxfId="22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F08A8D-44F3-42E9-86BB-A1C00B8314DE}" name="Table3" displayName="Table3" ref="A11:AC19" totalsRowCount="1" headerRowDxfId="221" dataDxfId="220" tableBorderDxfId="219">
  <autoFilter ref="A11:AC18" xr:uid="{6AF08A8D-44F3-42E9-86BB-A1C00B8314DE}"/>
  <tableColumns count="29">
    <tableColumn id="1" xr3:uid="{5DA535AD-6ED3-4B58-8975-8C5347AA9B78}" name="Verzekerde" totalsRowLabel="Total" dataDxfId="218" totalsRowDxfId="217"/>
    <tableColumn id="35" xr3:uid="{3D66882E-214F-4E51-B263-D2DDB4FF2D3B}" name="Certificaat" dataDxfId="216" totalsRowDxfId="215"/>
    <tableColumn id="3" xr3:uid="{46AEA6C0-3771-4B9F-84B0-D1E6E51ED86B}" name="Sub" dataDxfId="214" totalsRowDxfId="213"/>
    <tableColumn id="4" xr3:uid="{9A2B1A2F-6CEB-4F18-A492-54E11736E5C9}" name="Verzekerde interest" dataDxfId="212" totalsRowDxfId="211"/>
    <tableColumn id="5" xr3:uid="{9D760F86-9046-48BB-BD35-80C0CB1AAC94}" name="Bestemming" dataDxfId="210" totalsRowDxfId="209"/>
    <tableColumn id="6" xr3:uid="{AEF7AB71-63FB-4DF7-B373-C23684BDD59F}" name="Omschrijving" dataDxfId="208" totalsRowDxfId="207"/>
    <tableColumn id="2" xr3:uid="{C3F0919A-0C23-4F94-A553-C9326C2AE775}" name="Schadevergoedingstermijn" dataDxfId="206" totalsRowDxfId="205"/>
    <tableColumn id="7" xr3:uid="{80DF863E-C676-467C-9B7F-AEA9BF31EF53}" name="Bouwaard" dataDxfId="204" totalsRowDxfId="203"/>
    <tableColumn id="8" xr3:uid="{A5E447C2-3EF1-4784-8BC8-25520EDB2C61}" name="Getaxeerd" dataDxfId="202" totalsRowDxfId="201"/>
    <tableColumn id="11" xr3:uid="{C537EE58-8FE5-4DC9-B6BF-0D07D6D61AD7}" name="Adres" dataDxfId="200" totalsRowDxfId="199"/>
    <tableColumn id="12" xr3:uid="{339D09B0-2AF5-4303-A5A6-02DD7DB5395D}" name="Postcode" dataDxfId="198" totalsRowDxfId="197"/>
    <tableColumn id="13" xr3:uid="{2B053CF8-65C3-49C4-9661-3DB2CB0CC34A}" name="Plaats" dataDxfId="196" totalsRowDxfId="195"/>
    <tableColumn id="27" xr3:uid="{A0A1AC25-82A1-4637-B86F-C639D75A706C}" name="Land" dataDxfId="194" totalsRowDxfId="193"/>
    <tableColumn id="14" xr3:uid="{6CE5D940-A92A-4A0C-8BD6-B0E3A0EE3390}" name="Vorkbedrag" totalsRowFunction="sum" dataDxfId="192" totalsRowDxfId="191"/>
    <tableColumn id="15" xr3:uid="{2658B486-6155-457E-A473-050992C9D06B}" name="Premiegrondslag" totalsRowFunction="sum" dataDxfId="190" totalsRowDxfId="189"/>
    <tableColumn id="16" xr3:uid="{25E13C69-EE0B-496F-B0A6-615909375448}" name="Verzekerde Waarde" totalsRowFunction="sum" dataDxfId="188" totalsRowDxfId="187"/>
    <tableColumn id="17" xr3:uid="{04C7BDE1-9D3C-4EC4-ADBC-51DCF266AA22}" name="Index nieuw" dataDxfId="186" totalsRowDxfId="185"/>
    <tableColumn id="18" xr3:uid="{448DB753-00BC-43DE-A940-D7A40A6DC875}" name="Mutaties" totalsRowFunction="sum" dataDxfId="184" totalsRowDxfId="183">
      <calculatedColumnFormula>S12+SUMIF(Table4[Subnummer],Table3[[#This Row],[Sub]],Table4[Som mutaties])</calculatedColumnFormula>
    </tableColumn>
    <tableColumn id="19" xr3:uid="{E2C7CD13-246E-4279-9E08-71DF2DD4543D}" name="Verz. Waarde Oud:" totalsRowFunction="sum" dataDxfId="182" totalsRowDxfId="181"/>
    <tableColumn id="20" xr3:uid="{127805A0-511B-445D-9C56-BF76B0B74610}" name="Index oud" dataDxfId="180" totalsRowDxfId="179"/>
    <tableColumn id="21" xr3:uid="{9E8E3FFB-1F30-418F-8573-5B886C0C4A1F}" name="Promillage 1" dataDxfId="178" totalsRowDxfId="177"/>
    <tableColumn id="22" xr3:uid="{8603A943-6919-424F-AA64-09D0B00B1637}" name="Promillage 2" dataDxfId="176" totalsRowDxfId="175"/>
    <tableColumn id="23" xr3:uid="{B3FDDCAB-95DD-4422-90B4-D16392E83CFE}" name="Promillage 3" dataDxfId="174" totalsRowDxfId="173"/>
    <tableColumn id="24" xr3:uid="{E0E0922D-399F-4344-ABC1-D8393490FB58}" name="Promillage 4" dataDxfId="172" totalsRowDxfId="171"/>
    <tableColumn id="28" xr3:uid="{1A25B7F7-2715-4C4B-9AB3-4D065A95A249}" name="Jaarpremie 1" totalsRowFunction="sum" dataDxfId="170" totalsRowDxfId="169">
      <calculatedColumnFormula>$O12*U12/1000*U$10</calculatedColumnFormula>
    </tableColumn>
    <tableColumn id="29" xr3:uid="{7BFF8A05-9166-4E33-B090-CBC2474BDC39}" name="Jaarpremie 2" totalsRowFunction="sum" dataDxfId="168" totalsRowDxfId="167">
      <calculatedColumnFormula>$O12*V12/1000*V$10</calculatedColumnFormula>
    </tableColumn>
    <tableColumn id="30" xr3:uid="{70BB8872-75D2-4706-8D8D-AF8CC45A1A92}" name="Jaarpremie 3" totalsRowFunction="sum" dataDxfId="166" totalsRowDxfId="165">
      <calculatedColumnFormula>$O12*W12/1000*W$10</calculatedColumnFormula>
    </tableColumn>
    <tableColumn id="31" xr3:uid="{AFB89E9B-953B-403C-97C6-13FD9FA388DF}" name="Jaarpremie 4" totalsRowFunction="sum" dataDxfId="164" totalsRowDxfId="163">
      <calculatedColumnFormula>$O12*X12/1000*X$10</calculatedColumnFormula>
    </tableColumn>
    <tableColumn id="34" xr3:uid="{F40F7D86-622C-4D2F-8912-EADB1C2B80F4}" name="Totale jaarpremie:" totalsRowFunction="sum" dataDxfId="162" totalsRowDxfId="161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8E302D-FAA8-4860-A74C-9E0E501060A6}" name="Table8" displayName="Table8" ref="A4:F24" totalsRowShown="0" dataDxfId="160">
  <autoFilter ref="A4:F24" xr:uid="{8E8E302D-FAA8-4860-A74C-9E0E501060A6}"/>
  <tableColumns count="6">
    <tableColumn id="1" xr3:uid="{425C3F9B-888C-41F2-B864-EC8453BCECCD}" name="Sub" dataDxfId="159"/>
    <tableColumn id="2" xr3:uid="{C808CC8C-B930-4060-8A04-348D8D6F41AE}" name="Soort interest" dataDxfId="158">
      <calculatedColumnFormula>IFERROR(_xlfn.XLOOKUP(Table8[[#This Row],[Sub]],Table3[Sub],Table3[Verzekerde interest]),"-")</calculatedColumnFormula>
    </tableColumn>
    <tableColumn id="3" xr3:uid="{32421018-A694-46BE-AEAB-E4E993B915A5}" name="Taxateur" dataDxfId="157"/>
    <tableColumn id="4" xr3:uid="{7D8C23E6-A111-4604-BE71-E81D202A5BD4}" name="Taxatiedatum" dataDxfId="156"/>
    <tableColumn id="5" xr3:uid="{551951F5-8AC9-4CCF-BECF-1E59AB37760E}" name="Rapportnummer" dataDxfId="155"/>
    <tableColumn id="6" xr3:uid="{9D13D5A9-22FF-40A4-9A6D-107489957FAC}" name="Geldigheid" dataDxfId="154">
      <calculatedColumnFormula array="1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calculatedColumnFormula>
    </tableColumn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009779-FE40-4487-BE84-03FE442C5B8A}" name="Table4" displayName="Table4" ref="A10:AQ100" totalsRowCount="1" headerRowDxfId="153" dataDxfId="152" totalsRowDxfId="150" tableBorderDxfId="151">
  <autoFilter ref="A10:AQ99" xr:uid="{07009779-FE40-4487-BE84-03FE442C5B8A}"/>
  <tableColumns count="43">
    <tableColumn id="1" xr3:uid="{E829BB11-9544-46D3-83B7-C7220D3E6274}" name="Klant" totalsRowLabel="Totaal" dataDxfId="149" totalsRowDxfId="148">
      <calculatedColumnFormula>IFERROR(_xlfn.XLOOKUP(D11,Specificatie!C:C,Specificatie!A:A),"-")</calculatedColumnFormula>
    </tableColumn>
    <tableColumn id="2" xr3:uid="{667AAFC8-65C7-42B2-919F-E6B1E47706EF}" name="Omschrijving mutatie" dataDxfId="147" totalsRowDxfId="146"/>
    <tableColumn id="35" xr3:uid="{4AEE5333-4894-4B06-8579-37FFCF2525CB}" name="Certificaat" dataDxfId="145" totalsRowDxfId="144">
      <calculatedColumnFormula>IFERROR(_xlfn.XLOOKUP(Table4[[#This Row],[Subnummer]],Table3[Sub],Table3[Certificaat]),"-")</calculatedColumnFormula>
    </tableColumn>
    <tableColumn id="3" xr3:uid="{CF592FF5-35F6-4356-9CD5-06E54941D0B1}" name="Subnummer" dataDxfId="143" totalsRowDxfId="142"/>
    <tableColumn id="4" xr3:uid="{64034314-8866-41BA-99E8-4FF01689406B}" name="Oud" totalsRowFunction="sum" dataDxfId="141" totalsRowDxfId="140">
      <calculatedColumnFormula>IFERROR(_xlfn.XLOOKUP(Table4[[#This Row],[Subnummer]],Table3[Sub],Table3[Verz. Waarde Oud:]),0)</calculatedColumnFormula>
    </tableColumn>
    <tableColumn id="5" xr3:uid="{620AEE7D-66A2-4F1D-A607-E56478BDE8EB}" name="Investering Nieuw" totalsRowFunction="sum" dataDxfId="139" totalsRowDxfId="138"/>
    <tableColumn id="6" xr3:uid="{DE0DE46B-0DDE-437C-8E25-36B068E01C2B}" name="Investering bestaand" totalsRowFunction="sum" dataDxfId="137" totalsRowDxfId="136"/>
    <tableColumn id="7" xr3:uid="{9B36F1F2-A439-4500-896A-6E8BF6F81E51}" name="Verlaging" totalsRowFunction="sum" dataDxfId="135" totalsRowDxfId="134"/>
    <tableColumn id="8" xr3:uid="{FF81AF7B-0259-4E66-B5D9-ECFA30432652}" name="Afvoer" totalsRowFunction="sum" dataDxfId="133" totalsRowDxfId="132"/>
    <tableColumn id="9" xr3:uid="{B6BD1092-5404-4869-8C59-FC9AA463ED6A}" name="Inclusief mutatie" totalsRowFunction="sum" dataDxfId="131" totalsRowDxfId="130">
      <calculatedColumnFormula>E11+F11+G11-H11-I11</calculatedColumnFormula>
    </tableColumn>
    <tableColumn id="10" xr3:uid="{BD8E3966-13F7-42D4-993C-92FE1C430FF3}" name="Som mutaties" totalsRowFunction="sum" dataDxfId="129" totalsRowDxfId="128">
      <calculatedColumnFormula>J11-E11</calculatedColumnFormula>
    </tableColumn>
    <tableColumn id="11" xr3:uid="{20DEF141-CD88-4342-A537-AFDFB517EFA9}" name="Mutatiedatum" dataDxfId="127" totalsRowDxfId="126"/>
    <tableColumn id="12" xr3:uid="{AFB3C57F-C39F-4FD8-8562-9140F30501DB}" name="Vervaldatum" dataDxfId="125" totalsRowDxfId="124"/>
    <tableColumn id="13" xr3:uid="{A6204F43-A2A4-49F5-A101-26FA0846855E}" name="Dagen" dataDxfId="123" totalsRowDxfId="122">
      <calculatedColumnFormula>M11-L11</calculatedColumnFormula>
    </tableColumn>
    <tableColumn id="14" xr3:uid="{AC67BCCF-5297-4253-8212-7F5222B981DA}" name="Dagen per jaar" dataDxfId="121" totalsRowDxfId="120"/>
    <tableColumn id="15" xr3:uid="{A023D2D9-17D1-4E91-B3E7-8153A91C72EF}" name="Sprake van CAD?" dataDxfId="119" totalsRowDxfId="118"/>
    <tableColumn id="16" xr3:uid="{34FCD074-1758-40AA-B151-374A81777B00}" name="Investering nieuw2" totalsRowFunction="sum" dataDxfId="117" totalsRowDxfId="116">
      <calculatedColumnFormula>F11*N11/O11</calculatedColumnFormula>
    </tableColumn>
    <tableColumn id="17" xr3:uid="{361D6950-84B1-4A04-B31D-B79182F444F0}" name="Investering bestaand2" totalsRowFunction="sum" dataDxfId="115" totalsRowDxfId="114">
      <calculatedColumnFormula array="1">_xlfn.IFS($P11="Nee",G11*$N11/$O11,$P11="Ja",G11*0.5)</calculatedColumnFormula>
    </tableColumn>
    <tableColumn id="18" xr3:uid="{B89A019B-B2E3-40D5-A639-F666B76F86C3}" name="Verlaging2" totalsRowFunction="sum" dataDxfId="113" totalsRowDxfId="112">
      <calculatedColumnFormula array="1">_xlfn.IFS($P11="Nee",-(H11*$N11/$O11),$P11="Ja",-(H11*0.5))</calculatedColumnFormula>
    </tableColumn>
    <tableColumn id="19" xr3:uid="{E4087D8E-E10F-4D15-919A-7A90DFB337AD}" name="Afvoer2" totalsRowFunction="sum" dataDxfId="111" totalsRowDxfId="110">
      <calculatedColumnFormula>-I11*N11/O11</calculatedColumnFormula>
    </tableColumn>
    <tableColumn id="20" xr3:uid="{3A456E59-DB29-45F8-81D9-9E1D98E2BAFE}" name="Totaal" totalsRowFunction="sum" dataDxfId="109" totalsRowDxfId="108">
      <calculatedColumnFormula>SUM(Q11:T11)</calculatedColumnFormula>
    </tableColumn>
    <tableColumn id="21" xr3:uid="{7985DB21-C10E-4622-89F3-C390A05E27FF}" name="Verzekeraar 1" dataDxfId="107" totalsRowDxfId="106">
      <calculatedColumnFormula>IFERROR(_xlfn.XLOOKUP(Table4[[#This Row],[Subnummer]],Table3[Sub],Table3[Promillage 1]),0)</calculatedColumnFormula>
    </tableColumn>
    <tableColumn id="22" xr3:uid="{05A8830E-ECFB-490D-83CC-9E0D537045D6}" name="Verzekeraar 2" dataDxfId="105" totalsRowDxfId="104">
      <calculatedColumnFormula>IFERROR(_xlfn.XLOOKUP(Table4[[#This Row],[Subnummer]],Table3[Sub],Table3[Promillage 2]),0)</calculatedColumnFormula>
    </tableColumn>
    <tableColumn id="23" xr3:uid="{2FFCB2FC-7E25-43DF-BC62-0857348CB470}" name="Verzekeraar 3" dataDxfId="103" totalsRowDxfId="102">
      <calculatedColumnFormula>IFERROR(_xlfn.XLOOKUP(Table4[[#This Row],[Subnummer]],Table3[Sub],Table3[Promillage 3]),0)</calculatedColumnFormula>
    </tableColumn>
    <tableColumn id="24" xr3:uid="{28E84FF0-4518-44A0-8D2D-C5F9DE199B45}" name="Verzekeraar 4" dataDxfId="101" totalsRowDxfId="100">
      <calculatedColumnFormula>IFERROR(_xlfn.XLOOKUP(Table4[[#This Row],[Subnummer]],Table3[Sub],Table3[Promillage 4]),0)</calculatedColumnFormula>
    </tableColumn>
    <tableColumn id="25" xr3:uid="{8D037CE0-4B03-4CB3-B8BC-834256A6993F}" name="Verzekeraar 5" dataDxfId="99" totalsRowDxfId="98">
      <calculatedColumnFormula>IFERROR(_xlfn.XLOOKUP(Table4[[#This Row],[Subnummer]],Table3[Sub],#REF!),0)</calculatedColumnFormula>
    </tableColumn>
    <tableColumn id="39" xr3:uid="{7BBA7AF3-2E91-41B1-8312-75F8013837C9}" name="Verzekeraar 6" dataDxfId="97" totalsRowDxfId="96">
      <calculatedColumnFormula>IFERROR(_xlfn.XLOOKUP(Table4[[#This Row],[Subnummer]],Table3[Sub],#REF!),0)</calculatedColumnFormula>
    </tableColumn>
    <tableColumn id="38" xr3:uid="{73DDE497-F3F1-41C2-963B-AECFEB118F29}" name="Verzekeraar 7" dataDxfId="95" totalsRowDxfId="94">
      <calculatedColumnFormula>IFERROR(_xlfn.XLOOKUP(Table4[[#This Row],[Subnummer]],Table3[Sub],#REF!),0)</calculatedColumnFormula>
    </tableColumn>
    <tableColumn id="37" xr3:uid="{6C217F27-1D8A-4CF2-A30E-0C8A738F53C1}" name="Verzekeraar 8" dataDxfId="93" totalsRowDxfId="92">
      <calculatedColumnFormula>IFERROR(_xlfn.XLOOKUP(Table4[[#This Row],[Subnummer]],Table3[Sub],#REF!),0)</calculatedColumnFormula>
    </tableColumn>
    <tableColumn id="36" xr3:uid="{6476C64F-4762-431A-8A33-4C843BE1E683}" name="Verzekeraar 9" dataDxfId="91" totalsRowDxfId="90">
      <calculatedColumnFormula>IFERROR(_xlfn.XLOOKUP(Table4[[#This Row],[Subnummer]],Table3[Sub],#REF!),0)</calculatedColumnFormula>
    </tableColumn>
    <tableColumn id="26" xr3:uid="{73E032A1-8980-4F25-A9B0-121CEE22B23D}" name="Verzekeraar 10" dataDxfId="89" totalsRowDxfId="88">
      <calculatedColumnFormula>IFERROR(_xlfn.XLOOKUP(Table4[[#This Row],[Subnummer]],Table3[Sub],#REF!),0)</calculatedColumnFormula>
    </tableColumn>
    <tableColumn id="27" xr3:uid="{0A88460A-2961-435D-8B9A-0BEE7B410665}" name="Verzekeraar 12" totalsRowFunction="sum" dataDxfId="87" totalsRowDxfId="86">
      <calculatedColumnFormula>$U11*V11/1000*V$9</calculatedColumnFormula>
    </tableColumn>
    <tableColumn id="28" xr3:uid="{4922E15F-6C50-4161-971E-F0C725675187}" name="Verzekeraar 13" totalsRowFunction="sum" dataDxfId="85" totalsRowDxfId="84">
      <calculatedColumnFormula>$U11*W11/1000*W$9</calculatedColumnFormula>
    </tableColumn>
    <tableColumn id="29" xr3:uid="{44CE37B2-6A08-41A4-AAA4-E5C016E56FB3}" name="Verzekeraar 14" totalsRowFunction="sum" dataDxfId="83" totalsRowDxfId="82">
      <calculatedColumnFormula>$U11*X11/1000*X$9</calculatedColumnFormula>
    </tableColumn>
    <tableColumn id="30" xr3:uid="{142651A9-E231-44F4-9914-7C2A2ADC1DC5}" name="Verzekeraar 15" totalsRowFunction="sum" dataDxfId="81" totalsRowDxfId="80">
      <calculatedColumnFormula>$U11*Y11/1000*Y$9</calculatedColumnFormula>
    </tableColumn>
    <tableColumn id="31" xr3:uid="{DAB9E7ED-07E1-4A01-BAAE-5A4FBAAA378C}" name="Verzekeraar 16" totalsRowFunction="sum" dataDxfId="79" totalsRowDxfId="78">
      <calculatedColumnFormula>$U11*Z11/1000*Z$9</calculatedColumnFormula>
    </tableColumn>
    <tableColumn id="43" xr3:uid="{38E5304E-6A79-437E-B5F0-4D8B4B18FE11}" name="Verzekeraar 17" totalsRowFunction="sum" dataDxfId="77" totalsRowDxfId="76">
      <calculatedColumnFormula>$U11*AA11/1000*AA$9</calculatedColumnFormula>
    </tableColumn>
    <tableColumn id="42" xr3:uid="{04FBC3EA-0B56-45AB-BBBB-6BE0BD9A5156}" name="Verzekeraar 18" totalsRowFunction="sum" dataDxfId="75" totalsRowDxfId="74">
      <calculatedColumnFormula>$U11*AB11/1000*AB$9</calculatedColumnFormula>
    </tableColumn>
    <tableColumn id="41" xr3:uid="{3BD046B7-BE8D-486A-B8FF-57FC2C9DE1F3}" name="Verzekeraar 19" totalsRowFunction="sum" dataDxfId="73" totalsRowDxfId="72">
      <calculatedColumnFormula>$U11*AC11/1000*AC$9</calculatedColumnFormula>
    </tableColumn>
    <tableColumn id="40" xr3:uid="{590D50AB-A966-42C5-B0A4-F570E899EAA6}" name="Verzekeraar 20" totalsRowFunction="sum" dataDxfId="71" totalsRowDxfId="70">
      <calculatedColumnFormula>$U11*AD11/1000*AD$9</calculatedColumnFormula>
    </tableColumn>
    <tableColumn id="32" xr3:uid="{5AC6F62A-D522-4341-A3ED-81D0BDEA18B9}" name="Verzekeraar 21" totalsRowFunction="sum" dataDxfId="69" totalsRowDxfId="68">
      <calculatedColumnFormula>$U11*AE11/1000*AE$9</calculatedColumnFormula>
    </tableColumn>
    <tableColumn id="33" xr3:uid="{CD88B151-89E6-41D2-8A73-08D6256ACBAF}" name="Totaal2" totalsRowFunction="sum" dataDxfId="67" totalsRowDxfId="66">
      <calculatedColumnFormula>SUM(AF11:AO11)</calculatedColumnFormula>
    </tableColumn>
    <tableColumn id="34" xr3:uid="{E305A1B7-216A-4818-A0F4-60DA1A3E3DCB}" name="Boeking" dataDxfId="65" totalsRowDxfId="64">
      <calculatedColumnFormula array="1">_xlfn.IFS(AP11=0,"Nihil",AP11&gt;0,"Suppletie",AP11&lt;0,"Restitutie")</calculatedColumnFormula>
    </tableColumn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AA2467-2CCA-4AC8-98AF-8599DE482937}" name="Table1" displayName="Table1" ref="B16:G21" totalsRowCount="1" headerRowDxfId="63" totalsRowDxfId="60" headerRowBorderDxfId="62" tableBorderDxfId="61" totalsRowBorderDxfId="59">
  <autoFilter ref="B16:G20" xr:uid="{9AAA2467-2CCA-4AC8-98AF-8599DE482937}"/>
  <tableColumns count="6">
    <tableColumn id="1" xr3:uid="{6686A93B-508A-4DCB-AAE3-4A9321E67559}" name="Verzekeraar" totalsRowLabel="Total" dataDxfId="58" totalsRowDxfId="57"/>
    <tableColumn id="2" xr3:uid="{97D40347-3AE7-4F1C-A7E9-4053C5E0ECFD}" name="Relatienummer" dataDxfId="56" totalsRowDxfId="55"/>
    <tableColumn id="3" xr3:uid="{E1D84ECA-B8DF-442A-9ED1-7EC144A6C221}" name="Aandeel" totalsRowFunction="sum" dataDxfId="54" totalsRowDxfId="53"/>
    <tableColumn id="4" xr3:uid="{9AE70F38-5F7F-4A1E-ADE9-B1F86CFFDB82}" name="Jaarpremie" totalsRowFunction="sum" dataDxfId="52" totalsRowDxfId="51">
      <calculatedColumnFormula>SUMIF(Table3[Certificaat],$C$15,Table3[Jaarpremie 3])</calculatedColumnFormula>
    </tableColumn>
    <tableColumn id="5" xr3:uid="{C8DC530D-196F-4F06-AA42-3AEF531238CD}" name="Al geboekt met nota 6938396 d.d. 01-01-2024" totalsRowFunction="sum" dataDxfId="50" totalsRowDxfId="49"/>
    <tableColumn id="6" xr3:uid="{48EDC8E9-7E64-461B-9FAC-FB0E9553B711}" name="Nog te boeken" totalsRowFunction="sum" dataDxfId="48" totalsRowDxfId="47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09D482-7FF4-4B82-9893-A82457CC9711}" name="Table16" displayName="Table16" ref="B19:G30" totalsRowCount="1" headerRowDxfId="46" totalsRowDxfId="43" headerRowBorderDxfId="45" tableBorderDxfId="44" totalsRowBorderDxfId="42">
  <autoFilter ref="B19:G29" xr:uid="{2F09D482-7FF4-4B82-9893-A82457CC9711}"/>
  <tableColumns count="6">
    <tableColumn id="1" xr3:uid="{57399E92-A439-4F80-8151-EEAC89C5AA9E}" name="Verzekeraar" totalsRowLabel="Total" dataDxfId="41" totalsRowDxfId="40"/>
    <tableColumn id="2" xr3:uid="{7667408E-3305-4AA9-8514-BF5F6E6E9254}" name="Relatienummer" dataDxfId="39" totalsRowDxfId="38"/>
    <tableColumn id="3" xr3:uid="{0A91A042-6031-4F1F-A610-E37F859A551A}" name="Aandeel" totalsRowFunction="sum" dataDxfId="37" totalsRowDxfId="36"/>
    <tableColumn id="4" xr3:uid="{D04928FD-CD87-4203-AA4C-7E163A1277B8}" name="Halfjaarpremie" totalsRowFunction="sum" dataDxfId="35" totalsRowDxfId="34">
      <calculatedColumnFormula>SUMIF(Table3[Certificaat],$C$18,Table3[Jaarpremie 3])</calculatedColumnFormula>
    </tableColumn>
    <tableColumn id="5" xr3:uid="{A3BA8807-6B81-4FA2-BA69-EE76F22614ED}" name="Al geboekt met nota" totalsRowFunction="sum" dataDxfId="33" totalsRowDxfId="32"/>
    <tableColumn id="6" xr3:uid="{9AF90E3C-6A93-4D11-AFDD-20D99DB08287}" name="Nog te boeken" totalsRowFunction="sum" dataDxfId="31" totalsRowDxfId="30">
      <calculatedColumnFormula>E20-F20</calculatedColumnFormula>
    </tableColumn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70DAAC-F4D1-4AE3-893E-5734AB69FC89}" name="Table168" displayName="Table168" ref="I19:N30" totalsRowCount="1" headerRowDxfId="29" totalsRowDxfId="26" headerRowBorderDxfId="28" tableBorderDxfId="27" totalsRowBorderDxfId="25">
  <autoFilter ref="I19:N29" xr:uid="{1670DAAC-F4D1-4AE3-893E-5734AB69FC89}"/>
  <tableColumns count="6">
    <tableColumn id="1" xr3:uid="{DBF99BF3-418C-491C-A330-4805BFF944D3}" name="Verzekeraar" totalsRowLabel="Total" dataDxfId="24" totalsRowDxfId="23"/>
    <tableColumn id="2" xr3:uid="{1F2F4EB7-1ADE-41CA-8059-A62FF9719B1A}" name="Relatienummer" dataDxfId="22" totalsRowDxfId="21"/>
    <tableColumn id="3" xr3:uid="{C56EAEDD-A639-4AA2-8494-B9F180F84B6E}" name="Aandeel" totalsRowFunction="sum" dataDxfId="20" totalsRowDxfId="19"/>
    <tableColumn id="4" xr3:uid="{BFB9337F-D7A7-4D53-8B3D-24524B887CF2}" name="Kwartaalpremie" totalsRowFunction="sum" dataDxfId="18" totalsRowDxfId="17">
      <calculatedColumnFormula>SUMIF(Table3[Certificaat],$C$18,Table3[Jaarpremie 3])</calculatedColumnFormula>
    </tableColumn>
    <tableColumn id="5" xr3:uid="{B0213C23-B439-468B-85A2-0E087D6813CE}" name="Al geboekt met nota" totalsRowFunction="sum" dataDxfId="16" totalsRowDxfId="15"/>
    <tableColumn id="6" xr3:uid="{A4BA6C86-0430-4D98-BA3D-CBF045E9C40D}" name="Nog te boeken" totalsRowFunction="sum" dataDxfId="14" totalsRowDxfId="13">
      <calculatedColumnFormula>L20-M20</calculatedColumnFormula>
    </tableColumn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E40922-C02C-4F7D-92D7-106DDAF09DB4}" name="Table2" displayName="Table2" ref="B16:E21" totalsRowCount="1" headerRowDxfId="12" totalsRowDxfId="9" headerRowBorderDxfId="11" tableBorderDxfId="10" totalsRowBorderDxfId="8">
  <autoFilter ref="B16:E20" xr:uid="{A6E40922-C02C-4F7D-92D7-106DDAF09DB4}"/>
  <tableColumns count="4">
    <tableColumn id="1" xr3:uid="{1C2BDB45-46C6-4EEA-9AF3-34A4B3E43C0D}" name="Verzekeraar" totalsRowLabel="Total" dataDxfId="7" totalsRowDxfId="6"/>
    <tableColumn id="2" xr3:uid="{C9624625-27B1-4242-B58D-CD75E5449BFE}" name="Relatienummer" dataDxfId="5" totalsRowDxfId="4"/>
    <tableColumn id="3" xr3:uid="{A5E01D99-FB8F-4A17-8650-9A8A9486AAD1}" name="Aandeel" totalsRowFunction="sum" dataDxfId="3" totalsRowDxfId="2"/>
    <tableColumn id="4" xr3:uid="{A79BE9DE-9508-4B1D-BC2C-3FF3652F5C55}" name="Boeking/restitutie" totalsRowFunction="sum" dataDxfId="1" totalsRowDxfId="0">
      <calculatedColumnFormula>SUMIFS(Table4[Verzekeraar 12],Table4[Mutatiedatum],$C12,Table4[Certificaat],$C15)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0625-246A-43CC-89A4-DCF9BF06B965}">
  <sheetPr codeName="Sheet1"/>
  <dimension ref="A1:J17"/>
  <sheetViews>
    <sheetView showGridLines="0" workbookViewId="0">
      <selection activeCell="E17" sqref="E17"/>
    </sheetView>
  </sheetViews>
  <sheetFormatPr defaultRowHeight="15" x14ac:dyDescent="0.25"/>
  <cols>
    <col min="1" max="1" width="42" bestFit="1" customWidth="1"/>
    <col min="2" max="2" width="16.140625" bestFit="1" customWidth="1"/>
    <col min="3" max="3" width="11.42578125" bestFit="1" customWidth="1"/>
    <col min="4" max="4" width="24.42578125" bestFit="1" customWidth="1"/>
    <col min="5" max="5" width="23.42578125" bestFit="1" customWidth="1"/>
    <col min="6" max="18" width="16" customWidth="1"/>
  </cols>
  <sheetData>
    <row r="1" spans="1:10" x14ac:dyDescent="0.25">
      <c r="A1" s="7" t="s">
        <v>0</v>
      </c>
      <c r="B1" s="8"/>
      <c r="C1" s="9"/>
      <c r="D1" s="2"/>
      <c r="E1" s="2"/>
      <c r="F1" s="2"/>
      <c r="G1" s="2"/>
      <c r="H1" s="2"/>
      <c r="I1" s="2"/>
      <c r="J1" s="2"/>
    </row>
    <row r="2" spans="1:10" x14ac:dyDescent="0.25">
      <c r="A2" s="10" t="s">
        <v>1</v>
      </c>
      <c r="B2" s="237" t="s">
        <v>141</v>
      </c>
      <c r="C2" s="238"/>
      <c r="D2" s="2"/>
      <c r="E2" s="2"/>
      <c r="F2" s="2"/>
      <c r="G2" s="2"/>
      <c r="H2" s="2"/>
      <c r="I2" s="2"/>
      <c r="J2" s="2"/>
    </row>
    <row r="3" spans="1:10" x14ac:dyDescent="0.25">
      <c r="A3" s="10" t="s">
        <v>2</v>
      </c>
      <c r="B3" s="237" t="s">
        <v>142</v>
      </c>
      <c r="C3" s="238"/>
      <c r="D3" s="2"/>
      <c r="E3" s="2"/>
      <c r="F3" s="2"/>
      <c r="G3" s="2"/>
      <c r="H3" s="2"/>
      <c r="I3" s="2"/>
      <c r="J3" s="2"/>
    </row>
    <row r="4" spans="1:10" x14ac:dyDescent="0.25">
      <c r="A4" s="10" t="s">
        <v>3</v>
      </c>
      <c r="B4" s="237">
        <v>631704610</v>
      </c>
      <c r="C4" s="238"/>
      <c r="D4" s="2"/>
      <c r="E4" s="2"/>
      <c r="F4" s="2"/>
      <c r="G4" s="2"/>
      <c r="H4" s="2"/>
      <c r="I4" s="2"/>
      <c r="J4" s="2"/>
    </row>
    <row r="5" spans="1:10" x14ac:dyDescent="0.25">
      <c r="A5" s="10" t="s">
        <v>4</v>
      </c>
      <c r="B5" s="237" t="s">
        <v>140</v>
      </c>
      <c r="C5" s="238"/>
      <c r="D5" s="2"/>
      <c r="E5" s="2"/>
      <c r="F5" s="2"/>
      <c r="G5" s="2"/>
      <c r="H5" s="2"/>
      <c r="I5" s="2"/>
      <c r="J5" s="2"/>
    </row>
    <row r="6" spans="1:10" x14ac:dyDescent="0.25">
      <c r="A6" s="11"/>
      <c r="B6" s="38" t="s">
        <v>5</v>
      </c>
      <c r="C6" s="39" t="s">
        <v>6</v>
      </c>
      <c r="D6" s="2"/>
      <c r="E6" s="2"/>
      <c r="F6" s="2"/>
      <c r="G6" s="2"/>
      <c r="H6" s="2"/>
      <c r="I6" s="2"/>
      <c r="J6" s="2"/>
    </row>
    <row r="7" spans="1:10" x14ac:dyDescent="0.25">
      <c r="A7" s="11" t="s">
        <v>7</v>
      </c>
      <c r="B7" s="40">
        <v>45292</v>
      </c>
      <c r="C7" s="41">
        <v>45658</v>
      </c>
      <c r="D7" s="2"/>
      <c r="E7" s="2"/>
      <c r="F7" s="2"/>
      <c r="G7" s="2"/>
      <c r="H7" s="2"/>
      <c r="I7" s="2"/>
      <c r="J7" s="2"/>
    </row>
    <row r="10" spans="1:10" x14ac:dyDescent="0.25">
      <c r="A10" s="91" t="s">
        <v>8</v>
      </c>
      <c r="B10" t="s">
        <v>9</v>
      </c>
      <c r="C10" t="s">
        <v>10</v>
      </c>
    </row>
    <row r="11" spans="1:10" x14ac:dyDescent="0.25">
      <c r="A11" s="92" t="s">
        <v>142</v>
      </c>
      <c r="B11" s="225">
        <v>120471000</v>
      </c>
      <c r="C11" s="225">
        <v>59928.633750000008</v>
      </c>
    </row>
    <row r="12" spans="1:10" x14ac:dyDescent="0.25">
      <c r="A12" s="93" t="s">
        <v>131</v>
      </c>
      <c r="B12" s="225">
        <v>76887000</v>
      </c>
      <c r="C12" s="225">
        <v>40077.348750000005</v>
      </c>
    </row>
    <row r="13" spans="1:10" x14ac:dyDescent="0.25">
      <c r="A13" s="93" t="s">
        <v>124</v>
      </c>
      <c r="B13" s="225">
        <v>38084000</v>
      </c>
      <c r="C13" s="225">
        <v>19851.285</v>
      </c>
    </row>
    <row r="14" spans="1:10" x14ac:dyDescent="0.25">
      <c r="A14" s="93" t="s">
        <v>138</v>
      </c>
      <c r="B14" s="225">
        <v>1500000</v>
      </c>
      <c r="C14" s="225">
        <v>0</v>
      </c>
    </row>
    <row r="15" spans="1:10" x14ac:dyDescent="0.25">
      <c r="A15" s="93" t="s">
        <v>126</v>
      </c>
      <c r="B15" s="225">
        <v>2500000</v>
      </c>
      <c r="C15" s="225">
        <v>0</v>
      </c>
    </row>
    <row r="16" spans="1:10" x14ac:dyDescent="0.25">
      <c r="A16" s="93" t="s">
        <v>128</v>
      </c>
      <c r="B16" s="225">
        <v>1500000</v>
      </c>
      <c r="C16" s="225">
        <v>0</v>
      </c>
    </row>
    <row r="17" spans="1:3" x14ac:dyDescent="0.25">
      <c r="A17" s="92" t="s">
        <v>12</v>
      </c>
      <c r="B17" s="225">
        <v>120471000</v>
      </c>
      <c r="C17" s="225">
        <v>59928.633750000008</v>
      </c>
    </row>
  </sheetData>
  <sheetProtection pivotTables="0"/>
  <pageMargins left="0.25" right="0.25" top="0.75" bottom="0.75" header="0.3" footer="0.3"/>
  <pageSetup paperSize="9" orientation="landscape" horizontalDpi="1200" verticalDpi="1200" r:id="rId2"/>
  <headerFooter>
    <oddFooter>&amp;L&amp;F
Uniek nr e-ABS XXXXXXXXXXXXXXXXXXX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B097-44BC-46C9-9D12-97A11A00B2C3}">
  <sheetPr codeName="Sheet2">
    <pageSetUpPr fitToPage="1"/>
  </sheetPr>
  <dimension ref="A1:AC22"/>
  <sheetViews>
    <sheetView showGridLines="0" tabSelected="1" topLeftCell="C1" zoomScale="85" zoomScaleNormal="85" workbookViewId="0">
      <pane ySplit="11" topLeftCell="A12" activePane="bottomLeft" state="frozen"/>
      <selection activeCell="E23" sqref="E23"/>
      <selection pane="bottomLeft" activeCell="F17" sqref="F17"/>
    </sheetView>
  </sheetViews>
  <sheetFormatPr defaultColWidth="16" defaultRowHeight="12.75" x14ac:dyDescent="0.25"/>
  <cols>
    <col min="1" max="1" width="14.140625" style="15" hidden="1" customWidth="1"/>
    <col min="2" max="2" width="23.42578125" style="15" hidden="1" customWidth="1"/>
    <col min="3" max="3" width="7.5703125" style="21" bestFit="1" customWidth="1"/>
    <col min="4" max="4" width="21.42578125" style="21" bestFit="1" customWidth="1"/>
    <col min="5" max="5" width="26.7109375" style="21" customWidth="1"/>
    <col min="6" max="6" width="41.42578125" style="21" customWidth="1"/>
    <col min="7" max="7" width="28.42578125" style="21" hidden="1" customWidth="1"/>
    <col min="8" max="8" width="18.7109375" style="21" hidden="1" customWidth="1"/>
    <col min="9" max="9" width="13.28515625" style="21" bestFit="1" customWidth="1"/>
    <col min="10" max="10" width="18.7109375" style="15" customWidth="1"/>
    <col min="11" max="11" width="18.7109375" style="15" hidden="1" customWidth="1"/>
    <col min="12" max="12" width="18.7109375" style="15" customWidth="1"/>
    <col min="13" max="13" width="18.7109375" style="15" hidden="1" customWidth="1"/>
    <col min="14" max="14" width="14.28515625" style="15" bestFit="1" customWidth="1"/>
    <col min="15" max="15" width="19" style="15" bestFit="1" customWidth="1"/>
    <col min="16" max="16" width="23.7109375" style="15" bestFit="1" customWidth="1"/>
    <col min="17" max="17" width="16" style="15" bestFit="1" customWidth="1"/>
    <col min="18" max="18" width="18.42578125" style="15" customWidth="1"/>
    <col min="19" max="19" width="20.85546875" style="15" customWidth="1"/>
    <col min="20" max="20" width="15.140625" style="22" customWidth="1"/>
    <col min="21" max="24" width="17.85546875" style="22" bestFit="1" customWidth="1"/>
    <col min="25" max="28" width="16.5703125" style="15" bestFit="1" customWidth="1"/>
    <col min="29" max="29" width="20.85546875" style="15" bestFit="1" customWidth="1"/>
    <col min="30" max="16384" width="16" style="15"/>
  </cols>
  <sheetData>
    <row r="1" spans="1:29" s="14" customFormat="1" ht="15.75" customHeight="1" x14ac:dyDescent="0.2">
      <c r="A1" s="25"/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00" t="s">
        <v>13</v>
      </c>
      <c r="S1" s="29" t="s">
        <v>14</v>
      </c>
      <c r="T1" s="97"/>
      <c r="U1" s="129" t="s">
        <v>15</v>
      </c>
      <c r="V1" s="132"/>
      <c r="W1" s="132"/>
      <c r="X1" s="132"/>
      <c r="Y1" s="27"/>
      <c r="Z1" s="27"/>
      <c r="AA1" s="27"/>
      <c r="AB1" s="27"/>
      <c r="AC1" s="28"/>
    </row>
    <row r="2" spans="1:29" s="14" customFormat="1" ht="15" x14ac:dyDescent="0.2">
      <c r="A2" s="23"/>
      <c r="B2" s="24"/>
      <c r="C2" s="12"/>
      <c r="D2" s="2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  <c r="R2" s="101"/>
      <c r="S2" s="45" t="s">
        <v>160</v>
      </c>
      <c r="T2" s="98"/>
      <c r="U2" s="130" t="s">
        <v>16</v>
      </c>
      <c r="V2" s="31"/>
      <c r="W2" s="31"/>
      <c r="X2" s="31"/>
      <c r="Y2" s="12"/>
      <c r="Z2" s="12"/>
      <c r="AA2" s="12"/>
      <c r="AB2" s="12"/>
      <c r="AC2" s="13"/>
    </row>
    <row r="3" spans="1:29" s="14" customFormat="1" ht="15" x14ac:dyDescent="0.2">
      <c r="A3" s="23"/>
      <c r="B3" s="24"/>
      <c r="C3" s="12"/>
      <c r="D3" s="2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01"/>
      <c r="S3" s="99"/>
      <c r="T3" s="98"/>
      <c r="U3" s="131">
        <f>SUM(U10:X10)</f>
        <v>1</v>
      </c>
      <c r="V3" s="31"/>
      <c r="W3" s="31"/>
      <c r="X3" s="31"/>
      <c r="Y3" s="12"/>
      <c r="Z3" s="12"/>
      <c r="AA3" s="12"/>
      <c r="AB3" s="12"/>
      <c r="AC3" s="13"/>
    </row>
    <row r="4" spans="1:29" s="14" customFormat="1" ht="15" x14ac:dyDescent="0.2">
      <c r="A4" s="23"/>
      <c r="B4" s="24"/>
      <c r="C4" s="12"/>
      <c r="D4" s="24"/>
      <c r="E4" s="218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01"/>
      <c r="S4" s="99"/>
      <c r="T4" s="98"/>
      <c r="U4" s="13"/>
      <c r="V4" s="31"/>
      <c r="W4" s="31"/>
      <c r="X4" s="31"/>
      <c r="Y4" s="12"/>
      <c r="Z4" s="12"/>
      <c r="AA4" s="12"/>
      <c r="AB4" s="12"/>
      <c r="AC4" s="13"/>
    </row>
    <row r="5" spans="1:29" s="14" customFormat="1" ht="15" x14ac:dyDescent="0.2">
      <c r="A5" s="23"/>
      <c r="B5" s="192"/>
      <c r="C5" s="193"/>
      <c r="D5" s="192"/>
      <c r="E5" s="193"/>
      <c r="F5" s="193"/>
      <c r="G5" s="193"/>
      <c r="H5" s="193"/>
      <c r="I5" s="12"/>
      <c r="J5" s="193"/>
      <c r="K5" s="193"/>
      <c r="L5" s="193"/>
      <c r="M5" s="12"/>
      <c r="N5" s="12"/>
      <c r="O5" s="12"/>
      <c r="P5" s="12"/>
      <c r="Q5" s="13"/>
      <c r="R5" s="101"/>
      <c r="S5" s="99"/>
      <c r="T5" s="98"/>
      <c r="U5" s="13"/>
      <c r="V5" s="31"/>
      <c r="W5" s="31"/>
      <c r="X5" s="31"/>
      <c r="Y5" s="12"/>
      <c r="Z5" s="12"/>
      <c r="AA5" s="12"/>
      <c r="AB5" s="12"/>
      <c r="AC5" s="13"/>
    </row>
    <row r="6" spans="1:29" s="14" customFormat="1" ht="15.75" thickBot="1" x14ac:dyDescent="0.25">
      <c r="A6" s="23"/>
      <c r="B6" s="192"/>
      <c r="C6" s="193"/>
      <c r="D6" s="192"/>
      <c r="E6" s="193"/>
      <c r="F6" s="193"/>
      <c r="G6" s="193"/>
      <c r="H6" s="193"/>
      <c r="I6" s="12"/>
      <c r="J6" s="193"/>
      <c r="K6" s="193"/>
      <c r="L6" s="193"/>
      <c r="M6" s="12"/>
      <c r="N6" s="12"/>
      <c r="O6" s="12"/>
      <c r="P6" s="12"/>
      <c r="Q6" s="13"/>
      <c r="R6" s="226"/>
      <c r="S6" s="99"/>
      <c r="T6" s="98"/>
      <c r="U6" s="12"/>
      <c r="V6" s="31"/>
      <c r="W6" s="31"/>
      <c r="X6" s="31"/>
      <c r="Y6" s="12"/>
      <c r="Z6" s="12"/>
      <c r="AA6" s="12"/>
      <c r="AB6" s="12"/>
      <c r="AC6" s="13"/>
    </row>
    <row r="7" spans="1:29" s="16" customFormat="1" x14ac:dyDescent="0.25">
      <c r="A7" s="194" t="s">
        <v>17</v>
      </c>
      <c r="B7" s="195" t="s">
        <v>18</v>
      </c>
      <c r="C7" s="149" t="s">
        <v>19</v>
      </c>
      <c r="D7" s="149" t="s">
        <v>20</v>
      </c>
      <c r="E7" s="149" t="s">
        <v>21</v>
      </c>
      <c r="F7" s="196" t="s">
        <v>22</v>
      </c>
      <c r="G7" s="196" t="s">
        <v>23</v>
      </c>
      <c r="H7" s="196" t="s">
        <v>24</v>
      </c>
      <c r="I7" s="196" t="s">
        <v>25</v>
      </c>
      <c r="J7" s="196" t="s">
        <v>26</v>
      </c>
      <c r="K7" s="149" t="s">
        <v>27</v>
      </c>
      <c r="L7" s="149" t="s">
        <v>28</v>
      </c>
      <c r="M7" s="197" t="s">
        <v>29</v>
      </c>
      <c r="N7" s="198" t="s">
        <v>30</v>
      </c>
      <c r="O7" s="199" t="s">
        <v>31</v>
      </c>
      <c r="P7" s="200" t="s">
        <v>32</v>
      </c>
      <c r="Q7" s="199" t="s">
        <v>33</v>
      </c>
      <c r="R7" s="201" t="s">
        <v>32</v>
      </c>
      <c r="S7" s="201" t="s">
        <v>34</v>
      </c>
      <c r="T7" s="202" t="s">
        <v>35</v>
      </c>
      <c r="U7" s="203" t="s">
        <v>156</v>
      </c>
      <c r="V7" s="204" t="s">
        <v>157</v>
      </c>
      <c r="W7" s="204" t="s">
        <v>158</v>
      </c>
      <c r="X7" s="204" t="s">
        <v>159</v>
      </c>
      <c r="Y7" s="94" t="s">
        <v>10</v>
      </c>
      <c r="Z7" s="95" t="s">
        <v>10</v>
      </c>
      <c r="AA7" s="95" t="s">
        <v>10</v>
      </c>
      <c r="AB7" s="95" t="s">
        <v>10</v>
      </c>
      <c r="AC7" s="96" t="s">
        <v>46</v>
      </c>
    </row>
    <row r="8" spans="1:29" s="16" customFormat="1" x14ac:dyDescent="0.25">
      <c r="A8" s="44"/>
      <c r="B8" s="46"/>
      <c r="C8" s="17"/>
      <c r="D8" s="17"/>
      <c r="E8" s="17"/>
      <c r="F8" s="18"/>
      <c r="G8" s="18"/>
      <c r="H8" s="18"/>
      <c r="I8" s="18" t="s">
        <v>47</v>
      </c>
      <c r="J8" s="18"/>
      <c r="K8" s="17"/>
      <c r="L8" s="17"/>
      <c r="M8" s="147"/>
      <c r="N8" s="150"/>
      <c r="O8" s="151"/>
      <c r="P8" s="152"/>
      <c r="Q8" s="151"/>
      <c r="R8" s="30" t="s">
        <v>48</v>
      </c>
      <c r="S8" s="30"/>
      <c r="T8" s="19"/>
      <c r="U8" s="42">
        <v>9</v>
      </c>
      <c r="V8" s="43">
        <v>916</v>
      </c>
      <c r="W8" s="43">
        <v>230159</v>
      </c>
      <c r="X8" s="43">
        <v>896</v>
      </c>
      <c r="Y8" s="32" t="str">
        <f t="shared" ref="Y8:AB9" si="0">U7</f>
        <v xml:space="preserve">MS Amlin </v>
      </c>
      <c r="Z8" s="20" t="str">
        <f t="shared" si="0"/>
        <v>Nationale-Nederlanden</v>
      </c>
      <c r="AA8" s="20" t="str">
        <f t="shared" si="0"/>
        <v>Allianz</v>
      </c>
      <c r="AB8" s="20" t="str">
        <f t="shared" si="0"/>
        <v>Zurich</v>
      </c>
      <c r="AC8" s="33"/>
    </row>
    <row r="9" spans="1:29" s="16" customFormat="1" x14ac:dyDescent="0.25">
      <c r="A9" s="44"/>
      <c r="B9" s="46"/>
      <c r="C9" s="17"/>
      <c r="D9" s="17"/>
      <c r="E9" s="17"/>
      <c r="F9" s="18"/>
      <c r="G9" s="18"/>
      <c r="H9" s="18"/>
      <c r="I9" s="18"/>
      <c r="J9" s="18"/>
      <c r="K9" s="17"/>
      <c r="L9" s="17"/>
      <c r="M9" s="147"/>
      <c r="N9" s="150"/>
      <c r="O9" s="151"/>
      <c r="P9" s="152"/>
      <c r="Q9" s="151"/>
      <c r="R9" s="30"/>
      <c r="S9" s="30"/>
      <c r="T9" s="19"/>
      <c r="U9" s="42" t="s">
        <v>49</v>
      </c>
      <c r="V9" s="43" t="s">
        <v>49</v>
      </c>
      <c r="W9" s="43" t="s">
        <v>49</v>
      </c>
      <c r="X9" s="43" t="s">
        <v>49</v>
      </c>
      <c r="Y9" s="32">
        <f t="shared" si="0"/>
        <v>9</v>
      </c>
      <c r="Z9" s="20">
        <f t="shared" si="0"/>
        <v>916</v>
      </c>
      <c r="AA9" s="20">
        <f t="shared" si="0"/>
        <v>230159</v>
      </c>
      <c r="AB9" s="20">
        <f t="shared" si="0"/>
        <v>896</v>
      </c>
      <c r="AC9" s="33"/>
    </row>
    <row r="10" spans="1:29" ht="13.5" thickBot="1" x14ac:dyDescent="0.3">
      <c r="A10" s="109"/>
      <c r="B10" s="110"/>
      <c r="C10" s="111"/>
      <c r="D10" s="111"/>
      <c r="E10" s="111"/>
      <c r="F10" s="112"/>
      <c r="G10" s="112"/>
      <c r="H10" s="112"/>
      <c r="I10" s="112"/>
      <c r="J10" s="112"/>
      <c r="K10" s="111"/>
      <c r="L10" s="111"/>
      <c r="M10" s="148"/>
      <c r="N10" s="153"/>
      <c r="O10" s="154"/>
      <c r="P10" s="155"/>
      <c r="Q10" s="154"/>
      <c r="R10" s="113"/>
      <c r="S10" s="113"/>
      <c r="T10" s="114"/>
      <c r="U10" s="118">
        <v>0.3</v>
      </c>
      <c r="V10" s="115">
        <v>0.375</v>
      </c>
      <c r="W10" s="115">
        <v>0.2</v>
      </c>
      <c r="X10" s="115">
        <v>0.125</v>
      </c>
      <c r="Y10" s="116"/>
      <c r="Z10" s="119"/>
      <c r="AA10" s="119"/>
      <c r="AB10" s="119"/>
      <c r="AC10" s="117"/>
    </row>
    <row r="11" spans="1:29" ht="13.5" customHeight="1" x14ac:dyDescent="0.25">
      <c r="A11" s="205" t="s">
        <v>17</v>
      </c>
      <c r="B11" s="120" t="s">
        <v>18</v>
      </c>
      <c r="C11" s="121" t="s">
        <v>19</v>
      </c>
      <c r="D11" s="121" t="s">
        <v>20</v>
      </c>
      <c r="E11" s="121" t="s">
        <v>21</v>
      </c>
      <c r="F11" s="122" t="s">
        <v>22</v>
      </c>
      <c r="G11" s="122" t="s">
        <v>23</v>
      </c>
      <c r="H11" s="122" t="s">
        <v>24</v>
      </c>
      <c r="I11" s="122" t="s">
        <v>50</v>
      </c>
      <c r="J11" s="122" t="s">
        <v>26</v>
      </c>
      <c r="K11" s="121" t="s">
        <v>27</v>
      </c>
      <c r="L11" s="121" t="s">
        <v>28</v>
      </c>
      <c r="M11" s="16" t="s">
        <v>29</v>
      </c>
      <c r="N11" s="123" t="s">
        <v>30</v>
      </c>
      <c r="O11" s="124" t="s">
        <v>31</v>
      </c>
      <c r="P11" s="125" t="s">
        <v>51</v>
      </c>
      <c r="Q11" s="124" t="s">
        <v>33</v>
      </c>
      <c r="R11" s="126" t="s">
        <v>13</v>
      </c>
      <c r="S11" s="127" t="s">
        <v>34</v>
      </c>
      <c r="T11" s="124" t="s">
        <v>35</v>
      </c>
      <c r="U11" s="128" t="s">
        <v>52</v>
      </c>
      <c r="V11" s="128" t="s">
        <v>53</v>
      </c>
      <c r="W11" s="128" t="s">
        <v>54</v>
      </c>
      <c r="X11" s="128" t="s">
        <v>55</v>
      </c>
      <c r="Y11" s="123" t="s">
        <v>56</v>
      </c>
      <c r="Z11" s="123" t="s">
        <v>57</v>
      </c>
      <c r="AA11" s="123" t="s">
        <v>58</v>
      </c>
      <c r="AB11" s="123" t="s">
        <v>59</v>
      </c>
      <c r="AC11" s="206" t="s">
        <v>46</v>
      </c>
    </row>
    <row r="12" spans="1:29" ht="45" x14ac:dyDescent="0.25">
      <c r="A12" s="228" t="s">
        <v>142</v>
      </c>
      <c r="B12" s="227">
        <v>0</v>
      </c>
      <c r="C12" s="157">
        <v>1</v>
      </c>
      <c r="D12" s="156" t="s">
        <v>131</v>
      </c>
      <c r="E12" s="248" t="s">
        <v>143</v>
      </c>
      <c r="F12" s="220"/>
      <c r="G12" s="158"/>
      <c r="H12" s="158" t="s">
        <v>11</v>
      </c>
      <c r="I12" s="158" t="s">
        <v>121</v>
      </c>
      <c r="J12" s="158" t="s">
        <v>144</v>
      </c>
      <c r="K12" s="156"/>
      <c r="L12" s="156" t="s">
        <v>145</v>
      </c>
      <c r="M12" s="156" t="s">
        <v>146</v>
      </c>
      <c r="N12" s="159">
        <v>0</v>
      </c>
      <c r="O12" s="160">
        <f>IF(N12=0,P12,(P12+N12)/2)</f>
        <v>76887000</v>
      </c>
      <c r="P12" s="160">
        <f>IF(Q12=T12,R12,ROUNDUP(R12/T12*Q12,-3))</f>
        <v>76887000</v>
      </c>
      <c r="Q12" s="156">
        <v>128.4</v>
      </c>
      <c r="R12" s="160">
        <f>S12+SUMIF(Table4[Subnummer],Table3[[#This Row],[Sub]],Table4[Som mutaties])</f>
        <v>74252000</v>
      </c>
      <c r="S12" s="161">
        <v>74252000</v>
      </c>
      <c r="T12" s="156">
        <v>124</v>
      </c>
      <c r="U12" s="162">
        <v>0.54</v>
      </c>
      <c r="V12" s="162">
        <v>0.47</v>
      </c>
      <c r="W12" s="162">
        <v>0.54</v>
      </c>
      <c r="X12" s="162">
        <v>0.6</v>
      </c>
      <c r="Y12" s="221">
        <f t="shared" ref="Y12:AB18" si="1">$O12*U12/1000*U$10</f>
        <v>12455.694000000001</v>
      </c>
      <c r="Z12" s="221">
        <f t="shared" si="1"/>
        <v>13551.33375</v>
      </c>
      <c r="AA12" s="221">
        <f t="shared" si="1"/>
        <v>8303.7960000000003</v>
      </c>
      <c r="AB12" s="221">
        <f t="shared" si="1"/>
        <v>5766.5249999999996</v>
      </c>
      <c r="AC12" s="222">
        <f t="shared" ref="AC12:AC18" si="2">SUM(Y12:AB12)</f>
        <v>40077.348750000005</v>
      </c>
    </row>
    <row r="13" spans="1:29" ht="25.5" x14ac:dyDescent="0.25">
      <c r="A13" s="228" t="s">
        <v>142</v>
      </c>
      <c r="B13" s="227">
        <v>0</v>
      </c>
      <c r="C13" s="157">
        <v>2</v>
      </c>
      <c r="D13" s="156" t="s">
        <v>124</v>
      </c>
      <c r="E13" s="156"/>
      <c r="F13" s="158"/>
      <c r="G13" s="158"/>
      <c r="H13" s="158" t="s">
        <v>11</v>
      </c>
      <c r="I13" s="158" t="s">
        <v>121</v>
      </c>
      <c r="J13" s="158" t="s">
        <v>144</v>
      </c>
      <c r="K13" s="156"/>
      <c r="L13" s="156" t="s">
        <v>148</v>
      </c>
      <c r="M13" s="156" t="s">
        <v>146</v>
      </c>
      <c r="N13" s="159">
        <v>0</v>
      </c>
      <c r="O13" s="160">
        <f t="shared" ref="O13" si="3">IF(N13=0,P13,(P13+N13)/2)</f>
        <v>14051000</v>
      </c>
      <c r="P13" s="160">
        <f>IF(Q13=T13,R13,ROUNDUP(R13/T13*Q13,-3))</f>
        <v>14051000</v>
      </c>
      <c r="Q13" s="156">
        <v>124.4</v>
      </c>
      <c r="R13" s="160">
        <f>S13+SUMIF(Table4[Subnummer],Table3[[#This Row],[Sub]],Table4[Som mutaties])</f>
        <v>13000000</v>
      </c>
      <c r="S13" s="161">
        <v>13000000</v>
      </c>
      <c r="T13" s="156">
        <v>115.1</v>
      </c>
      <c r="U13" s="162">
        <v>0.54</v>
      </c>
      <c r="V13" s="162">
        <v>0.47</v>
      </c>
      <c r="W13" s="162">
        <v>0.54</v>
      </c>
      <c r="X13" s="162">
        <v>0.6</v>
      </c>
      <c r="Y13" s="221">
        <f t="shared" si="1"/>
        <v>2276.2620000000002</v>
      </c>
      <c r="Z13" s="221">
        <f t="shared" si="1"/>
        <v>2476.48875</v>
      </c>
      <c r="AA13" s="221">
        <f t="shared" si="1"/>
        <v>1517.5080000000003</v>
      </c>
      <c r="AB13" s="221">
        <f t="shared" si="1"/>
        <v>1053.825</v>
      </c>
      <c r="AC13" s="222">
        <f t="shared" si="2"/>
        <v>7324.0837500000007</v>
      </c>
    </row>
    <row r="14" spans="1:29" s="268" customFormat="1" ht="13.5" customHeight="1" x14ac:dyDescent="0.25">
      <c r="A14" s="258" t="s">
        <v>142</v>
      </c>
      <c r="B14" s="259">
        <v>0</v>
      </c>
      <c r="C14" s="260">
        <v>3</v>
      </c>
      <c r="D14" s="261" t="s">
        <v>124</v>
      </c>
      <c r="E14" s="261"/>
      <c r="F14" s="262" t="s">
        <v>149</v>
      </c>
      <c r="G14" s="262"/>
      <c r="H14" s="262" t="s">
        <v>11</v>
      </c>
      <c r="I14" s="262" t="s">
        <v>121</v>
      </c>
      <c r="J14" s="262" t="s">
        <v>150</v>
      </c>
      <c r="K14" s="261"/>
      <c r="L14" s="261" t="s">
        <v>148</v>
      </c>
      <c r="M14" s="261" t="s">
        <v>146</v>
      </c>
      <c r="N14" s="263">
        <v>0</v>
      </c>
      <c r="O14" s="264">
        <f t="shared" ref="O14" si="4">IF(N14=0,P14,(P14+N14)/2)</f>
        <v>376000</v>
      </c>
      <c r="P14" s="264">
        <f>IF(Q14=T14,R14,ROUNDUP(R14/T14*Q14,-3))</f>
        <v>376000</v>
      </c>
      <c r="Q14" s="261">
        <v>124.4</v>
      </c>
      <c r="R14" s="264">
        <f>S14+SUMIF(Table4[Subnummer],Table3[[#This Row],[Sub]],Table4[Som mutaties])</f>
        <v>368000</v>
      </c>
      <c r="S14" s="265">
        <v>368000</v>
      </c>
      <c r="T14" s="261">
        <v>122</v>
      </c>
      <c r="U14" s="266">
        <v>0.54</v>
      </c>
      <c r="V14" s="266">
        <v>0.47</v>
      </c>
      <c r="W14" s="266">
        <v>0.54</v>
      </c>
      <c r="X14" s="266">
        <v>0.6</v>
      </c>
      <c r="Y14" s="267">
        <f t="shared" si="1"/>
        <v>60.911999999999992</v>
      </c>
      <c r="Z14" s="267">
        <f t="shared" si="1"/>
        <v>66.27</v>
      </c>
      <c r="AA14" s="267">
        <f t="shared" si="1"/>
        <v>40.608000000000004</v>
      </c>
      <c r="AB14" s="267">
        <f t="shared" si="1"/>
        <v>28.2</v>
      </c>
      <c r="AC14" s="264">
        <f t="shared" si="2"/>
        <v>195.98999999999998</v>
      </c>
    </row>
    <row r="15" spans="1:29" ht="13.5" customHeight="1" x14ac:dyDescent="0.25">
      <c r="A15" s="228" t="s">
        <v>142</v>
      </c>
      <c r="B15" s="227">
        <v>0</v>
      </c>
      <c r="C15" s="157">
        <v>4</v>
      </c>
      <c r="D15" s="156" t="s">
        <v>124</v>
      </c>
      <c r="E15" s="156"/>
      <c r="F15" s="156" t="s">
        <v>151</v>
      </c>
      <c r="G15" s="158"/>
      <c r="H15" s="158" t="s">
        <v>11</v>
      </c>
      <c r="I15" s="158" t="s">
        <v>121</v>
      </c>
      <c r="J15" s="158" t="s">
        <v>152</v>
      </c>
      <c r="K15" s="156"/>
      <c r="L15" s="156" t="s">
        <v>148</v>
      </c>
      <c r="M15" s="156" t="s">
        <v>146</v>
      </c>
      <c r="N15" s="159">
        <v>0</v>
      </c>
      <c r="O15" s="160">
        <f t="shared" ref="O15:O18" si="5">IF(N15=0,P15,(P15+N15)/2)</f>
        <v>23657000</v>
      </c>
      <c r="P15" s="160">
        <f t="shared" ref="P15:P18" si="6">IF(Q15=T15,R15,ROUNDUP(R15/T15*Q15,-3))</f>
        <v>23657000</v>
      </c>
      <c r="Q15" s="156">
        <v>124.4</v>
      </c>
      <c r="R15" s="160">
        <f>S15+SUMIF(Table4[Subnummer],Table3[[#This Row],[Sub]],Table4[Som mutaties])</f>
        <v>23200000</v>
      </c>
      <c r="S15" s="161">
        <v>23200000</v>
      </c>
      <c r="T15" s="156">
        <v>122</v>
      </c>
      <c r="U15" s="162">
        <v>0.54</v>
      </c>
      <c r="V15" s="162">
        <v>0.47</v>
      </c>
      <c r="W15" s="162">
        <v>0.54</v>
      </c>
      <c r="X15" s="162">
        <v>0.6</v>
      </c>
      <c r="Y15" s="221">
        <f t="shared" si="1"/>
        <v>3832.4340000000002</v>
      </c>
      <c r="Z15" s="221">
        <f t="shared" si="1"/>
        <v>4169.5462500000003</v>
      </c>
      <c r="AA15" s="221">
        <f t="shared" si="1"/>
        <v>2554.9560000000001</v>
      </c>
      <c r="AB15" s="221">
        <f t="shared" si="1"/>
        <v>1774.2750000000001</v>
      </c>
      <c r="AC15" s="222">
        <f t="shared" si="2"/>
        <v>12331.21125</v>
      </c>
    </row>
    <row r="16" spans="1:29" ht="76.5" x14ac:dyDescent="0.25">
      <c r="A16" s="228" t="s">
        <v>142</v>
      </c>
      <c r="B16" s="227">
        <v>0</v>
      </c>
      <c r="C16" s="157">
        <v>5</v>
      </c>
      <c r="D16" s="156" t="s">
        <v>138</v>
      </c>
      <c r="E16" s="156"/>
      <c r="F16" s="158" t="s">
        <v>153</v>
      </c>
      <c r="G16" s="158"/>
      <c r="H16" s="158" t="s">
        <v>11</v>
      </c>
      <c r="I16" s="158" t="s">
        <v>11</v>
      </c>
      <c r="J16" s="158"/>
      <c r="K16" s="156"/>
      <c r="L16" s="156"/>
      <c r="M16" s="156" t="s">
        <v>146</v>
      </c>
      <c r="N16" s="159">
        <v>0</v>
      </c>
      <c r="O16" s="160">
        <f t="shared" si="5"/>
        <v>1500000</v>
      </c>
      <c r="P16" s="160">
        <f t="shared" si="6"/>
        <v>1500000</v>
      </c>
      <c r="Q16" s="156"/>
      <c r="R16" s="160">
        <f>S16+SUMIF(Table4[Subnummer],Table3[[#This Row],[Sub]],Table4[Som mutaties])</f>
        <v>1500000</v>
      </c>
      <c r="S16" s="161">
        <v>1500000</v>
      </c>
      <c r="T16" s="156"/>
      <c r="U16" s="162">
        <v>0</v>
      </c>
      <c r="V16" s="162">
        <v>0</v>
      </c>
      <c r="W16" s="162">
        <v>0</v>
      </c>
      <c r="X16" s="162">
        <v>0</v>
      </c>
      <c r="Y16" s="221">
        <f t="shared" si="1"/>
        <v>0</v>
      </c>
      <c r="Z16" s="221">
        <f t="shared" si="1"/>
        <v>0</v>
      </c>
      <c r="AA16" s="221">
        <f t="shared" si="1"/>
        <v>0</v>
      </c>
      <c r="AB16" s="221">
        <f t="shared" si="1"/>
        <v>0</v>
      </c>
      <c r="AC16" s="222">
        <f t="shared" si="2"/>
        <v>0</v>
      </c>
    </row>
    <row r="17" spans="1:29" ht="76.5" x14ac:dyDescent="0.25">
      <c r="A17" s="228" t="s">
        <v>142</v>
      </c>
      <c r="B17" s="227">
        <v>0</v>
      </c>
      <c r="C17" s="157">
        <v>6</v>
      </c>
      <c r="D17" s="156" t="s">
        <v>126</v>
      </c>
      <c r="E17" s="156"/>
      <c r="F17" s="158" t="s">
        <v>154</v>
      </c>
      <c r="G17" s="158"/>
      <c r="H17" s="158" t="s">
        <v>11</v>
      </c>
      <c r="I17" s="158" t="s">
        <v>11</v>
      </c>
      <c r="J17" s="158"/>
      <c r="K17" s="156"/>
      <c r="L17" s="156"/>
      <c r="M17" s="156" t="s">
        <v>146</v>
      </c>
      <c r="N17" s="159">
        <v>0</v>
      </c>
      <c r="O17" s="160">
        <f t="shared" si="5"/>
        <v>2500000</v>
      </c>
      <c r="P17" s="160">
        <f t="shared" si="6"/>
        <v>2500000</v>
      </c>
      <c r="Q17" s="156"/>
      <c r="R17" s="160">
        <f>S17+SUMIF(Table4[Subnummer],Table3[[#This Row],[Sub]],Table4[Som mutaties])</f>
        <v>2500000</v>
      </c>
      <c r="S17" s="161">
        <v>2500000</v>
      </c>
      <c r="T17" s="156"/>
      <c r="U17" s="162">
        <v>0</v>
      </c>
      <c r="V17" s="162">
        <v>0</v>
      </c>
      <c r="W17" s="162">
        <v>0</v>
      </c>
      <c r="X17" s="162">
        <v>0</v>
      </c>
      <c r="Y17" s="221">
        <f t="shared" si="1"/>
        <v>0</v>
      </c>
      <c r="Z17" s="221">
        <f t="shared" si="1"/>
        <v>0</v>
      </c>
      <c r="AA17" s="221">
        <f t="shared" si="1"/>
        <v>0</v>
      </c>
      <c r="AB17" s="221">
        <f t="shared" si="1"/>
        <v>0</v>
      </c>
      <c r="AC17" s="222">
        <f t="shared" si="2"/>
        <v>0</v>
      </c>
    </row>
    <row r="18" spans="1:29" ht="76.5" x14ac:dyDescent="0.25">
      <c r="A18" s="228" t="s">
        <v>142</v>
      </c>
      <c r="B18" s="227">
        <v>0</v>
      </c>
      <c r="C18" s="157">
        <v>7</v>
      </c>
      <c r="D18" s="156" t="s">
        <v>128</v>
      </c>
      <c r="E18" s="156"/>
      <c r="F18" s="158" t="s">
        <v>155</v>
      </c>
      <c r="G18" s="158"/>
      <c r="H18" s="158" t="s">
        <v>11</v>
      </c>
      <c r="I18" s="158" t="s">
        <v>11</v>
      </c>
      <c r="J18" s="158"/>
      <c r="K18" s="156"/>
      <c r="L18" s="156"/>
      <c r="M18" s="156" t="s">
        <v>146</v>
      </c>
      <c r="N18" s="159">
        <v>0</v>
      </c>
      <c r="O18" s="160">
        <f t="shared" si="5"/>
        <v>1500000</v>
      </c>
      <c r="P18" s="160">
        <f t="shared" si="6"/>
        <v>1500000</v>
      </c>
      <c r="Q18" s="156"/>
      <c r="R18" s="160">
        <f>S18+SUMIF(Table4[Subnummer],Table3[[#This Row],[Sub]],Table4[Som mutaties])</f>
        <v>1500000</v>
      </c>
      <c r="S18" s="161">
        <v>1500000</v>
      </c>
      <c r="T18" s="156"/>
      <c r="U18" s="162">
        <v>0</v>
      </c>
      <c r="V18" s="162">
        <v>0</v>
      </c>
      <c r="W18" s="162">
        <v>0</v>
      </c>
      <c r="X18" s="162">
        <v>0</v>
      </c>
      <c r="Y18" s="221">
        <f t="shared" si="1"/>
        <v>0</v>
      </c>
      <c r="Z18" s="221">
        <f t="shared" si="1"/>
        <v>0</v>
      </c>
      <c r="AA18" s="221">
        <f t="shared" si="1"/>
        <v>0</v>
      </c>
      <c r="AB18" s="221">
        <f t="shared" si="1"/>
        <v>0</v>
      </c>
      <c r="AC18" s="222">
        <f t="shared" si="2"/>
        <v>0</v>
      </c>
    </row>
    <row r="19" spans="1:29" ht="13.5" customHeight="1" thickBot="1" x14ac:dyDescent="0.3">
      <c r="A19" s="207" t="s">
        <v>60</v>
      </c>
      <c r="B19" s="208"/>
      <c r="C19" s="209"/>
      <c r="D19" s="210"/>
      <c r="E19" s="210"/>
      <c r="F19" s="211"/>
      <c r="G19" s="211"/>
      <c r="H19" s="211"/>
      <c r="I19" s="211"/>
      <c r="J19" s="211"/>
      <c r="K19" s="210"/>
      <c r="L19" s="210"/>
      <c r="M19" s="212"/>
      <c r="N19" s="213">
        <f>SUBTOTAL(109,Table3[Vorkbedrag])</f>
        <v>0</v>
      </c>
      <c r="O19" s="213">
        <f>SUBTOTAL(109,Table3[Premiegrondslag])</f>
        <v>120471000</v>
      </c>
      <c r="P19" s="213">
        <f>SUBTOTAL(109,Table3[Verzekerde Waarde])</f>
        <v>120471000</v>
      </c>
      <c r="Q19" s="214"/>
      <c r="R19" s="215">
        <f>SUBTOTAL(109,Table3[Mutaties])</f>
        <v>116320000</v>
      </c>
      <c r="S19" s="213">
        <f>SUBTOTAL(109,Table3[Verz. Waarde Oud:])</f>
        <v>116320000</v>
      </c>
      <c r="T19" s="214"/>
      <c r="U19" s="209"/>
      <c r="V19" s="209"/>
      <c r="W19" s="209"/>
      <c r="X19" s="209"/>
      <c r="Y19" s="216">
        <f>SUBTOTAL(109,Table3[Jaarpremie 1])</f>
        <v>18625.302000000003</v>
      </c>
      <c r="Z19" s="216">
        <f>SUBTOTAL(109,Table3[Jaarpremie 2])</f>
        <v>20263.638750000002</v>
      </c>
      <c r="AA19" s="216">
        <f>SUBTOTAL(109,Table3[Jaarpremie 3])</f>
        <v>12416.868</v>
      </c>
      <c r="AB19" s="216">
        <f>SUBTOTAL(109,Table3[Jaarpremie 4])</f>
        <v>8622.8249999999989</v>
      </c>
      <c r="AC19" s="217">
        <f>SUBTOTAL(109,Table3[Totale jaarpremie:])</f>
        <v>59928.633750000001</v>
      </c>
    </row>
    <row r="22" spans="1:29" ht="13.5" customHeight="1" x14ac:dyDescent="0.25">
      <c r="A22" s="219" t="s">
        <v>61</v>
      </c>
      <c r="B22" s="156" t="s">
        <v>61</v>
      </c>
      <c r="C22" s="223"/>
      <c r="D22" s="156"/>
      <c r="E22" s="156" t="s">
        <v>61</v>
      </c>
      <c r="F22" s="158" t="s">
        <v>61</v>
      </c>
      <c r="G22" s="158" t="s">
        <v>61</v>
      </c>
      <c r="H22" s="158" t="s">
        <v>61</v>
      </c>
      <c r="I22" s="158"/>
      <c r="J22" s="158"/>
      <c r="K22" s="156"/>
      <c r="L22" s="156"/>
      <c r="M22" s="156" t="s">
        <v>61</v>
      </c>
      <c r="N22" s="159" t="s">
        <v>61</v>
      </c>
      <c r="O22" s="160" t="s">
        <v>61</v>
      </c>
      <c r="P22" s="160"/>
      <c r="Q22" s="156"/>
      <c r="R22" s="160" t="s">
        <v>61</v>
      </c>
      <c r="S22" s="161" t="s">
        <v>61</v>
      </c>
      <c r="T22" s="156" t="s">
        <v>61</v>
      </c>
      <c r="U22" s="162"/>
      <c r="V22" s="162"/>
      <c r="W22" s="162"/>
      <c r="X22" s="162"/>
      <c r="Y22" s="160"/>
      <c r="Z22" s="160"/>
      <c r="AA22" s="160"/>
      <c r="AB22" s="160"/>
      <c r="AC22" s="160"/>
    </row>
  </sheetData>
  <sheetProtection formatCells="0" formatRows="0" insertRows="0" deleteRows="0"/>
  <phoneticPr fontId="5" type="noConversion"/>
  <dataValidations count="3">
    <dataValidation type="list" allowBlank="1" showInputMessage="1" showErrorMessage="1" sqref="D22 D12:D18" xr:uid="{01120292-CFD5-4024-9285-AB3464112197}">
      <formula1>Interest</formula1>
    </dataValidation>
    <dataValidation type="list" allowBlank="1" showInputMessage="1" showErrorMessage="1" sqref="H22 H12:H18" xr:uid="{A46D4949-E34B-4AC6-B17A-C4158B4C1F1F}">
      <formula1>Bouwaard</formula1>
    </dataValidation>
    <dataValidation type="list" allowBlank="1" showInputMessage="1" showErrorMessage="1" sqref="I22 I12:I18" xr:uid="{A2AA30C1-EDD4-4BB8-9B89-7DAD80FA1F1F}">
      <formula1>Taxatie</formula1>
    </dataValidation>
  </dataValidations>
  <pageMargins left="0.25" right="0.25" top="0.75" bottom="0.75" header="0.3" footer="0.3"/>
  <pageSetup paperSize="9" fitToWidth="3" fitToHeight="0" orientation="landscape" horizontalDpi="1200" verticalDpi="1200" r:id="rId1"/>
  <headerFooter>
    <oddFooter>&amp;L&amp;F
Uniek nr e-ABS XXXXXXXXXXXXXXXXXXX</oddFooter>
  </headerFooter>
  <colBreaks count="3" manualBreakCount="3">
    <brk id="8" max="20" man="1"/>
    <brk id="17" max="20" man="1"/>
    <brk id="24" max="20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A77B-CA43-41E5-8C27-BBC72617EFE7}">
  <sheetPr codeName="Sheet3"/>
  <dimension ref="A1:F24"/>
  <sheetViews>
    <sheetView showGridLines="0" topLeftCell="A3" zoomScaleNormal="100" workbookViewId="0">
      <selection activeCell="E28" sqref="E28"/>
    </sheetView>
  </sheetViews>
  <sheetFormatPr defaultRowHeight="15" x14ac:dyDescent="0.25"/>
  <cols>
    <col min="1" max="1" width="8.5703125" customWidth="1"/>
    <col min="2" max="2" width="16.5703125" bestFit="1" customWidth="1"/>
    <col min="3" max="3" width="22.42578125" bestFit="1" customWidth="1"/>
    <col min="4" max="4" width="15.5703125" bestFit="1" customWidth="1"/>
    <col min="5" max="5" width="18" bestFit="1" customWidth="1"/>
    <col min="6" max="6" width="14" bestFit="1" customWidth="1"/>
  </cols>
  <sheetData>
    <row r="1" spans="1:6" x14ac:dyDescent="0.25">
      <c r="A1" s="229"/>
      <c r="B1" s="229"/>
      <c r="C1" s="229"/>
      <c r="D1" s="229"/>
      <c r="E1" s="229"/>
      <c r="F1" s="229"/>
    </row>
    <row r="2" spans="1:6" x14ac:dyDescent="0.25">
      <c r="A2" s="229"/>
      <c r="B2" s="229"/>
      <c r="C2" s="229"/>
      <c r="D2" s="229"/>
      <c r="E2" s="229"/>
      <c r="F2" s="229"/>
    </row>
    <row r="3" spans="1:6" x14ac:dyDescent="0.25">
      <c r="A3" s="229"/>
      <c r="B3" s="229"/>
      <c r="C3" s="229"/>
      <c r="D3" s="229"/>
      <c r="E3" s="229"/>
      <c r="F3" s="229"/>
    </row>
    <row r="4" spans="1:6" x14ac:dyDescent="0.25">
      <c r="A4" t="s">
        <v>19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</row>
    <row r="5" spans="1:6" x14ac:dyDescent="0.25">
      <c r="A5" s="239">
        <v>1</v>
      </c>
      <c r="B5" s="92" t="str">
        <f>IFERROR(_xlfn.XLOOKUP(Table8[[#This Row],[Sub]],Table3[Sub],Table3[Verzekerde interest]),"-")</f>
        <v>Gebouwen</v>
      </c>
      <c r="C5" s="92" t="s">
        <v>147</v>
      </c>
      <c r="D5" s="240">
        <v>44817</v>
      </c>
      <c r="E5" s="92"/>
      <c r="F5" s="240">
        <v>47009</v>
      </c>
    </row>
    <row r="6" spans="1:6" x14ac:dyDescent="0.25">
      <c r="A6" s="239">
        <v>2</v>
      </c>
      <c r="B6" s="92" t="str">
        <f>IFERROR(_xlfn.XLOOKUP(Table8[[#This Row],[Sub]],Table3[Sub],Table3[Verzekerde interest]),"-")</f>
        <v>Bedrijfsuitrusting</v>
      </c>
      <c r="C6" s="92" t="s">
        <v>147</v>
      </c>
      <c r="D6" s="240">
        <v>44889</v>
      </c>
      <c r="E6" s="92"/>
      <c r="F6" s="240">
        <v>45985</v>
      </c>
    </row>
    <row r="7" spans="1:6" x14ac:dyDescent="0.25">
      <c r="A7" s="239">
        <v>3</v>
      </c>
      <c r="B7" s="92" t="str">
        <f>IFERROR(_xlfn.XLOOKUP(Table8[[#This Row],[Sub]],Table3[Sub],Table3[Verzekerde interest]),"-")</f>
        <v>Bedrijfsuitrusting</v>
      </c>
      <c r="C7" s="92" t="s">
        <v>147</v>
      </c>
      <c r="D7" s="240">
        <v>43763</v>
      </c>
      <c r="E7" s="92"/>
      <c r="F7" s="240">
        <v>44859</v>
      </c>
    </row>
    <row r="8" spans="1:6" x14ac:dyDescent="0.25">
      <c r="A8" s="239">
        <v>4</v>
      </c>
      <c r="B8" s="92" t="str">
        <f>IFERROR(_xlfn.XLOOKUP(Table8[[#This Row],[Sub]],Table3[Sub],Table3[Verzekerde interest]),"-")</f>
        <v>Bedrijfsuitrusting</v>
      </c>
      <c r="C8" s="92" t="s">
        <v>147</v>
      </c>
      <c r="D8" s="240">
        <v>44930</v>
      </c>
      <c r="E8" s="92"/>
      <c r="F8" s="240">
        <v>46026</v>
      </c>
    </row>
    <row r="9" spans="1:6" hidden="1" x14ac:dyDescent="0.25">
      <c r="A9" s="239">
        <v>0</v>
      </c>
      <c r="B9" s="92" t="str">
        <f>IFERROR(_xlfn.XLOOKUP(Table8[[#This Row],[Sub]],Table3[Sub],Table3[Verzekerde interest]),"-")</f>
        <v>-</v>
      </c>
      <c r="C9" s="92"/>
      <c r="D9" s="92"/>
      <c r="E9" s="92"/>
      <c r="F9" s="240"/>
    </row>
    <row r="10" spans="1:6" hidden="1" x14ac:dyDescent="0.25">
      <c r="A10" s="239">
        <v>0</v>
      </c>
      <c r="B10" s="92" t="str">
        <f>IFERROR(_xlfn.XLOOKUP(Table8[[#This Row],[Sub]],Table3[Sub],Table3[Verzekerde interest]),"-")</f>
        <v>-</v>
      </c>
      <c r="C10" s="92"/>
      <c r="D10" s="92"/>
      <c r="E10" s="92"/>
      <c r="F10" s="240"/>
    </row>
    <row r="11" spans="1:6" hidden="1" x14ac:dyDescent="0.25">
      <c r="A11" s="239">
        <v>0</v>
      </c>
      <c r="B11" s="92" t="str">
        <f>IFERROR(_xlfn.XLOOKUP(Table8[[#This Row],[Sub]],Table3[Sub],Table3[Verzekerde interest]),"-")</f>
        <v>-</v>
      </c>
      <c r="C11" s="92"/>
      <c r="D11" s="92"/>
      <c r="E11" s="92"/>
      <c r="F11" s="240"/>
    </row>
    <row r="12" spans="1:6" hidden="1" x14ac:dyDescent="0.25">
      <c r="A12" s="239">
        <v>0</v>
      </c>
      <c r="B12" s="92" t="str">
        <f>IFERROR(_xlfn.XLOOKUP(Table8[[#This Row],[Sub]],Table3[Sub],Table3[Verzekerde interest]),"-")</f>
        <v>-</v>
      </c>
      <c r="C12" s="92"/>
      <c r="D12" s="92"/>
      <c r="E12" s="92"/>
      <c r="F12" s="92" t="str" cm="1">
        <f t="array" ref="F12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13" spans="1:6" hidden="1" x14ac:dyDescent="0.25">
      <c r="A13" s="239">
        <v>0</v>
      </c>
      <c r="B13" s="92" t="str">
        <f>IFERROR(_xlfn.XLOOKUP(Table8[[#This Row],[Sub]],Table3[Sub],Table3[Verzekerde interest]),"-")</f>
        <v>-</v>
      </c>
      <c r="C13" s="92"/>
      <c r="D13" s="92"/>
      <c r="E13" s="92"/>
      <c r="F13" s="92" t="str" cm="1">
        <f t="array" ref="F13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14" spans="1:6" hidden="1" x14ac:dyDescent="0.25">
      <c r="A14" s="239">
        <v>0</v>
      </c>
      <c r="B14" s="92" t="str">
        <f>IFERROR(_xlfn.XLOOKUP(Table8[[#This Row],[Sub]],Table3[Sub],Table3[Verzekerde interest]),"-")</f>
        <v>-</v>
      </c>
      <c r="C14" s="92"/>
      <c r="D14" s="92"/>
      <c r="E14" s="92"/>
      <c r="F14" s="92" t="str" cm="1">
        <f t="array" ref="F14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15" spans="1:6" hidden="1" x14ac:dyDescent="0.25">
      <c r="A15" s="239">
        <v>0</v>
      </c>
      <c r="B15" s="92" t="str">
        <f>IFERROR(_xlfn.XLOOKUP(Table8[[#This Row],[Sub]],Table3[Sub],Table3[Verzekerde interest]),"-")</f>
        <v>-</v>
      </c>
      <c r="C15" s="92"/>
      <c r="D15" s="92"/>
      <c r="E15" s="92"/>
      <c r="F15" s="92" t="str" cm="1">
        <f t="array" ref="F15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16" spans="1:6" hidden="1" x14ac:dyDescent="0.25">
      <c r="A16" s="239">
        <v>0</v>
      </c>
      <c r="B16" s="92" t="str">
        <f>IFERROR(_xlfn.XLOOKUP(Table8[[#This Row],[Sub]],Table3[Sub],Table3[Verzekerde interest]),"-")</f>
        <v>-</v>
      </c>
      <c r="C16" s="92"/>
      <c r="D16" s="92"/>
      <c r="E16" s="92"/>
      <c r="F16" s="92" t="str" cm="1">
        <f t="array" ref="F16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17" spans="1:6" hidden="1" x14ac:dyDescent="0.25">
      <c r="A17" s="239">
        <v>0</v>
      </c>
      <c r="B17" s="92" t="str">
        <f>IFERROR(_xlfn.XLOOKUP(Table8[[#This Row],[Sub]],Table3[Sub],Table3[Verzekerde interest]),"-")</f>
        <v>-</v>
      </c>
      <c r="C17" s="92"/>
      <c r="D17" s="92"/>
      <c r="E17" s="92"/>
      <c r="F17" s="92" t="str" cm="1">
        <f t="array" ref="F17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18" spans="1:6" hidden="1" x14ac:dyDescent="0.25">
      <c r="A18" s="239">
        <v>0</v>
      </c>
      <c r="B18" s="92" t="str">
        <f>IFERROR(_xlfn.XLOOKUP(Table8[[#This Row],[Sub]],Table3[Sub],Table3[Verzekerde interest]),"-")</f>
        <v>-</v>
      </c>
      <c r="C18" s="92"/>
      <c r="D18" s="92"/>
      <c r="E18" s="92"/>
      <c r="F18" s="92" t="str" cm="1">
        <f t="array" ref="F18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19" spans="1:6" hidden="1" x14ac:dyDescent="0.25">
      <c r="A19" s="239">
        <v>0</v>
      </c>
      <c r="B19" s="92" t="str">
        <f>IFERROR(_xlfn.XLOOKUP(Table8[[#This Row],[Sub]],Table3[Sub],Table3[Verzekerde interest]),"-")</f>
        <v>-</v>
      </c>
      <c r="C19" s="92"/>
      <c r="D19" s="92"/>
      <c r="E19" s="92"/>
      <c r="F19" s="92" t="str" cm="1">
        <f t="array" ref="F19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20" spans="1:6" hidden="1" x14ac:dyDescent="0.25">
      <c r="A20" s="239">
        <v>0</v>
      </c>
      <c r="B20" s="92" t="str">
        <f>IFERROR(_xlfn.XLOOKUP(Table8[[#This Row],[Sub]],Table3[Sub],Table3[Verzekerde interest]),"-")</f>
        <v>-</v>
      </c>
      <c r="C20" s="92"/>
      <c r="D20" s="92"/>
      <c r="E20" s="92"/>
      <c r="F20" s="92" t="str" cm="1">
        <f t="array" ref="F20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21" spans="1:6" hidden="1" x14ac:dyDescent="0.25">
      <c r="A21" s="239">
        <v>0</v>
      </c>
      <c r="B21" s="92" t="str">
        <f>IFERROR(_xlfn.XLOOKUP(Table8[[#This Row],[Sub]],Table3[Sub],Table3[Verzekerde interest]),"-")</f>
        <v>-</v>
      </c>
      <c r="C21" s="92"/>
      <c r="D21" s="92"/>
      <c r="E21" s="92"/>
      <c r="F21" s="92" t="str" cm="1">
        <f t="array" ref="F21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22" spans="1:6" hidden="1" x14ac:dyDescent="0.25">
      <c r="A22" s="239">
        <v>0</v>
      </c>
      <c r="B22" s="92" t="str">
        <f>IFERROR(_xlfn.XLOOKUP(Table8[[#This Row],[Sub]],Table3[Sub],Table3[Verzekerde interest]),"-")</f>
        <v>-</v>
      </c>
      <c r="C22" s="92"/>
      <c r="D22" s="92"/>
      <c r="E22" s="92"/>
      <c r="F22" s="92" t="str" cm="1">
        <f t="array" ref="F22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23" spans="1:6" hidden="1" x14ac:dyDescent="0.25">
      <c r="A23" s="239">
        <v>0</v>
      </c>
      <c r="B23" s="92" t="str">
        <f>IFERROR(_xlfn.XLOOKUP(Table8[[#This Row],[Sub]],Table3[Sub],Table3[Verzekerde interest]),"-")</f>
        <v>-</v>
      </c>
      <c r="C23" s="92"/>
      <c r="D23" s="92"/>
      <c r="E23" s="92"/>
      <c r="F23" s="92" t="str" cm="1">
        <f t="array" ref="F23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  <row r="24" spans="1:6" hidden="1" x14ac:dyDescent="0.25">
      <c r="A24" s="239">
        <v>0</v>
      </c>
      <c r="B24" s="92" t="str">
        <f>IFERROR(_xlfn.XLOOKUP(Table8[[#This Row],[Sub]],Table3[Sub],Table3[Verzekerde interest]),"-")</f>
        <v>-</v>
      </c>
      <c r="C24" s="92"/>
      <c r="D24" s="92"/>
      <c r="E24" s="92"/>
      <c r="F24" s="92" t="str" cm="1">
        <f t="array" ref="F24">_xlfn.IFS(Table8[[#This Row],[Soort interest]]="Gebouwen",DATE(YEAR(Table8[[#This Row],[Taxatiedatum]]) + 6,MONTH(Table8[[#This Row],[Taxatiedatum]]),DAY(Table8[[#This Row],[Taxatiedatum]])),Table8[[#This Row],[Soort interest]]="Bedrijfsuitrusting",DATE(YEAR(Table8[[#This Row],[Taxatiedatum]]) + 3,MONTH(Table8[[#This Row],[Taxatiedatum]]),DAY(Table8[[#This Row],[Taxatiedatum]])),Table8[[#This Row],[Taxatiedatum]]="","")</f>
        <v/>
      </c>
    </row>
  </sheetData>
  <dataValidations count="1">
    <dataValidation type="list" allowBlank="1" showInputMessage="1" showErrorMessage="1" sqref="B5:B24" xr:uid="{35E0CAF5-70B5-4885-AD2B-3E90160A17FD}">
      <formula1>Interest</formula1>
    </dataValidation>
  </dataValidations>
  <pageMargins left="0.25" right="0.25" top="0.75" bottom="0.75" header="0.3" footer="0.3"/>
  <pageSetup paperSize="9" fitToWidth="2" fitToHeight="0" orientation="landscape" horizontalDpi="1200" verticalDpi="1200" r:id="rId1"/>
  <headerFooter>
    <oddFooter>&amp;L&amp;F
Uniek nr e-ABS XXXXXXXXXXXXXXXXXXX</oddFooter>
  </headerFooter>
  <ignoredErrors>
    <ignoredError sqref="B5" calculatedColumn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9570-CFC6-457E-96CC-23459DF77E6F}">
  <sheetPr codeName="Sheet4"/>
  <dimension ref="A1:AQ100"/>
  <sheetViews>
    <sheetView showGridLines="0" zoomScale="85" zoomScaleNormal="85" workbookViewId="0">
      <selection activeCell="C13" sqref="C13"/>
    </sheetView>
  </sheetViews>
  <sheetFormatPr defaultRowHeight="15" x14ac:dyDescent="0.25"/>
  <cols>
    <col min="1" max="1" width="18.85546875" style="52" bestFit="1" customWidth="1"/>
    <col min="2" max="2" width="25" style="52" bestFit="1" customWidth="1"/>
    <col min="3" max="3" width="25" style="52" customWidth="1"/>
    <col min="4" max="4" width="17.28515625" style="52" customWidth="1"/>
    <col min="5" max="5" width="16.42578125" style="52" bestFit="1" customWidth="1"/>
    <col min="6" max="7" width="14.85546875" style="52" bestFit="1" customWidth="1"/>
    <col min="8" max="8" width="12.85546875" style="52" bestFit="1" customWidth="1"/>
    <col min="9" max="9" width="12.7109375" style="52" bestFit="1" customWidth="1"/>
    <col min="10" max="10" width="16.42578125" style="52" bestFit="1" customWidth="1"/>
    <col min="11" max="11" width="15.85546875" style="52" customWidth="1"/>
    <col min="12" max="12" width="14" style="52" bestFit="1" customWidth="1"/>
    <col min="13" max="13" width="12.42578125" style="52" bestFit="1" customWidth="1"/>
    <col min="14" max="14" width="12" style="52" customWidth="1"/>
    <col min="15" max="15" width="13.85546875" style="52" bestFit="1" customWidth="1"/>
    <col min="16" max="16" width="15.85546875" style="52" bestFit="1" customWidth="1"/>
    <col min="17" max="20" width="20.140625" style="52" customWidth="1"/>
    <col min="21" max="21" width="20.140625" customWidth="1"/>
    <col min="22" max="23" width="13.28515625" bestFit="1" customWidth="1"/>
    <col min="24" max="26" width="13.28515625" style="52" bestFit="1" customWidth="1"/>
    <col min="27" max="30" width="13.28515625" style="52" customWidth="1"/>
    <col min="31" max="36" width="13.28515625" style="52" bestFit="1" customWidth="1"/>
    <col min="37" max="40" width="13.28515625" style="52" customWidth="1"/>
    <col min="41" max="41" width="13.28515625" style="52" bestFit="1" customWidth="1"/>
    <col min="42" max="43" width="12" style="52" customWidth="1"/>
    <col min="44" max="16384" width="9.140625" style="52"/>
  </cols>
  <sheetData>
    <row r="1" spans="1:43" x14ac:dyDescent="0.25">
      <c r="A1" s="47"/>
      <c r="B1" s="48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8"/>
      <c r="V1" s="48"/>
      <c r="W1" s="48"/>
      <c r="X1" s="48"/>
      <c r="Y1" s="48"/>
      <c r="Z1" s="48"/>
      <c r="AA1" s="48"/>
      <c r="AB1" s="48"/>
      <c r="AC1" s="48"/>
      <c r="AD1" s="48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50"/>
      <c r="AQ1" s="51"/>
    </row>
    <row r="2" spans="1:43" x14ac:dyDescent="0.25">
      <c r="A2" s="230"/>
      <c r="B2" s="231"/>
      <c r="C2" s="231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1"/>
    </row>
    <row r="3" spans="1:43" x14ac:dyDescent="0.25">
      <c r="A3" s="230"/>
      <c r="B3" s="231"/>
      <c r="C3" s="23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1"/>
    </row>
    <row r="4" spans="1:43" x14ac:dyDescent="0.25">
      <c r="A4" s="230"/>
      <c r="B4" s="231"/>
      <c r="C4" s="231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1"/>
    </row>
    <row r="5" spans="1:43" x14ac:dyDescent="0.25">
      <c r="A5" s="11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1"/>
    </row>
    <row r="6" spans="1:43" ht="15.75" thickBot="1" x14ac:dyDescent="0.3">
      <c r="A6" s="11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1"/>
    </row>
    <row r="7" spans="1:43" ht="15.75" thickBot="1" x14ac:dyDescent="0.3">
      <c r="A7" s="53" t="s">
        <v>67</v>
      </c>
      <c r="B7" s="54" t="s">
        <v>68</v>
      </c>
      <c r="C7" s="54" t="s">
        <v>18</v>
      </c>
      <c r="D7" s="54" t="s">
        <v>19</v>
      </c>
      <c r="E7" s="250" t="s">
        <v>69</v>
      </c>
      <c r="F7" s="250"/>
      <c r="G7" s="250"/>
      <c r="H7" s="250"/>
      <c r="I7" s="250"/>
      <c r="J7" s="250"/>
      <c r="K7" s="250"/>
      <c r="L7" s="137" t="s">
        <v>70</v>
      </c>
      <c r="M7" s="55" t="s">
        <v>71</v>
      </c>
      <c r="N7" s="55" t="s">
        <v>72</v>
      </c>
      <c r="O7" s="55" t="s">
        <v>73</v>
      </c>
      <c r="P7" s="138" t="s">
        <v>74</v>
      </c>
      <c r="Q7" s="251" t="s">
        <v>75</v>
      </c>
      <c r="R7" s="252"/>
      <c r="S7" s="252"/>
      <c r="T7" s="252"/>
      <c r="U7" s="253"/>
      <c r="V7" s="254" t="s">
        <v>76</v>
      </c>
      <c r="W7" s="254"/>
      <c r="X7" s="254"/>
      <c r="Y7" s="254"/>
      <c r="Z7" s="254"/>
      <c r="AA7" s="254"/>
      <c r="AB7" s="254"/>
      <c r="AC7" s="254"/>
      <c r="AD7" s="254"/>
      <c r="AE7" s="255"/>
      <c r="AF7" s="256" t="s">
        <v>77</v>
      </c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7"/>
    </row>
    <row r="8" spans="1:43" x14ac:dyDescent="0.25">
      <c r="A8" s="56"/>
      <c r="B8" s="57"/>
      <c r="C8" s="57"/>
      <c r="D8" s="57"/>
      <c r="E8" s="58"/>
      <c r="F8" s="58"/>
      <c r="G8" s="58"/>
      <c r="H8" s="58"/>
      <c r="I8" s="58"/>
      <c r="J8" s="58"/>
      <c r="K8" s="133"/>
      <c r="L8" s="139"/>
      <c r="M8" s="59"/>
      <c r="N8" s="59"/>
      <c r="O8" s="59"/>
      <c r="P8" s="140"/>
      <c r="Q8" s="64"/>
      <c r="R8" s="60"/>
      <c r="S8" s="60"/>
      <c r="T8" s="60"/>
      <c r="U8" s="61"/>
      <c r="V8" s="62" t="str">
        <f>Specificatie!U7</f>
        <v xml:space="preserve">MS Amlin </v>
      </c>
      <c r="W8" s="60" t="str">
        <f>Specificatie!V7</f>
        <v>Nationale-Nederlanden</v>
      </c>
      <c r="X8" s="60" t="str">
        <f>Specificatie!W7</f>
        <v>Allianz</v>
      </c>
      <c r="Y8" s="60" t="str">
        <f>Specificatie!X7</f>
        <v>Zurich</v>
      </c>
      <c r="Z8" s="60" t="e">
        <f>Specificatie!#REF!</f>
        <v>#REF!</v>
      </c>
      <c r="AA8" s="60" t="e">
        <f>Specificatie!#REF!</f>
        <v>#REF!</v>
      </c>
      <c r="AB8" s="60" t="e">
        <f>Specificatie!#REF!</f>
        <v>#REF!</v>
      </c>
      <c r="AC8" s="60" t="e">
        <f>Specificatie!#REF!</f>
        <v>#REF!</v>
      </c>
      <c r="AD8" s="60" t="e">
        <f>Specificatie!#REF!</f>
        <v>#REF!</v>
      </c>
      <c r="AE8" s="60" t="e">
        <f>Specificatie!#REF!</f>
        <v>#REF!</v>
      </c>
      <c r="AF8" s="64" t="str">
        <f>Specificatie!U7</f>
        <v xml:space="preserve">MS Amlin </v>
      </c>
      <c r="AG8" s="64" t="str">
        <f>Specificatie!V7</f>
        <v>Nationale-Nederlanden</v>
      </c>
      <c r="AH8" s="64" t="str">
        <f>Specificatie!W7</f>
        <v>Allianz</v>
      </c>
      <c r="AI8" s="64" t="str">
        <f>Specificatie!X7</f>
        <v>Zurich</v>
      </c>
      <c r="AJ8" s="64" t="e">
        <f>Specificatie!#REF!</f>
        <v>#REF!</v>
      </c>
      <c r="AK8" s="64" t="e">
        <f>Specificatie!#REF!</f>
        <v>#REF!</v>
      </c>
      <c r="AL8" s="64" t="e">
        <f>Specificatie!#REF!</f>
        <v>#REF!</v>
      </c>
      <c r="AM8" s="64" t="e">
        <f>Specificatie!#REF!</f>
        <v>#REF!</v>
      </c>
      <c r="AN8" s="64" t="e">
        <f>Specificatie!#REF!</f>
        <v>#REF!</v>
      </c>
      <c r="AO8" s="64" t="e">
        <f>Specificatie!#REF!</f>
        <v>#REF!</v>
      </c>
      <c r="AP8" s="60"/>
      <c r="AQ8" s="63"/>
    </row>
    <row r="9" spans="1:43" x14ac:dyDescent="0.25">
      <c r="A9" s="65"/>
      <c r="B9" s="66"/>
      <c r="C9" s="66"/>
      <c r="D9" s="67"/>
      <c r="E9" s="66"/>
      <c r="F9" s="67"/>
      <c r="G9" s="67"/>
      <c r="H9" s="67"/>
      <c r="I9" s="67"/>
      <c r="J9" s="66"/>
      <c r="K9" s="134"/>
      <c r="L9" s="65"/>
      <c r="M9" s="68"/>
      <c r="N9" s="68"/>
      <c r="O9" s="68"/>
      <c r="P9" s="72"/>
      <c r="Q9" s="135"/>
      <c r="R9" s="67"/>
      <c r="S9" s="67"/>
      <c r="T9" s="67"/>
      <c r="U9" s="69"/>
      <c r="V9" s="70">
        <f>Specificatie!U$10</f>
        <v>0.3</v>
      </c>
      <c r="W9" s="71">
        <f>Specificatie!V$10</f>
        <v>0.375</v>
      </c>
      <c r="X9" s="71">
        <f>Specificatie!W$10</f>
        <v>0.2</v>
      </c>
      <c r="Y9" s="71">
        <f>Specificatie!X$10</f>
        <v>0.125</v>
      </c>
      <c r="Z9" s="71" t="e">
        <f>Specificatie!#REF!</f>
        <v>#REF!</v>
      </c>
      <c r="AA9" s="71" t="e">
        <f>Specificatie!#REF!</f>
        <v>#REF!</v>
      </c>
      <c r="AB9" s="71" t="e">
        <f>Specificatie!#REF!</f>
        <v>#REF!</v>
      </c>
      <c r="AC9" s="71" t="e">
        <f>Specificatie!#REF!</f>
        <v>#REF!</v>
      </c>
      <c r="AD9" s="71" t="e">
        <f>Specificatie!#REF!</f>
        <v>#REF!</v>
      </c>
      <c r="AE9" s="71" t="e">
        <f>Specificatie!#REF!</f>
        <v>#REF!</v>
      </c>
      <c r="AF9" s="224">
        <f>Specificatie!U$10</f>
        <v>0.3</v>
      </c>
      <c r="AG9" s="224">
        <f>Specificatie!V$10</f>
        <v>0.375</v>
      </c>
      <c r="AH9" s="224">
        <f>Specificatie!W$10</f>
        <v>0.2</v>
      </c>
      <c r="AI9" s="224">
        <f>Specificatie!X$10</f>
        <v>0.125</v>
      </c>
      <c r="AJ9" s="224" t="e">
        <f>Specificatie!#REF!</f>
        <v>#REF!</v>
      </c>
      <c r="AK9" s="224" t="e">
        <f>Specificatie!#REF!</f>
        <v>#REF!</v>
      </c>
      <c r="AL9" s="224" t="e">
        <f>Specificatie!#REF!</f>
        <v>#REF!</v>
      </c>
      <c r="AM9" s="224" t="e">
        <f>Specificatie!#REF!</f>
        <v>#REF!</v>
      </c>
      <c r="AN9" s="224" t="e">
        <f>Specificatie!#REF!</f>
        <v>#REF!</v>
      </c>
      <c r="AO9" s="224" t="e">
        <f>Specificatie!#REF!</f>
        <v>#REF!</v>
      </c>
      <c r="AP9" s="68" t="s">
        <v>78</v>
      </c>
      <c r="AQ9" s="72"/>
    </row>
    <row r="10" spans="1:43" ht="29.25" thickBot="1" x14ac:dyDescent="0.3">
      <c r="A10" s="73" t="s">
        <v>67</v>
      </c>
      <c r="B10" s="163" t="s">
        <v>79</v>
      </c>
      <c r="C10" s="163" t="s">
        <v>18</v>
      </c>
      <c r="D10" s="74" t="s">
        <v>80</v>
      </c>
      <c r="E10" s="75" t="s">
        <v>81</v>
      </c>
      <c r="F10" s="74" t="s">
        <v>82</v>
      </c>
      <c r="G10" s="74" t="s">
        <v>83</v>
      </c>
      <c r="H10" s="74" t="s">
        <v>84</v>
      </c>
      <c r="I10" s="74" t="s">
        <v>85</v>
      </c>
      <c r="J10" s="74" t="s">
        <v>86</v>
      </c>
      <c r="K10" s="76" t="s">
        <v>87</v>
      </c>
      <c r="L10" s="73" t="s">
        <v>70</v>
      </c>
      <c r="M10" s="77" t="s">
        <v>71</v>
      </c>
      <c r="N10" s="77" t="s">
        <v>72</v>
      </c>
      <c r="O10" s="77" t="s">
        <v>73</v>
      </c>
      <c r="P10" s="82" t="s">
        <v>74</v>
      </c>
      <c r="Q10" s="136" t="s">
        <v>88</v>
      </c>
      <c r="R10" s="74" t="s">
        <v>89</v>
      </c>
      <c r="S10" s="74" t="s">
        <v>90</v>
      </c>
      <c r="T10" s="74" t="s">
        <v>91</v>
      </c>
      <c r="U10" s="78" t="s">
        <v>78</v>
      </c>
      <c r="V10" s="79" t="s">
        <v>36</v>
      </c>
      <c r="W10" s="80" t="s">
        <v>37</v>
      </c>
      <c r="X10" s="80" t="s">
        <v>38</v>
      </c>
      <c r="Y10" s="80" t="s">
        <v>39</v>
      </c>
      <c r="Z10" s="80" t="s">
        <v>40</v>
      </c>
      <c r="AA10" s="80" t="s">
        <v>41</v>
      </c>
      <c r="AB10" s="80" t="s">
        <v>42</v>
      </c>
      <c r="AC10" s="80" t="s">
        <v>43</v>
      </c>
      <c r="AD10" s="80" t="s">
        <v>44</v>
      </c>
      <c r="AE10" s="80" t="s">
        <v>45</v>
      </c>
      <c r="AF10" s="81" t="s">
        <v>92</v>
      </c>
      <c r="AG10" s="81" t="s">
        <v>93</v>
      </c>
      <c r="AH10" s="81" t="s">
        <v>94</v>
      </c>
      <c r="AI10" s="81" t="s">
        <v>95</v>
      </c>
      <c r="AJ10" s="81" t="s">
        <v>96</v>
      </c>
      <c r="AK10" s="81" t="s">
        <v>97</v>
      </c>
      <c r="AL10" s="81" t="s">
        <v>98</v>
      </c>
      <c r="AM10" s="81" t="s">
        <v>99</v>
      </c>
      <c r="AN10" s="81" t="s">
        <v>100</v>
      </c>
      <c r="AO10" s="81" t="s">
        <v>101</v>
      </c>
      <c r="AP10" s="77" t="s">
        <v>102</v>
      </c>
      <c r="AQ10" s="82" t="s">
        <v>103</v>
      </c>
    </row>
    <row r="11" spans="1:43" x14ac:dyDescent="0.25">
      <c r="A11" s="168" t="str">
        <f>IFERROR(_xlfn.XLOOKUP(D11,Table3[Sub],Table3[Verzekerde]),"-")</f>
        <v>-</v>
      </c>
      <c r="B11" s="169"/>
      <c r="C11" s="169" t="str">
        <f>IFERROR(_xlfn.XLOOKUP(Table4[[#This Row],[Subnummer]],Table3[Sub],Table3[Certificaat]),"-")</f>
        <v>-</v>
      </c>
      <c r="D11" s="176">
        <v>0</v>
      </c>
      <c r="E11" s="178">
        <f>IFERROR(_xlfn.XLOOKUP(Table4[[#This Row],[Subnummer]],Table3[Sub],Table3[Verz. Waarde Oud:]),0)</f>
        <v>0</v>
      </c>
      <c r="F11" s="170">
        <v>0</v>
      </c>
      <c r="G11" s="170">
        <v>0</v>
      </c>
      <c r="H11" s="170">
        <v>0</v>
      </c>
      <c r="I11" s="170">
        <v>0</v>
      </c>
      <c r="J11" s="170">
        <f>E11+F11+G11-H11-I11</f>
        <v>0</v>
      </c>
      <c r="K11" s="179">
        <f t="shared" ref="K11:K19" si="0">J11-E11</f>
        <v>0</v>
      </c>
      <c r="L11" s="182">
        <v>44562</v>
      </c>
      <c r="M11" s="171">
        <v>44927</v>
      </c>
      <c r="N11" s="169">
        <f t="shared" ref="N11:N19" si="1">M11-L11</f>
        <v>365</v>
      </c>
      <c r="O11" s="169">
        <v>365</v>
      </c>
      <c r="P11" s="173" t="s">
        <v>104</v>
      </c>
      <c r="Q11" s="184">
        <f t="shared" ref="Q11:Q19" si="2">F11*N11/O11</f>
        <v>0</v>
      </c>
      <c r="R11" s="170" cm="1">
        <f t="array" ref="R11">_xlfn.IFS($P11="Nee",G11*$N11/$O11,$P11="Ja",G11*0.5)</f>
        <v>0</v>
      </c>
      <c r="S11" s="170" cm="1">
        <f t="array" ref="S11">_xlfn.IFS($P11="Nee",-(H11*$N11/$O11),$P11="Ja",-(H11*0.5))</f>
        <v>0</v>
      </c>
      <c r="T11" s="170">
        <f t="shared" ref="T11:T19" si="3">-I11*N11/O11</f>
        <v>0</v>
      </c>
      <c r="U11" s="185">
        <f t="shared" ref="U11:U19" si="4">SUM(Q11:T11)</f>
        <v>0</v>
      </c>
      <c r="V11" s="190">
        <f>IFERROR(_xlfn.XLOOKUP(Table4[[#This Row],[Subnummer]],Table3[Sub],Table3[Promillage 1]),0)</f>
        <v>0</v>
      </c>
      <c r="W11" s="172">
        <f>IFERROR(_xlfn.XLOOKUP(Table4[[#This Row],[Subnummer]],Table3[Sub],Table3[Promillage 2]),0)</f>
        <v>0</v>
      </c>
      <c r="X11" s="172">
        <f>IFERROR(_xlfn.XLOOKUP(Table4[[#This Row],[Subnummer]],Table3[Sub],Table3[Promillage 3]),0)</f>
        <v>0</v>
      </c>
      <c r="Y11" s="172">
        <f>IFERROR(_xlfn.XLOOKUP(Table4[[#This Row],[Subnummer]],Table3[Sub],Table3[Promillage 4]),0)</f>
        <v>0</v>
      </c>
      <c r="Z11" s="172">
        <f>IFERROR(_xlfn.XLOOKUP(Table4[[#This Row],[Subnummer]],Table3[Sub],#REF!),0)</f>
        <v>0</v>
      </c>
      <c r="AA11" s="172">
        <f>IFERROR(_xlfn.XLOOKUP(Table4[[#This Row],[Subnummer]],Table3[Sub],#REF!),0)</f>
        <v>0</v>
      </c>
      <c r="AB11" s="172">
        <f>IFERROR(_xlfn.XLOOKUP(Table4[[#This Row],[Subnummer]],Table3[Sub],#REF!),0)</f>
        <v>0</v>
      </c>
      <c r="AC11" s="172">
        <f>IFERROR(_xlfn.XLOOKUP(Table4[[#This Row],[Subnummer]],Table3[Sub],#REF!),0)</f>
        <v>0</v>
      </c>
      <c r="AD11" s="172">
        <f>IFERROR(_xlfn.XLOOKUP(Table4[[#This Row],[Subnummer]],Table3[Sub],#REF!),0)</f>
        <v>0</v>
      </c>
      <c r="AE11" s="172">
        <f>IFERROR(_xlfn.XLOOKUP(Table4[[#This Row],[Subnummer]],Table3[Sub],#REF!),0)</f>
        <v>0</v>
      </c>
      <c r="AF11" s="188">
        <f>$U11*V11/1000*V$9</f>
        <v>0</v>
      </c>
      <c r="AG11" s="188">
        <f t="shared" ref="AG11:AO19" si="5">$U11*W11/1000*W$9</f>
        <v>0</v>
      </c>
      <c r="AH11" s="188">
        <f t="shared" si="5"/>
        <v>0</v>
      </c>
      <c r="AI11" s="188">
        <f t="shared" si="5"/>
        <v>0</v>
      </c>
      <c r="AJ11" s="188" t="e">
        <f t="shared" si="5"/>
        <v>#REF!</v>
      </c>
      <c r="AK11" s="188" t="e">
        <f t="shared" si="5"/>
        <v>#REF!</v>
      </c>
      <c r="AL11" s="188" t="e">
        <f t="shared" si="5"/>
        <v>#REF!</v>
      </c>
      <c r="AM11" s="188" t="e">
        <f t="shared" si="5"/>
        <v>#REF!</v>
      </c>
      <c r="AN11" s="188" t="e">
        <f t="shared" si="5"/>
        <v>#REF!</v>
      </c>
      <c r="AO11" s="188" t="e">
        <f t="shared" si="5"/>
        <v>#REF!</v>
      </c>
      <c r="AP11" s="170" t="e">
        <f>SUM(AF11:AO11)</f>
        <v>#REF!</v>
      </c>
      <c r="AQ11" s="173" t="e" cm="1">
        <f t="array" ref="AQ11">_xlfn.IFS(AP11=0,"Nihil",AP11&gt;0,"Suppletie",AP11&lt;0,"Restitutie")</f>
        <v>#REF!</v>
      </c>
    </row>
    <row r="12" spans="1:43" x14ac:dyDescent="0.25">
      <c r="A12" s="174" t="str">
        <f>IFERROR(_xlfn.XLOOKUP(D12,Table3[Sub],Table3[Verzekerde]),"-")</f>
        <v>-</v>
      </c>
      <c r="B12" s="164"/>
      <c r="C12" s="164" t="str">
        <f>IFERROR(_xlfn.XLOOKUP(Table4[[#This Row],[Subnummer]],Table3[Sub],Table3[Certificaat]),"-")</f>
        <v>-</v>
      </c>
      <c r="D12" s="177">
        <v>0</v>
      </c>
      <c r="E12" s="180">
        <f>IFERROR(_xlfn.XLOOKUP(Table4[[#This Row],[Subnummer]],Table3[Sub],Table3[Verz. Waarde Oud:]),0)</f>
        <v>0</v>
      </c>
      <c r="F12" s="165">
        <v>0</v>
      </c>
      <c r="G12" s="165">
        <v>0</v>
      </c>
      <c r="H12" s="165">
        <v>0</v>
      </c>
      <c r="I12" s="165">
        <v>0</v>
      </c>
      <c r="J12" s="165">
        <f t="shared" ref="J12:J19" si="6">E12+F12+G12-H12-I12</f>
        <v>0</v>
      </c>
      <c r="K12" s="181">
        <f t="shared" si="0"/>
        <v>0</v>
      </c>
      <c r="L12" s="183">
        <v>44562</v>
      </c>
      <c r="M12" s="166">
        <v>44927</v>
      </c>
      <c r="N12" s="164">
        <f t="shared" si="1"/>
        <v>365</v>
      </c>
      <c r="O12" s="164">
        <v>365</v>
      </c>
      <c r="P12" s="175" t="s">
        <v>104</v>
      </c>
      <c r="Q12" s="186">
        <f t="shared" si="2"/>
        <v>0</v>
      </c>
      <c r="R12" s="165" cm="1">
        <f t="array" ref="R12">_xlfn.IFS($P12="Nee",G12*$N12/$O12,$P12="Ja",G12*0.5)</f>
        <v>0</v>
      </c>
      <c r="S12" s="165" cm="1">
        <f t="array" ref="S12">_xlfn.IFS($P12="Nee",-(H12*$N12/$O12),$P12="Ja",-(H12*0.5))</f>
        <v>0</v>
      </c>
      <c r="T12" s="165">
        <f t="shared" si="3"/>
        <v>0</v>
      </c>
      <c r="U12" s="187">
        <f t="shared" si="4"/>
        <v>0</v>
      </c>
      <c r="V12" s="191">
        <f>IFERROR(_xlfn.XLOOKUP(Table4[[#This Row],[Subnummer]],Table3[Sub],Table3[Promillage 1]),0)</f>
        <v>0</v>
      </c>
      <c r="W12" s="167">
        <f>IFERROR(_xlfn.XLOOKUP(Table4[[#This Row],[Subnummer]],Table3[Sub],Table3[Promillage 2]),0)</f>
        <v>0</v>
      </c>
      <c r="X12" s="167">
        <f>IFERROR(_xlfn.XLOOKUP(Table4[[#This Row],[Subnummer]],Table3[Sub],Table3[Promillage 3]),0)</f>
        <v>0</v>
      </c>
      <c r="Y12" s="167">
        <f>IFERROR(_xlfn.XLOOKUP(Table4[[#This Row],[Subnummer]],Table3[Sub],Table3[Promillage 4]),0)</f>
        <v>0</v>
      </c>
      <c r="Z12" s="167">
        <f>IFERROR(_xlfn.XLOOKUP(Table4[[#This Row],[Subnummer]],Table3[Sub],#REF!),0)</f>
        <v>0</v>
      </c>
      <c r="AA12" s="167">
        <f>IFERROR(_xlfn.XLOOKUP(Table4[[#This Row],[Subnummer]],Table3[Sub],#REF!),0)</f>
        <v>0</v>
      </c>
      <c r="AB12" s="167">
        <f>IFERROR(_xlfn.XLOOKUP(Table4[[#This Row],[Subnummer]],Table3[Sub],#REF!),0)</f>
        <v>0</v>
      </c>
      <c r="AC12" s="167">
        <f>IFERROR(_xlfn.XLOOKUP(Table4[[#This Row],[Subnummer]],Table3[Sub],#REF!),0)</f>
        <v>0</v>
      </c>
      <c r="AD12" s="167">
        <f>IFERROR(_xlfn.XLOOKUP(Table4[[#This Row],[Subnummer]],Table3[Sub],#REF!),0)</f>
        <v>0</v>
      </c>
      <c r="AE12" s="167">
        <f>IFERROR(_xlfn.XLOOKUP(Table4[[#This Row],[Subnummer]],Table3[Sub],#REF!),0)</f>
        <v>0</v>
      </c>
      <c r="AF12" s="189">
        <f>$U12*V12/1000*V$9</f>
        <v>0</v>
      </c>
      <c r="AG12" s="189">
        <f t="shared" si="5"/>
        <v>0</v>
      </c>
      <c r="AH12" s="189">
        <f t="shared" si="5"/>
        <v>0</v>
      </c>
      <c r="AI12" s="189">
        <f t="shared" si="5"/>
        <v>0</v>
      </c>
      <c r="AJ12" s="189" t="e">
        <f t="shared" si="5"/>
        <v>#REF!</v>
      </c>
      <c r="AK12" s="189" t="e">
        <f t="shared" si="5"/>
        <v>#REF!</v>
      </c>
      <c r="AL12" s="189" t="e">
        <f t="shared" si="5"/>
        <v>#REF!</v>
      </c>
      <c r="AM12" s="189" t="e">
        <f t="shared" si="5"/>
        <v>#REF!</v>
      </c>
      <c r="AN12" s="189" t="e">
        <f t="shared" si="5"/>
        <v>#REF!</v>
      </c>
      <c r="AO12" s="189" t="e">
        <f t="shared" si="5"/>
        <v>#REF!</v>
      </c>
      <c r="AP12" s="165" t="e">
        <f t="shared" ref="AP12:AP19" si="7">SUM(AF12:AO12)</f>
        <v>#REF!</v>
      </c>
      <c r="AQ12" s="175" t="e" cm="1">
        <f t="array" ref="AQ12">_xlfn.IFS(AP12=0,"Nihil",AP12&gt;0,"Suppletie",AP12&lt;0,"Restitutie")</f>
        <v>#REF!</v>
      </c>
    </row>
    <row r="13" spans="1:43" x14ac:dyDescent="0.25">
      <c r="A13" s="174" t="str">
        <f>IFERROR(_xlfn.XLOOKUP(D13,Table3[Sub],Table3[Verzekerde]),"-")</f>
        <v>-</v>
      </c>
      <c r="B13" s="164"/>
      <c r="C13" s="164" t="str">
        <f>IFERROR(_xlfn.XLOOKUP(Table4[[#This Row],[Subnummer]],Table3[Sub],Table3[Certificaat]),"-")</f>
        <v>-</v>
      </c>
      <c r="D13" s="177">
        <v>0</v>
      </c>
      <c r="E13" s="180">
        <f>IFERROR(_xlfn.XLOOKUP(Table4[[#This Row],[Subnummer]],Table3[Sub],Table3[Verz. Waarde Oud:]),0)</f>
        <v>0</v>
      </c>
      <c r="F13" s="165">
        <v>0</v>
      </c>
      <c r="G13" s="165">
        <v>0</v>
      </c>
      <c r="H13" s="165">
        <v>0</v>
      </c>
      <c r="I13" s="165">
        <v>0</v>
      </c>
      <c r="J13" s="165">
        <f t="shared" si="6"/>
        <v>0</v>
      </c>
      <c r="K13" s="181">
        <f t="shared" si="0"/>
        <v>0</v>
      </c>
      <c r="L13" s="183">
        <v>44562</v>
      </c>
      <c r="M13" s="166">
        <v>44927</v>
      </c>
      <c r="N13" s="164">
        <f t="shared" si="1"/>
        <v>365</v>
      </c>
      <c r="O13" s="164">
        <v>365</v>
      </c>
      <c r="P13" s="175" t="s">
        <v>104</v>
      </c>
      <c r="Q13" s="186">
        <f t="shared" si="2"/>
        <v>0</v>
      </c>
      <c r="R13" s="165" cm="1">
        <f t="array" ref="R13">_xlfn.IFS($P13="Nee",G13*$N13/$O13,$P13="Ja",G13*0.5)</f>
        <v>0</v>
      </c>
      <c r="S13" s="165" cm="1">
        <f t="array" ref="S13">_xlfn.IFS($P13="Nee",-(H13*$N13/$O13),$P13="Ja",-(H13*0.5))</f>
        <v>0</v>
      </c>
      <c r="T13" s="165">
        <f t="shared" si="3"/>
        <v>0</v>
      </c>
      <c r="U13" s="187">
        <f t="shared" si="4"/>
        <v>0</v>
      </c>
      <c r="V13" s="191">
        <f>IFERROR(_xlfn.XLOOKUP(Table4[[#This Row],[Subnummer]],Table3[Sub],Table3[Promillage 1]),0)</f>
        <v>0</v>
      </c>
      <c r="W13" s="167">
        <f>IFERROR(_xlfn.XLOOKUP(Table4[[#This Row],[Subnummer]],Table3[Sub],Table3[Promillage 2]),0)</f>
        <v>0</v>
      </c>
      <c r="X13" s="167">
        <f>IFERROR(_xlfn.XLOOKUP(Table4[[#This Row],[Subnummer]],Table3[Sub],Table3[Promillage 3]),0)</f>
        <v>0</v>
      </c>
      <c r="Y13" s="167">
        <f>IFERROR(_xlfn.XLOOKUP(Table4[[#This Row],[Subnummer]],Table3[Sub],Table3[Promillage 4]),0)</f>
        <v>0</v>
      </c>
      <c r="Z13" s="167">
        <f>IFERROR(_xlfn.XLOOKUP(Table4[[#This Row],[Subnummer]],Table3[Sub],#REF!),0)</f>
        <v>0</v>
      </c>
      <c r="AA13" s="167">
        <f>IFERROR(_xlfn.XLOOKUP(Table4[[#This Row],[Subnummer]],Table3[Sub],#REF!),0)</f>
        <v>0</v>
      </c>
      <c r="AB13" s="167">
        <f>IFERROR(_xlfn.XLOOKUP(Table4[[#This Row],[Subnummer]],Table3[Sub],#REF!),0)</f>
        <v>0</v>
      </c>
      <c r="AC13" s="167">
        <f>IFERROR(_xlfn.XLOOKUP(Table4[[#This Row],[Subnummer]],Table3[Sub],#REF!),0)</f>
        <v>0</v>
      </c>
      <c r="AD13" s="167">
        <f>IFERROR(_xlfn.XLOOKUP(Table4[[#This Row],[Subnummer]],Table3[Sub],#REF!),0)</f>
        <v>0</v>
      </c>
      <c r="AE13" s="167">
        <f>IFERROR(_xlfn.XLOOKUP(Table4[[#This Row],[Subnummer]],Table3[Sub],#REF!),0)</f>
        <v>0</v>
      </c>
      <c r="AF13" s="189">
        <f t="shared" ref="AF13:AF19" si="8">$U13*V13/1000*V$9</f>
        <v>0</v>
      </c>
      <c r="AG13" s="189">
        <f t="shared" si="5"/>
        <v>0</v>
      </c>
      <c r="AH13" s="189">
        <f t="shared" si="5"/>
        <v>0</v>
      </c>
      <c r="AI13" s="189">
        <f t="shared" si="5"/>
        <v>0</v>
      </c>
      <c r="AJ13" s="189" t="e">
        <f t="shared" si="5"/>
        <v>#REF!</v>
      </c>
      <c r="AK13" s="189" t="e">
        <f t="shared" si="5"/>
        <v>#REF!</v>
      </c>
      <c r="AL13" s="189" t="e">
        <f t="shared" si="5"/>
        <v>#REF!</v>
      </c>
      <c r="AM13" s="189" t="e">
        <f t="shared" si="5"/>
        <v>#REF!</v>
      </c>
      <c r="AN13" s="189" t="e">
        <f t="shared" si="5"/>
        <v>#REF!</v>
      </c>
      <c r="AO13" s="189" t="e">
        <f t="shared" si="5"/>
        <v>#REF!</v>
      </c>
      <c r="AP13" s="165" t="e">
        <f t="shared" si="7"/>
        <v>#REF!</v>
      </c>
      <c r="AQ13" s="175" t="e" cm="1">
        <f t="array" ref="AQ13">_xlfn.IFS(AP13=0,"Nihil",AP13&gt;0,"Suppletie",AP13&lt;0,"Restitutie")</f>
        <v>#REF!</v>
      </c>
    </row>
    <row r="14" spans="1:43" x14ac:dyDescent="0.25">
      <c r="A14" s="174" t="str">
        <f>IFERROR(_xlfn.XLOOKUP(D14,Table3[Sub],Table3[Verzekerde]),"-")</f>
        <v>-</v>
      </c>
      <c r="B14" s="164"/>
      <c r="C14" s="164" t="str">
        <f>IFERROR(_xlfn.XLOOKUP(Table4[[#This Row],[Subnummer]],Table3[Sub],Table3[Certificaat]),"-")</f>
        <v>-</v>
      </c>
      <c r="D14" s="177">
        <v>0</v>
      </c>
      <c r="E14" s="180">
        <f>IFERROR(_xlfn.XLOOKUP(Table4[[#This Row],[Subnummer]],Table3[Sub],Table3[Verz. Waarde Oud:]),0)</f>
        <v>0</v>
      </c>
      <c r="F14" s="165">
        <v>0</v>
      </c>
      <c r="G14" s="165">
        <v>0</v>
      </c>
      <c r="H14" s="165">
        <v>0</v>
      </c>
      <c r="I14" s="165">
        <v>0</v>
      </c>
      <c r="J14" s="165">
        <f t="shared" si="6"/>
        <v>0</v>
      </c>
      <c r="K14" s="181">
        <f t="shared" si="0"/>
        <v>0</v>
      </c>
      <c r="L14" s="183">
        <v>44562</v>
      </c>
      <c r="M14" s="166">
        <v>44927</v>
      </c>
      <c r="N14" s="164">
        <f t="shared" si="1"/>
        <v>365</v>
      </c>
      <c r="O14" s="164">
        <v>365</v>
      </c>
      <c r="P14" s="175" t="s">
        <v>104</v>
      </c>
      <c r="Q14" s="186">
        <f t="shared" si="2"/>
        <v>0</v>
      </c>
      <c r="R14" s="165" cm="1">
        <f t="array" ref="R14">_xlfn.IFS($P14="Nee",G14*$N14/$O14,$P14="Ja",G14*0.5)</f>
        <v>0</v>
      </c>
      <c r="S14" s="165" cm="1">
        <f t="array" ref="S14">_xlfn.IFS($P14="Nee",-(H14*$N14/$O14),$P14="Ja",-(H14*0.5))</f>
        <v>0</v>
      </c>
      <c r="T14" s="165">
        <f>-I14*N14/O14</f>
        <v>0</v>
      </c>
      <c r="U14" s="187">
        <f t="shared" si="4"/>
        <v>0</v>
      </c>
      <c r="V14" s="191">
        <f>IFERROR(_xlfn.XLOOKUP(Table4[[#This Row],[Subnummer]],Table3[Sub],Table3[Promillage 1]),0)</f>
        <v>0</v>
      </c>
      <c r="W14" s="167">
        <f>IFERROR(_xlfn.XLOOKUP(Table4[[#This Row],[Subnummer]],Table3[Sub],Table3[Promillage 2]),0)</f>
        <v>0</v>
      </c>
      <c r="X14" s="167">
        <f>IFERROR(_xlfn.XLOOKUP(Table4[[#This Row],[Subnummer]],Table3[Sub],Table3[Promillage 3]),0)</f>
        <v>0</v>
      </c>
      <c r="Y14" s="167">
        <f>IFERROR(_xlfn.XLOOKUP(Table4[[#This Row],[Subnummer]],Table3[Sub],Table3[Promillage 4]),0)</f>
        <v>0</v>
      </c>
      <c r="Z14" s="167">
        <f>IFERROR(_xlfn.XLOOKUP(Table4[[#This Row],[Subnummer]],Table3[Sub],#REF!),0)</f>
        <v>0</v>
      </c>
      <c r="AA14" s="167">
        <f>IFERROR(_xlfn.XLOOKUP(Table4[[#This Row],[Subnummer]],Table3[Sub],#REF!),0)</f>
        <v>0</v>
      </c>
      <c r="AB14" s="167">
        <f>IFERROR(_xlfn.XLOOKUP(Table4[[#This Row],[Subnummer]],Table3[Sub],#REF!),0)</f>
        <v>0</v>
      </c>
      <c r="AC14" s="167">
        <f>IFERROR(_xlfn.XLOOKUP(Table4[[#This Row],[Subnummer]],Table3[Sub],#REF!),0)</f>
        <v>0</v>
      </c>
      <c r="AD14" s="167">
        <f>IFERROR(_xlfn.XLOOKUP(Table4[[#This Row],[Subnummer]],Table3[Sub],#REF!),0)</f>
        <v>0</v>
      </c>
      <c r="AE14" s="167">
        <f>IFERROR(_xlfn.XLOOKUP(Table4[[#This Row],[Subnummer]],Table3[Sub],#REF!),0)</f>
        <v>0</v>
      </c>
      <c r="AF14" s="189">
        <f t="shared" si="8"/>
        <v>0</v>
      </c>
      <c r="AG14" s="189">
        <f t="shared" si="5"/>
        <v>0</v>
      </c>
      <c r="AH14" s="189">
        <f t="shared" si="5"/>
        <v>0</v>
      </c>
      <c r="AI14" s="189">
        <f t="shared" si="5"/>
        <v>0</v>
      </c>
      <c r="AJ14" s="189" t="e">
        <f t="shared" si="5"/>
        <v>#REF!</v>
      </c>
      <c r="AK14" s="189" t="e">
        <f t="shared" si="5"/>
        <v>#REF!</v>
      </c>
      <c r="AL14" s="189" t="e">
        <f t="shared" si="5"/>
        <v>#REF!</v>
      </c>
      <c r="AM14" s="189" t="e">
        <f t="shared" si="5"/>
        <v>#REF!</v>
      </c>
      <c r="AN14" s="189" t="e">
        <f t="shared" si="5"/>
        <v>#REF!</v>
      </c>
      <c r="AO14" s="189" t="e">
        <f t="shared" si="5"/>
        <v>#REF!</v>
      </c>
      <c r="AP14" s="165" t="e">
        <f t="shared" si="7"/>
        <v>#REF!</v>
      </c>
      <c r="AQ14" s="175" t="e" cm="1">
        <f t="array" ref="AQ14">_xlfn.IFS(AP14=0,"Nihil",AP14&gt;0,"Suppletie",AP14&lt;0,"Restitutie")</f>
        <v>#REF!</v>
      </c>
    </row>
    <row r="15" spans="1:43" x14ac:dyDescent="0.25">
      <c r="A15" s="174" t="str">
        <f>IFERROR(_xlfn.XLOOKUP(D15,Table3[Sub],Table3[Verzekerde]),"-")</f>
        <v>-</v>
      </c>
      <c r="B15" s="164"/>
      <c r="C15" s="164" t="str">
        <f>IFERROR(_xlfn.XLOOKUP(Table4[[#This Row],[Subnummer]],Table3[Sub],Table3[Certificaat]),"-")</f>
        <v>-</v>
      </c>
      <c r="D15" s="177">
        <v>0</v>
      </c>
      <c r="E15" s="180">
        <f>IFERROR(_xlfn.XLOOKUP(Table4[[#This Row],[Subnummer]],Table3[Sub],Table3[Verz. Waarde Oud:]),0)</f>
        <v>0</v>
      </c>
      <c r="F15" s="165">
        <v>0</v>
      </c>
      <c r="G15" s="165">
        <v>0</v>
      </c>
      <c r="H15" s="165">
        <v>0</v>
      </c>
      <c r="I15" s="165">
        <v>0</v>
      </c>
      <c r="J15" s="165">
        <f t="shared" si="6"/>
        <v>0</v>
      </c>
      <c r="K15" s="181">
        <f t="shared" si="0"/>
        <v>0</v>
      </c>
      <c r="L15" s="183">
        <v>44562</v>
      </c>
      <c r="M15" s="166">
        <v>44927</v>
      </c>
      <c r="N15" s="164">
        <f t="shared" si="1"/>
        <v>365</v>
      </c>
      <c r="O15" s="164">
        <v>365</v>
      </c>
      <c r="P15" s="175" t="s">
        <v>104</v>
      </c>
      <c r="Q15" s="186">
        <f t="shared" si="2"/>
        <v>0</v>
      </c>
      <c r="R15" s="165" cm="1">
        <f t="array" ref="R15">_xlfn.IFS($P15="Nee",G15*$N15/$O15,$P15="Ja",G15*0.5)</f>
        <v>0</v>
      </c>
      <c r="S15" s="165" cm="1">
        <f t="array" ref="S15">_xlfn.IFS($P15="Nee",-(H15*$N15/$O15),$P15="Ja",-(H15*0.5))</f>
        <v>0</v>
      </c>
      <c r="T15" s="165">
        <f t="shared" si="3"/>
        <v>0</v>
      </c>
      <c r="U15" s="187">
        <f t="shared" si="4"/>
        <v>0</v>
      </c>
      <c r="V15" s="191">
        <f>IFERROR(_xlfn.XLOOKUP(Table4[[#This Row],[Subnummer]],Table3[Sub],Table3[Promillage 1]),0)</f>
        <v>0</v>
      </c>
      <c r="W15" s="167">
        <f>IFERROR(_xlfn.XLOOKUP(Table4[[#This Row],[Subnummer]],Table3[Sub],Table3[Promillage 2]),0)</f>
        <v>0</v>
      </c>
      <c r="X15" s="167">
        <f>IFERROR(_xlfn.XLOOKUP(Table4[[#This Row],[Subnummer]],Table3[Sub],Table3[Promillage 3]),0)</f>
        <v>0</v>
      </c>
      <c r="Y15" s="167">
        <f>IFERROR(_xlfn.XLOOKUP(Table4[[#This Row],[Subnummer]],Table3[Sub],Table3[Promillage 4]),0)</f>
        <v>0</v>
      </c>
      <c r="Z15" s="167">
        <f>IFERROR(_xlfn.XLOOKUP(Table4[[#This Row],[Subnummer]],Table3[Sub],#REF!),0)</f>
        <v>0</v>
      </c>
      <c r="AA15" s="167">
        <f>IFERROR(_xlfn.XLOOKUP(Table4[[#This Row],[Subnummer]],Table3[Sub],#REF!),0)</f>
        <v>0</v>
      </c>
      <c r="AB15" s="167">
        <f>IFERROR(_xlfn.XLOOKUP(Table4[[#This Row],[Subnummer]],Table3[Sub],#REF!),0)</f>
        <v>0</v>
      </c>
      <c r="AC15" s="167">
        <f>IFERROR(_xlfn.XLOOKUP(Table4[[#This Row],[Subnummer]],Table3[Sub],#REF!),0)</f>
        <v>0</v>
      </c>
      <c r="AD15" s="167">
        <f>IFERROR(_xlfn.XLOOKUP(Table4[[#This Row],[Subnummer]],Table3[Sub],#REF!),0)</f>
        <v>0</v>
      </c>
      <c r="AE15" s="167">
        <f>IFERROR(_xlfn.XLOOKUP(Table4[[#This Row],[Subnummer]],Table3[Sub],#REF!),0)</f>
        <v>0</v>
      </c>
      <c r="AF15" s="189">
        <f t="shared" si="8"/>
        <v>0</v>
      </c>
      <c r="AG15" s="189">
        <f t="shared" si="5"/>
        <v>0</v>
      </c>
      <c r="AH15" s="189">
        <f t="shared" si="5"/>
        <v>0</v>
      </c>
      <c r="AI15" s="189">
        <f t="shared" si="5"/>
        <v>0</v>
      </c>
      <c r="AJ15" s="189" t="e">
        <f t="shared" si="5"/>
        <v>#REF!</v>
      </c>
      <c r="AK15" s="189" t="e">
        <f t="shared" si="5"/>
        <v>#REF!</v>
      </c>
      <c r="AL15" s="189" t="e">
        <f t="shared" si="5"/>
        <v>#REF!</v>
      </c>
      <c r="AM15" s="189" t="e">
        <f t="shared" si="5"/>
        <v>#REF!</v>
      </c>
      <c r="AN15" s="189" t="e">
        <f t="shared" si="5"/>
        <v>#REF!</v>
      </c>
      <c r="AO15" s="189" t="e">
        <f t="shared" si="5"/>
        <v>#REF!</v>
      </c>
      <c r="AP15" s="165" t="e">
        <f t="shared" si="7"/>
        <v>#REF!</v>
      </c>
      <c r="AQ15" s="175" t="e" cm="1">
        <f t="array" ref="AQ15">_xlfn.IFS(AP15=0,"Nihil",AP15&gt;0,"Suppletie",AP15&lt;0,"Restitutie")</f>
        <v>#REF!</v>
      </c>
    </row>
    <row r="16" spans="1:43" x14ac:dyDescent="0.25">
      <c r="A16" s="174" t="str">
        <f>IFERROR(_xlfn.XLOOKUP(D16,Table3[Sub],Table3[Verzekerde]),"-")</f>
        <v>-</v>
      </c>
      <c r="B16" s="164"/>
      <c r="C16" s="164" t="str">
        <f>IFERROR(_xlfn.XLOOKUP(Table4[[#This Row],[Subnummer]],Table3[Sub],Table3[Certificaat]),"-")</f>
        <v>-</v>
      </c>
      <c r="D16" s="177">
        <v>0</v>
      </c>
      <c r="E16" s="180">
        <f>IFERROR(_xlfn.XLOOKUP(Table4[[#This Row],[Subnummer]],Table3[Sub],Table3[Verz. Waarde Oud:]),0)</f>
        <v>0</v>
      </c>
      <c r="F16" s="165">
        <v>0</v>
      </c>
      <c r="G16" s="165">
        <v>0</v>
      </c>
      <c r="H16" s="165">
        <v>0</v>
      </c>
      <c r="I16" s="165">
        <v>0</v>
      </c>
      <c r="J16" s="165">
        <f>E16+F16+G16-H16-I16</f>
        <v>0</v>
      </c>
      <c r="K16" s="181">
        <f>J16-E16</f>
        <v>0</v>
      </c>
      <c r="L16" s="183">
        <v>44562</v>
      </c>
      <c r="M16" s="166">
        <v>44927</v>
      </c>
      <c r="N16" s="164">
        <f t="shared" ref="N16" si="9">M16-L16</f>
        <v>365</v>
      </c>
      <c r="O16" s="164">
        <v>365</v>
      </c>
      <c r="P16" s="175" t="s">
        <v>104</v>
      </c>
      <c r="Q16" s="186">
        <f>F16*N16/O16</f>
        <v>0</v>
      </c>
      <c r="R16" s="165" cm="1">
        <f t="array" ref="R16">_xlfn.IFS($P16="Nee",G16*$N16/$O16,$P16="Ja",G16*0.5)</f>
        <v>0</v>
      </c>
      <c r="S16" s="165" cm="1">
        <f t="array" ref="S16">_xlfn.IFS($P16="Nee",-(H16*$N16/$O16),$P16="Ja",-(H16*0.5))</f>
        <v>0</v>
      </c>
      <c r="T16" s="165">
        <f>-I16*N16/O16</f>
        <v>0</v>
      </c>
      <c r="U16" s="187">
        <f>SUM(Q16:T16)</f>
        <v>0</v>
      </c>
      <c r="V16" s="191">
        <f>IFERROR(_xlfn.XLOOKUP(Table4[[#This Row],[Subnummer]],Table3[Sub],Table3[Promillage 1]),0)</f>
        <v>0</v>
      </c>
      <c r="W16" s="167">
        <f>IFERROR(_xlfn.XLOOKUP(Table4[[#This Row],[Subnummer]],Table3[Sub],Table3[Promillage 2]),0)</f>
        <v>0</v>
      </c>
      <c r="X16" s="167">
        <f>IFERROR(_xlfn.XLOOKUP(Table4[[#This Row],[Subnummer]],Table3[Sub],Table3[Promillage 3]),0)</f>
        <v>0</v>
      </c>
      <c r="Y16" s="167">
        <f>IFERROR(_xlfn.XLOOKUP(Table4[[#This Row],[Subnummer]],Table3[Sub],Table3[Promillage 4]),0)</f>
        <v>0</v>
      </c>
      <c r="Z16" s="167">
        <f>IFERROR(_xlfn.XLOOKUP(Table4[[#This Row],[Subnummer]],Table3[Sub],#REF!),0)</f>
        <v>0</v>
      </c>
      <c r="AA16" s="167">
        <f>IFERROR(_xlfn.XLOOKUP(Table4[[#This Row],[Subnummer]],Table3[Sub],#REF!),0)</f>
        <v>0</v>
      </c>
      <c r="AB16" s="167">
        <f>IFERROR(_xlfn.XLOOKUP(Table4[[#This Row],[Subnummer]],Table3[Sub],#REF!),0)</f>
        <v>0</v>
      </c>
      <c r="AC16" s="167">
        <f>IFERROR(_xlfn.XLOOKUP(Table4[[#This Row],[Subnummer]],Table3[Sub],#REF!),0)</f>
        <v>0</v>
      </c>
      <c r="AD16" s="167">
        <f>IFERROR(_xlfn.XLOOKUP(Table4[[#This Row],[Subnummer]],Table3[Sub],#REF!),0)</f>
        <v>0</v>
      </c>
      <c r="AE16" s="167">
        <f>IFERROR(_xlfn.XLOOKUP(Table4[[#This Row],[Subnummer]],Table3[Sub],#REF!),0)</f>
        <v>0</v>
      </c>
      <c r="AF16" s="189">
        <f>$U16*V16/1000*V$9</f>
        <v>0</v>
      </c>
      <c r="AG16" s="189">
        <f t="shared" si="5"/>
        <v>0</v>
      </c>
      <c r="AH16" s="189">
        <f t="shared" si="5"/>
        <v>0</v>
      </c>
      <c r="AI16" s="189">
        <f t="shared" si="5"/>
        <v>0</v>
      </c>
      <c r="AJ16" s="189" t="e">
        <f t="shared" si="5"/>
        <v>#REF!</v>
      </c>
      <c r="AK16" s="189" t="e">
        <f t="shared" si="5"/>
        <v>#REF!</v>
      </c>
      <c r="AL16" s="189" t="e">
        <f t="shared" si="5"/>
        <v>#REF!</v>
      </c>
      <c r="AM16" s="189" t="e">
        <f t="shared" si="5"/>
        <v>#REF!</v>
      </c>
      <c r="AN16" s="189" t="e">
        <f t="shared" si="5"/>
        <v>#REF!</v>
      </c>
      <c r="AO16" s="189" t="e">
        <f t="shared" si="5"/>
        <v>#REF!</v>
      </c>
      <c r="AP16" s="165" t="e">
        <f t="shared" si="7"/>
        <v>#REF!</v>
      </c>
      <c r="AQ16" s="175" t="e" cm="1">
        <f t="array" ref="AQ16">_xlfn.IFS(AP16=0,"Nihil",AP16&gt;0,"Suppletie",AP16&lt;0,"Restitutie")</f>
        <v>#REF!</v>
      </c>
    </row>
    <row r="17" spans="1:43" x14ac:dyDescent="0.25">
      <c r="A17" s="174" t="str">
        <f>IFERROR(_xlfn.XLOOKUP(D17,Table3[Sub],Table3[Verzekerde]),"-")</f>
        <v>-</v>
      </c>
      <c r="B17" s="164"/>
      <c r="C17" s="164" t="str">
        <f>IFERROR(_xlfn.XLOOKUP(Table4[[#This Row],[Subnummer]],Table3[Sub],Table3[Certificaat]),"-")</f>
        <v>-</v>
      </c>
      <c r="D17" s="177">
        <v>0</v>
      </c>
      <c r="E17" s="180">
        <f>IFERROR(_xlfn.XLOOKUP(Table4[[#This Row],[Subnummer]],Table3[Sub],Table3[Verz. Waarde Oud:]),0)</f>
        <v>0</v>
      </c>
      <c r="F17" s="165">
        <v>0</v>
      </c>
      <c r="G17" s="165">
        <v>0</v>
      </c>
      <c r="H17" s="165">
        <v>0</v>
      </c>
      <c r="I17" s="165">
        <v>0</v>
      </c>
      <c r="J17" s="165">
        <f t="shared" si="6"/>
        <v>0</v>
      </c>
      <c r="K17" s="181">
        <f t="shared" si="0"/>
        <v>0</v>
      </c>
      <c r="L17" s="183">
        <v>44562</v>
      </c>
      <c r="M17" s="166">
        <v>44927</v>
      </c>
      <c r="N17" s="164">
        <f t="shared" si="1"/>
        <v>365</v>
      </c>
      <c r="O17" s="164">
        <v>365</v>
      </c>
      <c r="P17" s="175" t="s">
        <v>104</v>
      </c>
      <c r="Q17" s="186">
        <f t="shared" si="2"/>
        <v>0</v>
      </c>
      <c r="R17" s="165" cm="1">
        <f t="array" ref="R17">_xlfn.IFS($P17="Nee",G17*$N17/$O17,$P17="Ja",G17*0.5)</f>
        <v>0</v>
      </c>
      <c r="S17" s="165" cm="1">
        <f t="array" ref="S17">_xlfn.IFS($P17="Nee",-(H17*$N17/$O17),$P17="Ja",-(H17*0.5))</f>
        <v>0</v>
      </c>
      <c r="T17" s="165">
        <f t="shared" si="3"/>
        <v>0</v>
      </c>
      <c r="U17" s="187">
        <f t="shared" si="4"/>
        <v>0</v>
      </c>
      <c r="V17" s="191">
        <f>IFERROR(_xlfn.XLOOKUP(Table4[[#This Row],[Subnummer]],Table3[Sub],Table3[Promillage 1]),0)</f>
        <v>0</v>
      </c>
      <c r="W17" s="167">
        <f>IFERROR(_xlfn.XLOOKUP(Table4[[#This Row],[Subnummer]],Table3[Sub],Table3[Promillage 2]),0)</f>
        <v>0</v>
      </c>
      <c r="X17" s="167">
        <f>IFERROR(_xlfn.XLOOKUP(Table4[[#This Row],[Subnummer]],Table3[Sub],Table3[Promillage 3]),0)</f>
        <v>0</v>
      </c>
      <c r="Y17" s="167">
        <f>IFERROR(_xlfn.XLOOKUP(Table4[[#This Row],[Subnummer]],Table3[Sub],Table3[Promillage 4]),0)</f>
        <v>0</v>
      </c>
      <c r="Z17" s="167">
        <f>IFERROR(_xlfn.XLOOKUP(Table4[[#This Row],[Subnummer]],Table3[Sub],#REF!),0)</f>
        <v>0</v>
      </c>
      <c r="AA17" s="167">
        <f>IFERROR(_xlfn.XLOOKUP(Table4[[#This Row],[Subnummer]],Table3[Sub],#REF!),0)</f>
        <v>0</v>
      </c>
      <c r="AB17" s="167">
        <f>IFERROR(_xlfn.XLOOKUP(Table4[[#This Row],[Subnummer]],Table3[Sub],#REF!),0)</f>
        <v>0</v>
      </c>
      <c r="AC17" s="167">
        <f>IFERROR(_xlfn.XLOOKUP(Table4[[#This Row],[Subnummer]],Table3[Sub],#REF!),0)</f>
        <v>0</v>
      </c>
      <c r="AD17" s="167">
        <f>IFERROR(_xlfn.XLOOKUP(Table4[[#This Row],[Subnummer]],Table3[Sub],#REF!),0)</f>
        <v>0</v>
      </c>
      <c r="AE17" s="167">
        <f>IFERROR(_xlfn.XLOOKUP(Table4[[#This Row],[Subnummer]],Table3[Sub],#REF!),0)</f>
        <v>0</v>
      </c>
      <c r="AF17" s="189">
        <f t="shared" si="8"/>
        <v>0</v>
      </c>
      <c r="AG17" s="189">
        <f t="shared" si="5"/>
        <v>0</v>
      </c>
      <c r="AH17" s="189">
        <f t="shared" si="5"/>
        <v>0</v>
      </c>
      <c r="AI17" s="189">
        <f t="shared" si="5"/>
        <v>0</v>
      </c>
      <c r="AJ17" s="189" t="e">
        <f t="shared" si="5"/>
        <v>#REF!</v>
      </c>
      <c r="AK17" s="189" t="e">
        <f t="shared" si="5"/>
        <v>#REF!</v>
      </c>
      <c r="AL17" s="189" t="e">
        <f t="shared" si="5"/>
        <v>#REF!</v>
      </c>
      <c r="AM17" s="189" t="e">
        <f t="shared" si="5"/>
        <v>#REF!</v>
      </c>
      <c r="AN17" s="189" t="e">
        <f t="shared" si="5"/>
        <v>#REF!</v>
      </c>
      <c r="AO17" s="189" t="e">
        <f t="shared" si="5"/>
        <v>#REF!</v>
      </c>
      <c r="AP17" s="165" t="e">
        <f t="shared" si="7"/>
        <v>#REF!</v>
      </c>
      <c r="AQ17" s="175" t="e" cm="1">
        <f t="array" ref="AQ17">_xlfn.IFS(AP17=0,"Nihil",AP17&gt;0,"Suppletie",AP17&lt;0,"Restitutie")</f>
        <v>#REF!</v>
      </c>
    </row>
    <row r="18" spans="1:43" x14ac:dyDescent="0.25">
      <c r="A18" s="174" t="str">
        <f>IFERROR(_xlfn.XLOOKUP(D18,Table3[Sub],Table3[Verzekerde]),"-")</f>
        <v>-</v>
      </c>
      <c r="B18" s="164"/>
      <c r="C18" s="164" t="str">
        <f>IFERROR(_xlfn.XLOOKUP(Table4[[#This Row],[Subnummer]],Table3[Sub],Table3[Certificaat]),"-")</f>
        <v>-</v>
      </c>
      <c r="D18" s="177">
        <v>0</v>
      </c>
      <c r="E18" s="180">
        <f>IFERROR(_xlfn.XLOOKUP(Table4[[#This Row],[Subnummer]],Table3[Sub],Table3[Verz. Waarde Oud:]),0)</f>
        <v>0</v>
      </c>
      <c r="F18" s="165">
        <v>0</v>
      </c>
      <c r="G18" s="165">
        <v>0</v>
      </c>
      <c r="H18" s="165">
        <v>0</v>
      </c>
      <c r="I18" s="165">
        <v>0</v>
      </c>
      <c r="J18" s="165">
        <f t="shared" si="6"/>
        <v>0</v>
      </c>
      <c r="K18" s="181">
        <f t="shared" si="0"/>
        <v>0</v>
      </c>
      <c r="L18" s="183">
        <v>44562</v>
      </c>
      <c r="M18" s="166">
        <v>44927</v>
      </c>
      <c r="N18" s="164">
        <f t="shared" si="1"/>
        <v>365</v>
      </c>
      <c r="O18" s="164">
        <v>365</v>
      </c>
      <c r="P18" s="175" t="s">
        <v>104</v>
      </c>
      <c r="Q18" s="186">
        <f t="shared" si="2"/>
        <v>0</v>
      </c>
      <c r="R18" s="165" cm="1">
        <f t="array" ref="R18">_xlfn.IFS($P18="Nee",G18*$N18/$O18,$P18="Ja",G18*0.5)</f>
        <v>0</v>
      </c>
      <c r="S18" s="165" cm="1">
        <f t="array" ref="S18">_xlfn.IFS($P18="Nee",-(H18*$N18/$O18),$P18="Ja",-(H18*0.5))</f>
        <v>0</v>
      </c>
      <c r="T18" s="165">
        <f t="shared" si="3"/>
        <v>0</v>
      </c>
      <c r="U18" s="187">
        <f t="shared" si="4"/>
        <v>0</v>
      </c>
      <c r="V18" s="191">
        <f>IFERROR(_xlfn.XLOOKUP(Table4[[#This Row],[Subnummer]],Table3[Sub],Table3[Promillage 1]),0)</f>
        <v>0</v>
      </c>
      <c r="W18" s="167">
        <f>IFERROR(_xlfn.XLOOKUP(Table4[[#This Row],[Subnummer]],Table3[Sub],Table3[Promillage 2]),0)</f>
        <v>0</v>
      </c>
      <c r="X18" s="167">
        <f>IFERROR(_xlfn.XLOOKUP(Table4[[#This Row],[Subnummer]],Table3[Sub],Table3[Promillage 3]),0)</f>
        <v>0</v>
      </c>
      <c r="Y18" s="167">
        <f>IFERROR(_xlfn.XLOOKUP(Table4[[#This Row],[Subnummer]],Table3[Sub],Table3[Promillage 4]),0)</f>
        <v>0</v>
      </c>
      <c r="Z18" s="167">
        <f>IFERROR(_xlfn.XLOOKUP(Table4[[#This Row],[Subnummer]],Table3[Sub],#REF!),0)</f>
        <v>0</v>
      </c>
      <c r="AA18" s="167">
        <f>IFERROR(_xlfn.XLOOKUP(Table4[[#This Row],[Subnummer]],Table3[Sub],#REF!),0)</f>
        <v>0</v>
      </c>
      <c r="AB18" s="167">
        <f>IFERROR(_xlfn.XLOOKUP(Table4[[#This Row],[Subnummer]],Table3[Sub],#REF!),0)</f>
        <v>0</v>
      </c>
      <c r="AC18" s="167">
        <f>IFERROR(_xlfn.XLOOKUP(Table4[[#This Row],[Subnummer]],Table3[Sub],#REF!),0)</f>
        <v>0</v>
      </c>
      <c r="AD18" s="167">
        <f>IFERROR(_xlfn.XLOOKUP(Table4[[#This Row],[Subnummer]],Table3[Sub],#REF!),0)</f>
        <v>0</v>
      </c>
      <c r="AE18" s="167">
        <f>IFERROR(_xlfn.XLOOKUP(Table4[[#This Row],[Subnummer]],Table3[Sub],#REF!),0)</f>
        <v>0</v>
      </c>
      <c r="AF18" s="189">
        <f t="shared" si="8"/>
        <v>0</v>
      </c>
      <c r="AG18" s="189">
        <f t="shared" si="5"/>
        <v>0</v>
      </c>
      <c r="AH18" s="189">
        <f t="shared" si="5"/>
        <v>0</v>
      </c>
      <c r="AI18" s="189">
        <f t="shared" si="5"/>
        <v>0</v>
      </c>
      <c r="AJ18" s="189" t="e">
        <f t="shared" si="5"/>
        <v>#REF!</v>
      </c>
      <c r="AK18" s="189" t="e">
        <f t="shared" si="5"/>
        <v>#REF!</v>
      </c>
      <c r="AL18" s="189" t="e">
        <f t="shared" si="5"/>
        <v>#REF!</v>
      </c>
      <c r="AM18" s="189" t="e">
        <f t="shared" si="5"/>
        <v>#REF!</v>
      </c>
      <c r="AN18" s="189" t="e">
        <f t="shared" si="5"/>
        <v>#REF!</v>
      </c>
      <c r="AO18" s="189" t="e">
        <f t="shared" si="5"/>
        <v>#REF!</v>
      </c>
      <c r="AP18" s="165" t="e">
        <f t="shared" si="7"/>
        <v>#REF!</v>
      </c>
      <c r="AQ18" s="175" t="e" cm="1">
        <f t="array" ref="AQ18">_xlfn.IFS(AP18=0,"Nihil",AP18&gt;0,"Suppletie",AP18&lt;0,"Restitutie")</f>
        <v>#REF!</v>
      </c>
    </row>
    <row r="19" spans="1:43" x14ac:dyDescent="0.25">
      <c r="A19" s="174" t="str">
        <f>IFERROR(_xlfn.XLOOKUP(D19,Table3[Sub],Table3[Verzekerde]),"-")</f>
        <v>-</v>
      </c>
      <c r="B19" s="164"/>
      <c r="C19" s="164" t="str">
        <f>IFERROR(_xlfn.XLOOKUP(Table4[[#This Row],[Subnummer]],Table3[Sub],Table3[Certificaat]),"-")</f>
        <v>-</v>
      </c>
      <c r="D19" s="177">
        <v>0</v>
      </c>
      <c r="E19" s="180">
        <f>IFERROR(_xlfn.XLOOKUP(Table4[[#This Row],[Subnummer]],Table3[Sub],Table3[Verz. Waarde Oud:]),0)</f>
        <v>0</v>
      </c>
      <c r="F19" s="165">
        <v>0</v>
      </c>
      <c r="G19" s="165">
        <v>0</v>
      </c>
      <c r="H19" s="165">
        <v>0</v>
      </c>
      <c r="I19" s="165">
        <v>0</v>
      </c>
      <c r="J19" s="165">
        <f t="shared" si="6"/>
        <v>0</v>
      </c>
      <c r="K19" s="181">
        <f t="shared" si="0"/>
        <v>0</v>
      </c>
      <c r="L19" s="183">
        <v>44562</v>
      </c>
      <c r="M19" s="166">
        <v>44927</v>
      </c>
      <c r="N19" s="164">
        <f t="shared" si="1"/>
        <v>365</v>
      </c>
      <c r="O19" s="164">
        <v>365</v>
      </c>
      <c r="P19" s="175" t="s">
        <v>104</v>
      </c>
      <c r="Q19" s="186">
        <f t="shared" si="2"/>
        <v>0</v>
      </c>
      <c r="R19" s="165" cm="1">
        <f t="array" ref="R19">_xlfn.IFS($P19="Nee",G19*$N19/$O19,$P19="Ja",G19*0.5)</f>
        <v>0</v>
      </c>
      <c r="S19" s="165" cm="1">
        <f t="array" ref="S19">_xlfn.IFS($P19="Nee",-(H19*$N19/$O19),$P19="Ja",-(H19*0.5))</f>
        <v>0</v>
      </c>
      <c r="T19" s="165">
        <f t="shared" si="3"/>
        <v>0</v>
      </c>
      <c r="U19" s="187">
        <f t="shared" si="4"/>
        <v>0</v>
      </c>
      <c r="V19" s="191">
        <f>IFERROR(_xlfn.XLOOKUP(Table4[[#This Row],[Subnummer]],Table3[Sub],Table3[Promillage 1]),0)</f>
        <v>0</v>
      </c>
      <c r="W19" s="167">
        <f>IFERROR(_xlfn.XLOOKUP(Table4[[#This Row],[Subnummer]],Table3[Sub],Table3[Promillage 2]),0)</f>
        <v>0</v>
      </c>
      <c r="X19" s="167">
        <f>IFERROR(_xlfn.XLOOKUP(Table4[[#This Row],[Subnummer]],Table3[Sub],Table3[Promillage 3]),0)</f>
        <v>0</v>
      </c>
      <c r="Y19" s="167">
        <f>IFERROR(_xlfn.XLOOKUP(Table4[[#This Row],[Subnummer]],Table3[Sub],Table3[Promillage 4]),0)</f>
        <v>0</v>
      </c>
      <c r="Z19" s="167">
        <f>IFERROR(_xlfn.XLOOKUP(Table4[[#This Row],[Subnummer]],Table3[Sub],#REF!),0)</f>
        <v>0</v>
      </c>
      <c r="AA19" s="167">
        <f>IFERROR(_xlfn.XLOOKUP(Table4[[#This Row],[Subnummer]],Table3[Sub],#REF!),0)</f>
        <v>0</v>
      </c>
      <c r="AB19" s="167">
        <f>IFERROR(_xlfn.XLOOKUP(Table4[[#This Row],[Subnummer]],Table3[Sub],#REF!),0)</f>
        <v>0</v>
      </c>
      <c r="AC19" s="167">
        <f>IFERROR(_xlfn.XLOOKUP(Table4[[#This Row],[Subnummer]],Table3[Sub],#REF!),0)</f>
        <v>0</v>
      </c>
      <c r="AD19" s="167">
        <f>IFERROR(_xlfn.XLOOKUP(Table4[[#This Row],[Subnummer]],Table3[Sub],#REF!),0)</f>
        <v>0</v>
      </c>
      <c r="AE19" s="167">
        <f>IFERROR(_xlfn.XLOOKUP(Table4[[#This Row],[Subnummer]],Table3[Sub],#REF!),0)</f>
        <v>0</v>
      </c>
      <c r="AF19" s="189">
        <f t="shared" si="8"/>
        <v>0</v>
      </c>
      <c r="AG19" s="189">
        <f t="shared" si="5"/>
        <v>0</v>
      </c>
      <c r="AH19" s="189">
        <f t="shared" si="5"/>
        <v>0</v>
      </c>
      <c r="AI19" s="189">
        <f t="shared" si="5"/>
        <v>0</v>
      </c>
      <c r="AJ19" s="189" t="e">
        <f t="shared" si="5"/>
        <v>#REF!</v>
      </c>
      <c r="AK19" s="189" t="e">
        <f t="shared" si="5"/>
        <v>#REF!</v>
      </c>
      <c r="AL19" s="189" t="e">
        <f t="shared" si="5"/>
        <v>#REF!</v>
      </c>
      <c r="AM19" s="189" t="e">
        <f t="shared" si="5"/>
        <v>#REF!</v>
      </c>
      <c r="AN19" s="189" t="e">
        <f t="shared" si="5"/>
        <v>#REF!</v>
      </c>
      <c r="AO19" s="189" t="e">
        <f t="shared" si="5"/>
        <v>#REF!</v>
      </c>
      <c r="AP19" s="165" t="e">
        <f t="shared" si="7"/>
        <v>#REF!</v>
      </c>
      <c r="AQ19" s="175" t="e" cm="1">
        <f t="array" ref="AQ19">_xlfn.IFS(AP19=0,"Nihil",AP19&gt;0,"Suppletie",AP19&lt;0,"Restitutie")</f>
        <v>#REF!</v>
      </c>
    </row>
    <row r="20" spans="1:43" x14ac:dyDescent="0.25">
      <c r="A20" s="174" t="str">
        <f>IFERROR(_xlfn.XLOOKUP(D20,Table3[Sub],Table3[Verzekerde]),"-")</f>
        <v>-</v>
      </c>
      <c r="B20" s="164"/>
      <c r="C20" s="164" t="str">
        <f>IFERROR(_xlfn.XLOOKUP(Table4[[#This Row],[Subnummer]],Table3[Sub],Table3[Certificaat]),"-")</f>
        <v>-</v>
      </c>
      <c r="D20" s="177">
        <v>0</v>
      </c>
      <c r="E20" s="180">
        <f>IFERROR(_xlfn.XLOOKUP(Table4[[#This Row],[Subnummer]],Table3[Sub],Table3[Verz. Waarde Oud:]),0)</f>
        <v>0</v>
      </c>
      <c r="F20" s="165">
        <v>0</v>
      </c>
      <c r="G20" s="165">
        <v>0</v>
      </c>
      <c r="H20" s="165">
        <v>0</v>
      </c>
      <c r="I20" s="165">
        <v>0</v>
      </c>
      <c r="J20" s="165">
        <f t="shared" ref="J20:J83" si="10">E20+F20+G20-H20-I20</f>
        <v>0</v>
      </c>
      <c r="K20" s="181">
        <f t="shared" ref="K20:K83" si="11">J20-E20</f>
        <v>0</v>
      </c>
      <c r="L20" s="183">
        <v>44562</v>
      </c>
      <c r="M20" s="166">
        <v>44927</v>
      </c>
      <c r="N20" s="164">
        <f t="shared" ref="N20:N83" si="12">M20-L20</f>
        <v>365</v>
      </c>
      <c r="O20" s="164">
        <v>365</v>
      </c>
      <c r="P20" s="175" t="s">
        <v>104</v>
      </c>
      <c r="Q20" s="186">
        <f t="shared" ref="Q20:Q83" si="13">F20*N20/O20</f>
        <v>0</v>
      </c>
      <c r="R20" s="165" cm="1">
        <f t="array" ref="R20">_xlfn.IFS($P20="Nee",G20*$N20/$O20,$P20="Ja",G20*0.5)</f>
        <v>0</v>
      </c>
      <c r="S20" s="165" cm="1">
        <f t="array" ref="S20">_xlfn.IFS($P20="Nee",-(H20*$N20/$O20),$P20="Ja",-(H20*0.5))</f>
        <v>0</v>
      </c>
      <c r="T20" s="165">
        <f t="shared" ref="T20:T83" si="14">-I20*N20/O20</f>
        <v>0</v>
      </c>
      <c r="U20" s="187">
        <f t="shared" ref="U20:U83" si="15">SUM(Q20:T20)</f>
        <v>0</v>
      </c>
      <c r="V20" s="191">
        <f>IFERROR(_xlfn.XLOOKUP(Table4[[#This Row],[Subnummer]],Table3[Sub],Table3[Promillage 1]),0)</f>
        <v>0</v>
      </c>
      <c r="W20" s="167">
        <f>IFERROR(_xlfn.XLOOKUP(Table4[[#This Row],[Subnummer]],Table3[Sub],Table3[Promillage 2]),0)</f>
        <v>0</v>
      </c>
      <c r="X20" s="167">
        <f>IFERROR(_xlfn.XLOOKUP(Table4[[#This Row],[Subnummer]],Table3[Sub],Table3[Promillage 3]),0)</f>
        <v>0</v>
      </c>
      <c r="Y20" s="167">
        <f>IFERROR(_xlfn.XLOOKUP(Table4[[#This Row],[Subnummer]],Table3[Sub],Table3[Promillage 4]),0)</f>
        <v>0</v>
      </c>
      <c r="Z20" s="167">
        <f>IFERROR(_xlfn.XLOOKUP(Table4[[#This Row],[Subnummer]],Table3[Sub],#REF!),0)</f>
        <v>0</v>
      </c>
      <c r="AA20" s="167">
        <f>IFERROR(_xlfn.XLOOKUP(Table4[[#This Row],[Subnummer]],Table3[Sub],#REF!),0)</f>
        <v>0</v>
      </c>
      <c r="AB20" s="167">
        <f>IFERROR(_xlfn.XLOOKUP(Table4[[#This Row],[Subnummer]],Table3[Sub],#REF!),0)</f>
        <v>0</v>
      </c>
      <c r="AC20" s="167">
        <f>IFERROR(_xlfn.XLOOKUP(Table4[[#This Row],[Subnummer]],Table3[Sub],#REF!),0)</f>
        <v>0</v>
      </c>
      <c r="AD20" s="167">
        <f>IFERROR(_xlfn.XLOOKUP(Table4[[#This Row],[Subnummer]],Table3[Sub],#REF!),0)</f>
        <v>0</v>
      </c>
      <c r="AE20" s="167">
        <f>IFERROR(_xlfn.XLOOKUP(Table4[[#This Row],[Subnummer]],Table3[Sub],#REF!),0)</f>
        <v>0</v>
      </c>
      <c r="AF20" s="189">
        <f t="shared" ref="AF20:AF83" si="16">$U20*V20/1000*V$9</f>
        <v>0</v>
      </c>
      <c r="AG20" s="189">
        <f t="shared" ref="AG20:AG83" si="17">$U20*W20/1000*W$9</f>
        <v>0</v>
      </c>
      <c r="AH20" s="189">
        <f t="shared" ref="AH20:AH83" si="18">$U20*X20/1000*X$9</f>
        <v>0</v>
      </c>
      <c r="AI20" s="189">
        <f t="shared" ref="AI20:AI83" si="19">$U20*Y20/1000*Y$9</f>
        <v>0</v>
      </c>
      <c r="AJ20" s="189" t="e">
        <f t="shared" ref="AJ20:AJ83" si="20">$U20*Z20/1000*Z$9</f>
        <v>#REF!</v>
      </c>
      <c r="AK20" s="189" t="e">
        <f t="shared" ref="AK20:AK83" si="21">$U20*AA20/1000*AA$9</f>
        <v>#REF!</v>
      </c>
      <c r="AL20" s="189" t="e">
        <f t="shared" ref="AL20:AL83" si="22">$U20*AB20/1000*AB$9</f>
        <v>#REF!</v>
      </c>
      <c r="AM20" s="189" t="e">
        <f t="shared" ref="AM20:AM83" si="23">$U20*AC20/1000*AC$9</f>
        <v>#REF!</v>
      </c>
      <c r="AN20" s="189" t="e">
        <f t="shared" ref="AN20:AN83" si="24">$U20*AD20/1000*AD$9</f>
        <v>#REF!</v>
      </c>
      <c r="AO20" s="189" t="e">
        <f t="shared" ref="AO20:AO83" si="25">$U20*AE20/1000*AE$9</f>
        <v>#REF!</v>
      </c>
      <c r="AP20" s="165" t="e">
        <f t="shared" ref="AP20:AP83" si="26">SUM(AF20:AO20)</f>
        <v>#REF!</v>
      </c>
      <c r="AQ20" s="175" t="e" cm="1">
        <f t="array" ref="AQ20">_xlfn.IFS(AP20=0,"Nihil",AP20&gt;0,"Suppletie",AP20&lt;0,"Restitutie")</f>
        <v>#REF!</v>
      </c>
    </row>
    <row r="21" spans="1:43" x14ac:dyDescent="0.25">
      <c r="A21" s="174" t="str">
        <f>IFERROR(_xlfn.XLOOKUP(D21,Table3[Sub],Table3[Verzekerde]),"-")</f>
        <v>-</v>
      </c>
      <c r="B21" s="164"/>
      <c r="C21" s="164" t="str">
        <f>IFERROR(_xlfn.XLOOKUP(Table4[[#This Row],[Subnummer]],Table3[Sub],Table3[Certificaat]),"-")</f>
        <v>-</v>
      </c>
      <c r="D21" s="177">
        <v>0</v>
      </c>
      <c r="E21" s="180">
        <f>IFERROR(_xlfn.XLOOKUP(Table4[[#This Row],[Subnummer]],Table3[Sub],Table3[Verz. Waarde Oud:]),0)</f>
        <v>0</v>
      </c>
      <c r="F21" s="165">
        <v>0</v>
      </c>
      <c r="G21" s="165">
        <v>0</v>
      </c>
      <c r="H21" s="165">
        <v>0</v>
      </c>
      <c r="I21" s="165">
        <v>0</v>
      </c>
      <c r="J21" s="165">
        <f t="shared" si="10"/>
        <v>0</v>
      </c>
      <c r="K21" s="181">
        <f t="shared" si="11"/>
        <v>0</v>
      </c>
      <c r="L21" s="183">
        <v>44562</v>
      </c>
      <c r="M21" s="166">
        <v>44927</v>
      </c>
      <c r="N21" s="164">
        <f t="shared" si="12"/>
        <v>365</v>
      </c>
      <c r="O21" s="164">
        <v>365</v>
      </c>
      <c r="P21" s="175" t="s">
        <v>104</v>
      </c>
      <c r="Q21" s="186">
        <f t="shared" si="13"/>
        <v>0</v>
      </c>
      <c r="R21" s="165" cm="1">
        <f t="array" ref="R21">_xlfn.IFS($P21="Nee",G21*$N21/$O21,$P21="Ja",G21*0.5)</f>
        <v>0</v>
      </c>
      <c r="S21" s="165" cm="1">
        <f t="array" ref="S21">_xlfn.IFS($P21="Nee",-(H21*$N21/$O21),$P21="Ja",-(H21*0.5))</f>
        <v>0</v>
      </c>
      <c r="T21" s="165">
        <f t="shared" si="14"/>
        <v>0</v>
      </c>
      <c r="U21" s="187">
        <f t="shared" si="15"/>
        <v>0</v>
      </c>
      <c r="V21" s="191">
        <f>IFERROR(_xlfn.XLOOKUP(Table4[[#This Row],[Subnummer]],Table3[Sub],Table3[Promillage 1]),0)</f>
        <v>0</v>
      </c>
      <c r="W21" s="167">
        <f>IFERROR(_xlfn.XLOOKUP(Table4[[#This Row],[Subnummer]],Table3[Sub],Table3[Promillage 2]),0)</f>
        <v>0</v>
      </c>
      <c r="X21" s="167">
        <f>IFERROR(_xlfn.XLOOKUP(Table4[[#This Row],[Subnummer]],Table3[Sub],Table3[Promillage 3]),0)</f>
        <v>0</v>
      </c>
      <c r="Y21" s="167">
        <f>IFERROR(_xlfn.XLOOKUP(Table4[[#This Row],[Subnummer]],Table3[Sub],Table3[Promillage 4]),0)</f>
        <v>0</v>
      </c>
      <c r="Z21" s="167">
        <f>IFERROR(_xlfn.XLOOKUP(Table4[[#This Row],[Subnummer]],Table3[Sub],#REF!),0)</f>
        <v>0</v>
      </c>
      <c r="AA21" s="167">
        <f>IFERROR(_xlfn.XLOOKUP(Table4[[#This Row],[Subnummer]],Table3[Sub],#REF!),0)</f>
        <v>0</v>
      </c>
      <c r="AB21" s="167">
        <f>IFERROR(_xlfn.XLOOKUP(Table4[[#This Row],[Subnummer]],Table3[Sub],#REF!),0)</f>
        <v>0</v>
      </c>
      <c r="AC21" s="167">
        <f>IFERROR(_xlfn.XLOOKUP(Table4[[#This Row],[Subnummer]],Table3[Sub],#REF!),0)</f>
        <v>0</v>
      </c>
      <c r="AD21" s="167">
        <f>IFERROR(_xlfn.XLOOKUP(Table4[[#This Row],[Subnummer]],Table3[Sub],#REF!),0)</f>
        <v>0</v>
      </c>
      <c r="AE21" s="167">
        <f>IFERROR(_xlfn.XLOOKUP(Table4[[#This Row],[Subnummer]],Table3[Sub],#REF!),0)</f>
        <v>0</v>
      </c>
      <c r="AF21" s="189">
        <f t="shared" si="16"/>
        <v>0</v>
      </c>
      <c r="AG21" s="189">
        <f t="shared" si="17"/>
        <v>0</v>
      </c>
      <c r="AH21" s="189">
        <f t="shared" si="18"/>
        <v>0</v>
      </c>
      <c r="AI21" s="189">
        <f t="shared" si="19"/>
        <v>0</v>
      </c>
      <c r="AJ21" s="189" t="e">
        <f t="shared" si="20"/>
        <v>#REF!</v>
      </c>
      <c r="AK21" s="189" t="e">
        <f t="shared" si="21"/>
        <v>#REF!</v>
      </c>
      <c r="AL21" s="189" t="e">
        <f t="shared" si="22"/>
        <v>#REF!</v>
      </c>
      <c r="AM21" s="189" t="e">
        <f t="shared" si="23"/>
        <v>#REF!</v>
      </c>
      <c r="AN21" s="189" t="e">
        <f t="shared" si="24"/>
        <v>#REF!</v>
      </c>
      <c r="AO21" s="189" t="e">
        <f t="shared" si="25"/>
        <v>#REF!</v>
      </c>
      <c r="AP21" s="165" t="e">
        <f t="shared" si="26"/>
        <v>#REF!</v>
      </c>
      <c r="AQ21" s="175" t="e" cm="1">
        <f t="array" ref="AQ21">_xlfn.IFS(AP21=0,"Nihil",AP21&gt;0,"Suppletie",AP21&lt;0,"Restitutie")</f>
        <v>#REF!</v>
      </c>
    </row>
    <row r="22" spans="1:43" x14ac:dyDescent="0.25">
      <c r="A22" s="174" t="str">
        <f>IFERROR(_xlfn.XLOOKUP(D22,Table3[Sub],Table3[Verzekerde]),"-")</f>
        <v>-</v>
      </c>
      <c r="B22" s="164"/>
      <c r="C22" s="164" t="str">
        <f>IFERROR(_xlfn.XLOOKUP(Table4[[#This Row],[Subnummer]],Table3[Sub],Table3[Certificaat]),"-")</f>
        <v>-</v>
      </c>
      <c r="D22" s="177">
        <v>0</v>
      </c>
      <c r="E22" s="180">
        <f>IFERROR(_xlfn.XLOOKUP(Table4[[#This Row],[Subnummer]],Table3[Sub],Table3[Verz. Waarde Oud:]),0)</f>
        <v>0</v>
      </c>
      <c r="F22" s="165">
        <v>0</v>
      </c>
      <c r="G22" s="165">
        <v>0</v>
      </c>
      <c r="H22" s="165">
        <v>0</v>
      </c>
      <c r="I22" s="165">
        <v>0</v>
      </c>
      <c r="J22" s="165">
        <f t="shared" si="10"/>
        <v>0</v>
      </c>
      <c r="K22" s="181">
        <f t="shared" si="11"/>
        <v>0</v>
      </c>
      <c r="L22" s="183">
        <v>44562</v>
      </c>
      <c r="M22" s="166">
        <v>44927</v>
      </c>
      <c r="N22" s="164">
        <f t="shared" si="12"/>
        <v>365</v>
      </c>
      <c r="O22" s="164">
        <v>365</v>
      </c>
      <c r="P22" s="175" t="s">
        <v>104</v>
      </c>
      <c r="Q22" s="186">
        <f t="shared" si="13"/>
        <v>0</v>
      </c>
      <c r="R22" s="165" cm="1">
        <f t="array" ref="R22">_xlfn.IFS($P22="Nee",G22*$N22/$O22,$P22="Ja",G22*0.5)</f>
        <v>0</v>
      </c>
      <c r="S22" s="165" cm="1">
        <f t="array" ref="S22">_xlfn.IFS($P22="Nee",-(H22*$N22/$O22),$P22="Ja",-(H22*0.5))</f>
        <v>0</v>
      </c>
      <c r="T22" s="165">
        <f t="shared" si="14"/>
        <v>0</v>
      </c>
      <c r="U22" s="187">
        <f t="shared" si="15"/>
        <v>0</v>
      </c>
      <c r="V22" s="191">
        <f>IFERROR(_xlfn.XLOOKUP(Table4[[#This Row],[Subnummer]],Table3[Sub],Table3[Promillage 1]),0)</f>
        <v>0</v>
      </c>
      <c r="W22" s="167">
        <f>IFERROR(_xlfn.XLOOKUP(Table4[[#This Row],[Subnummer]],Table3[Sub],Table3[Promillage 2]),0)</f>
        <v>0</v>
      </c>
      <c r="X22" s="167">
        <f>IFERROR(_xlfn.XLOOKUP(Table4[[#This Row],[Subnummer]],Table3[Sub],Table3[Promillage 3]),0)</f>
        <v>0</v>
      </c>
      <c r="Y22" s="167">
        <f>IFERROR(_xlfn.XLOOKUP(Table4[[#This Row],[Subnummer]],Table3[Sub],Table3[Promillage 4]),0)</f>
        <v>0</v>
      </c>
      <c r="Z22" s="167">
        <f>IFERROR(_xlfn.XLOOKUP(Table4[[#This Row],[Subnummer]],Table3[Sub],#REF!),0)</f>
        <v>0</v>
      </c>
      <c r="AA22" s="167">
        <f>IFERROR(_xlfn.XLOOKUP(Table4[[#This Row],[Subnummer]],Table3[Sub],#REF!),0)</f>
        <v>0</v>
      </c>
      <c r="AB22" s="167">
        <f>IFERROR(_xlfn.XLOOKUP(Table4[[#This Row],[Subnummer]],Table3[Sub],#REF!),0)</f>
        <v>0</v>
      </c>
      <c r="AC22" s="167">
        <f>IFERROR(_xlfn.XLOOKUP(Table4[[#This Row],[Subnummer]],Table3[Sub],#REF!),0)</f>
        <v>0</v>
      </c>
      <c r="AD22" s="167">
        <f>IFERROR(_xlfn.XLOOKUP(Table4[[#This Row],[Subnummer]],Table3[Sub],#REF!),0)</f>
        <v>0</v>
      </c>
      <c r="AE22" s="167">
        <f>IFERROR(_xlfn.XLOOKUP(Table4[[#This Row],[Subnummer]],Table3[Sub],#REF!),0)</f>
        <v>0</v>
      </c>
      <c r="AF22" s="189">
        <f t="shared" si="16"/>
        <v>0</v>
      </c>
      <c r="AG22" s="189">
        <f t="shared" si="17"/>
        <v>0</v>
      </c>
      <c r="AH22" s="189">
        <f t="shared" si="18"/>
        <v>0</v>
      </c>
      <c r="AI22" s="189">
        <f t="shared" si="19"/>
        <v>0</v>
      </c>
      <c r="AJ22" s="189" t="e">
        <f t="shared" si="20"/>
        <v>#REF!</v>
      </c>
      <c r="AK22" s="189" t="e">
        <f t="shared" si="21"/>
        <v>#REF!</v>
      </c>
      <c r="AL22" s="189" t="e">
        <f t="shared" si="22"/>
        <v>#REF!</v>
      </c>
      <c r="AM22" s="189" t="e">
        <f t="shared" si="23"/>
        <v>#REF!</v>
      </c>
      <c r="AN22" s="189" t="e">
        <f t="shared" si="24"/>
        <v>#REF!</v>
      </c>
      <c r="AO22" s="189" t="e">
        <f t="shared" si="25"/>
        <v>#REF!</v>
      </c>
      <c r="AP22" s="165" t="e">
        <f t="shared" si="26"/>
        <v>#REF!</v>
      </c>
      <c r="AQ22" s="175" t="e" cm="1">
        <f t="array" ref="AQ22">_xlfn.IFS(AP22=0,"Nihil",AP22&gt;0,"Suppletie",AP22&lt;0,"Restitutie")</f>
        <v>#REF!</v>
      </c>
    </row>
    <row r="23" spans="1:43" x14ac:dyDescent="0.25">
      <c r="A23" s="174" t="str">
        <f>IFERROR(_xlfn.XLOOKUP(D23,Table3[Sub],Table3[Verzekerde]),"-")</f>
        <v>-</v>
      </c>
      <c r="B23" s="164"/>
      <c r="C23" s="164" t="str">
        <f>IFERROR(_xlfn.XLOOKUP(Table4[[#This Row],[Subnummer]],Table3[Sub],Table3[Certificaat]),"-")</f>
        <v>-</v>
      </c>
      <c r="D23" s="177">
        <v>0</v>
      </c>
      <c r="E23" s="180">
        <f>IFERROR(_xlfn.XLOOKUP(Table4[[#This Row],[Subnummer]],Table3[Sub],Table3[Verz. Waarde Oud:]),0)</f>
        <v>0</v>
      </c>
      <c r="F23" s="165">
        <v>0</v>
      </c>
      <c r="G23" s="165">
        <v>0</v>
      </c>
      <c r="H23" s="165">
        <v>0</v>
      </c>
      <c r="I23" s="165">
        <v>0</v>
      </c>
      <c r="J23" s="165">
        <f t="shared" si="10"/>
        <v>0</v>
      </c>
      <c r="K23" s="181">
        <f t="shared" si="11"/>
        <v>0</v>
      </c>
      <c r="L23" s="183">
        <v>44562</v>
      </c>
      <c r="M23" s="166">
        <v>44927</v>
      </c>
      <c r="N23" s="164">
        <f t="shared" si="12"/>
        <v>365</v>
      </c>
      <c r="O23" s="164">
        <v>365</v>
      </c>
      <c r="P23" s="175" t="s">
        <v>104</v>
      </c>
      <c r="Q23" s="186">
        <f t="shared" si="13"/>
        <v>0</v>
      </c>
      <c r="R23" s="165" cm="1">
        <f t="array" ref="R23">_xlfn.IFS($P23="Nee",G23*$N23/$O23,$P23="Ja",G23*0.5)</f>
        <v>0</v>
      </c>
      <c r="S23" s="165" cm="1">
        <f t="array" ref="S23">_xlfn.IFS($P23="Nee",-(H23*$N23/$O23),$P23="Ja",-(H23*0.5))</f>
        <v>0</v>
      </c>
      <c r="T23" s="165">
        <f t="shared" si="14"/>
        <v>0</v>
      </c>
      <c r="U23" s="187">
        <f t="shared" si="15"/>
        <v>0</v>
      </c>
      <c r="V23" s="191">
        <f>IFERROR(_xlfn.XLOOKUP(Table4[[#This Row],[Subnummer]],Table3[Sub],Table3[Promillage 1]),0)</f>
        <v>0</v>
      </c>
      <c r="W23" s="167">
        <f>IFERROR(_xlfn.XLOOKUP(Table4[[#This Row],[Subnummer]],Table3[Sub],Table3[Promillage 2]),0)</f>
        <v>0</v>
      </c>
      <c r="X23" s="167">
        <f>IFERROR(_xlfn.XLOOKUP(Table4[[#This Row],[Subnummer]],Table3[Sub],Table3[Promillage 3]),0)</f>
        <v>0</v>
      </c>
      <c r="Y23" s="167">
        <f>IFERROR(_xlfn.XLOOKUP(Table4[[#This Row],[Subnummer]],Table3[Sub],Table3[Promillage 4]),0)</f>
        <v>0</v>
      </c>
      <c r="Z23" s="167">
        <f>IFERROR(_xlfn.XLOOKUP(Table4[[#This Row],[Subnummer]],Table3[Sub],#REF!),0)</f>
        <v>0</v>
      </c>
      <c r="AA23" s="167">
        <f>IFERROR(_xlfn.XLOOKUP(Table4[[#This Row],[Subnummer]],Table3[Sub],#REF!),0)</f>
        <v>0</v>
      </c>
      <c r="AB23" s="167">
        <f>IFERROR(_xlfn.XLOOKUP(Table4[[#This Row],[Subnummer]],Table3[Sub],#REF!),0)</f>
        <v>0</v>
      </c>
      <c r="AC23" s="167">
        <f>IFERROR(_xlfn.XLOOKUP(Table4[[#This Row],[Subnummer]],Table3[Sub],#REF!),0)</f>
        <v>0</v>
      </c>
      <c r="AD23" s="167">
        <f>IFERROR(_xlfn.XLOOKUP(Table4[[#This Row],[Subnummer]],Table3[Sub],#REF!),0)</f>
        <v>0</v>
      </c>
      <c r="AE23" s="167">
        <f>IFERROR(_xlfn.XLOOKUP(Table4[[#This Row],[Subnummer]],Table3[Sub],#REF!),0)</f>
        <v>0</v>
      </c>
      <c r="AF23" s="189">
        <f t="shared" si="16"/>
        <v>0</v>
      </c>
      <c r="AG23" s="189">
        <f t="shared" si="17"/>
        <v>0</v>
      </c>
      <c r="AH23" s="189">
        <f t="shared" si="18"/>
        <v>0</v>
      </c>
      <c r="AI23" s="189">
        <f t="shared" si="19"/>
        <v>0</v>
      </c>
      <c r="AJ23" s="189" t="e">
        <f t="shared" si="20"/>
        <v>#REF!</v>
      </c>
      <c r="AK23" s="189" t="e">
        <f t="shared" si="21"/>
        <v>#REF!</v>
      </c>
      <c r="AL23" s="189" t="e">
        <f t="shared" si="22"/>
        <v>#REF!</v>
      </c>
      <c r="AM23" s="189" t="e">
        <f t="shared" si="23"/>
        <v>#REF!</v>
      </c>
      <c r="AN23" s="189" t="e">
        <f t="shared" si="24"/>
        <v>#REF!</v>
      </c>
      <c r="AO23" s="189" t="e">
        <f t="shared" si="25"/>
        <v>#REF!</v>
      </c>
      <c r="AP23" s="165" t="e">
        <f t="shared" si="26"/>
        <v>#REF!</v>
      </c>
      <c r="AQ23" s="175" t="e" cm="1">
        <f t="array" ref="AQ23">_xlfn.IFS(AP23=0,"Nihil",AP23&gt;0,"Suppletie",AP23&lt;0,"Restitutie")</f>
        <v>#REF!</v>
      </c>
    </row>
    <row r="24" spans="1:43" x14ac:dyDescent="0.25">
      <c r="A24" s="174" t="str">
        <f>IFERROR(_xlfn.XLOOKUP(D24,Table3[Sub],Table3[Verzekerde]),"-")</f>
        <v>-</v>
      </c>
      <c r="B24" s="164"/>
      <c r="C24" s="164" t="str">
        <f>IFERROR(_xlfn.XLOOKUP(Table4[[#This Row],[Subnummer]],Table3[Sub],Table3[Certificaat]),"-")</f>
        <v>-</v>
      </c>
      <c r="D24" s="177">
        <v>0</v>
      </c>
      <c r="E24" s="180">
        <f>IFERROR(_xlfn.XLOOKUP(Table4[[#This Row],[Subnummer]],Table3[Sub],Table3[Verz. Waarde Oud:]),0)</f>
        <v>0</v>
      </c>
      <c r="F24" s="165">
        <v>0</v>
      </c>
      <c r="G24" s="165">
        <v>0</v>
      </c>
      <c r="H24" s="165">
        <v>0</v>
      </c>
      <c r="I24" s="165">
        <v>0</v>
      </c>
      <c r="J24" s="165">
        <f t="shared" si="10"/>
        <v>0</v>
      </c>
      <c r="K24" s="181">
        <f t="shared" si="11"/>
        <v>0</v>
      </c>
      <c r="L24" s="183">
        <v>44562</v>
      </c>
      <c r="M24" s="166">
        <v>44927</v>
      </c>
      <c r="N24" s="164">
        <f t="shared" si="12"/>
        <v>365</v>
      </c>
      <c r="O24" s="164">
        <v>365</v>
      </c>
      <c r="P24" s="175" t="s">
        <v>104</v>
      </c>
      <c r="Q24" s="186">
        <f t="shared" si="13"/>
        <v>0</v>
      </c>
      <c r="R24" s="165" cm="1">
        <f t="array" ref="R24">_xlfn.IFS($P24="Nee",G24*$N24/$O24,$P24="Ja",G24*0.5)</f>
        <v>0</v>
      </c>
      <c r="S24" s="165" cm="1">
        <f t="array" ref="S24">_xlfn.IFS($P24="Nee",-(H24*$N24/$O24),$P24="Ja",-(H24*0.5))</f>
        <v>0</v>
      </c>
      <c r="T24" s="165">
        <f t="shared" si="14"/>
        <v>0</v>
      </c>
      <c r="U24" s="187">
        <f t="shared" si="15"/>
        <v>0</v>
      </c>
      <c r="V24" s="191">
        <f>IFERROR(_xlfn.XLOOKUP(Table4[[#This Row],[Subnummer]],Table3[Sub],Table3[Promillage 1]),0)</f>
        <v>0</v>
      </c>
      <c r="W24" s="167">
        <f>IFERROR(_xlfn.XLOOKUP(Table4[[#This Row],[Subnummer]],Table3[Sub],Table3[Promillage 2]),0)</f>
        <v>0</v>
      </c>
      <c r="X24" s="167">
        <f>IFERROR(_xlfn.XLOOKUP(Table4[[#This Row],[Subnummer]],Table3[Sub],Table3[Promillage 3]),0)</f>
        <v>0</v>
      </c>
      <c r="Y24" s="167">
        <f>IFERROR(_xlfn.XLOOKUP(Table4[[#This Row],[Subnummer]],Table3[Sub],Table3[Promillage 4]),0)</f>
        <v>0</v>
      </c>
      <c r="Z24" s="167">
        <f>IFERROR(_xlfn.XLOOKUP(Table4[[#This Row],[Subnummer]],Table3[Sub],#REF!),0)</f>
        <v>0</v>
      </c>
      <c r="AA24" s="167">
        <f>IFERROR(_xlfn.XLOOKUP(Table4[[#This Row],[Subnummer]],Table3[Sub],#REF!),0)</f>
        <v>0</v>
      </c>
      <c r="AB24" s="167">
        <f>IFERROR(_xlfn.XLOOKUP(Table4[[#This Row],[Subnummer]],Table3[Sub],#REF!),0)</f>
        <v>0</v>
      </c>
      <c r="AC24" s="167">
        <f>IFERROR(_xlfn.XLOOKUP(Table4[[#This Row],[Subnummer]],Table3[Sub],#REF!),0)</f>
        <v>0</v>
      </c>
      <c r="AD24" s="167">
        <f>IFERROR(_xlfn.XLOOKUP(Table4[[#This Row],[Subnummer]],Table3[Sub],#REF!),0)</f>
        <v>0</v>
      </c>
      <c r="AE24" s="167">
        <f>IFERROR(_xlfn.XLOOKUP(Table4[[#This Row],[Subnummer]],Table3[Sub],#REF!),0)</f>
        <v>0</v>
      </c>
      <c r="AF24" s="189">
        <f t="shared" si="16"/>
        <v>0</v>
      </c>
      <c r="AG24" s="189">
        <f t="shared" si="17"/>
        <v>0</v>
      </c>
      <c r="AH24" s="189">
        <f t="shared" si="18"/>
        <v>0</v>
      </c>
      <c r="AI24" s="189">
        <f t="shared" si="19"/>
        <v>0</v>
      </c>
      <c r="AJ24" s="189" t="e">
        <f t="shared" si="20"/>
        <v>#REF!</v>
      </c>
      <c r="AK24" s="189" t="e">
        <f t="shared" si="21"/>
        <v>#REF!</v>
      </c>
      <c r="AL24" s="189" t="e">
        <f t="shared" si="22"/>
        <v>#REF!</v>
      </c>
      <c r="AM24" s="189" t="e">
        <f t="shared" si="23"/>
        <v>#REF!</v>
      </c>
      <c r="AN24" s="189" t="e">
        <f t="shared" si="24"/>
        <v>#REF!</v>
      </c>
      <c r="AO24" s="189" t="e">
        <f t="shared" si="25"/>
        <v>#REF!</v>
      </c>
      <c r="AP24" s="165" t="e">
        <f t="shared" si="26"/>
        <v>#REF!</v>
      </c>
      <c r="AQ24" s="175" t="e" cm="1">
        <f t="array" ref="AQ24">_xlfn.IFS(AP24=0,"Nihil",AP24&gt;0,"Suppletie",AP24&lt;0,"Restitutie")</f>
        <v>#REF!</v>
      </c>
    </row>
    <row r="25" spans="1:43" x14ac:dyDescent="0.25">
      <c r="A25" s="174" t="str">
        <f>IFERROR(_xlfn.XLOOKUP(D25,Table3[Sub],Table3[Verzekerde]),"-")</f>
        <v>-</v>
      </c>
      <c r="B25" s="164"/>
      <c r="C25" s="164" t="str">
        <f>IFERROR(_xlfn.XLOOKUP(Table4[[#This Row],[Subnummer]],Table3[Sub],Table3[Certificaat]),"-")</f>
        <v>-</v>
      </c>
      <c r="D25" s="177">
        <v>0</v>
      </c>
      <c r="E25" s="180">
        <f>IFERROR(_xlfn.XLOOKUP(Table4[[#This Row],[Subnummer]],Table3[Sub],Table3[Verz. Waarde Oud:]),0)</f>
        <v>0</v>
      </c>
      <c r="F25" s="165">
        <v>0</v>
      </c>
      <c r="G25" s="165">
        <v>0</v>
      </c>
      <c r="H25" s="165">
        <v>0</v>
      </c>
      <c r="I25" s="165">
        <v>0</v>
      </c>
      <c r="J25" s="165">
        <f t="shared" si="10"/>
        <v>0</v>
      </c>
      <c r="K25" s="181">
        <f t="shared" si="11"/>
        <v>0</v>
      </c>
      <c r="L25" s="183">
        <v>44562</v>
      </c>
      <c r="M25" s="166">
        <v>44927</v>
      </c>
      <c r="N25" s="164">
        <f t="shared" si="12"/>
        <v>365</v>
      </c>
      <c r="O25" s="164">
        <v>365</v>
      </c>
      <c r="P25" s="175" t="s">
        <v>104</v>
      </c>
      <c r="Q25" s="186">
        <f t="shared" si="13"/>
        <v>0</v>
      </c>
      <c r="R25" s="165" cm="1">
        <f t="array" ref="R25">_xlfn.IFS($P25="Nee",G25*$N25/$O25,$P25="Ja",G25*0.5)</f>
        <v>0</v>
      </c>
      <c r="S25" s="165" cm="1">
        <f t="array" ref="S25">_xlfn.IFS($P25="Nee",-(H25*$N25/$O25),$P25="Ja",-(H25*0.5))</f>
        <v>0</v>
      </c>
      <c r="T25" s="165">
        <f t="shared" si="14"/>
        <v>0</v>
      </c>
      <c r="U25" s="187">
        <f t="shared" si="15"/>
        <v>0</v>
      </c>
      <c r="V25" s="191">
        <f>IFERROR(_xlfn.XLOOKUP(Table4[[#This Row],[Subnummer]],Table3[Sub],Table3[Promillage 1]),0)</f>
        <v>0</v>
      </c>
      <c r="W25" s="167">
        <f>IFERROR(_xlfn.XLOOKUP(Table4[[#This Row],[Subnummer]],Table3[Sub],Table3[Promillage 2]),0)</f>
        <v>0</v>
      </c>
      <c r="X25" s="167">
        <f>IFERROR(_xlfn.XLOOKUP(Table4[[#This Row],[Subnummer]],Table3[Sub],Table3[Promillage 3]),0)</f>
        <v>0</v>
      </c>
      <c r="Y25" s="167">
        <f>IFERROR(_xlfn.XLOOKUP(Table4[[#This Row],[Subnummer]],Table3[Sub],Table3[Promillage 4]),0)</f>
        <v>0</v>
      </c>
      <c r="Z25" s="167">
        <f>IFERROR(_xlfn.XLOOKUP(Table4[[#This Row],[Subnummer]],Table3[Sub],#REF!),0)</f>
        <v>0</v>
      </c>
      <c r="AA25" s="167">
        <f>IFERROR(_xlfn.XLOOKUP(Table4[[#This Row],[Subnummer]],Table3[Sub],#REF!),0)</f>
        <v>0</v>
      </c>
      <c r="AB25" s="167">
        <f>IFERROR(_xlfn.XLOOKUP(Table4[[#This Row],[Subnummer]],Table3[Sub],#REF!),0)</f>
        <v>0</v>
      </c>
      <c r="AC25" s="167">
        <f>IFERROR(_xlfn.XLOOKUP(Table4[[#This Row],[Subnummer]],Table3[Sub],#REF!),0)</f>
        <v>0</v>
      </c>
      <c r="AD25" s="167">
        <f>IFERROR(_xlfn.XLOOKUP(Table4[[#This Row],[Subnummer]],Table3[Sub],#REF!),0)</f>
        <v>0</v>
      </c>
      <c r="AE25" s="167">
        <f>IFERROR(_xlfn.XLOOKUP(Table4[[#This Row],[Subnummer]],Table3[Sub],#REF!),0)</f>
        <v>0</v>
      </c>
      <c r="AF25" s="189">
        <f t="shared" si="16"/>
        <v>0</v>
      </c>
      <c r="AG25" s="189">
        <f t="shared" si="17"/>
        <v>0</v>
      </c>
      <c r="AH25" s="189">
        <f t="shared" si="18"/>
        <v>0</v>
      </c>
      <c r="AI25" s="189">
        <f t="shared" si="19"/>
        <v>0</v>
      </c>
      <c r="AJ25" s="189" t="e">
        <f t="shared" si="20"/>
        <v>#REF!</v>
      </c>
      <c r="AK25" s="189" t="e">
        <f t="shared" si="21"/>
        <v>#REF!</v>
      </c>
      <c r="AL25" s="189" t="e">
        <f t="shared" si="22"/>
        <v>#REF!</v>
      </c>
      <c r="AM25" s="189" t="e">
        <f t="shared" si="23"/>
        <v>#REF!</v>
      </c>
      <c r="AN25" s="189" t="e">
        <f t="shared" si="24"/>
        <v>#REF!</v>
      </c>
      <c r="AO25" s="189" t="e">
        <f t="shared" si="25"/>
        <v>#REF!</v>
      </c>
      <c r="AP25" s="165" t="e">
        <f t="shared" si="26"/>
        <v>#REF!</v>
      </c>
      <c r="AQ25" s="175" t="e" cm="1">
        <f t="array" ref="AQ25">_xlfn.IFS(AP25=0,"Nihil",AP25&gt;0,"Suppletie",AP25&lt;0,"Restitutie")</f>
        <v>#REF!</v>
      </c>
    </row>
    <row r="26" spans="1:43" x14ac:dyDescent="0.25">
      <c r="A26" s="174" t="str">
        <f>IFERROR(_xlfn.XLOOKUP(D26,Table3[Sub],Table3[Verzekerde]),"-")</f>
        <v>-</v>
      </c>
      <c r="B26" s="164"/>
      <c r="C26" s="164" t="str">
        <f>IFERROR(_xlfn.XLOOKUP(Table4[[#This Row],[Subnummer]],Table3[Sub],Table3[Certificaat]),"-")</f>
        <v>-</v>
      </c>
      <c r="D26" s="177">
        <v>0</v>
      </c>
      <c r="E26" s="180">
        <f>IFERROR(_xlfn.XLOOKUP(Table4[[#This Row],[Subnummer]],Table3[Sub],Table3[Verz. Waarde Oud:]),0)</f>
        <v>0</v>
      </c>
      <c r="F26" s="165">
        <v>0</v>
      </c>
      <c r="G26" s="165">
        <v>0</v>
      </c>
      <c r="H26" s="165">
        <v>0</v>
      </c>
      <c r="I26" s="165">
        <v>0</v>
      </c>
      <c r="J26" s="165">
        <f t="shared" si="10"/>
        <v>0</v>
      </c>
      <c r="K26" s="181">
        <f t="shared" si="11"/>
        <v>0</v>
      </c>
      <c r="L26" s="183">
        <v>44562</v>
      </c>
      <c r="M26" s="166">
        <v>44927</v>
      </c>
      <c r="N26" s="164">
        <f t="shared" si="12"/>
        <v>365</v>
      </c>
      <c r="O26" s="164">
        <v>365</v>
      </c>
      <c r="P26" s="175" t="s">
        <v>104</v>
      </c>
      <c r="Q26" s="186">
        <f t="shared" si="13"/>
        <v>0</v>
      </c>
      <c r="R26" s="165" cm="1">
        <f t="array" ref="R26">_xlfn.IFS($P26="Nee",G26*$N26/$O26,$P26="Ja",G26*0.5)</f>
        <v>0</v>
      </c>
      <c r="S26" s="165" cm="1">
        <f t="array" ref="S26">_xlfn.IFS($P26="Nee",-(H26*$N26/$O26),$P26="Ja",-(H26*0.5))</f>
        <v>0</v>
      </c>
      <c r="T26" s="165">
        <f t="shared" si="14"/>
        <v>0</v>
      </c>
      <c r="U26" s="187">
        <f t="shared" si="15"/>
        <v>0</v>
      </c>
      <c r="V26" s="191">
        <f>IFERROR(_xlfn.XLOOKUP(Table4[[#This Row],[Subnummer]],Table3[Sub],Table3[Promillage 1]),0)</f>
        <v>0</v>
      </c>
      <c r="W26" s="167">
        <f>IFERROR(_xlfn.XLOOKUP(Table4[[#This Row],[Subnummer]],Table3[Sub],Table3[Promillage 2]),0)</f>
        <v>0</v>
      </c>
      <c r="X26" s="167">
        <f>IFERROR(_xlfn.XLOOKUP(Table4[[#This Row],[Subnummer]],Table3[Sub],Table3[Promillage 3]),0)</f>
        <v>0</v>
      </c>
      <c r="Y26" s="167">
        <f>IFERROR(_xlfn.XLOOKUP(Table4[[#This Row],[Subnummer]],Table3[Sub],Table3[Promillage 4]),0)</f>
        <v>0</v>
      </c>
      <c r="Z26" s="167">
        <f>IFERROR(_xlfn.XLOOKUP(Table4[[#This Row],[Subnummer]],Table3[Sub],#REF!),0)</f>
        <v>0</v>
      </c>
      <c r="AA26" s="167">
        <f>IFERROR(_xlfn.XLOOKUP(Table4[[#This Row],[Subnummer]],Table3[Sub],#REF!),0)</f>
        <v>0</v>
      </c>
      <c r="AB26" s="167">
        <f>IFERROR(_xlfn.XLOOKUP(Table4[[#This Row],[Subnummer]],Table3[Sub],#REF!),0)</f>
        <v>0</v>
      </c>
      <c r="AC26" s="167">
        <f>IFERROR(_xlfn.XLOOKUP(Table4[[#This Row],[Subnummer]],Table3[Sub],#REF!),0)</f>
        <v>0</v>
      </c>
      <c r="AD26" s="167">
        <f>IFERROR(_xlfn.XLOOKUP(Table4[[#This Row],[Subnummer]],Table3[Sub],#REF!),0)</f>
        <v>0</v>
      </c>
      <c r="AE26" s="167">
        <f>IFERROR(_xlfn.XLOOKUP(Table4[[#This Row],[Subnummer]],Table3[Sub],#REF!),0)</f>
        <v>0</v>
      </c>
      <c r="AF26" s="189">
        <f t="shared" si="16"/>
        <v>0</v>
      </c>
      <c r="AG26" s="189">
        <f t="shared" si="17"/>
        <v>0</v>
      </c>
      <c r="AH26" s="189">
        <f t="shared" si="18"/>
        <v>0</v>
      </c>
      <c r="AI26" s="189">
        <f t="shared" si="19"/>
        <v>0</v>
      </c>
      <c r="AJ26" s="189" t="e">
        <f t="shared" si="20"/>
        <v>#REF!</v>
      </c>
      <c r="AK26" s="189" t="e">
        <f t="shared" si="21"/>
        <v>#REF!</v>
      </c>
      <c r="AL26" s="189" t="e">
        <f t="shared" si="22"/>
        <v>#REF!</v>
      </c>
      <c r="AM26" s="189" t="e">
        <f t="shared" si="23"/>
        <v>#REF!</v>
      </c>
      <c r="AN26" s="189" t="e">
        <f t="shared" si="24"/>
        <v>#REF!</v>
      </c>
      <c r="AO26" s="189" t="e">
        <f t="shared" si="25"/>
        <v>#REF!</v>
      </c>
      <c r="AP26" s="165" t="e">
        <f t="shared" si="26"/>
        <v>#REF!</v>
      </c>
      <c r="AQ26" s="175" t="e" cm="1">
        <f t="array" ref="AQ26">_xlfn.IFS(AP26=0,"Nihil",AP26&gt;0,"Suppletie",AP26&lt;0,"Restitutie")</f>
        <v>#REF!</v>
      </c>
    </row>
    <row r="27" spans="1:43" x14ac:dyDescent="0.25">
      <c r="A27" s="174" t="str">
        <f>IFERROR(_xlfn.XLOOKUP(D27,Table3[Sub],Table3[Verzekerde]),"-")</f>
        <v>-</v>
      </c>
      <c r="B27" s="164"/>
      <c r="C27" s="164" t="str">
        <f>IFERROR(_xlfn.XLOOKUP(Table4[[#This Row],[Subnummer]],Table3[Sub],Table3[Certificaat]),"-")</f>
        <v>-</v>
      </c>
      <c r="D27" s="177">
        <v>0</v>
      </c>
      <c r="E27" s="180">
        <f>IFERROR(_xlfn.XLOOKUP(Table4[[#This Row],[Subnummer]],Table3[Sub],Table3[Verz. Waarde Oud:]),0)</f>
        <v>0</v>
      </c>
      <c r="F27" s="165">
        <v>0</v>
      </c>
      <c r="G27" s="165">
        <v>0</v>
      </c>
      <c r="H27" s="165">
        <v>0</v>
      </c>
      <c r="I27" s="165">
        <v>0</v>
      </c>
      <c r="J27" s="165">
        <f t="shared" si="10"/>
        <v>0</v>
      </c>
      <c r="K27" s="181">
        <f t="shared" si="11"/>
        <v>0</v>
      </c>
      <c r="L27" s="183">
        <v>44562</v>
      </c>
      <c r="M27" s="166">
        <v>44927</v>
      </c>
      <c r="N27" s="164">
        <f t="shared" si="12"/>
        <v>365</v>
      </c>
      <c r="O27" s="164">
        <v>365</v>
      </c>
      <c r="P27" s="175" t="s">
        <v>104</v>
      </c>
      <c r="Q27" s="186">
        <f t="shared" si="13"/>
        <v>0</v>
      </c>
      <c r="R27" s="165" cm="1">
        <f t="array" ref="R27">_xlfn.IFS($P27="Nee",G27*$N27/$O27,$P27="Ja",G27*0.5)</f>
        <v>0</v>
      </c>
      <c r="S27" s="165" cm="1">
        <f t="array" ref="S27">_xlfn.IFS($P27="Nee",-(H27*$N27/$O27),$P27="Ja",-(H27*0.5))</f>
        <v>0</v>
      </c>
      <c r="T27" s="165">
        <f t="shared" si="14"/>
        <v>0</v>
      </c>
      <c r="U27" s="187">
        <f t="shared" si="15"/>
        <v>0</v>
      </c>
      <c r="V27" s="191">
        <f>IFERROR(_xlfn.XLOOKUP(Table4[[#This Row],[Subnummer]],Table3[Sub],Table3[Promillage 1]),0)</f>
        <v>0</v>
      </c>
      <c r="W27" s="167">
        <f>IFERROR(_xlfn.XLOOKUP(Table4[[#This Row],[Subnummer]],Table3[Sub],Table3[Promillage 2]),0)</f>
        <v>0</v>
      </c>
      <c r="X27" s="167">
        <f>IFERROR(_xlfn.XLOOKUP(Table4[[#This Row],[Subnummer]],Table3[Sub],Table3[Promillage 3]),0)</f>
        <v>0</v>
      </c>
      <c r="Y27" s="167">
        <f>IFERROR(_xlfn.XLOOKUP(Table4[[#This Row],[Subnummer]],Table3[Sub],Table3[Promillage 4]),0)</f>
        <v>0</v>
      </c>
      <c r="Z27" s="167">
        <f>IFERROR(_xlfn.XLOOKUP(Table4[[#This Row],[Subnummer]],Table3[Sub],#REF!),0)</f>
        <v>0</v>
      </c>
      <c r="AA27" s="167">
        <f>IFERROR(_xlfn.XLOOKUP(Table4[[#This Row],[Subnummer]],Table3[Sub],#REF!),0)</f>
        <v>0</v>
      </c>
      <c r="AB27" s="167">
        <f>IFERROR(_xlfn.XLOOKUP(Table4[[#This Row],[Subnummer]],Table3[Sub],#REF!),0)</f>
        <v>0</v>
      </c>
      <c r="AC27" s="167">
        <f>IFERROR(_xlfn.XLOOKUP(Table4[[#This Row],[Subnummer]],Table3[Sub],#REF!),0)</f>
        <v>0</v>
      </c>
      <c r="AD27" s="167">
        <f>IFERROR(_xlfn.XLOOKUP(Table4[[#This Row],[Subnummer]],Table3[Sub],#REF!),0)</f>
        <v>0</v>
      </c>
      <c r="AE27" s="167">
        <f>IFERROR(_xlfn.XLOOKUP(Table4[[#This Row],[Subnummer]],Table3[Sub],#REF!),0)</f>
        <v>0</v>
      </c>
      <c r="AF27" s="189">
        <f t="shared" si="16"/>
        <v>0</v>
      </c>
      <c r="AG27" s="189">
        <f t="shared" si="17"/>
        <v>0</v>
      </c>
      <c r="AH27" s="189">
        <f t="shared" si="18"/>
        <v>0</v>
      </c>
      <c r="AI27" s="189">
        <f t="shared" si="19"/>
        <v>0</v>
      </c>
      <c r="AJ27" s="189" t="e">
        <f t="shared" si="20"/>
        <v>#REF!</v>
      </c>
      <c r="AK27" s="189" t="e">
        <f t="shared" si="21"/>
        <v>#REF!</v>
      </c>
      <c r="AL27" s="189" t="e">
        <f t="shared" si="22"/>
        <v>#REF!</v>
      </c>
      <c r="AM27" s="189" t="e">
        <f t="shared" si="23"/>
        <v>#REF!</v>
      </c>
      <c r="AN27" s="189" t="e">
        <f t="shared" si="24"/>
        <v>#REF!</v>
      </c>
      <c r="AO27" s="189" t="e">
        <f t="shared" si="25"/>
        <v>#REF!</v>
      </c>
      <c r="AP27" s="165" t="e">
        <f t="shared" si="26"/>
        <v>#REF!</v>
      </c>
      <c r="AQ27" s="175" t="e" cm="1">
        <f t="array" ref="AQ27">_xlfn.IFS(AP27=0,"Nihil",AP27&gt;0,"Suppletie",AP27&lt;0,"Restitutie")</f>
        <v>#REF!</v>
      </c>
    </row>
    <row r="28" spans="1:43" x14ac:dyDescent="0.25">
      <c r="A28" s="174" t="str">
        <f>IFERROR(_xlfn.XLOOKUP(D28,Table3[Sub],Table3[Verzekerde]),"-")</f>
        <v>-</v>
      </c>
      <c r="B28" s="164"/>
      <c r="C28" s="164" t="str">
        <f>IFERROR(_xlfn.XLOOKUP(Table4[[#This Row],[Subnummer]],Table3[Sub],Table3[Certificaat]),"-")</f>
        <v>-</v>
      </c>
      <c r="D28" s="177">
        <v>0</v>
      </c>
      <c r="E28" s="180">
        <f>IFERROR(_xlfn.XLOOKUP(Table4[[#This Row],[Subnummer]],Table3[Sub],Table3[Verz. Waarde Oud:]),0)</f>
        <v>0</v>
      </c>
      <c r="F28" s="165">
        <v>0</v>
      </c>
      <c r="G28" s="165">
        <v>0</v>
      </c>
      <c r="H28" s="165">
        <v>0</v>
      </c>
      <c r="I28" s="165">
        <v>0</v>
      </c>
      <c r="J28" s="165">
        <f t="shared" si="10"/>
        <v>0</v>
      </c>
      <c r="K28" s="181">
        <f t="shared" si="11"/>
        <v>0</v>
      </c>
      <c r="L28" s="183">
        <v>44562</v>
      </c>
      <c r="M28" s="166">
        <v>44927</v>
      </c>
      <c r="N28" s="164">
        <f t="shared" si="12"/>
        <v>365</v>
      </c>
      <c r="O28" s="164">
        <v>365</v>
      </c>
      <c r="P28" s="175" t="s">
        <v>104</v>
      </c>
      <c r="Q28" s="186">
        <f t="shared" si="13"/>
        <v>0</v>
      </c>
      <c r="R28" s="165" cm="1">
        <f t="array" ref="R28">_xlfn.IFS($P28="Nee",G28*$N28/$O28,$P28="Ja",G28*0.5)</f>
        <v>0</v>
      </c>
      <c r="S28" s="165" cm="1">
        <f t="array" ref="S28">_xlfn.IFS($P28="Nee",-(H28*$N28/$O28),$P28="Ja",-(H28*0.5))</f>
        <v>0</v>
      </c>
      <c r="T28" s="165">
        <f t="shared" si="14"/>
        <v>0</v>
      </c>
      <c r="U28" s="187">
        <f t="shared" si="15"/>
        <v>0</v>
      </c>
      <c r="V28" s="191">
        <f>IFERROR(_xlfn.XLOOKUP(Table4[[#This Row],[Subnummer]],Table3[Sub],Table3[Promillage 1]),0)</f>
        <v>0</v>
      </c>
      <c r="W28" s="167">
        <f>IFERROR(_xlfn.XLOOKUP(Table4[[#This Row],[Subnummer]],Table3[Sub],Table3[Promillage 2]),0)</f>
        <v>0</v>
      </c>
      <c r="X28" s="167">
        <f>IFERROR(_xlfn.XLOOKUP(Table4[[#This Row],[Subnummer]],Table3[Sub],Table3[Promillage 3]),0)</f>
        <v>0</v>
      </c>
      <c r="Y28" s="167">
        <f>IFERROR(_xlfn.XLOOKUP(Table4[[#This Row],[Subnummer]],Table3[Sub],Table3[Promillage 4]),0)</f>
        <v>0</v>
      </c>
      <c r="Z28" s="167">
        <f>IFERROR(_xlfn.XLOOKUP(Table4[[#This Row],[Subnummer]],Table3[Sub],#REF!),0)</f>
        <v>0</v>
      </c>
      <c r="AA28" s="167">
        <f>IFERROR(_xlfn.XLOOKUP(Table4[[#This Row],[Subnummer]],Table3[Sub],#REF!),0)</f>
        <v>0</v>
      </c>
      <c r="AB28" s="167">
        <f>IFERROR(_xlfn.XLOOKUP(Table4[[#This Row],[Subnummer]],Table3[Sub],#REF!),0)</f>
        <v>0</v>
      </c>
      <c r="AC28" s="167">
        <f>IFERROR(_xlfn.XLOOKUP(Table4[[#This Row],[Subnummer]],Table3[Sub],#REF!),0)</f>
        <v>0</v>
      </c>
      <c r="AD28" s="167">
        <f>IFERROR(_xlfn.XLOOKUP(Table4[[#This Row],[Subnummer]],Table3[Sub],#REF!),0)</f>
        <v>0</v>
      </c>
      <c r="AE28" s="167">
        <f>IFERROR(_xlfn.XLOOKUP(Table4[[#This Row],[Subnummer]],Table3[Sub],#REF!),0)</f>
        <v>0</v>
      </c>
      <c r="AF28" s="189">
        <f t="shared" si="16"/>
        <v>0</v>
      </c>
      <c r="AG28" s="189">
        <f t="shared" si="17"/>
        <v>0</v>
      </c>
      <c r="AH28" s="189">
        <f t="shared" si="18"/>
        <v>0</v>
      </c>
      <c r="AI28" s="189">
        <f t="shared" si="19"/>
        <v>0</v>
      </c>
      <c r="AJ28" s="189" t="e">
        <f t="shared" si="20"/>
        <v>#REF!</v>
      </c>
      <c r="AK28" s="189" t="e">
        <f t="shared" si="21"/>
        <v>#REF!</v>
      </c>
      <c r="AL28" s="189" t="e">
        <f t="shared" si="22"/>
        <v>#REF!</v>
      </c>
      <c r="AM28" s="189" t="e">
        <f t="shared" si="23"/>
        <v>#REF!</v>
      </c>
      <c r="AN28" s="189" t="e">
        <f t="shared" si="24"/>
        <v>#REF!</v>
      </c>
      <c r="AO28" s="189" t="e">
        <f t="shared" si="25"/>
        <v>#REF!</v>
      </c>
      <c r="AP28" s="165" t="e">
        <f t="shared" si="26"/>
        <v>#REF!</v>
      </c>
      <c r="AQ28" s="175" t="e" cm="1">
        <f t="array" ref="AQ28">_xlfn.IFS(AP28=0,"Nihil",AP28&gt;0,"Suppletie",AP28&lt;0,"Restitutie")</f>
        <v>#REF!</v>
      </c>
    </row>
    <row r="29" spans="1:43" x14ac:dyDescent="0.25">
      <c r="A29" s="174" t="str">
        <f>IFERROR(_xlfn.XLOOKUP(D29,Table3[Sub],Table3[Verzekerde]),"-")</f>
        <v>-</v>
      </c>
      <c r="B29" s="164"/>
      <c r="C29" s="164" t="str">
        <f>IFERROR(_xlfn.XLOOKUP(Table4[[#This Row],[Subnummer]],Table3[Sub],Table3[Certificaat]),"-")</f>
        <v>-</v>
      </c>
      <c r="D29" s="177">
        <v>0</v>
      </c>
      <c r="E29" s="180">
        <f>IFERROR(_xlfn.XLOOKUP(Table4[[#This Row],[Subnummer]],Table3[Sub],Table3[Verz. Waarde Oud:]),0)</f>
        <v>0</v>
      </c>
      <c r="F29" s="165">
        <v>0</v>
      </c>
      <c r="G29" s="165">
        <v>0</v>
      </c>
      <c r="H29" s="165">
        <v>0</v>
      </c>
      <c r="I29" s="165">
        <v>0</v>
      </c>
      <c r="J29" s="165">
        <f t="shared" si="10"/>
        <v>0</v>
      </c>
      <c r="K29" s="181">
        <f t="shared" si="11"/>
        <v>0</v>
      </c>
      <c r="L29" s="183">
        <v>44562</v>
      </c>
      <c r="M29" s="166">
        <v>44927</v>
      </c>
      <c r="N29" s="164">
        <f t="shared" si="12"/>
        <v>365</v>
      </c>
      <c r="O29" s="164">
        <v>365</v>
      </c>
      <c r="P29" s="175" t="s">
        <v>104</v>
      </c>
      <c r="Q29" s="186">
        <f t="shared" si="13"/>
        <v>0</v>
      </c>
      <c r="R29" s="165" cm="1">
        <f t="array" ref="R29">_xlfn.IFS($P29="Nee",G29*$N29/$O29,$P29="Ja",G29*0.5)</f>
        <v>0</v>
      </c>
      <c r="S29" s="165" cm="1">
        <f t="array" ref="S29">_xlfn.IFS($P29="Nee",-(H29*$N29/$O29),$P29="Ja",-(H29*0.5))</f>
        <v>0</v>
      </c>
      <c r="T29" s="165">
        <f t="shared" si="14"/>
        <v>0</v>
      </c>
      <c r="U29" s="187">
        <f t="shared" si="15"/>
        <v>0</v>
      </c>
      <c r="V29" s="191">
        <f>IFERROR(_xlfn.XLOOKUP(Table4[[#This Row],[Subnummer]],Table3[Sub],Table3[Promillage 1]),0)</f>
        <v>0</v>
      </c>
      <c r="W29" s="167">
        <f>IFERROR(_xlfn.XLOOKUP(Table4[[#This Row],[Subnummer]],Table3[Sub],Table3[Promillage 2]),0)</f>
        <v>0</v>
      </c>
      <c r="X29" s="167">
        <f>IFERROR(_xlfn.XLOOKUP(Table4[[#This Row],[Subnummer]],Table3[Sub],Table3[Promillage 3]),0)</f>
        <v>0</v>
      </c>
      <c r="Y29" s="167">
        <f>IFERROR(_xlfn.XLOOKUP(Table4[[#This Row],[Subnummer]],Table3[Sub],Table3[Promillage 4]),0)</f>
        <v>0</v>
      </c>
      <c r="Z29" s="167">
        <f>IFERROR(_xlfn.XLOOKUP(Table4[[#This Row],[Subnummer]],Table3[Sub],#REF!),0)</f>
        <v>0</v>
      </c>
      <c r="AA29" s="167">
        <f>IFERROR(_xlfn.XLOOKUP(Table4[[#This Row],[Subnummer]],Table3[Sub],#REF!),0)</f>
        <v>0</v>
      </c>
      <c r="AB29" s="167">
        <f>IFERROR(_xlfn.XLOOKUP(Table4[[#This Row],[Subnummer]],Table3[Sub],#REF!),0)</f>
        <v>0</v>
      </c>
      <c r="AC29" s="167">
        <f>IFERROR(_xlfn.XLOOKUP(Table4[[#This Row],[Subnummer]],Table3[Sub],#REF!),0)</f>
        <v>0</v>
      </c>
      <c r="AD29" s="167">
        <f>IFERROR(_xlfn.XLOOKUP(Table4[[#This Row],[Subnummer]],Table3[Sub],#REF!),0)</f>
        <v>0</v>
      </c>
      <c r="AE29" s="167">
        <f>IFERROR(_xlfn.XLOOKUP(Table4[[#This Row],[Subnummer]],Table3[Sub],#REF!),0)</f>
        <v>0</v>
      </c>
      <c r="AF29" s="189">
        <f t="shared" si="16"/>
        <v>0</v>
      </c>
      <c r="AG29" s="189">
        <f t="shared" si="17"/>
        <v>0</v>
      </c>
      <c r="AH29" s="189">
        <f t="shared" si="18"/>
        <v>0</v>
      </c>
      <c r="AI29" s="189">
        <f t="shared" si="19"/>
        <v>0</v>
      </c>
      <c r="AJ29" s="189" t="e">
        <f t="shared" si="20"/>
        <v>#REF!</v>
      </c>
      <c r="AK29" s="189" t="e">
        <f t="shared" si="21"/>
        <v>#REF!</v>
      </c>
      <c r="AL29" s="189" t="e">
        <f t="shared" si="22"/>
        <v>#REF!</v>
      </c>
      <c r="AM29" s="189" t="e">
        <f t="shared" si="23"/>
        <v>#REF!</v>
      </c>
      <c r="AN29" s="189" t="e">
        <f t="shared" si="24"/>
        <v>#REF!</v>
      </c>
      <c r="AO29" s="189" t="e">
        <f t="shared" si="25"/>
        <v>#REF!</v>
      </c>
      <c r="AP29" s="165" t="e">
        <f t="shared" si="26"/>
        <v>#REF!</v>
      </c>
      <c r="AQ29" s="175" t="e" cm="1">
        <f t="array" ref="AQ29">_xlfn.IFS(AP29=0,"Nihil",AP29&gt;0,"Suppletie",AP29&lt;0,"Restitutie")</f>
        <v>#REF!</v>
      </c>
    </row>
    <row r="30" spans="1:43" x14ac:dyDescent="0.25">
      <c r="A30" s="174" t="str">
        <f>IFERROR(_xlfn.XLOOKUP(D30,Table3[Sub],Table3[Verzekerde]),"-")</f>
        <v>-</v>
      </c>
      <c r="B30" s="164"/>
      <c r="C30" s="164" t="str">
        <f>IFERROR(_xlfn.XLOOKUP(Table4[[#This Row],[Subnummer]],Table3[Sub],Table3[Certificaat]),"-")</f>
        <v>-</v>
      </c>
      <c r="D30" s="177">
        <v>0</v>
      </c>
      <c r="E30" s="180">
        <f>IFERROR(_xlfn.XLOOKUP(Table4[[#This Row],[Subnummer]],Table3[Sub],Table3[Verz. Waarde Oud:]),0)</f>
        <v>0</v>
      </c>
      <c r="F30" s="165">
        <v>0</v>
      </c>
      <c r="G30" s="165">
        <v>0</v>
      </c>
      <c r="H30" s="165">
        <v>0</v>
      </c>
      <c r="I30" s="165">
        <v>0</v>
      </c>
      <c r="J30" s="165">
        <f t="shared" si="10"/>
        <v>0</v>
      </c>
      <c r="K30" s="181">
        <f t="shared" si="11"/>
        <v>0</v>
      </c>
      <c r="L30" s="183">
        <v>44562</v>
      </c>
      <c r="M30" s="166">
        <v>44927</v>
      </c>
      <c r="N30" s="164">
        <f t="shared" si="12"/>
        <v>365</v>
      </c>
      <c r="O30" s="164">
        <v>365</v>
      </c>
      <c r="P30" s="175" t="s">
        <v>104</v>
      </c>
      <c r="Q30" s="186">
        <f t="shared" si="13"/>
        <v>0</v>
      </c>
      <c r="R30" s="165" cm="1">
        <f t="array" ref="R30">_xlfn.IFS($P30="Nee",G30*$N30/$O30,$P30="Ja",G30*0.5)</f>
        <v>0</v>
      </c>
      <c r="S30" s="165" cm="1">
        <f t="array" ref="S30">_xlfn.IFS($P30="Nee",-(H30*$N30/$O30),$P30="Ja",-(H30*0.5))</f>
        <v>0</v>
      </c>
      <c r="T30" s="165">
        <f t="shared" si="14"/>
        <v>0</v>
      </c>
      <c r="U30" s="187">
        <f t="shared" si="15"/>
        <v>0</v>
      </c>
      <c r="V30" s="191">
        <f>IFERROR(_xlfn.XLOOKUP(Table4[[#This Row],[Subnummer]],Table3[Sub],Table3[Promillage 1]),0)</f>
        <v>0</v>
      </c>
      <c r="W30" s="167">
        <f>IFERROR(_xlfn.XLOOKUP(Table4[[#This Row],[Subnummer]],Table3[Sub],Table3[Promillage 2]),0)</f>
        <v>0</v>
      </c>
      <c r="X30" s="167">
        <f>IFERROR(_xlfn.XLOOKUP(Table4[[#This Row],[Subnummer]],Table3[Sub],Table3[Promillage 3]),0)</f>
        <v>0</v>
      </c>
      <c r="Y30" s="167">
        <f>IFERROR(_xlfn.XLOOKUP(Table4[[#This Row],[Subnummer]],Table3[Sub],Table3[Promillage 4]),0)</f>
        <v>0</v>
      </c>
      <c r="Z30" s="167">
        <f>IFERROR(_xlfn.XLOOKUP(Table4[[#This Row],[Subnummer]],Table3[Sub],#REF!),0)</f>
        <v>0</v>
      </c>
      <c r="AA30" s="167">
        <f>IFERROR(_xlfn.XLOOKUP(Table4[[#This Row],[Subnummer]],Table3[Sub],#REF!),0)</f>
        <v>0</v>
      </c>
      <c r="AB30" s="167">
        <f>IFERROR(_xlfn.XLOOKUP(Table4[[#This Row],[Subnummer]],Table3[Sub],#REF!),0)</f>
        <v>0</v>
      </c>
      <c r="AC30" s="167">
        <f>IFERROR(_xlfn.XLOOKUP(Table4[[#This Row],[Subnummer]],Table3[Sub],#REF!),0)</f>
        <v>0</v>
      </c>
      <c r="AD30" s="167">
        <f>IFERROR(_xlfn.XLOOKUP(Table4[[#This Row],[Subnummer]],Table3[Sub],#REF!),0)</f>
        <v>0</v>
      </c>
      <c r="AE30" s="167">
        <f>IFERROR(_xlfn.XLOOKUP(Table4[[#This Row],[Subnummer]],Table3[Sub],#REF!),0)</f>
        <v>0</v>
      </c>
      <c r="AF30" s="189">
        <f t="shared" si="16"/>
        <v>0</v>
      </c>
      <c r="AG30" s="189">
        <f t="shared" si="17"/>
        <v>0</v>
      </c>
      <c r="AH30" s="189">
        <f t="shared" si="18"/>
        <v>0</v>
      </c>
      <c r="AI30" s="189">
        <f t="shared" si="19"/>
        <v>0</v>
      </c>
      <c r="AJ30" s="189" t="e">
        <f t="shared" si="20"/>
        <v>#REF!</v>
      </c>
      <c r="AK30" s="189" t="e">
        <f t="shared" si="21"/>
        <v>#REF!</v>
      </c>
      <c r="AL30" s="189" t="e">
        <f t="shared" si="22"/>
        <v>#REF!</v>
      </c>
      <c r="AM30" s="189" t="e">
        <f t="shared" si="23"/>
        <v>#REF!</v>
      </c>
      <c r="AN30" s="189" t="e">
        <f t="shared" si="24"/>
        <v>#REF!</v>
      </c>
      <c r="AO30" s="189" t="e">
        <f t="shared" si="25"/>
        <v>#REF!</v>
      </c>
      <c r="AP30" s="165" t="e">
        <f t="shared" si="26"/>
        <v>#REF!</v>
      </c>
      <c r="AQ30" s="175" t="e" cm="1">
        <f t="array" ref="AQ30">_xlfn.IFS(AP30=0,"Nihil",AP30&gt;0,"Suppletie",AP30&lt;0,"Restitutie")</f>
        <v>#REF!</v>
      </c>
    </row>
    <row r="31" spans="1:43" x14ac:dyDescent="0.25">
      <c r="A31" s="174" t="str">
        <f>IFERROR(_xlfn.XLOOKUP(D31,Table3[Sub],Table3[Verzekerde]),"-")</f>
        <v>-</v>
      </c>
      <c r="B31" s="164"/>
      <c r="C31" s="164" t="str">
        <f>IFERROR(_xlfn.XLOOKUP(Table4[[#This Row],[Subnummer]],Table3[Sub],Table3[Certificaat]),"-")</f>
        <v>-</v>
      </c>
      <c r="D31" s="177">
        <v>0</v>
      </c>
      <c r="E31" s="180">
        <f>IFERROR(_xlfn.XLOOKUP(Table4[[#This Row],[Subnummer]],Table3[Sub],Table3[Verz. Waarde Oud:]),0)</f>
        <v>0</v>
      </c>
      <c r="F31" s="165">
        <v>0</v>
      </c>
      <c r="G31" s="165">
        <v>0</v>
      </c>
      <c r="H31" s="165">
        <v>0</v>
      </c>
      <c r="I31" s="165">
        <v>0</v>
      </c>
      <c r="J31" s="165">
        <f t="shared" si="10"/>
        <v>0</v>
      </c>
      <c r="K31" s="181">
        <f t="shared" si="11"/>
        <v>0</v>
      </c>
      <c r="L31" s="183">
        <v>44562</v>
      </c>
      <c r="M31" s="166">
        <v>44927</v>
      </c>
      <c r="N31" s="164">
        <f t="shared" si="12"/>
        <v>365</v>
      </c>
      <c r="O31" s="164">
        <v>365</v>
      </c>
      <c r="P31" s="175" t="s">
        <v>104</v>
      </c>
      <c r="Q31" s="186">
        <f t="shared" si="13"/>
        <v>0</v>
      </c>
      <c r="R31" s="165" cm="1">
        <f t="array" ref="R31">_xlfn.IFS($P31="Nee",G31*$N31/$O31,$P31="Ja",G31*0.5)</f>
        <v>0</v>
      </c>
      <c r="S31" s="165" cm="1">
        <f t="array" ref="S31">_xlfn.IFS($P31="Nee",-(H31*$N31/$O31),$P31="Ja",-(H31*0.5))</f>
        <v>0</v>
      </c>
      <c r="T31" s="165">
        <f t="shared" si="14"/>
        <v>0</v>
      </c>
      <c r="U31" s="187">
        <f t="shared" si="15"/>
        <v>0</v>
      </c>
      <c r="V31" s="191">
        <f>IFERROR(_xlfn.XLOOKUP(Table4[[#This Row],[Subnummer]],Table3[Sub],Table3[Promillage 1]),0)</f>
        <v>0</v>
      </c>
      <c r="W31" s="167">
        <f>IFERROR(_xlfn.XLOOKUP(Table4[[#This Row],[Subnummer]],Table3[Sub],Table3[Promillage 2]),0)</f>
        <v>0</v>
      </c>
      <c r="X31" s="167">
        <f>IFERROR(_xlfn.XLOOKUP(Table4[[#This Row],[Subnummer]],Table3[Sub],Table3[Promillage 3]),0)</f>
        <v>0</v>
      </c>
      <c r="Y31" s="167">
        <f>IFERROR(_xlfn.XLOOKUP(Table4[[#This Row],[Subnummer]],Table3[Sub],Table3[Promillage 4]),0)</f>
        <v>0</v>
      </c>
      <c r="Z31" s="167">
        <f>IFERROR(_xlfn.XLOOKUP(Table4[[#This Row],[Subnummer]],Table3[Sub],#REF!),0)</f>
        <v>0</v>
      </c>
      <c r="AA31" s="167">
        <f>IFERROR(_xlfn.XLOOKUP(Table4[[#This Row],[Subnummer]],Table3[Sub],#REF!),0)</f>
        <v>0</v>
      </c>
      <c r="AB31" s="167">
        <f>IFERROR(_xlfn.XLOOKUP(Table4[[#This Row],[Subnummer]],Table3[Sub],#REF!),0)</f>
        <v>0</v>
      </c>
      <c r="AC31" s="167">
        <f>IFERROR(_xlfn.XLOOKUP(Table4[[#This Row],[Subnummer]],Table3[Sub],#REF!),0)</f>
        <v>0</v>
      </c>
      <c r="AD31" s="167">
        <f>IFERROR(_xlfn.XLOOKUP(Table4[[#This Row],[Subnummer]],Table3[Sub],#REF!),0)</f>
        <v>0</v>
      </c>
      <c r="AE31" s="167">
        <f>IFERROR(_xlfn.XLOOKUP(Table4[[#This Row],[Subnummer]],Table3[Sub],#REF!),0)</f>
        <v>0</v>
      </c>
      <c r="AF31" s="189">
        <f t="shared" si="16"/>
        <v>0</v>
      </c>
      <c r="AG31" s="189">
        <f t="shared" si="17"/>
        <v>0</v>
      </c>
      <c r="AH31" s="189">
        <f t="shared" si="18"/>
        <v>0</v>
      </c>
      <c r="AI31" s="189">
        <f t="shared" si="19"/>
        <v>0</v>
      </c>
      <c r="AJ31" s="189" t="e">
        <f t="shared" si="20"/>
        <v>#REF!</v>
      </c>
      <c r="AK31" s="189" t="e">
        <f t="shared" si="21"/>
        <v>#REF!</v>
      </c>
      <c r="AL31" s="189" t="e">
        <f t="shared" si="22"/>
        <v>#REF!</v>
      </c>
      <c r="AM31" s="189" t="e">
        <f t="shared" si="23"/>
        <v>#REF!</v>
      </c>
      <c r="AN31" s="189" t="e">
        <f t="shared" si="24"/>
        <v>#REF!</v>
      </c>
      <c r="AO31" s="189" t="e">
        <f t="shared" si="25"/>
        <v>#REF!</v>
      </c>
      <c r="AP31" s="165" t="e">
        <f t="shared" si="26"/>
        <v>#REF!</v>
      </c>
      <c r="AQ31" s="175" t="e" cm="1">
        <f t="array" ref="AQ31">_xlfn.IFS(AP31=0,"Nihil",AP31&gt;0,"Suppletie",AP31&lt;0,"Restitutie")</f>
        <v>#REF!</v>
      </c>
    </row>
    <row r="32" spans="1:43" x14ac:dyDescent="0.25">
      <c r="A32" s="174" t="str">
        <f>IFERROR(_xlfn.XLOOKUP(D32,Table3[Sub],Table3[Verzekerde]),"-")</f>
        <v>-</v>
      </c>
      <c r="B32" s="164"/>
      <c r="C32" s="164" t="str">
        <f>IFERROR(_xlfn.XLOOKUP(Table4[[#This Row],[Subnummer]],Table3[Sub],Table3[Certificaat]),"-")</f>
        <v>-</v>
      </c>
      <c r="D32" s="177">
        <v>0</v>
      </c>
      <c r="E32" s="180">
        <f>IFERROR(_xlfn.XLOOKUP(Table4[[#This Row],[Subnummer]],Table3[Sub],Table3[Verz. Waarde Oud:]),0)</f>
        <v>0</v>
      </c>
      <c r="F32" s="165">
        <v>0</v>
      </c>
      <c r="G32" s="165">
        <v>0</v>
      </c>
      <c r="H32" s="165">
        <v>0</v>
      </c>
      <c r="I32" s="165">
        <v>0</v>
      </c>
      <c r="J32" s="165">
        <f t="shared" si="10"/>
        <v>0</v>
      </c>
      <c r="K32" s="181">
        <f t="shared" si="11"/>
        <v>0</v>
      </c>
      <c r="L32" s="183">
        <v>44562</v>
      </c>
      <c r="M32" s="166">
        <v>44927</v>
      </c>
      <c r="N32" s="164">
        <f t="shared" si="12"/>
        <v>365</v>
      </c>
      <c r="O32" s="164">
        <v>365</v>
      </c>
      <c r="P32" s="175" t="s">
        <v>104</v>
      </c>
      <c r="Q32" s="186">
        <f t="shared" si="13"/>
        <v>0</v>
      </c>
      <c r="R32" s="165" cm="1">
        <f t="array" ref="R32">_xlfn.IFS($P32="Nee",G32*$N32/$O32,$P32="Ja",G32*0.5)</f>
        <v>0</v>
      </c>
      <c r="S32" s="165" cm="1">
        <f t="array" ref="S32">_xlfn.IFS($P32="Nee",-(H32*$N32/$O32),$P32="Ja",-(H32*0.5))</f>
        <v>0</v>
      </c>
      <c r="T32" s="165">
        <f t="shared" si="14"/>
        <v>0</v>
      </c>
      <c r="U32" s="187">
        <f t="shared" si="15"/>
        <v>0</v>
      </c>
      <c r="V32" s="191">
        <f>IFERROR(_xlfn.XLOOKUP(Table4[[#This Row],[Subnummer]],Table3[Sub],Table3[Promillage 1]),0)</f>
        <v>0</v>
      </c>
      <c r="W32" s="167">
        <f>IFERROR(_xlfn.XLOOKUP(Table4[[#This Row],[Subnummer]],Table3[Sub],Table3[Promillage 2]),0)</f>
        <v>0</v>
      </c>
      <c r="X32" s="167">
        <f>IFERROR(_xlfn.XLOOKUP(Table4[[#This Row],[Subnummer]],Table3[Sub],Table3[Promillage 3]),0)</f>
        <v>0</v>
      </c>
      <c r="Y32" s="167">
        <f>IFERROR(_xlfn.XLOOKUP(Table4[[#This Row],[Subnummer]],Table3[Sub],Table3[Promillage 4]),0)</f>
        <v>0</v>
      </c>
      <c r="Z32" s="167">
        <f>IFERROR(_xlfn.XLOOKUP(Table4[[#This Row],[Subnummer]],Table3[Sub],#REF!),0)</f>
        <v>0</v>
      </c>
      <c r="AA32" s="167">
        <f>IFERROR(_xlfn.XLOOKUP(Table4[[#This Row],[Subnummer]],Table3[Sub],#REF!),0)</f>
        <v>0</v>
      </c>
      <c r="AB32" s="167">
        <f>IFERROR(_xlfn.XLOOKUP(Table4[[#This Row],[Subnummer]],Table3[Sub],#REF!),0)</f>
        <v>0</v>
      </c>
      <c r="AC32" s="167">
        <f>IFERROR(_xlfn.XLOOKUP(Table4[[#This Row],[Subnummer]],Table3[Sub],#REF!),0)</f>
        <v>0</v>
      </c>
      <c r="AD32" s="167">
        <f>IFERROR(_xlfn.XLOOKUP(Table4[[#This Row],[Subnummer]],Table3[Sub],#REF!),0)</f>
        <v>0</v>
      </c>
      <c r="AE32" s="167">
        <f>IFERROR(_xlfn.XLOOKUP(Table4[[#This Row],[Subnummer]],Table3[Sub],#REF!),0)</f>
        <v>0</v>
      </c>
      <c r="AF32" s="189">
        <f t="shared" si="16"/>
        <v>0</v>
      </c>
      <c r="AG32" s="189">
        <f t="shared" si="17"/>
        <v>0</v>
      </c>
      <c r="AH32" s="189">
        <f t="shared" si="18"/>
        <v>0</v>
      </c>
      <c r="AI32" s="189">
        <f t="shared" si="19"/>
        <v>0</v>
      </c>
      <c r="AJ32" s="189" t="e">
        <f t="shared" si="20"/>
        <v>#REF!</v>
      </c>
      <c r="AK32" s="189" t="e">
        <f t="shared" si="21"/>
        <v>#REF!</v>
      </c>
      <c r="AL32" s="189" t="e">
        <f t="shared" si="22"/>
        <v>#REF!</v>
      </c>
      <c r="AM32" s="189" t="e">
        <f t="shared" si="23"/>
        <v>#REF!</v>
      </c>
      <c r="AN32" s="189" t="e">
        <f t="shared" si="24"/>
        <v>#REF!</v>
      </c>
      <c r="AO32" s="189" t="e">
        <f t="shared" si="25"/>
        <v>#REF!</v>
      </c>
      <c r="AP32" s="165" t="e">
        <f t="shared" si="26"/>
        <v>#REF!</v>
      </c>
      <c r="AQ32" s="175" t="e" cm="1">
        <f t="array" ref="AQ32">_xlfn.IFS(AP32=0,"Nihil",AP32&gt;0,"Suppletie",AP32&lt;0,"Restitutie")</f>
        <v>#REF!</v>
      </c>
    </row>
    <row r="33" spans="1:43" x14ac:dyDescent="0.25">
      <c r="A33" s="174" t="str">
        <f>IFERROR(_xlfn.XLOOKUP(D33,Table3[Sub],Table3[Verzekerde]),"-")</f>
        <v>-</v>
      </c>
      <c r="B33" s="164"/>
      <c r="C33" s="164" t="str">
        <f>IFERROR(_xlfn.XLOOKUP(Table4[[#This Row],[Subnummer]],Table3[Sub],Table3[Certificaat]),"-")</f>
        <v>-</v>
      </c>
      <c r="D33" s="177">
        <v>0</v>
      </c>
      <c r="E33" s="180">
        <f>IFERROR(_xlfn.XLOOKUP(Table4[[#This Row],[Subnummer]],Table3[Sub],Table3[Verz. Waarde Oud:]),0)</f>
        <v>0</v>
      </c>
      <c r="F33" s="165">
        <v>0</v>
      </c>
      <c r="G33" s="165">
        <v>0</v>
      </c>
      <c r="H33" s="165">
        <v>0</v>
      </c>
      <c r="I33" s="165">
        <v>0</v>
      </c>
      <c r="J33" s="165">
        <f t="shared" si="10"/>
        <v>0</v>
      </c>
      <c r="K33" s="181">
        <f t="shared" si="11"/>
        <v>0</v>
      </c>
      <c r="L33" s="183">
        <v>44562</v>
      </c>
      <c r="M33" s="166">
        <v>44927</v>
      </c>
      <c r="N33" s="164">
        <f t="shared" si="12"/>
        <v>365</v>
      </c>
      <c r="O33" s="164">
        <v>365</v>
      </c>
      <c r="P33" s="175" t="s">
        <v>104</v>
      </c>
      <c r="Q33" s="186">
        <f t="shared" si="13"/>
        <v>0</v>
      </c>
      <c r="R33" s="165" cm="1">
        <f t="array" ref="R33">_xlfn.IFS($P33="Nee",G33*$N33/$O33,$P33="Ja",G33*0.5)</f>
        <v>0</v>
      </c>
      <c r="S33" s="165" cm="1">
        <f t="array" ref="S33">_xlfn.IFS($P33="Nee",-(H33*$N33/$O33),$P33="Ja",-(H33*0.5))</f>
        <v>0</v>
      </c>
      <c r="T33" s="165">
        <f t="shared" si="14"/>
        <v>0</v>
      </c>
      <c r="U33" s="187">
        <f t="shared" si="15"/>
        <v>0</v>
      </c>
      <c r="V33" s="191">
        <f>IFERROR(_xlfn.XLOOKUP(Table4[[#This Row],[Subnummer]],Table3[Sub],Table3[Promillage 1]),0)</f>
        <v>0</v>
      </c>
      <c r="W33" s="167">
        <f>IFERROR(_xlfn.XLOOKUP(Table4[[#This Row],[Subnummer]],Table3[Sub],Table3[Promillage 2]),0)</f>
        <v>0</v>
      </c>
      <c r="X33" s="167">
        <f>IFERROR(_xlfn.XLOOKUP(Table4[[#This Row],[Subnummer]],Table3[Sub],Table3[Promillage 3]),0)</f>
        <v>0</v>
      </c>
      <c r="Y33" s="167">
        <f>IFERROR(_xlfn.XLOOKUP(Table4[[#This Row],[Subnummer]],Table3[Sub],Table3[Promillage 4]),0)</f>
        <v>0</v>
      </c>
      <c r="Z33" s="167">
        <f>IFERROR(_xlfn.XLOOKUP(Table4[[#This Row],[Subnummer]],Table3[Sub],#REF!),0)</f>
        <v>0</v>
      </c>
      <c r="AA33" s="167">
        <f>IFERROR(_xlfn.XLOOKUP(Table4[[#This Row],[Subnummer]],Table3[Sub],#REF!),0)</f>
        <v>0</v>
      </c>
      <c r="AB33" s="167">
        <f>IFERROR(_xlfn.XLOOKUP(Table4[[#This Row],[Subnummer]],Table3[Sub],#REF!),0)</f>
        <v>0</v>
      </c>
      <c r="AC33" s="167">
        <f>IFERROR(_xlfn.XLOOKUP(Table4[[#This Row],[Subnummer]],Table3[Sub],#REF!),0)</f>
        <v>0</v>
      </c>
      <c r="AD33" s="167">
        <f>IFERROR(_xlfn.XLOOKUP(Table4[[#This Row],[Subnummer]],Table3[Sub],#REF!),0)</f>
        <v>0</v>
      </c>
      <c r="AE33" s="167">
        <f>IFERROR(_xlfn.XLOOKUP(Table4[[#This Row],[Subnummer]],Table3[Sub],#REF!),0)</f>
        <v>0</v>
      </c>
      <c r="AF33" s="189">
        <f t="shared" si="16"/>
        <v>0</v>
      </c>
      <c r="AG33" s="189">
        <f t="shared" si="17"/>
        <v>0</v>
      </c>
      <c r="AH33" s="189">
        <f t="shared" si="18"/>
        <v>0</v>
      </c>
      <c r="AI33" s="189">
        <f t="shared" si="19"/>
        <v>0</v>
      </c>
      <c r="AJ33" s="189" t="e">
        <f t="shared" si="20"/>
        <v>#REF!</v>
      </c>
      <c r="AK33" s="189" t="e">
        <f t="shared" si="21"/>
        <v>#REF!</v>
      </c>
      <c r="AL33" s="189" t="e">
        <f t="shared" si="22"/>
        <v>#REF!</v>
      </c>
      <c r="AM33" s="189" t="e">
        <f t="shared" si="23"/>
        <v>#REF!</v>
      </c>
      <c r="AN33" s="189" t="e">
        <f t="shared" si="24"/>
        <v>#REF!</v>
      </c>
      <c r="AO33" s="189" t="e">
        <f t="shared" si="25"/>
        <v>#REF!</v>
      </c>
      <c r="AP33" s="165" t="e">
        <f t="shared" si="26"/>
        <v>#REF!</v>
      </c>
      <c r="AQ33" s="175" t="e" cm="1">
        <f t="array" ref="AQ33">_xlfn.IFS(AP33=0,"Nihil",AP33&gt;0,"Suppletie",AP33&lt;0,"Restitutie")</f>
        <v>#REF!</v>
      </c>
    </row>
    <row r="34" spans="1:43" x14ac:dyDescent="0.25">
      <c r="A34" s="174" t="str">
        <f>IFERROR(_xlfn.XLOOKUP(D34,Table3[Sub],Table3[Verzekerde]),"-")</f>
        <v>-</v>
      </c>
      <c r="B34" s="164"/>
      <c r="C34" s="164" t="str">
        <f>IFERROR(_xlfn.XLOOKUP(Table4[[#This Row],[Subnummer]],Table3[Sub],Table3[Certificaat]),"-")</f>
        <v>-</v>
      </c>
      <c r="D34" s="177">
        <v>0</v>
      </c>
      <c r="E34" s="180">
        <f>IFERROR(_xlfn.XLOOKUP(Table4[[#This Row],[Subnummer]],Table3[Sub],Table3[Verz. Waarde Oud:]),0)</f>
        <v>0</v>
      </c>
      <c r="F34" s="165">
        <v>0</v>
      </c>
      <c r="G34" s="165">
        <v>0</v>
      </c>
      <c r="H34" s="165">
        <v>0</v>
      </c>
      <c r="I34" s="165">
        <v>0</v>
      </c>
      <c r="J34" s="165">
        <f t="shared" si="10"/>
        <v>0</v>
      </c>
      <c r="K34" s="181">
        <f t="shared" si="11"/>
        <v>0</v>
      </c>
      <c r="L34" s="183">
        <v>44562</v>
      </c>
      <c r="M34" s="166">
        <v>44927</v>
      </c>
      <c r="N34" s="164">
        <f t="shared" si="12"/>
        <v>365</v>
      </c>
      <c r="O34" s="164">
        <v>365</v>
      </c>
      <c r="P34" s="175" t="s">
        <v>104</v>
      </c>
      <c r="Q34" s="186">
        <f t="shared" si="13"/>
        <v>0</v>
      </c>
      <c r="R34" s="165" cm="1">
        <f t="array" ref="R34">_xlfn.IFS($P34="Nee",G34*$N34/$O34,$P34="Ja",G34*0.5)</f>
        <v>0</v>
      </c>
      <c r="S34" s="165" cm="1">
        <f t="array" ref="S34">_xlfn.IFS($P34="Nee",-(H34*$N34/$O34),$P34="Ja",-(H34*0.5))</f>
        <v>0</v>
      </c>
      <c r="T34" s="165">
        <f t="shared" si="14"/>
        <v>0</v>
      </c>
      <c r="U34" s="187">
        <f t="shared" si="15"/>
        <v>0</v>
      </c>
      <c r="V34" s="191">
        <f>IFERROR(_xlfn.XLOOKUP(Table4[[#This Row],[Subnummer]],Table3[Sub],Table3[Promillage 1]),0)</f>
        <v>0</v>
      </c>
      <c r="W34" s="167">
        <f>IFERROR(_xlfn.XLOOKUP(Table4[[#This Row],[Subnummer]],Table3[Sub],Table3[Promillage 2]),0)</f>
        <v>0</v>
      </c>
      <c r="X34" s="167">
        <f>IFERROR(_xlfn.XLOOKUP(Table4[[#This Row],[Subnummer]],Table3[Sub],Table3[Promillage 3]),0)</f>
        <v>0</v>
      </c>
      <c r="Y34" s="167">
        <f>IFERROR(_xlfn.XLOOKUP(Table4[[#This Row],[Subnummer]],Table3[Sub],Table3[Promillage 4]),0)</f>
        <v>0</v>
      </c>
      <c r="Z34" s="167">
        <f>IFERROR(_xlfn.XLOOKUP(Table4[[#This Row],[Subnummer]],Table3[Sub],#REF!),0)</f>
        <v>0</v>
      </c>
      <c r="AA34" s="167">
        <f>IFERROR(_xlfn.XLOOKUP(Table4[[#This Row],[Subnummer]],Table3[Sub],#REF!),0)</f>
        <v>0</v>
      </c>
      <c r="AB34" s="167">
        <f>IFERROR(_xlfn.XLOOKUP(Table4[[#This Row],[Subnummer]],Table3[Sub],#REF!),0)</f>
        <v>0</v>
      </c>
      <c r="AC34" s="167">
        <f>IFERROR(_xlfn.XLOOKUP(Table4[[#This Row],[Subnummer]],Table3[Sub],#REF!),0)</f>
        <v>0</v>
      </c>
      <c r="AD34" s="167">
        <f>IFERROR(_xlfn.XLOOKUP(Table4[[#This Row],[Subnummer]],Table3[Sub],#REF!),0)</f>
        <v>0</v>
      </c>
      <c r="AE34" s="167">
        <f>IFERROR(_xlfn.XLOOKUP(Table4[[#This Row],[Subnummer]],Table3[Sub],#REF!),0)</f>
        <v>0</v>
      </c>
      <c r="AF34" s="189">
        <f t="shared" si="16"/>
        <v>0</v>
      </c>
      <c r="AG34" s="189">
        <f t="shared" si="17"/>
        <v>0</v>
      </c>
      <c r="AH34" s="189">
        <f t="shared" si="18"/>
        <v>0</v>
      </c>
      <c r="AI34" s="189">
        <f t="shared" si="19"/>
        <v>0</v>
      </c>
      <c r="AJ34" s="189" t="e">
        <f t="shared" si="20"/>
        <v>#REF!</v>
      </c>
      <c r="AK34" s="189" t="e">
        <f t="shared" si="21"/>
        <v>#REF!</v>
      </c>
      <c r="AL34" s="189" t="e">
        <f t="shared" si="22"/>
        <v>#REF!</v>
      </c>
      <c r="AM34" s="189" t="e">
        <f t="shared" si="23"/>
        <v>#REF!</v>
      </c>
      <c r="AN34" s="189" t="e">
        <f t="shared" si="24"/>
        <v>#REF!</v>
      </c>
      <c r="AO34" s="189" t="e">
        <f t="shared" si="25"/>
        <v>#REF!</v>
      </c>
      <c r="AP34" s="165" t="e">
        <f t="shared" si="26"/>
        <v>#REF!</v>
      </c>
      <c r="AQ34" s="175" t="e" cm="1">
        <f t="array" ref="AQ34">_xlfn.IFS(AP34=0,"Nihil",AP34&gt;0,"Suppletie",AP34&lt;0,"Restitutie")</f>
        <v>#REF!</v>
      </c>
    </row>
    <row r="35" spans="1:43" x14ac:dyDescent="0.25">
      <c r="A35" s="174" t="str">
        <f>IFERROR(_xlfn.XLOOKUP(D35,Table3[Sub],Table3[Verzekerde]),"-")</f>
        <v>-</v>
      </c>
      <c r="B35" s="164"/>
      <c r="C35" s="164" t="str">
        <f>IFERROR(_xlfn.XLOOKUP(Table4[[#This Row],[Subnummer]],Table3[Sub],Table3[Certificaat]),"-")</f>
        <v>-</v>
      </c>
      <c r="D35" s="177">
        <v>0</v>
      </c>
      <c r="E35" s="180">
        <f>IFERROR(_xlfn.XLOOKUP(Table4[[#This Row],[Subnummer]],Table3[Sub],Table3[Verz. Waarde Oud:]),0)</f>
        <v>0</v>
      </c>
      <c r="F35" s="165">
        <v>0</v>
      </c>
      <c r="G35" s="165">
        <v>0</v>
      </c>
      <c r="H35" s="165">
        <v>0</v>
      </c>
      <c r="I35" s="165">
        <v>0</v>
      </c>
      <c r="J35" s="165">
        <f t="shared" si="10"/>
        <v>0</v>
      </c>
      <c r="K35" s="181">
        <f t="shared" si="11"/>
        <v>0</v>
      </c>
      <c r="L35" s="183">
        <v>44562</v>
      </c>
      <c r="M35" s="166">
        <v>44927</v>
      </c>
      <c r="N35" s="164">
        <f t="shared" si="12"/>
        <v>365</v>
      </c>
      <c r="O35" s="164">
        <v>365</v>
      </c>
      <c r="P35" s="175" t="s">
        <v>104</v>
      </c>
      <c r="Q35" s="186">
        <f t="shared" si="13"/>
        <v>0</v>
      </c>
      <c r="R35" s="165" cm="1">
        <f t="array" ref="R35">_xlfn.IFS($P35="Nee",G35*$N35/$O35,$P35="Ja",G35*0.5)</f>
        <v>0</v>
      </c>
      <c r="S35" s="165" cm="1">
        <f t="array" ref="S35">_xlfn.IFS($P35="Nee",-(H35*$N35/$O35),$P35="Ja",-(H35*0.5))</f>
        <v>0</v>
      </c>
      <c r="T35" s="165">
        <f t="shared" si="14"/>
        <v>0</v>
      </c>
      <c r="U35" s="187">
        <f t="shared" si="15"/>
        <v>0</v>
      </c>
      <c r="V35" s="191">
        <f>IFERROR(_xlfn.XLOOKUP(Table4[[#This Row],[Subnummer]],Table3[Sub],Table3[Promillage 1]),0)</f>
        <v>0</v>
      </c>
      <c r="W35" s="167">
        <f>IFERROR(_xlfn.XLOOKUP(Table4[[#This Row],[Subnummer]],Table3[Sub],Table3[Promillage 2]),0)</f>
        <v>0</v>
      </c>
      <c r="X35" s="167">
        <f>IFERROR(_xlfn.XLOOKUP(Table4[[#This Row],[Subnummer]],Table3[Sub],Table3[Promillage 3]),0)</f>
        <v>0</v>
      </c>
      <c r="Y35" s="167">
        <f>IFERROR(_xlfn.XLOOKUP(Table4[[#This Row],[Subnummer]],Table3[Sub],Table3[Promillage 4]),0)</f>
        <v>0</v>
      </c>
      <c r="Z35" s="167">
        <f>IFERROR(_xlfn.XLOOKUP(Table4[[#This Row],[Subnummer]],Table3[Sub],#REF!),0)</f>
        <v>0</v>
      </c>
      <c r="AA35" s="167">
        <f>IFERROR(_xlfn.XLOOKUP(Table4[[#This Row],[Subnummer]],Table3[Sub],#REF!),0)</f>
        <v>0</v>
      </c>
      <c r="AB35" s="167">
        <f>IFERROR(_xlfn.XLOOKUP(Table4[[#This Row],[Subnummer]],Table3[Sub],#REF!),0)</f>
        <v>0</v>
      </c>
      <c r="AC35" s="167">
        <f>IFERROR(_xlfn.XLOOKUP(Table4[[#This Row],[Subnummer]],Table3[Sub],#REF!),0)</f>
        <v>0</v>
      </c>
      <c r="AD35" s="167">
        <f>IFERROR(_xlfn.XLOOKUP(Table4[[#This Row],[Subnummer]],Table3[Sub],#REF!),0)</f>
        <v>0</v>
      </c>
      <c r="AE35" s="167">
        <f>IFERROR(_xlfn.XLOOKUP(Table4[[#This Row],[Subnummer]],Table3[Sub],#REF!),0)</f>
        <v>0</v>
      </c>
      <c r="AF35" s="189">
        <f t="shared" si="16"/>
        <v>0</v>
      </c>
      <c r="AG35" s="189">
        <f t="shared" si="17"/>
        <v>0</v>
      </c>
      <c r="AH35" s="189">
        <f t="shared" si="18"/>
        <v>0</v>
      </c>
      <c r="AI35" s="189">
        <f t="shared" si="19"/>
        <v>0</v>
      </c>
      <c r="AJ35" s="189" t="e">
        <f t="shared" si="20"/>
        <v>#REF!</v>
      </c>
      <c r="AK35" s="189" t="e">
        <f t="shared" si="21"/>
        <v>#REF!</v>
      </c>
      <c r="AL35" s="189" t="e">
        <f t="shared" si="22"/>
        <v>#REF!</v>
      </c>
      <c r="AM35" s="189" t="e">
        <f t="shared" si="23"/>
        <v>#REF!</v>
      </c>
      <c r="AN35" s="189" t="e">
        <f t="shared" si="24"/>
        <v>#REF!</v>
      </c>
      <c r="AO35" s="189" t="e">
        <f t="shared" si="25"/>
        <v>#REF!</v>
      </c>
      <c r="AP35" s="165" t="e">
        <f t="shared" si="26"/>
        <v>#REF!</v>
      </c>
      <c r="AQ35" s="175" t="e" cm="1">
        <f t="array" ref="AQ35">_xlfn.IFS(AP35=0,"Nihil",AP35&gt;0,"Suppletie",AP35&lt;0,"Restitutie")</f>
        <v>#REF!</v>
      </c>
    </row>
    <row r="36" spans="1:43" x14ac:dyDescent="0.25">
      <c r="A36" s="174" t="str">
        <f>IFERROR(_xlfn.XLOOKUP(D36,Table3[Sub],Table3[Verzekerde]),"-")</f>
        <v>-</v>
      </c>
      <c r="B36" s="164"/>
      <c r="C36" s="164" t="str">
        <f>IFERROR(_xlfn.XLOOKUP(Table4[[#This Row],[Subnummer]],Table3[Sub],Table3[Certificaat]),"-")</f>
        <v>-</v>
      </c>
      <c r="D36" s="177">
        <v>0</v>
      </c>
      <c r="E36" s="180">
        <f>IFERROR(_xlfn.XLOOKUP(Table4[[#This Row],[Subnummer]],Table3[Sub],Table3[Verz. Waarde Oud:]),0)</f>
        <v>0</v>
      </c>
      <c r="F36" s="165">
        <v>0</v>
      </c>
      <c r="G36" s="165">
        <v>0</v>
      </c>
      <c r="H36" s="165">
        <v>0</v>
      </c>
      <c r="I36" s="165">
        <v>0</v>
      </c>
      <c r="J36" s="165">
        <f t="shared" si="10"/>
        <v>0</v>
      </c>
      <c r="K36" s="181">
        <f t="shared" si="11"/>
        <v>0</v>
      </c>
      <c r="L36" s="183">
        <v>44562</v>
      </c>
      <c r="M36" s="166">
        <v>44927</v>
      </c>
      <c r="N36" s="164">
        <f t="shared" si="12"/>
        <v>365</v>
      </c>
      <c r="O36" s="164">
        <v>365</v>
      </c>
      <c r="P36" s="175" t="s">
        <v>104</v>
      </c>
      <c r="Q36" s="186">
        <f t="shared" si="13"/>
        <v>0</v>
      </c>
      <c r="R36" s="165" cm="1">
        <f t="array" ref="R36">_xlfn.IFS($P36="Nee",G36*$N36/$O36,$P36="Ja",G36*0.5)</f>
        <v>0</v>
      </c>
      <c r="S36" s="165" cm="1">
        <f t="array" ref="S36">_xlfn.IFS($P36="Nee",-(H36*$N36/$O36),$P36="Ja",-(H36*0.5))</f>
        <v>0</v>
      </c>
      <c r="T36" s="165">
        <f t="shared" si="14"/>
        <v>0</v>
      </c>
      <c r="U36" s="187">
        <f t="shared" si="15"/>
        <v>0</v>
      </c>
      <c r="V36" s="191">
        <f>IFERROR(_xlfn.XLOOKUP(Table4[[#This Row],[Subnummer]],Table3[Sub],Table3[Promillage 1]),0)</f>
        <v>0</v>
      </c>
      <c r="W36" s="167">
        <f>IFERROR(_xlfn.XLOOKUP(Table4[[#This Row],[Subnummer]],Table3[Sub],Table3[Promillage 2]),0)</f>
        <v>0</v>
      </c>
      <c r="X36" s="167">
        <f>IFERROR(_xlfn.XLOOKUP(Table4[[#This Row],[Subnummer]],Table3[Sub],Table3[Promillage 3]),0)</f>
        <v>0</v>
      </c>
      <c r="Y36" s="167">
        <f>IFERROR(_xlfn.XLOOKUP(Table4[[#This Row],[Subnummer]],Table3[Sub],Table3[Promillage 4]),0)</f>
        <v>0</v>
      </c>
      <c r="Z36" s="167">
        <f>IFERROR(_xlfn.XLOOKUP(Table4[[#This Row],[Subnummer]],Table3[Sub],#REF!),0)</f>
        <v>0</v>
      </c>
      <c r="AA36" s="167">
        <f>IFERROR(_xlfn.XLOOKUP(Table4[[#This Row],[Subnummer]],Table3[Sub],#REF!),0)</f>
        <v>0</v>
      </c>
      <c r="AB36" s="167">
        <f>IFERROR(_xlfn.XLOOKUP(Table4[[#This Row],[Subnummer]],Table3[Sub],#REF!),0)</f>
        <v>0</v>
      </c>
      <c r="AC36" s="167">
        <f>IFERROR(_xlfn.XLOOKUP(Table4[[#This Row],[Subnummer]],Table3[Sub],#REF!),0)</f>
        <v>0</v>
      </c>
      <c r="AD36" s="167">
        <f>IFERROR(_xlfn.XLOOKUP(Table4[[#This Row],[Subnummer]],Table3[Sub],#REF!),0)</f>
        <v>0</v>
      </c>
      <c r="AE36" s="167">
        <f>IFERROR(_xlfn.XLOOKUP(Table4[[#This Row],[Subnummer]],Table3[Sub],#REF!),0)</f>
        <v>0</v>
      </c>
      <c r="AF36" s="189">
        <f t="shared" si="16"/>
        <v>0</v>
      </c>
      <c r="AG36" s="189">
        <f t="shared" si="17"/>
        <v>0</v>
      </c>
      <c r="AH36" s="189">
        <f t="shared" si="18"/>
        <v>0</v>
      </c>
      <c r="AI36" s="189">
        <f t="shared" si="19"/>
        <v>0</v>
      </c>
      <c r="AJ36" s="189" t="e">
        <f t="shared" si="20"/>
        <v>#REF!</v>
      </c>
      <c r="AK36" s="189" t="e">
        <f t="shared" si="21"/>
        <v>#REF!</v>
      </c>
      <c r="AL36" s="189" t="e">
        <f t="shared" si="22"/>
        <v>#REF!</v>
      </c>
      <c r="AM36" s="189" t="e">
        <f t="shared" si="23"/>
        <v>#REF!</v>
      </c>
      <c r="AN36" s="189" t="e">
        <f t="shared" si="24"/>
        <v>#REF!</v>
      </c>
      <c r="AO36" s="189" t="e">
        <f t="shared" si="25"/>
        <v>#REF!</v>
      </c>
      <c r="AP36" s="165" t="e">
        <f t="shared" si="26"/>
        <v>#REF!</v>
      </c>
      <c r="AQ36" s="175" t="e" cm="1">
        <f t="array" ref="AQ36">_xlfn.IFS(AP36=0,"Nihil",AP36&gt;0,"Suppletie",AP36&lt;0,"Restitutie")</f>
        <v>#REF!</v>
      </c>
    </row>
    <row r="37" spans="1:43" x14ac:dyDescent="0.25">
      <c r="A37" s="174" t="str">
        <f>IFERROR(_xlfn.XLOOKUP(D37,Table3[Sub],Table3[Verzekerde]),"-")</f>
        <v>-</v>
      </c>
      <c r="B37" s="164"/>
      <c r="C37" s="164" t="str">
        <f>IFERROR(_xlfn.XLOOKUP(Table4[[#This Row],[Subnummer]],Table3[Sub],Table3[Certificaat]),"-")</f>
        <v>-</v>
      </c>
      <c r="D37" s="177">
        <v>0</v>
      </c>
      <c r="E37" s="180">
        <f>IFERROR(_xlfn.XLOOKUP(Table4[[#This Row],[Subnummer]],Table3[Sub],Table3[Verz. Waarde Oud:]),0)</f>
        <v>0</v>
      </c>
      <c r="F37" s="165">
        <v>0</v>
      </c>
      <c r="G37" s="165">
        <v>0</v>
      </c>
      <c r="H37" s="165">
        <v>0</v>
      </c>
      <c r="I37" s="165">
        <v>0</v>
      </c>
      <c r="J37" s="165">
        <f t="shared" si="10"/>
        <v>0</v>
      </c>
      <c r="K37" s="181">
        <f t="shared" si="11"/>
        <v>0</v>
      </c>
      <c r="L37" s="183">
        <v>44562</v>
      </c>
      <c r="M37" s="166">
        <v>44927</v>
      </c>
      <c r="N37" s="164">
        <f t="shared" si="12"/>
        <v>365</v>
      </c>
      <c r="O37" s="164">
        <v>365</v>
      </c>
      <c r="P37" s="175" t="s">
        <v>104</v>
      </c>
      <c r="Q37" s="186">
        <f t="shared" si="13"/>
        <v>0</v>
      </c>
      <c r="R37" s="165" cm="1">
        <f t="array" ref="R37">_xlfn.IFS($P37="Nee",G37*$N37/$O37,$P37="Ja",G37*0.5)</f>
        <v>0</v>
      </c>
      <c r="S37" s="165" cm="1">
        <f t="array" ref="S37">_xlfn.IFS($P37="Nee",-(H37*$N37/$O37),$P37="Ja",-(H37*0.5))</f>
        <v>0</v>
      </c>
      <c r="T37" s="165">
        <f t="shared" si="14"/>
        <v>0</v>
      </c>
      <c r="U37" s="187">
        <f t="shared" si="15"/>
        <v>0</v>
      </c>
      <c r="V37" s="191">
        <f>IFERROR(_xlfn.XLOOKUP(Table4[[#This Row],[Subnummer]],Table3[Sub],Table3[Promillage 1]),0)</f>
        <v>0</v>
      </c>
      <c r="W37" s="167">
        <f>IFERROR(_xlfn.XLOOKUP(Table4[[#This Row],[Subnummer]],Table3[Sub],Table3[Promillage 2]),0)</f>
        <v>0</v>
      </c>
      <c r="X37" s="167">
        <f>IFERROR(_xlfn.XLOOKUP(Table4[[#This Row],[Subnummer]],Table3[Sub],Table3[Promillage 3]),0)</f>
        <v>0</v>
      </c>
      <c r="Y37" s="167">
        <f>IFERROR(_xlfn.XLOOKUP(Table4[[#This Row],[Subnummer]],Table3[Sub],Table3[Promillage 4]),0)</f>
        <v>0</v>
      </c>
      <c r="Z37" s="167">
        <f>IFERROR(_xlfn.XLOOKUP(Table4[[#This Row],[Subnummer]],Table3[Sub],#REF!),0)</f>
        <v>0</v>
      </c>
      <c r="AA37" s="167">
        <f>IFERROR(_xlfn.XLOOKUP(Table4[[#This Row],[Subnummer]],Table3[Sub],#REF!),0)</f>
        <v>0</v>
      </c>
      <c r="AB37" s="167">
        <f>IFERROR(_xlfn.XLOOKUP(Table4[[#This Row],[Subnummer]],Table3[Sub],#REF!),0)</f>
        <v>0</v>
      </c>
      <c r="AC37" s="167">
        <f>IFERROR(_xlfn.XLOOKUP(Table4[[#This Row],[Subnummer]],Table3[Sub],#REF!),0)</f>
        <v>0</v>
      </c>
      <c r="AD37" s="167">
        <f>IFERROR(_xlfn.XLOOKUP(Table4[[#This Row],[Subnummer]],Table3[Sub],#REF!),0)</f>
        <v>0</v>
      </c>
      <c r="AE37" s="167">
        <f>IFERROR(_xlfn.XLOOKUP(Table4[[#This Row],[Subnummer]],Table3[Sub],#REF!),0)</f>
        <v>0</v>
      </c>
      <c r="AF37" s="189">
        <f t="shared" si="16"/>
        <v>0</v>
      </c>
      <c r="AG37" s="189">
        <f t="shared" si="17"/>
        <v>0</v>
      </c>
      <c r="AH37" s="189">
        <f t="shared" si="18"/>
        <v>0</v>
      </c>
      <c r="AI37" s="189">
        <f t="shared" si="19"/>
        <v>0</v>
      </c>
      <c r="AJ37" s="189" t="e">
        <f t="shared" si="20"/>
        <v>#REF!</v>
      </c>
      <c r="AK37" s="189" t="e">
        <f t="shared" si="21"/>
        <v>#REF!</v>
      </c>
      <c r="AL37" s="189" t="e">
        <f t="shared" si="22"/>
        <v>#REF!</v>
      </c>
      <c r="AM37" s="189" t="e">
        <f t="shared" si="23"/>
        <v>#REF!</v>
      </c>
      <c r="AN37" s="189" t="e">
        <f t="shared" si="24"/>
        <v>#REF!</v>
      </c>
      <c r="AO37" s="189" t="e">
        <f t="shared" si="25"/>
        <v>#REF!</v>
      </c>
      <c r="AP37" s="165" t="e">
        <f t="shared" si="26"/>
        <v>#REF!</v>
      </c>
      <c r="AQ37" s="175" t="e" cm="1">
        <f t="array" ref="AQ37">_xlfn.IFS(AP37=0,"Nihil",AP37&gt;0,"Suppletie",AP37&lt;0,"Restitutie")</f>
        <v>#REF!</v>
      </c>
    </row>
    <row r="38" spans="1:43" x14ac:dyDescent="0.25">
      <c r="A38" s="174" t="str">
        <f>IFERROR(_xlfn.XLOOKUP(D38,Table3[Sub],Table3[Verzekerde]),"-")</f>
        <v>-</v>
      </c>
      <c r="B38" s="164"/>
      <c r="C38" s="164" t="str">
        <f>IFERROR(_xlfn.XLOOKUP(Table4[[#This Row],[Subnummer]],Table3[Sub],Table3[Certificaat]),"-")</f>
        <v>-</v>
      </c>
      <c r="D38" s="177">
        <v>0</v>
      </c>
      <c r="E38" s="180">
        <f>IFERROR(_xlfn.XLOOKUP(Table4[[#This Row],[Subnummer]],Table3[Sub],Table3[Verz. Waarde Oud:]),0)</f>
        <v>0</v>
      </c>
      <c r="F38" s="165">
        <v>0</v>
      </c>
      <c r="G38" s="165">
        <v>0</v>
      </c>
      <c r="H38" s="165">
        <v>0</v>
      </c>
      <c r="I38" s="165">
        <v>0</v>
      </c>
      <c r="J38" s="165">
        <f t="shared" si="10"/>
        <v>0</v>
      </c>
      <c r="K38" s="181">
        <f t="shared" si="11"/>
        <v>0</v>
      </c>
      <c r="L38" s="183">
        <v>44562</v>
      </c>
      <c r="M38" s="166">
        <v>44927</v>
      </c>
      <c r="N38" s="164">
        <f t="shared" si="12"/>
        <v>365</v>
      </c>
      <c r="O38" s="164">
        <v>365</v>
      </c>
      <c r="P38" s="175" t="s">
        <v>104</v>
      </c>
      <c r="Q38" s="186">
        <f t="shared" si="13"/>
        <v>0</v>
      </c>
      <c r="R38" s="165" cm="1">
        <f t="array" ref="R38">_xlfn.IFS($P38="Nee",G38*$N38/$O38,$P38="Ja",G38*0.5)</f>
        <v>0</v>
      </c>
      <c r="S38" s="165" cm="1">
        <f t="array" ref="S38">_xlfn.IFS($P38="Nee",-(H38*$N38/$O38),$P38="Ja",-(H38*0.5))</f>
        <v>0</v>
      </c>
      <c r="T38" s="165">
        <f t="shared" si="14"/>
        <v>0</v>
      </c>
      <c r="U38" s="187">
        <f t="shared" si="15"/>
        <v>0</v>
      </c>
      <c r="V38" s="191">
        <f>IFERROR(_xlfn.XLOOKUP(Table4[[#This Row],[Subnummer]],Table3[Sub],Table3[Promillage 1]),0)</f>
        <v>0</v>
      </c>
      <c r="W38" s="167">
        <f>IFERROR(_xlfn.XLOOKUP(Table4[[#This Row],[Subnummer]],Table3[Sub],Table3[Promillage 2]),0)</f>
        <v>0</v>
      </c>
      <c r="X38" s="167">
        <f>IFERROR(_xlfn.XLOOKUP(Table4[[#This Row],[Subnummer]],Table3[Sub],Table3[Promillage 3]),0)</f>
        <v>0</v>
      </c>
      <c r="Y38" s="167">
        <f>IFERROR(_xlfn.XLOOKUP(Table4[[#This Row],[Subnummer]],Table3[Sub],Table3[Promillage 4]),0)</f>
        <v>0</v>
      </c>
      <c r="Z38" s="167">
        <f>IFERROR(_xlfn.XLOOKUP(Table4[[#This Row],[Subnummer]],Table3[Sub],#REF!),0)</f>
        <v>0</v>
      </c>
      <c r="AA38" s="167">
        <f>IFERROR(_xlfn.XLOOKUP(Table4[[#This Row],[Subnummer]],Table3[Sub],#REF!),0)</f>
        <v>0</v>
      </c>
      <c r="AB38" s="167">
        <f>IFERROR(_xlfn.XLOOKUP(Table4[[#This Row],[Subnummer]],Table3[Sub],#REF!),0)</f>
        <v>0</v>
      </c>
      <c r="AC38" s="167">
        <f>IFERROR(_xlfn.XLOOKUP(Table4[[#This Row],[Subnummer]],Table3[Sub],#REF!),0)</f>
        <v>0</v>
      </c>
      <c r="AD38" s="167">
        <f>IFERROR(_xlfn.XLOOKUP(Table4[[#This Row],[Subnummer]],Table3[Sub],#REF!),0)</f>
        <v>0</v>
      </c>
      <c r="AE38" s="167">
        <f>IFERROR(_xlfn.XLOOKUP(Table4[[#This Row],[Subnummer]],Table3[Sub],#REF!),0)</f>
        <v>0</v>
      </c>
      <c r="AF38" s="189">
        <f t="shared" si="16"/>
        <v>0</v>
      </c>
      <c r="AG38" s="189">
        <f t="shared" si="17"/>
        <v>0</v>
      </c>
      <c r="AH38" s="189">
        <f t="shared" si="18"/>
        <v>0</v>
      </c>
      <c r="AI38" s="189">
        <f t="shared" si="19"/>
        <v>0</v>
      </c>
      <c r="AJ38" s="189" t="e">
        <f t="shared" si="20"/>
        <v>#REF!</v>
      </c>
      <c r="AK38" s="189" t="e">
        <f t="shared" si="21"/>
        <v>#REF!</v>
      </c>
      <c r="AL38" s="189" t="e">
        <f t="shared" si="22"/>
        <v>#REF!</v>
      </c>
      <c r="AM38" s="189" t="e">
        <f t="shared" si="23"/>
        <v>#REF!</v>
      </c>
      <c r="AN38" s="189" t="e">
        <f t="shared" si="24"/>
        <v>#REF!</v>
      </c>
      <c r="AO38" s="189" t="e">
        <f t="shared" si="25"/>
        <v>#REF!</v>
      </c>
      <c r="AP38" s="165" t="e">
        <f t="shared" si="26"/>
        <v>#REF!</v>
      </c>
      <c r="AQ38" s="175" t="e" cm="1">
        <f t="array" ref="AQ38">_xlfn.IFS(AP38=0,"Nihil",AP38&gt;0,"Suppletie",AP38&lt;0,"Restitutie")</f>
        <v>#REF!</v>
      </c>
    </row>
    <row r="39" spans="1:43" x14ac:dyDescent="0.25">
      <c r="A39" s="174" t="str">
        <f>IFERROR(_xlfn.XLOOKUP(D39,Table3[Sub],Table3[Verzekerde]),"-")</f>
        <v>-</v>
      </c>
      <c r="B39" s="164"/>
      <c r="C39" s="164" t="str">
        <f>IFERROR(_xlfn.XLOOKUP(Table4[[#This Row],[Subnummer]],Table3[Sub],Table3[Certificaat]),"-")</f>
        <v>-</v>
      </c>
      <c r="D39" s="177">
        <v>0</v>
      </c>
      <c r="E39" s="180">
        <f>IFERROR(_xlfn.XLOOKUP(Table4[[#This Row],[Subnummer]],Table3[Sub],Table3[Verz. Waarde Oud:]),0)</f>
        <v>0</v>
      </c>
      <c r="F39" s="165">
        <v>0</v>
      </c>
      <c r="G39" s="165">
        <v>0</v>
      </c>
      <c r="H39" s="165">
        <v>0</v>
      </c>
      <c r="I39" s="165">
        <v>0</v>
      </c>
      <c r="J39" s="165">
        <f t="shared" si="10"/>
        <v>0</v>
      </c>
      <c r="K39" s="181">
        <f t="shared" si="11"/>
        <v>0</v>
      </c>
      <c r="L39" s="183">
        <v>44562</v>
      </c>
      <c r="M39" s="166">
        <v>44927</v>
      </c>
      <c r="N39" s="164">
        <f t="shared" si="12"/>
        <v>365</v>
      </c>
      <c r="O39" s="164">
        <v>365</v>
      </c>
      <c r="P39" s="175" t="s">
        <v>104</v>
      </c>
      <c r="Q39" s="186">
        <f t="shared" si="13"/>
        <v>0</v>
      </c>
      <c r="R39" s="165" cm="1">
        <f t="array" ref="R39">_xlfn.IFS($P39="Nee",G39*$N39/$O39,$P39="Ja",G39*0.5)</f>
        <v>0</v>
      </c>
      <c r="S39" s="165" cm="1">
        <f t="array" ref="S39">_xlfn.IFS($P39="Nee",-(H39*$N39/$O39),$P39="Ja",-(H39*0.5))</f>
        <v>0</v>
      </c>
      <c r="T39" s="165">
        <f t="shared" si="14"/>
        <v>0</v>
      </c>
      <c r="U39" s="187">
        <f t="shared" si="15"/>
        <v>0</v>
      </c>
      <c r="V39" s="191">
        <f>IFERROR(_xlfn.XLOOKUP(Table4[[#This Row],[Subnummer]],Table3[Sub],Table3[Promillage 1]),0)</f>
        <v>0</v>
      </c>
      <c r="W39" s="167">
        <f>IFERROR(_xlfn.XLOOKUP(Table4[[#This Row],[Subnummer]],Table3[Sub],Table3[Promillage 2]),0)</f>
        <v>0</v>
      </c>
      <c r="X39" s="167">
        <f>IFERROR(_xlfn.XLOOKUP(Table4[[#This Row],[Subnummer]],Table3[Sub],Table3[Promillage 3]),0)</f>
        <v>0</v>
      </c>
      <c r="Y39" s="167">
        <f>IFERROR(_xlfn.XLOOKUP(Table4[[#This Row],[Subnummer]],Table3[Sub],Table3[Promillage 4]),0)</f>
        <v>0</v>
      </c>
      <c r="Z39" s="167">
        <f>IFERROR(_xlfn.XLOOKUP(Table4[[#This Row],[Subnummer]],Table3[Sub],#REF!),0)</f>
        <v>0</v>
      </c>
      <c r="AA39" s="167">
        <f>IFERROR(_xlfn.XLOOKUP(Table4[[#This Row],[Subnummer]],Table3[Sub],#REF!),0)</f>
        <v>0</v>
      </c>
      <c r="AB39" s="167">
        <f>IFERROR(_xlfn.XLOOKUP(Table4[[#This Row],[Subnummer]],Table3[Sub],#REF!),0)</f>
        <v>0</v>
      </c>
      <c r="AC39" s="167">
        <f>IFERROR(_xlfn.XLOOKUP(Table4[[#This Row],[Subnummer]],Table3[Sub],#REF!),0)</f>
        <v>0</v>
      </c>
      <c r="AD39" s="167">
        <f>IFERROR(_xlfn.XLOOKUP(Table4[[#This Row],[Subnummer]],Table3[Sub],#REF!),0)</f>
        <v>0</v>
      </c>
      <c r="AE39" s="167">
        <f>IFERROR(_xlfn.XLOOKUP(Table4[[#This Row],[Subnummer]],Table3[Sub],#REF!),0)</f>
        <v>0</v>
      </c>
      <c r="AF39" s="189">
        <f t="shared" si="16"/>
        <v>0</v>
      </c>
      <c r="AG39" s="189">
        <f t="shared" si="17"/>
        <v>0</v>
      </c>
      <c r="AH39" s="189">
        <f t="shared" si="18"/>
        <v>0</v>
      </c>
      <c r="AI39" s="189">
        <f t="shared" si="19"/>
        <v>0</v>
      </c>
      <c r="AJ39" s="189" t="e">
        <f t="shared" si="20"/>
        <v>#REF!</v>
      </c>
      <c r="AK39" s="189" t="e">
        <f t="shared" si="21"/>
        <v>#REF!</v>
      </c>
      <c r="AL39" s="189" t="e">
        <f t="shared" si="22"/>
        <v>#REF!</v>
      </c>
      <c r="AM39" s="189" t="e">
        <f t="shared" si="23"/>
        <v>#REF!</v>
      </c>
      <c r="AN39" s="189" t="e">
        <f t="shared" si="24"/>
        <v>#REF!</v>
      </c>
      <c r="AO39" s="189" t="e">
        <f t="shared" si="25"/>
        <v>#REF!</v>
      </c>
      <c r="AP39" s="165" t="e">
        <f t="shared" si="26"/>
        <v>#REF!</v>
      </c>
      <c r="AQ39" s="175" t="e" cm="1">
        <f t="array" ref="AQ39">_xlfn.IFS(AP39=0,"Nihil",AP39&gt;0,"Suppletie",AP39&lt;0,"Restitutie")</f>
        <v>#REF!</v>
      </c>
    </row>
    <row r="40" spans="1:43" x14ac:dyDescent="0.25">
      <c r="A40" s="174" t="str">
        <f>IFERROR(_xlfn.XLOOKUP(D40,Table3[Sub],Table3[Verzekerde]),"-")</f>
        <v>-</v>
      </c>
      <c r="B40" s="164"/>
      <c r="C40" s="164" t="str">
        <f>IFERROR(_xlfn.XLOOKUP(Table4[[#This Row],[Subnummer]],Table3[Sub],Table3[Certificaat]),"-")</f>
        <v>-</v>
      </c>
      <c r="D40" s="177">
        <v>0</v>
      </c>
      <c r="E40" s="180">
        <f>IFERROR(_xlfn.XLOOKUP(Table4[[#This Row],[Subnummer]],Table3[Sub],Table3[Verz. Waarde Oud:]),0)</f>
        <v>0</v>
      </c>
      <c r="F40" s="165">
        <v>0</v>
      </c>
      <c r="G40" s="165">
        <v>0</v>
      </c>
      <c r="H40" s="165">
        <v>0</v>
      </c>
      <c r="I40" s="165">
        <v>0</v>
      </c>
      <c r="J40" s="165">
        <f t="shared" si="10"/>
        <v>0</v>
      </c>
      <c r="K40" s="181">
        <f t="shared" si="11"/>
        <v>0</v>
      </c>
      <c r="L40" s="183">
        <v>44562</v>
      </c>
      <c r="M40" s="166">
        <v>44927</v>
      </c>
      <c r="N40" s="164">
        <f t="shared" si="12"/>
        <v>365</v>
      </c>
      <c r="O40" s="164">
        <v>365</v>
      </c>
      <c r="P40" s="175" t="s">
        <v>104</v>
      </c>
      <c r="Q40" s="186">
        <f t="shared" si="13"/>
        <v>0</v>
      </c>
      <c r="R40" s="165" cm="1">
        <f t="array" ref="R40">_xlfn.IFS($P40="Nee",G40*$N40/$O40,$P40="Ja",G40*0.5)</f>
        <v>0</v>
      </c>
      <c r="S40" s="165" cm="1">
        <f t="array" ref="S40">_xlfn.IFS($P40="Nee",-(H40*$N40/$O40),$P40="Ja",-(H40*0.5))</f>
        <v>0</v>
      </c>
      <c r="T40" s="165">
        <f t="shared" si="14"/>
        <v>0</v>
      </c>
      <c r="U40" s="187">
        <f t="shared" si="15"/>
        <v>0</v>
      </c>
      <c r="V40" s="191">
        <f>IFERROR(_xlfn.XLOOKUP(Table4[[#This Row],[Subnummer]],Table3[Sub],Table3[Promillage 1]),0)</f>
        <v>0</v>
      </c>
      <c r="W40" s="167">
        <f>IFERROR(_xlfn.XLOOKUP(Table4[[#This Row],[Subnummer]],Table3[Sub],Table3[Promillage 2]),0)</f>
        <v>0</v>
      </c>
      <c r="X40" s="167">
        <f>IFERROR(_xlfn.XLOOKUP(Table4[[#This Row],[Subnummer]],Table3[Sub],Table3[Promillage 3]),0)</f>
        <v>0</v>
      </c>
      <c r="Y40" s="167">
        <f>IFERROR(_xlfn.XLOOKUP(Table4[[#This Row],[Subnummer]],Table3[Sub],Table3[Promillage 4]),0)</f>
        <v>0</v>
      </c>
      <c r="Z40" s="167">
        <f>IFERROR(_xlfn.XLOOKUP(Table4[[#This Row],[Subnummer]],Table3[Sub],#REF!),0)</f>
        <v>0</v>
      </c>
      <c r="AA40" s="167">
        <f>IFERROR(_xlfn.XLOOKUP(Table4[[#This Row],[Subnummer]],Table3[Sub],#REF!),0)</f>
        <v>0</v>
      </c>
      <c r="AB40" s="167">
        <f>IFERROR(_xlfn.XLOOKUP(Table4[[#This Row],[Subnummer]],Table3[Sub],#REF!),0)</f>
        <v>0</v>
      </c>
      <c r="AC40" s="167">
        <f>IFERROR(_xlfn.XLOOKUP(Table4[[#This Row],[Subnummer]],Table3[Sub],#REF!),0)</f>
        <v>0</v>
      </c>
      <c r="AD40" s="167">
        <f>IFERROR(_xlfn.XLOOKUP(Table4[[#This Row],[Subnummer]],Table3[Sub],#REF!),0)</f>
        <v>0</v>
      </c>
      <c r="AE40" s="167">
        <f>IFERROR(_xlfn.XLOOKUP(Table4[[#This Row],[Subnummer]],Table3[Sub],#REF!),0)</f>
        <v>0</v>
      </c>
      <c r="AF40" s="189">
        <f t="shared" si="16"/>
        <v>0</v>
      </c>
      <c r="AG40" s="189">
        <f t="shared" si="17"/>
        <v>0</v>
      </c>
      <c r="AH40" s="189">
        <f t="shared" si="18"/>
        <v>0</v>
      </c>
      <c r="AI40" s="189">
        <f t="shared" si="19"/>
        <v>0</v>
      </c>
      <c r="AJ40" s="189" t="e">
        <f t="shared" si="20"/>
        <v>#REF!</v>
      </c>
      <c r="AK40" s="189" t="e">
        <f t="shared" si="21"/>
        <v>#REF!</v>
      </c>
      <c r="AL40" s="189" t="e">
        <f t="shared" si="22"/>
        <v>#REF!</v>
      </c>
      <c r="AM40" s="189" t="e">
        <f t="shared" si="23"/>
        <v>#REF!</v>
      </c>
      <c r="AN40" s="189" t="e">
        <f t="shared" si="24"/>
        <v>#REF!</v>
      </c>
      <c r="AO40" s="189" t="e">
        <f t="shared" si="25"/>
        <v>#REF!</v>
      </c>
      <c r="AP40" s="165" t="e">
        <f t="shared" si="26"/>
        <v>#REF!</v>
      </c>
      <c r="AQ40" s="175" t="e" cm="1">
        <f t="array" ref="AQ40">_xlfn.IFS(AP40=0,"Nihil",AP40&gt;0,"Suppletie",AP40&lt;0,"Restitutie")</f>
        <v>#REF!</v>
      </c>
    </row>
    <row r="41" spans="1:43" x14ac:dyDescent="0.25">
      <c r="A41" s="174" t="str">
        <f>IFERROR(_xlfn.XLOOKUP(D41,Table3[Sub],Table3[Verzekerde]),"-")</f>
        <v>-</v>
      </c>
      <c r="B41" s="164"/>
      <c r="C41" s="164" t="str">
        <f>IFERROR(_xlfn.XLOOKUP(Table4[[#This Row],[Subnummer]],Table3[Sub],Table3[Certificaat]),"-")</f>
        <v>-</v>
      </c>
      <c r="D41" s="177">
        <v>0</v>
      </c>
      <c r="E41" s="180">
        <f>IFERROR(_xlfn.XLOOKUP(Table4[[#This Row],[Subnummer]],Table3[Sub],Table3[Verz. Waarde Oud:]),0)</f>
        <v>0</v>
      </c>
      <c r="F41" s="165">
        <v>0</v>
      </c>
      <c r="G41" s="165">
        <v>0</v>
      </c>
      <c r="H41" s="165">
        <v>0</v>
      </c>
      <c r="I41" s="165">
        <v>0</v>
      </c>
      <c r="J41" s="165">
        <f t="shared" si="10"/>
        <v>0</v>
      </c>
      <c r="K41" s="181">
        <f t="shared" si="11"/>
        <v>0</v>
      </c>
      <c r="L41" s="183">
        <v>44562</v>
      </c>
      <c r="M41" s="166">
        <v>44927</v>
      </c>
      <c r="N41" s="164">
        <f t="shared" si="12"/>
        <v>365</v>
      </c>
      <c r="O41" s="164">
        <v>365</v>
      </c>
      <c r="P41" s="175" t="s">
        <v>104</v>
      </c>
      <c r="Q41" s="186">
        <f t="shared" si="13"/>
        <v>0</v>
      </c>
      <c r="R41" s="165" cm="1">
        <f t="array" ref="R41">_xlfn.IFS($P41="Nee",G41*$N41/$O41,$P41="Ja",G41*0.5)</f>
        <v>0</v>
      </c>
      <c r="S41" s="165" cm="1">
        <f t="array" ref="S41">_xlfn.IFS($P41="Nee",-(H41*$N41/$O41),$P41="Ja",-(H41*0.5))</f>
        <v>0</v>
      </c>
      <c r="T41" s="165">
        <f t="shared" si="14"/>
        <v>0</v>
      </c>
      <c r="U41" s="187">
        <f t="shared" si="15"/>
        <v>0</v>
      </c>
      <c r="V41" s="191">
        <f>IFERROR(_xlfn.XLOOKUP(Table4[[#This Row],[Subnummer]],Table3[Sub],Table3[Promillage 1]),0)</f>
        <v>0</v>
      </c>
      <c r="W41" s="167">
        <f>IFERROR(_xlfn.XLOOKUP(Table4[[#This Row],[Subnummer]],Table3[Sub],Table3[Promillage 2]),0)</f>
        <v>0</v>
      </c>
      <c r="X41" s="167">
        <f>IFERROR(_xlfn.XLOOKUP(Table4[[#This Row],[Subnummer]],Table3[Sub],Table3[Promillage 3]),0)</f>
        <v>0</v>
      </c>
      <c r="Y41" s="167">
        <f>IFERROR(_xlfn.XLOOKUP(Table4[[#This Row],[Subnummer]],Table3[Sub],Table3[Promillage 4]),0)</f>
        <v>0</v>
      </c>
      <c r="Z41" s="167">
        <f>IFERROR(_xlfn.XLOOKUP(Table4[[#This Row],[Subnummer]],Table3[Sub],#REF!),0)</f>
        <v>0</v>
      </c>
      <c r="AA41" s="167">
        <f>IFERROR(_xlfn.XLOOKUP(Table4[[#This Row],[Subnummer]],Table3[Sub],#REF!),0)</f>
        <v>0</v>
      </c>
      <c r="AB41" s="167">
        <f>IFERROR(_xlfn.XLOOKUP(Table4[[#This Row],[Subnummer]],Table3[Sub],#REF!),0)</f>
        <v>0</v>
      </c>
      <c r="AC41" s="167">
        <f>IFERROR(_xlfn.XLOOKUP(Table4[[#This Row],[Subnummer]],Table3[Sub],#REF!),0)</f>
        <v>0</v>
      </c>
      <c r="AD41" s="167">
        <f>IFERROR(_xlfn.XLOOKUP(Table4[[#This Row],[Subnummer]],Table3[Sub],#REF!),0)</f>
        <v>0</v>
      </c>
      <c r="AE41" s="167">
        <f>IFERROR(_xlfn.XLOOKUP(Table4[[#This Row],[Subnummer]],Table3[Sub],#REF!),0)</f>
        <v>0</v>
      </c>
      <c r="AF41" s="189">
        <f t="shared" si="16"/>
        <v>0</v>
      </c>
      <c r="AG41" s="189">
        <f t="shared" si="17"/>
        <v>0</v>
      </c>
      <c r="AH41" s="189">
        <f t="shared" si="18"/>
        <v>0</v>
      </c>
      <c r="AI41" s="189">
        <f t="shared" si="19"/>
        <v>0</v>
      </c>
      <c r="AJ41" s="189" t="e">
        <f t="shared" si="20"/>
        <v>#REF!</v>
      </c>
      <c r="AK41" s="189" t="e">
        <f t="shared" si="21"/>
        <v>#REF!</v>
      </c>
      <c r="AL41" s="189" t="e">
        <f t="shared" si="22"/>
        <v>#REF!</v>
      </c>
      <c r="AM41" s="189" t="e">
        <f t="shared" si="23"/>
        <v>#REF!</v>
      </c>
      <c r="AN41" s="189" t="e">
        <f t="shared" si="24"/>
        <v>#REF!</v>
      </c>
      <c r="AO41" s="189" t="e">
        <f t="shared" si="25"/>
        <v>#REF!</v>
      </c>
      <c r="AP41" s="165" t="e">
        <f t="shared" si="26"/>
        <v>#REF!</v>
      </c>
      <c r="AQ41" s="175" t="e" cm="1">
        <f t="array" ref="AQ41">_xlfn.IFS(AP41=0,"Nihil",AP41&gt;0,"Suppletie",AP41&lt;0,"Restitutie")</f>
        <v>#REF!</v>
      </c>
    </row>
    <row r="42" spans="1:43" x14ac:dyDescent="0.25">
      <c r="A42" s="174" t="str">
        <f>IFERROR(_xlfn.XLOOKUP(D42,Table3[Sub],Table3[Verzekerde]),"-")</f>
        <v>-</v>
      </c>
      <c r="B42" s="164"/>
      <c r="C42" s="164" t="str">
        <f>IFERROR(_xlfn.XLOOKUP(Table4[[#This Row],[Subnummer]],Table3[Sub],Table3[Certificaat]),"-")</f>
        <v>-</v>
      </c>
      <c r="D42" s="177">
        <v>0</v>
      </c>
      <c r="E42" s="180">
        <f>IFERROR(_xlfn.XLOOKUP(Table4[[#This Row],[Subnummer]],Table3[Sub],Table3[Verz. Waarde Oud:]),0)</f>
        <v>0</v>
      </c>
      <c r="F42" s="165">
        <v>0</v>
      </c>
      <c r="G42" s="165">
        <v>0</v>
      </c>
      <c r="H42" s="165">
        <v>0</v>
      </c>
      <c r="I42" s="165">
        <v>0</v>
      </c>
      <c r="J42" s="165">
        <f t="shared" si="10"/>
        <v>0</v>
      </c>
      <c r="K42" s="181">
        <f t="shared" si="11"/>
        <v>0</v>
      </c>
      <c r="L42" s="183">
        <v>44562</v>
      </c>
      <c r="M42" s="166">
        <v>44927</v>
      </c>
      <c r="N42" s="164">
        <f t="shared" si="12"/>
        <v>365</v>
      </c>
      <c r="O42" s="164">
        <v>365</v>
      </c>
      <c r="P42" s="175" t="s">
        <v>104</v>
      </c>
      <c r="Q42" s="186">
        <f t="shared" si="13"/>
        <v>0</v>
      </c>
      <c r="R42" s="165" cm="1">
        <f t="array" ref="R42">_xlfn.IFS($P42="Nee",G42*$N42/$O42,$P42="Ja",G42*0.5)</f>
        <v>0</v>
      </c>
      <c r="S42" s="165" cm="1">
        <f t="array" ref="S42">_xlfn.IFS($P42="Nee",-(H42*$N42/$O42),$P42="Ja",-(H42*0.5))</f>
        <v>0</v>
      </c>
      <c r="T42" s="165">
        <f t="shared" si="14"/>
        <v>0</v>
      </c>
      <c r="U42" s="187">
        <f t="shared" si="15"/>
        <v>0</v>
      </c>
      <c r="V42" s="191">
        <f>IFERROR(_xlfn.XLOOKUP(Table4[[#This Row],[Subnummer]],Table3[Sub],Table3[Promillage 1]),0)</f>
        <v>0</v>
      </c>
      <c r="W42" s="167">
        <f>IFERROR(_xlfn.XLOOKUP(Table4[[#This Row],[Subnummer]],Table3[Sub],Table3[Promillage 2]),0)</f>
        <v>0</v>
      </c>
      <c r="X42" s="167">
        <f>IFERROR(_xlfn.XLOOKUP(Table4[[#This Row],[Subnummer]],Table3[Sub],Table3[Promillage 3]),0)</f>
        <v>0</v>
      </c>
      <c r="Y42" s="167">
        <f>IFERROR(_xlfn.XLOOKUP(Table4[[#This Row],[Subnummer]],Table3[Sub],Table3[Promillage 4]),0)</f>
        <v>0</v>
      </c>
      <c r="Z42" s="167">
        <f>IFERROR(_xlfn.XLOOKUP(Table4[[#This Row],[Subnummer]],Table3[Sub],#REF!),0)</f>
        <v>0</v>
      </c>
      <c r="AA42" s="167">
        <f>IFERROR(_xlfn.XLOOKUP(Table4[[#This Row],[Subnummer]],Table3[Sub],#REF!),0)</f>
        <v>0</v>
      </c>
      <c r="AB42" s="167">
        <f>IFERROR(_xlfn.XLOOKUP(Table4[[#This Row],[Subnummer]],Table3[Sub],#REF!),0)</f>
        <v>0</v>
      </c>
      <c r="AC42" s="167">
        <f>IFERROR(_xlfn.XLOOKUP(Table4[[#This Row],[Subnummer]],Table3[Sub],#REF!),0)</f>
        <v>0</v>
      </c>
      <c r="AD42" s="167">
        <f>IFERROR(_xlfn.XLOOKUP(Table4[[#This Row],[Subnummer]],Table3[Sub],#REF!),0)</f>
        <v>0</v>
      </c>
      <c r="AE42" s="167">
        <f>IFERROR(_xlfn.XLOOKUP(Table4[[#This Row],[Subnummer]],Table3[Sub],#REF!),0)</f>
        <v>0</v>
      </c>
      <c r="AF42" s="189">
        <f t="shared" si="16"/>
        <v>0</v>
      </c>
      <c r="AG42" s="189">
        <f t="shared" si="17"/>
        <v>0</v>
      </c>
      <c r="AH42" s="189">
        <f t="shared" si="18"/>
        <v>0</v>
      </c>
      <c r="AI42" s="189">
        <f t="shared" si="19"/>
        <v>0</v>
      </c>
      <c r="AJ42" s="189" t="e">
        <f t="shared" si="20"/>
        <v>#REF!</v>
      </c>
      <c r="AK42" s="189" t="e">
        <f t="shared" si="21"/>
        <v>#REF!</v>
      </c>
      <c r="AL42" s="189" t="e">
        <f t="shared" si="22"/>
        <v>#REF!</v>
      </c>
      <c r="AM42" s="189" t="e">
        <f t="shared" si="23"/>
        <v>#REF!</v>
      </c>
      <c r="AN42" s="189" t="e">
        <f t="shared" si="24"/>
        <v>#REF!</v>
      </c>
      <c r="AO42" s="189" t="e">
        <f t="shared" si="25"/>
        <v>#REF!</v>
      </c>
      <c r="AP42" s="165" t="e">
        <f t="shared" si="26"/>
        <v>#REF!</v>
      </c>
      <c r="AQ42" s="175" t="e" cm="1">
        <f t="array" ref="AQ42">_xlfn.IFS(AP42=0,"Nihil",AP42&gt;0,"Suppletie",AP42&lt;0,"Restitutie")</f>
        <v>#REF!</v>
      </c>
    </row>
    <row r="43" spans="1:43" x14ac:dyDescent="0.25">
      <c r="A43" s="174" t="str">
        <f>IFERROR(_xlfn.XLOOKUP(D43,Table3[Sub],Table3[Verzekerde]),"-")</f>
        <v>-</v>
      </c>
      <c r="B43" s="164"/>
      <c r="C43" s="164" t="str">
        <f>IFERROR(_xlfn.XLOOKUP(Table4[[#This Row],[Subnummer]],Table3[Sub],Table3[Certificaat]),"-")</f>
        <v>-</v>
      </c>
      <c r="D43" s="177">
        <v>0</v>
      </c>
      <c r="E43" s="180">
        <f>IFERROR(_xlfn.XLOOKUP(Table4[[#This Row],[Subnummer]],Table3[Sub],Table3[Verz. Waarde Oud:]),0)</f>
        <v>0</v>
      </c>
      <c r="F43" s="165">
        <v>0</v>
      </c>
      <c r="G43" s="165">
        <v>0</v>
      </c>
      <c r="H43" s="165">
        <v>0</v>
      </c>
      <c r="I43" s="165">
        <v>0</v>
      </c>
      <c r="J43" s="165">
        <f t="shared" si="10"/>
        <v>0</v>
      </c>
      <c r="K43" s="181">
        <f t="shared" si="11"/>
        <v>0</v>
      </c>
      <c r="L43" s="183">
        <v>44562</v>
      </c>
      <c r="M43" s="166">
        <v>44927</v>
      </c>
      <c r="N43" s="164">
        <f t="shared" si="12"/>
        <v>365</v>
      </c>
      <c r="O43" s="164">
        <v>365</v>
      </c>
      <c r="P43" s="175" t="s">
        <v>104</v>
      </c>
      <c r="Q43" s="186">
        <f t="shared" si="13"/>
        <v>0</v>
      </c>
      <c r="R43" s="165" cm="1">
        <f t="array" ref="R43">_xlfn.IFS($P43="Nee",G43*$N43/$O43,$P43="Ja",G43*0.5)</f>
        <v>0</v>
      </c>
      <c r="S43" s="165" cm="1">
        <f t="array" ref="S43">_xlfn.IFS($P43="Nee",-(H43*$N43/$O43),$P43="Ja",-(H43*0.5))</f>
        <v>0</v>
      </c>
      <c r="T43" s="165">
        <f t="shared" si="14"/>
        <v>0</v>
      </c>
      <c r="U43" s="187">
        <f t="shared" si="15"/>
        <v>0</v>
      </c>
      <c r="V43" s="191">
        <f>IFERROR(_xlfn.XLOOKUP(Table4[[#This Row],[Subnummer]],Table3[Sub],Table3[Promillage 1]),0)</f>
        <v>0</v>
      </c>
      <c r="W43" s="167">
        <f>IFERROR(_xlfn.XLOOKUP(Table4[[#This Row],[Subnummer]],Table3[Sub],Table3[Promillage 2]),0)</f>
        <v>0</v>
      </c>
      <c r="X43" s="167">
        <f>IFERROR(_xlfn.XLOOKUP(Table4[[#This Row],[Subnummer]],Table3[Sub],Table3[Promillage 3]),0)</f>
        <v>0</v>
      </c>
      <c r="Y43" s="167">
        <f>IFERROR(_xlfn.XLOOKUP(Table4[[#This Row],[Subnummer]],Table3[Sub],Table3[Promillage 4]),0)</f>
        <v>0</v>
      </c>
      <c r="Z43" s="167">
        <f>IFERROR(_xlfn.XLOOKUP(Table4[[#This Row],[Subnummer]],Table3[Sub],#REF!),0)</f>
        <v>0</v>
      </c>
      <c r="AA43" s="167">
        <f>IFERROR(_xlfn.XLOOKUP(Table4[[#This Row],[Subnummer]],Table3[Sub],#REF!),0)</f>
        <v>0</v>
      </c>
      <c r="AB43" s="167">
        <f>IFERROR(_xlfn.XLOOKUP(Table4[[#This Row],[Subnummer]],Table3[Sub],#REF!),0)</f>
        <v>0</v>
      </c>
      <c r="AC43" s="167">
        <f>IFERROR(_xlfn.XLOOKUP(Table4[[#This Row],[Subnummer]],Table3[Sub],#REF!),0)</f>
        <v>0</v>
      </c>
      <c r="AD43" s="167">
        <f>IFERROR(_xlfn.XLOOKUP(Table4[[#This Row],[Subnummer]],Table3[Sub],#REF!),0)</f>
        <v>0</v>
      </c>
      <c r="AE43" s="167">
        <f>IFERROR(_xlfn.XLOOKUP(Table4[[#This Row],[Subnummer]],Table3[Sub],#REF!),0)</f>
        <v>0</v>
      </c>
      <c r="AF43" s="189">
        <f t="shared" si="16"/>
        <v>0</v>
      </c>
      <c r="AG43" s="189">
        <f t="shared" si="17"/>
        <v>0</v>
      </c>
      <c r="AH43" s="189">
        <f t="shared" si="18"/>
        <v>0</v>
      </c>
      <c r="AI43" s="189">
        <f t="shared" si="19"/>
        <v>0</v>
      </c>
      <c r="AJ43" s="189" t="e">
        <f t="shared" si="20"/>
        <v>#REF!</v>
      </c>
      <c r="AK43" s="189" t="e">
        <f t="shared" si="21"/>
        <v>#REF!</v>
      </c>
      <c r="AL43" s="189" t="e">
        <f t="shared" si="22"/>
        <v>#REF!</v>
      </c>
      <c r="AM43" s="189" t="e">
        <f t="shared" si="23"/>
        <v>#REF!</v>
      </c>
      <c r="AN43" s="189" t="e">
        <f t="shared" si="24"/>
        <v>#REF!</v>
      </c>
      <c r="AO43" s="189" t="e">
        <f t="shared" si="25"/>
        <v>#REF!</v>
      </c>
      <c r="AP43" s="165" t="e">
        <f t="shared" si="26"/>
        <v>#REF!</v>
      </c>
      <c r="AQ43" s="175" t="e" cm="1">
        <f t="array" ref="AQ43">_xlfn.IFS(AP43=0,"Nihil",AP43&gt;0,"Suppletie",AP43&lt;0,"Restitutie")</f>
        <v>#REF!</v>
      </c>
    </row>
    <row r="44" spans="1:43" x14ac:dyDescent="0.25">
      <c r="A44" s="174" t="str">
        <f>IFERROR(_xlfn.XLOOKUP(D44,Table3[Sub],Table3[Verzekerde]),"-")</f>
        <v>-</v>
      </c>
      <c r="B44" s="164"/>
      <c r="C44" s="164" t="str">
        <f>IFERROR(_xlfn.XLOOKUP(Table4[[#This Row],[Subnummer]],Table3[Sub],Table3[Certificaat]),"-")</f>
        <v>-</v>
      </c>
      <c r="D44" s="177">
        <v>0</v>
      </c>
      <c r="E44" s="180">
        <f>IFERROR(_xlfn.XLOOKUP(Table4[[#This Row],[Subnummer]],Table3[Sub],Table3[Verz. Waarde Oud:]),0)</f>
        <v>0</v>
      </c>
      <c r="F44" s="165">
        <v>0</v>
      </c>
      <c r="G44" s="165">
        <v>0</v>
      </c>
      <c r="H44" s="165">
        <v>0</v>
      </c>
      <c r="I44" s="165">
        <v>0</v>
      </c>
      <c r="J44" s="165">
        <f t="shared" si="10"/>
        <v>0</v>
      </c>
      <c r="K44" s="181">
        <f t="shared" si="11"/>
        <v>0</v>
      </c>
      <c r="L44" s="183">
        <v>44562</v>
      </c>
      <c r="M44" s="166">
        <v>44927</v>
      </c>
      <c r="N44" s="164">
        <f t="shared" si="12"/>
        <v>365</v>
      </c>
      <c r="O44" s="164">
        <v>365</v>
      </c>
      <c r="P44" s="175" t="s">
        <v>104</v>
      </c>
      <c r="Q44" s="186">
        <f t="shared" si="13"/>
        <v>0</v>
      </c>
      <c r="R44" s="165" cm="1">
        <f t="array" ref="R44">_xlfn.IFS($P44="Nee",G44*$N44/$O44,$P44="Ja",G44*0.5)</f>
        <v>0</v>
      </c>
      <c r="S44" s="165" cm="1">
        <f t="array" ref="S44">_xlfn.IFS($P44="Nee",-(H44*$N44/$O44),$P44="Ja",-(H44*0.5))</f>
        <v>0</v>
      </c>
      <c r="T44" s="165">
        <f t="shared" si="14"/>
        <v>0</v>
      </c>
      <c r="U44" s="187">
        <f t="shared" si="15"/>
        <v>0</v>
      </c>
      <c r="V44" s="191">
        <f>IFERROR(_xlfn.XLOOKUP(Table4[[#This Row],[Subnummer]],Table3[Sub],Table3[Promillage 1]),0)</f>
        <v>0</v>
      </c>
      <c r="W44" s="167">
        <f>IFERROR(_xlfn.XLOOKUP(Table4[[#This Row],[Subnummer]],Table3[Sub],Table3[Promillage 2]),0)</f>
        <v>0</v>
      </c>
      <c r="X44" s="167">
        <f>IFERROR(_xlfn.XLOOKUP(Table4[[#This Row],[Subnummer]],Table3[Sub],Table3[Promillage 3]),0)</f>
        <v>0</v>
      </c>
      <c r="Y44" s="167">
        <f>IFERROR(_xlfn.XLOOKUP(Table4[[#This Row],[Subnummer]],Table3[Sub],Table3[Promillage 4]),0)</f>
        <v>0</v>
      </c>
      <c r="Z44" s="167">
        <f>IFERROR(_xlfn.XLOOKUP(Table4[[#This Row],[Subnummer]],Table3[Sub],#REF!),0)</f>
        <v>0</v>
      </c>
      <c r="AA44" s="167">
        <f>IFERROR(_xlfn.XLOOKUP(Table4[[#This Row],[Subnummer]],Table3[Sub],#REF!),0)</f>
        <v>0</v>
      </c>
      <c r="AB44" s="167">
        <f>IFERROR(_xlfn.XLOOKUP(Table4[[#This Row],[Subnummer]],Table3[Sub],#REF!),0)</f>
        <v>0</v>
      </c>
      <c r="AC44" s="167">
        <f>IFERROR(_xlfn.XLOOKUP(Table4[[#This Row],[Subnummer]],Table3[Sub],#REF!),0)</f>
        <v>0</v>
      </c>
      <c r="AD44" s="167">
        <f>IFERROR(_xlfn.XLOOKUP(Table4[[#This Row],[Subnummer]],Table3[Sub],#REF!),0)</f>
        <v>0</v>
      </c>
      <c r="AE44" s="167">
        <f>IFERROR(_xlfn.XLOOKUP(Table4[[#This Row],[Subnummer]],Table3[Sub],#REF!),0)</f>
        <v>0</v>
      </c>
      <c r="AF44" s="189">
        <f t="shared" si="16"/>
        <v>0</v>
      </c>
      <c r="AG44" s="189">
        <f t="shared" si="17"/>
        <v>0</v>
      </c>
      <c r="AH44" s="189">
        <f t="shared" si="18"/>
        <v>0</v>
      </c>
      <c r="AI44" s="189">
        <f t="shared" si="19"/>
        <v>0</v>
      </c>
      <c r="AJ44" s="189" t="e">
        <f t="shared" si="20"/>
        <v>#REF!</v>
      </c>
      <c r="AK44" s="189" t="e">
        <f t="shared" si="21"/>
        <v>#REF!</v>
      </c>
      <c r="AL44" s="189" t="e">
        <f t="shared" si="22"/>
        <v>#REF!</v>
      </c>
      <c r="AM44" s="189" t="e">
        <f t="shared" si="23"/>
        <v>#REF!</v>
      </c>
      <c r="AN44" s="189" t="e">
        <f t="shared" si="24"/>
        <v>#REF!</v>
      </c>
      <c r="AO44" s="189" t="e">
        <f t="shared" si="25"/>
        <v>#REF!</v>
      </c>
      <c r="AP44" s="165" t="e">
        <f t="shared" si="26"/>
        <v>#REF!</v>
      </c>
      <c r="AQ44" s="175" t="e" cm="1">
        <f t="array" ref="AQ44">_xlfn.IFS(AP44=0,"Nihil",AP44&gt;0,"Suppletie",AP44&lt;0,"Restitutie")</f>
        <v>#REF!</v>
      </c>
    </row>
    <row r="45" spans="1:43" x14ac:dyDescent="0.25">
      <c r="A45" s="174" t="str">
        <f>IFERROR(_xlfn.XLOOKUP(D45,Table3[Sub],Table3[Verzekerde]),"-")</f>
        <v>-</v>
      </c>
      <c r="B45" s="164"/>
      <c r="C45" s="164" t="str">
        <f>IFERROR(_xlfn.XLOOKUP(Table4[[#This Row],[Subnummer]],Table3[Sub],Table3[Certificaat]),"-")</f>
        <v>-</v>
      </c>
      <c r="D45" s="177">
        <v>0</v>
      </c>
      <c r="E45" s="180">
        <f>IFERROR(_xlfn.XLOOKUP(Table4[[#This Row],[Subnummer]],Table3[Sub],Table3[Verz. Waarde Oud:]),0)</f>
        <v>0</v>
      </c>
      <c r="F45" s="165">
        <v>0</v>
      </c>
      <c r="G45" s="165">
        <v>0</v>
      </c>
      <c r="H45" s="165">
        <v>0</v>
      </c>
      <c r="I45" s="165">
        <v>0</v>
      </c>
      <c r="J45" s="165">
        <f t="shared" si="10"/>
        <v>0</v>
      </c>
      <c r="K45" s="181">
        <f t="shared" si="11"/>
        <v>0</v>
      </c>
      <c r="L45" s="183">
        <v>44562</v>
      </c>
      <c r="M45" s="166">
        <v>44927</v>
      </c>
      <c r="N45" s="164">
        <f t="shared" si="12"/>
        <v>365</v>
      </c>
      <c r="O45" s="164">
        <v>365</v>
      </c>
      <c r="P45" s="175" t="s">
        <v>104</v>
      </c>
      <c r="Q45" s="186">
        <f t="shared" si="13"/>
        <v>0</v>
      </c>
      <c r="R45" s="165" cm="1">
        <f t="array" ref="R45">_xlfn.IFS($P45="Nee",G45*$N45/$O45,$P45="Ja",G45*0.5)</f>
        <v>0</v>
      </c>
      <c r="S45" s="165" cm="1">
        <f t="array" ref="S45">_xlfn.IFS($P45="Nee",-(H45*$N45/$O45),$P45="Ja",-(H45*0.5))</f>
        <v>0</v>
      </c>
      <c r="T45" s="165">
        <f t="shared" si="14"/>
        <v>0</v>
      </c>
      <c r="U45" s="187">
        <f t="shared" si="15"/>
        <v>0</v>
      </c>
      <c r="V45" s="191">
        <f>IFERROR(_xlfn.XLOOKUP(Table4[[#This Row],[Subnummer]],Table3[Sub],Table3[Promillage 1]),0)</f>
        <v>0</v>
      </c>
      <c r="W45" s="167">
        <f>IFERROR(_xlfn.XLOOKUP(Table4[[#This Row],[Subnummer]],Table3[Sub],Table3[Promillage 2]),0)</f>
        <v>0</v>
      </c>
      <c r="X45" s="167">
        <f>IFERROR(_xlfn.XLOOKUP(Table4[[#This Row],[Subnummer]],Table3[Sub],Table3[Promillage 3]),0)</f>
        <v>0</v>
      </c>
      <c r="Y45" s="167">
        <f>IFERROR(_xlfn.XLOOKUP(Table4[[#This Row],[Subnummer]],Table3[Sub],Table3[Promillage 4]),0)</f>
        <v>0</v>
      </c>
      <c r="Z45" s="167">
        <f>IFERROR(_xlfn.XLOOKUP(Table4[[#This Row],[Subnummer]],Table3[Sub],#REF!),0)</f>
        <v>0</v>
      </c>
      <c r="AA45" s="167">
        <f>IFERROR(_xlfn.XLOOKUP(Table4[[#This Row],[Subnummer]],Table3[Sub],#REF!),0)</f>
        <v>0</v>
      </c>
      <c r="AB45" s="167">
        <f>IFERROR(_xlfn.XLOOKUP(Table4[[#This Row],[Subnummer]],Table3[Sub],#REF!),0)</f>
        <v>0</v>
      </c>
      <c r="AC45" s="167">
        <f>IFERROR(_xlfn.XLOOKUP(Table4[[#This Row],[Subnummer]],Table3[Sub],#REF!),0)</f>
        <v>0</v>
      </c>
      <c r="AD45" s="167">
        <f>IFERROR(_xlfn.XLOOKUP(Table4[[#This Row],[Subnummer]],Table3[Sub],#REF!),0)</f>
        <v>0</v>
      </c>
      <c r="AE45" s="167">
        <f>IFERROR(_xlfn.XLOOKUP(Table4[[#This Row],[Subnummer]],Table3[Sub],#REF!),0)</f>
        <v>0</v>
      </c>
      <c r="AF45" s="189">
        <f t="shared" si="16"/>
        <v>0</v>
      </c>
      <c r="AG45" s="189">
        <f t="shared" si="17"/>
        <v>0</v>
      </c>
      <c r="AH45" s="189">
        <f t="shared" si="18"/>
        <v>0</v>
      </c>
      <c r="AI45" s="189">
        <f t="shared" si="19"/>
        <v>0</v>
      </c>
      <c r="AJ45" s="189" t="e">
        <f t="shared" si="20"/>
        <v>#REF!</v>
      </c>
      <c r="AK45" s="189" t="e">
        <f t="shared" si="21"/>
        <v>#REF!</v>
      </c>
      <c r="AL45" s="189" t="e">
        <f t="shared" si="22"/>
        <v>#REF!</v>
      </c>
      <c r="AM45" s="189" t="e">
        <f t="shared" si="23"/>
        <v>#REF!</v>
      </c>
      <c r="AN45" s="189" t="e">
        <f t="shared" si="24"/>
        <v>#REF!</v>
      </c>
      <c r="AO45" s="189" t="e">
        <f t="shared" si="25"/>
        <v>#REF!</v>
      </c>
      <c r="AP45" s="165" t="e">
        <f t="shared" si="26"/>
        <v>#REF!</v>
      </c>
      <c r="AQ45" s="175" t="e" cm="1">
        <f t="array" ref="AQ45">_xlfn.IFS(AP45=0,"Nihil",AP45&gt;0,"Suppletie",AP45&lt;0,"Restitutie")</f>
        <v>#REF!</v>
      </c>
    </row>
    <row r="46" spans="1:43" x14ac:dyDescent="0.25">
      <c r="A46" s="174" t="str">
        <f>IFERROR(_xlfn.XLOOKUP(D46,Table3[Sub],Table3[Verzekerde]),"-")</f>
        <v>-</v>
      </c>
      <c r="B46" s="164"/>
      <c r="C46" s="164" t="str">
        <f>IFERROR(_xlfn.XLOOKUP(Table4[[#This Row],[Subnummer]],Table3[Sub],Table3[Certificaat]),"-")</f>
        <v>-</v>
      </c>
      <c r="D46" s="177">
        <v>0</v>
      </c>
      <c r="E46" s="180">
        <f>IFERROR(_xlfn.XLOOKUP(Table4[[#This Row],[Subnummer]],Table3[Sub],Table3[Verz. Waarde Oud:]),0)</f>
        <v>0</v>
      </c>
      <c r="F46" s="165">
        <v>0</v>
      </c>
      <c r="G46" s="165">
        <v>0</v>
      </c>
      <c r="H46" s="165">
        <v>0</v>
      </c>
      <c r="I46" s="165">
        <v>0</v>
      </c>
      <c r="J46" s="165">
        <f t="shared" si="10"/>
        <v>0</v>
      </c>
      <c r="K46" s="181">
        <f t="shared" si="11"/>
        <v>0</v>
      </c>
      <c r="L46" s="183">
        <v>44562</v>
      </c>
      <c r="M46" s="166">
        <v>44927</v>
      </c>
      <c r="N46" s="164">
        <f t="shared" si="12"/>
        <v>365</v>
      </c>
      <c r="O46" s="164">
        <v>365</v>
      </c>
      <c r="P46" s="175" t="s">
        <v>104</v>
      </c>
      <c r="Q46" s="186">
        <f t="shared" si="13"/>
        <v>0</v>
      </c>
      <c r="R46" s="165" cm="1">
        <f t="array" ref="R46">_xlfn.IFS($P46="Nee",G46*$N46/$O46,$P46="Ja",G46*0.5)</f>
        <v>0</v>
      </c>
      <c r="S46" s="165" cm="1">
        <f t="array" ref="S46">_xlfn.IFS($P46="Nee",-(H46*$N46/$O46),$P46="Ja",-(H46*0.5))</f>
        <v>0</v>
      </c>
      <c r="T46" s="165">
        <f t="shared" si="14"/>
        <v>0</v>
      </c>
      <c r="U46" s="187">
        <f t="shared" si="15"/>
        <v>0</v>
      </c>
      <c r="V46" s="191">
        <f>IFERROR(_xlfn.XLOOKUP(Table4[[#This Row],[Subnummer]],Table3[Sub],Table3[Promillage 1]),0)</f>
        <v>0</v>
      </c>
      <c r="W46" s="167">
        <f>IFERROR(_xlfn.XLOOKUP(Table4[[#This Row],[Subnummer]],Table3[Sub],Table3[Promillage 2]),0)</f>
        <v>0</v>
      </c>
      <c r="X46" s="167">
        <f>IFERROR(_xlfn.XLOOKUP(Table4[[#This Row],[Subnummer]],Table3[Sub],Table3[Promillage 3]),0)</f>
        <v>0</v>
      </c>
      <c r="Y46" s="167">
        <f>IFERROR(_xlfn.XLOOKUP(Table4[[#This Row],[Subnummer]],Table3[Sub],Table3[Promillage 4]),0)</f>
        <v>0</v>
      </c>
      <c r="Z46" s="167">
        <f>IFERROR(_xlfn.XLOOKUP(Table4[[#This Row],[Subnummer]],Table3[Sub],#REF!),0)</f>
        <v>0</v>
      </c>
      <c r="AA46" s="167">
        <f>IFERROR(_xlfn.XLOOKUP(Table4[[#This Row],[Subnummer]],Table3[Sub],#REF!),0)</f>
        <v>0</v>
      </c>
      <c r="AB46" s="167">
        <f>IFERROR(_xlfn.XLOOKUP(Table4[[#This Row],[Subnummer]],Table3[Sub],#REF!),0)</f>
        <v>0</v>
      </c>
      <c r="AC46" s="167">
        <f>IFERROR(_xlfn.XLOOKUP(Table4[[#This Row],[Subnummer]],Table3[Sub],#REF!),0)</f>
        <v>0</v>
      </c>
      <c r="AD46" s="167">
        <f>IFERROR(_xlfn.XLOOKUP(Table4[[#This Row],[Subnummer]],Table3[Sub],#REF!),0)</f>
        <v>0</v>
      </c>
      <c r="AE46" s="167">
        <f>IFERROR(_xlfn.XLOOKUP(Table4[[#This Row],[Subnummer]],Table3[Sub],#REF!),0)</f>
        <v>0</v>
      </c>
      <c r="AF46" s="189">
        <f t="shared" si="16"/>
        <v>0</v>
      </c>
      <c r="AG46" s="189">
        <f t="shared" si="17"/>
        <v>0</v>
      </c>
      <c r="AH46" s="189">
        <f t="shared" si="18"/>
        <v>0</v>
      </c>
      <c r="AI46" s="189">
        <f t="shared" si="19"/>
        <v>0</v>
      </c>
      <c r="AJ46" s="189" t="e">
        <f t="shared" si="20"/>
        <v>#REF!</v>
      </c>
      <c r="AK46" s="189" t="e">
        <f t="shared" si="21"/>
        <v>#REF!</v>
      </c>
      <c r="AL46" s="189" t="e">
        <f t="shared" si="22"/>
        <v>#REF!</v>
      </c>
      <c r="AM46" s="189" t="e">
        <f t="shared" si="23"/>
        <v>#REF!</v>
      </c>
      <c r="AN46" s="189" t="e">
        <f t="shared" si="24"/>
        <v>#REF!</v>
      </c>
      <c r="AO46" s="189" t="e">
        <f t="shared" si="25"/>
        <v>#REF!</v>
      </c>
      <c r="AP46" s="165" t="e">
        <f t="shared" si="26"/>
        <v>#REF!</v>
      </c>
      <c r="AQ46" s="175" t="e" cm="1">
        <f t="array" ref="AQ46">_xlfn.IFS(AP46=0,"Nihil",AP46&gt;0,"Suppletie",AP46&lt;0,"Restitutie")</f>
        <v>#REF!</v>
      </c>
    </row>
    <row r="47" spans="1:43" x14ac:dyDescent="0.25">
      <c r="A47" s="174" t="str">
        <f>IFERROR(_xlfn.XLOOKUP(D47,Table3[Sub],Table3[Verzekerde]),"-")</f>
        <v>-</v>
      </c>
      <c r="B47" s="164"/>
      <c r="C47" s="164" t="str">
        <f>IFERROR(_xlfn.XLOOKUP(Table4[[#This Row],[Subnummer]],Table3[Sub],Table3[Certificaat]),"-")</f>
        <v>-</v>
      </c>
      <c r="D47" s="177">
        <v>0</v>
      </c>
      <c r="E47" s="180">
        <f>IFERROR(_xlfn.XLOOKUP(Table4[[#This Row],[Subnummer]],Table3[Sub],Table3[Verz. Waarde Oud:]),0)</f>
        <v>0</v>
      </c>
      <c r="F47" s="165">
        <v>0</v>
      </c>
      <c r="G47" s="165">
        <v>0</v>
      </c>
      <c r="H47" s="165">
        <v>0</v>
      </c>
      <c r="I47" s="165">
        <v>0</v>
      </c>
      <c r="J47" s="165">
        <f t="shared" si="10"/>
        <v>0</v>
      </c>
      <c r="K47" s="181">
        <f t="shared" si="11"/>
        <v>0</v>
      </c>
      <c r="L47" s="183">
        <v>44562</v>
      </c>
      <c r="M47" s="166">
        <v>44927</v>
      </c>
      <c r="N47" s="164">
        <f t="shared" si="12"/>
        <v>365</v>
      </c>
      <c r="O47" s="164">
        <v>365</v>
      </c>
      <c r="P47" s="175" t="s">
        <v>104</v>
      </c>
      <c r="Q47" s="186">
        <f t="shared" si="13"/>
        <v>0</v>
      </c>
      <c r="R47" s="165" cm="1">
        <f t="array" ref="R47">_xlfn.IFS($P47="Nee",G47*$N47/$O47,$P47="Ja",G47*0.5)</f>
        <v>0</v>
      </c>
      <c r="S47" s="165" cm="1">
        <f t="array" ref="S47">_xlfn.IFS($P47="Nee",-(H47*$N47/$O47),$P47="Ja",-(H47*0.5))</f>
        <v>0</v>
      </c>
      <c r="T47" s="165">
        <f t="shared" si="14"/>
        <v>0</v>
      </c>
      <c r="U47" s="187">
        <f t="shared" si="15"/>
        <v>0</v>
      </c>
      <c r="V47" s="191">
        <f>IFERROR(_xlfn.XLOOKUP(Table4[[#This Row],[Subnummer]],Table3[Sub],Table3[Promillage 1]),0)</f>
        <v>0</v>
      </c>
      <c r="W47" s="167">
        <f>IFERROR(_xlfn.XLOOKUP(Table4[[#This Row],[Subnummer]],Table3[Sub],Table3[Promillage 2]),0)</f>
        <v>0</v>
      </c>
      <c r="X47" s="167">
        <f>IFERROR(_xlfn.XLOOKUP(Table4[[#This Row],[Subnummer]],Table3[Sub],Table3[Promillage 3]),0)</f>
        <v>0</v>
      </c>
      <c r="Y47" s="167">
        <f>IFERROR(_xlfn.XLOOKUP(Table4[[#This Row],[Subnummer]],Table3[Sub],Table3[Promillage 4]),0)</f>
        <v>0</v>
      </c>
      <c r="Z47" s="167">
        <f>IFERROR(_xlfn.XLOOKUP(Table4[[#This Row],[Subnummer]],Table3[Sub],#REF!),0)</f>
        <v>0</v>
      </c>
      <c r="AA47" s="167">
        <f>IFERROR(_xlfn.XLOOKUP(Table4[[#This Row],[Subnummer]],Table3[Sub],#REF!),0)</f>
        <v>0</v>
      </c>
      <c r="AB47" s="167">
        <f>IFERROR(_xlfn.XLOOKUP(Table4[[#This Row],[Subnummer]],Table3[Sub],#REF!),0)</f>
        <v>0</v>
      </c>
      <c r="AC47" s="167">
        <f>IFERROR(_xlfn.XLOOKUP(Table4[[#This Row],[Subnummer]],Table3[Sub],#REF!),0)</f>
        <v>0</v>
      </c>
      <c r="AD47" s="167">
        <f>IFERROR(_xlfn.XLOOKUP(Table4[[#This Row],[Subnummer]],Table3[Sub],#REF!),0)</f>
        <v>0</v>
      </c>
      <c r="AE47" s="167">
        <f>IFERROR(_xlfn.XLOOKUP(Table4[[#This Row],[Subnummer]],Table3[Sub],#REF!),0)</f>
        <v>0</v>
      </c>
      <c r="AF47" s="189">
        <f t="shared" si="16"/>
        <v>0</v>
      </c>
      <c r="AG47" s="189">
        <f t="shared" si="17"/>
        <v>0</v>
      </c>
      <c r="AH47" s="189">
        <f t="shared" si="18"/>
        <v>0</v>
      </c>
      <c r="AI47" s="189">
        <f t="shared" si="19"/>
        <v>0</v>
      </c>
      <c r="AJ47" s="189" t="e">
        <f t="shared" si="20"/>
        <v>#REF!</v>
      </c>
      <c r="AK47" s="189" t="e">
        <f t="shared" si="21"/>
        <v>#REF!</v>
      </c>
      <c r="AL47" s="189" t="e">
        <f t="shared" si="22"/>
        <v>#REF!</v>
      </c>
      <c r="AM47" s="189" t="e">
        <f t="shared" si="23"/>
        <v>#REF!</v>
      </c>
      <c r="AN47" s="189" t="e">
        <f t="shared" si="24"/>
        <v>#REF!</v>
      </c>
      <c r="AO47" s="189" t="e">
        <f t="shared" si="25"/>
        <v>#REF!</v>
      </c>
      <c r="AP47" s="165" t="e">
        <f t="shared" si="26"/>
        <v>#REF!</v>
      </c>
      <c r="AQ47" s="175" t="e" cm="1">
        <f t="array" ref="AQ47">_xlfn.IFS(AP47=0,"Nihil",AP47&gt;0,"Suppletie",AP47&lt;0,"Restitutie")</f>
        <v>#REF!</v>
      </c>
    </row>
    <row r="48" spans="1:43" x14ac:dyDescent="0.25">
      <c r="A48" s="174" t="str">
        <f>IFERROR(_xlfn.XLOOKUP(D48,Table3[Sub],Table3[Verzekerde]),"-")</f>
        <v>-</v>
      </c>
      <c r="B48" s="164"/>
      <c r="C48" s="164" t="str">
        <f>IFERROR(_xlfn.XLOOKUP(Table4[[#This Row],[Subnummer]],Table3[Sub],Table3[Certificaat]),"-")</f>
        <v>-</v>
      </c>
      <c r="D48" s="177">
        <v>0</v>
      </c>
      <c r="E48" s="180">
        <f>IFERROR(_xlfn.XLOOKUP(Table4[[#This Row],[Subnummer]],Table3[Sub],Table3[Verz. Waarde Oud:]),0)</f>
        <v>0</v>
      </c>
      <c r="F48" s="165">
        <v>0</v>
      </c>
      <c r="G48" s="165">
        <v>0</v>
      </c>
      <c r="H48" s="165">
        <v>0</v>
      </c>
      <c r="I48" s="165">
        <v>0</v>
      </c>
      <c r="J48" s="165">
        <f t="shared" si="10"/>
        <v>0</v>
      </c>
      <c r="K48" s="181">
        <f t="shared" si="11"/>
        <v>0</v>
      </c>
      <c r="L48" s="183">
        <v>44562</v>
      </c>
      <c r="M48" s="166">
        <v>44927</v>
      </c>
      <c r="N48" s="164">
        <f t="shared" si="12"/>
        <v>365</v>
      </c>
      <c r="O48" s="164">
        <v>365</v>
      </c>
      <c r="P48" s="175" t="s">
        <v>104</v>
      </c>
      <c r="Q48" s="186">
        <f t="shared" si="13"/>
        <v>0</v>
      </c>
      <c r="R48" s="165" cm="1">
        <f t="array" ref="R48">_xlfn.IFS($P48="Nee",G48*$N48/$O48,$P48="Ja",G48*0.5)</f>
        <v>0</v>
      </c>
      <c r="S48" s="165" cm="1">
        <f t="array" ref="S48">_xlfn.IFS($P48="Nee",-(H48*$N48/$O48),$P48="Ja",-(H48*0.5))</f>
        <v>0</v>
      </c>
      <c r="T48" s="165">
        <f t="shared" si="14"/>
        <v>0</v>
      </c>
      <c r="U48" s="187">
        <f t="shared" si="15"/>
        <v>0</v>
      </c>
      <c r="V48" s="191">
        <f>IFERROR(_xlfn.XLOOKUP(Table4[[#This Row],[Subnummer]],Table3[Sub],Table3[Promillage 1]),0)</f>
        <v>0</v>
      </c>
      <c r="W48" s="167">
        <f>IFERROR(_xlfn.XLOOKUP(Table4[[#This Row],[Subnummer]],Table3[Sub],Table3[Promillage 2]),0)</f>
        <v>0</v>
      </c>
      <c r="X48" s="167">
        <f>IFERROR(_xlfn.XLOOKUP(Table4[[#This Row],[Subnummer]],Table3[Sub],Table3[Promillage 3]),0)</f>
        <v>0</v>
      </c>
      <c r="Y48" s="167">
        <f>IFERROR(_xlfn.XLOOKUP(Table4[[#This Row],[Subnummer]],Table3[Sub],Table3[Promillage 4]),0)</f>
        <v>0</v>
      </c>
      <c r="Z48" s="167">
        <f>IFERROR(_xlfn.XLOOKUP(Table4[[#This Row],[Subnummer]],Table3[Sub],#REF!),0)</f>
        <v>0</v>
      </c>
      <c r="AA48" s="167">
        <f>IFERROR(_xlfn.XLOOKUP(Table4[[#This Row],[Subnummer]],Table3[Sub],#REF!),0)</f>
        <v>0</v>
      </c>
      <c r="AB48" s="167">
        <f>IFERROR(_xlfn.XLOOKUP(Table4[[#This Row],[Subnummer]],Table3[Sub],#REF!),0)</f>
        <v>0</v>
      </c>
      <c r="AC48" s="167">
        <f>IFERROR(_xlfn.XLOOKUP(Table4[[#This Row],[Subnummer]],Table3[Sub],#REF!),0)</f>
        <v>0</v>
      </c>
      <c r="AD48" s="167">
        <f>IFERROR(_xlfn.XLOOKUP(Table4[[#This Row],[Subnummer]],Table3[Sub],#REF!),0)</f>
        <v>0</v>
      </c>
      <c r="AE48" s="167">
        <f>IFERROR(_xlfn.XLOOKUP(Table4[[#This Row],[Subnummer]],Table3[Sub],#REF!),0)</f>
        <v>0</v>
      </c>
      <c r="AF48" s="189">
        <f t="shared" si="16"/>
        <v>0</v>
      </c>
      <c r="AG48" s="189">
        <f t="shared" si="17"/>
        <v>0</v>
      </c>
      <c r="AH48" s="189">
        <f t="shared" si="18"/>
        <v>0</v>
      </c>
      <c r="AI48" s="189">
        <f t="shared" si="19"/>
        <v>0</v>
      </c>
      <c r="AJ48" s="189" t="e">
        <f t="shared" si="20"/>
        <v>#REF!</v>
      </c>
      <c r="AK48" s="189" t="e">
        <f t="shared" si="21"/>
        <v>#REF!</v>
      </c>
      <c r="AL48" s="189" t="e">
        <f t="shared" si="22"/>
        <v>#REF!</v>
      </c>
      <c r="AM48" s="189" t="e">
        <f t="shared" si="23"/>
        <v>#REF!</v>
      </c>
      <c r="AN48" s="189" t="e">
        <f t="shared" si="24"/>
        <v>#REF!</v>
      </c>
      <c r="AO48" s="189" t="e">
        <f t="shared" si="25"/>
        <v>#REF!</v>
      </c>
      <c r="AP48" s="165" t="e">
        <f t="shared" si="26"/>
        <v>#REF!</v>
      </c>
      <c r="AQ48" s="175" t="e" cm="1">
        <f t="array" ref="AQ48">_xlfn.IFS(AP48=0,"Nihil",AP48&gt;0,"Suppletie",AP48&lt;0,"Restitutie")</f>
        <v>#REF!</v>
      </c>
    </row>
    <row r="49" spans="1:43" x14ac:dyDescent="0.25">
      <c r="A49" s="174" t="str">
        <f>IFERROR(_xlfn.XLOOKUP(D49,Table3[Sub],Table3[Verzekerde]),"-")</f>
        <v>-</v>
      </c>
      <c r="B49" s="164"/>
      <c r="C49" s="164" t="str">
        <f>IFERROR(_xlfn.XLOOKUP(Table4[[#This Row],[Subnummer]],Table3[Sub],Table3[Certificaat]),"-")</f>
        <v>-</v>
      </c>
      <c r="D49" s="177">
        <v>0</v>
      </c>
      <c r="E49" s="180">
        <f>IFERROR(_xlfn.XLOOKUP(Table4[[#This Row],[Subnummer]],Table3[Sub],Table3[Verz. Waarde Oud:]),0)</f>
        <v>0</v>
      </c>
      <c r="F49" s="165">
        <v>0</v>
      </c>
      <c r="G49" s="165">
        <v>0</v>
      </c>
      <c r="H49" s="165">
        <v>0</v>
      </c>
      <c r="I49" s="165">
        <v>0</v>
      </c>
      <c r="J49" s="165">
        <f t="shared" si="10"/>
        <v>0</v>
      </c>
      <c r="K49" s="181">
        <f t="shared" si="11"/>
        <v>0</v>
      </c>
      <c r="L49" s="183">
        <v>44562</v>
      </c>
      <c r="M49" s="166">
        <v>44927</v>
      </c>
      <c r="N49" s="164">
        <f t="shared" si="12"/>
        <v>365</v>
      </c>
      <c r="O49" s="164">
        <v>365</v>
      </c>
      <c r="P49" s="175" t="s">
        <v>104</v>
      </c>
      <c r="Q49" s="186">
        <f t="shared" si="13"/>
        <v>0</v>
      </c>
      <c r="R49" s="165" cm="1">
        <f t="array" ref="R49">_xlfn.IFS($P49="Nee",G49*$N49/$O49,$P49="Ja",G49*0.5)</f>
        <v>0</v>
      </c>
      <c r="S49" s="165" cm="1">
        <f t="array" ref="S49">_xlfn.IFS($P49="Nee",-(H49*$N49/$O49),$P49="Ja",-(H49*0.5))</f>
        <v>0</v>
      </c>
      <c r="T49" s="165">
        <f t="shared" si="14"/>
        <v>0</v>
      </c>
      <c r="U49" s="187">
        <f t="shared" si="15"/>
        <v>0</v>
      </c>
      <c r="V49" s="191">
        <f>IFERROR(_xlfn.XLOOKUP(Table4[[#This Row],[Subnummer]],Table3[Sub],Table3[Promillage 1]),0)</f>
        <v>0</v>
      </c>
      <c r="W49" s="167">
        <f>IFERROR(_xlfn.XLOOKUP(Table4[[#This Row],[Subnummer]],Table3[Sub],Table3[Promillage 2]),0)</f>
        <v>0</v>
      </c>
      <c r="X49" s="167">
        <f>IFERROR(_xlfn.XLOOKUP(Table4[[#This Row],[Subnummer]],Table3[Sub],Table3[Promillage 3]),0)</f>
        <v>0</v>
      </c>
      <c r="Y49" s="167">
        <f>IFERROR(_xlfn.XLOOKUP(Table4[[#This Row],[Subnummer]],Table3[Sub],Table3[Promillage 4]),0)</f>
        <v>0</v>
      </c>
      <c r="Z49" s="167">
        <f>IFERROR(_xlfn.XLOOKUP(Table4[[#This Row],[Subnummer]],Table3[Sub],#REF!),0)</f>
        <v>0</v>
      </c>
      <c r="AA49" s="167">
        <f>IFERROR(_xlfn.XLOOKUP(Table4[[#This Row],[Subnummer]],Table3[Sub],#REF!),0)</f>
        <v>0</v>
      </c>
      <c r="AB49" s="167">
        <f>IFERROR(_xlfn.XLOOKUP(Table4[[#This Row],[Subnummer]],Table3[Sub],#REF!),0)</f>
        <v>0</v>
      </c>
      <c r="AC49" s="167">
        <f>IFERROR(_xlfn.XLOOKUP(Table4[[#This Row],[Subnummer]],Table3[Sub],#REF!),0)</f>
        <v>0</v>
      </c>
      <c r="AD49" s="167">
        <f>IFERROR(_xlfn.XLOOKUP(Table4[[#This Row],[Subnummer]],Table3[Sub],#REF!),0)</f>
        <v>0</v>
      </c>
      <c r="AE49" s="167">
        <f>IFERROR(_xlfn.XLOOKUP(Table4[[#This Row],[Subnummer]],Table3[Sub],#REF!),0)</f>
        <v>0</v>
      </c>
      <c r="AF49" s="189">
        <f t="shared" si="16"/>
        <v>0</v>
      </c>
      <c r="AG49" s="189">
        <f t="shared" si="17"/>
        <v>0</v>
      </c>
      <c r="AH49" s="189">
        <f t="shared" si="18"/>
        <v>0</v>
      </c>
      <c r="AI49" s="189">
        <f t="shared" si="19"/>
        <v>0</v>
      </c>
      <c r="AJ49" s="189" t="e">
        <f t="shared" si="20"/>
        <v>#REF!</v>
      </c>
      <c r="AK49" s="189" t="e">
        <f t="shared" si="21"/>
        <v>#REF!</v>
      </c>
      <c r="AL49" s="189" t="e">
        <f t="shared" si="22"/>
        <v>#REF!</v>
      </c>
      <c r="AM49" s="189" t="e">
        <f t="shared" si="23"/>
        <v>#REF!</v>
      </c>
      <c r="AN49" s="189" t="e">
        <f t="shared" si="24"/>
        <v>#REF!</v>
      </c>
      <c r="AO49" s="189" t="e">
        <f t="shared" si="25"/>
        <v>#REF!</v>
      </c>
      <c r="AP49" s="165" t="e">
        <f t="shared" si="26"/>
        <v>#REF!</v>
      </c>
      <c r="AQ49" s="175" t="e" cm="1">
        <f t="array" ref="AQ49">_xlfn.IFS(AP49=0,"Nihil",AP49&gt;0,"Suppletie",AP49&lt;0,"Restitutie")</f>
        <v>#REF!</v>
      </c>
    </row>
    <row r="50" spans="1:43" x14ac:dyDescent="0.25">
      <c r="A50" s="174" t="str">
        <f>IFERROR(_xlfn.XLOOKUP(D50,Table3[Sub],Table3[Verzekerde]),"-")</f>
        <v>-</v>
      </c>
      <c r="B50" s="164"/>
      <c r="C50" s="164" t="str">
        <f>IFERROR(_xlfn.XLOOKUP(Table4[[#This Row],[Subnummer]],Table3[Sub],Table3[Certificaat]),"-")</f>
        <v>-</v>
      </c>
      <c r="D50" s="177">
        <v>0</v>
      </c>
      <c r="E50" s="180">
        <f>IFERROR(_xlfn.XLOOKUP(Table4[[#This Row],[Subnummer]],Table3[Sub],Table3[Verz. Waarde Oud:]),0)</f>
        <v>0</v>
      </c>
      <c r="F50" s="165">
        <v>0</v>
      </c>
      <c r="G50" s="165">
        <v>0</v>
      </c>
      <c r="H50" s="165">
        <v>0</v>
      </c>
      <c r="I50" s="165">
        <v>0</v>
      </c>
      <c r="J50" s="165">
        <f t="shared" si="10"/>
        <v>0</v>
      </c>
      <c r="K50" s="181">
        <f t="shared" si="11"/>
        <v>0</v>
      </c>
      <c r="L50" s="183">
        <v>44562</v>
      </c>
      <c r="M50" s="166">
        <v>44927</v>
      </c>
      <c r="N50" s="164">
        <f t="shared" si="12"/>
        <v>365</v>
      </c>
      <c r="O50" s="164">
        <v>365</v>
      </c>
      <c r="P50" s="175" t="s">
        <v>104</v>
      </c>
      <c r="Q50" s="186">
        <f t="shared" si="13"/>
        <v>0</v>
      </c>
      <c r="R50" s="165" cm="1">
        <f t="array" ref="R50">_xlfn.IFS($P50="Nee",G50*$N50/$O50,$P50="Ja",G50*0.5)</f>
        <v>0</v>
      </c>
      <c r="S50" s="165" cm="1">
        <f t="array" ref="S50">_xlfn.IFS($P50="Nee",-(H50*$N50/$O50),$P50="Ja",-(H50*0.5))</f>
        <v>0</v>
      </c>
      <c r="T50" s="165">
        <f t="shared" si="14"/>
        <v>0</v>
      </c>
      <c r="U50" s="187">
        <f t="shared" si="15"/>
        <v>0</v>
      </c>
      <c r="V50" s="191">
        <f>IFERROR(_xlfn.XLOOKUP(Table4[[#This Row],[Subnummer]],Table3[Sub],Table3[Promillage 1]),0)</f>
        <v>0</v>
      </c>
      <c r="W50" s="167">
        <f>IFERROR(_xlfn.XLOOKUP(Table4[[#This Row],[Subnummer]],Table3[Sub],Table3[Promillage 2]),0)</f>
        <v>0</v>
      </c>
      <c r="X50" s="167">
        <f>IFERROR(_xlfn.XLOOKUP(Table4[[#This Row],[Subnummer]],Table3[Sub],Table3[Promillage 3]),0)</f>
        <v>0</v>
      </c>
      <c r="Y50" s="167">
        <f>IFERROR(_xlfn.XLOOKUP(Table4[[#This Row],[Subnummer]],Table3[Sub],Table3[Promillage 4]),0)</f>
        <v>0</v>
      </c>
      <c r="Z50" s="167">
        <f>IFERROR(_xlfn.XLOOKUP(Table4[[#This Row],[Subnummer]],Table3[Sub],#REF!),0)</f>
        <v>0</v>
      </c>
      <c r="AA50" s="167">
        <f>IFERROR(_xlfn.XLOOKUP(Table4[[#This Row],[Subnummer]],Table3[Sub],#REF!),0)</f>
        <v>0</v>
      </c>
      <c r="AB50" s="167">
        <f>IFERROR(_xlfn.XLOOKUP(Table4[[#This Row],[Subnummer]],Table3[Sub],#REF!),0)</f>
        <v>0</v>
      </c>
      <c r="AC50" s="167">
        <f>IFERROR(_xlfn.XLOOKUP(Table4[[#This Row],[Subnummer]],Table3[Sub],#REF!),0)</f>
        <v>0</v>
      </c>
      <c r="AD50" s="167">
        <f>IFERROR(_xlfn.XLOOKUP(Table4[[#This Row],[Subnummer]],Table3[Sub],#REF!),0)</f>
        <v>0</v>
      </c>
      <c r="AE50" s="167">
        <f>IFERROR(_xlfn.XLOOKUP(Table4[[#This Row],[Subnummer]],Table3[Sub],#REF!),0)</f>
        <v>0</v>
      </c>
      <c r="AF50" s="189">
        <f t="shared" si="16"/>
        <v>0</v>
      </c>
      <c r="AG50" s="189">
        <f t="shared" si="17"/>
        <v>0</v>
      </c>
      <c r="AH50" s="189">
        <f t="shared" si="18"/>
        <v>0</v>
      </c>
      <c r="AI50" s="189">
        <f t="shared" si="19"/>
        <v>0</v>
      </c>
      <c r="AJ50" s="189" t="e">
        <f t="shared" si="20"/>
        <v>#REF!</v>
      </c>
      <c r="AK50" s="189" t="e">
        <f t="shared" si="21"/>
        <v>#REF!</v>
      </c>
      <c r="AL50" s="189" t="e">
        <f t="shared" si="22"/>
        <v>#REF!</v>
      </c>
      <c r="AM50" s="189" t="e">
        <f t="shared" si="23"/>
        <v>#REF!</v>
      </c>
      <c r="AN50" s="189" t="e">
        <f t="shared" si="24"/>
        <v>#REF!</v>
      </c>
      <c r="AO50" s="189" t="e">
        <f t="shared" si="25"/>
        <v>#REF!</v>
      </c>
      <c r="AP50" s="165" t="e">
        <f t="shared" si="26"/>
        <v>#REF!</v>
      </c>
      <c r="AQ50" s="175" t="e" cm="1">
        <f t="array" ref="AQ50">_xlfn.IFS(AP50=0,"Nihil",AP50&gt;0,"Suppletie",AP50&lt;0,"Restitutie")</f>
        <v>#REF!</v>
      </c>
    </row>
    <row r="51" spans="1:43" x14ac:dyDescent="0.25">
      <c r="A51" s="174" t="str">
        <f>IFERROR(_xlfn.XLOOKUP(D51,Table3[Sub],Table3[Verzekerde]),"-")</f>
        <v>-</v>
      </c>
      <c r="B51" s="164"/>
      <c r="C51" s="164" t="str">
        <f>IFERROR(_xlfn.XLOOKUP(Table4[[#This Row],[Subnummer]],Table3[Sub],Table3[Certificaat]),"-")</f>
        <v>-</v>
      </c>
      <c r="D51" s="177">
        <v>0</v>
      </c>
      <c r="E51" s="180">
        <f>IFERROR(_xlfn.XLOOKUP(Table4[[#This Row],[Subnummer]],Table3[Sub],Table3[Verz. Waarde Oud:]),0)</f>
        <v>0</v>
      </c>
      <c r="F51" s="165">
        <v>0</v>
      </c>
      <c r="G51" s="165">
        <v>0</v>
      </c>
      <c r="H51" s="165">
        <v>0</v>
      </c>
      <c r="I51" s="165">
        <v>0</v>
      </c>
      <c r="J51" s="165">
        <f t="shared" si="10"/>
        <v>0</v>
      </c>
      <c r="K51" s="181">
        <f t="shared" si="11"/>
        <v>0</v>
      </c>
      <c r="L51" s="183">
        <v>44562</v>
      </c>
      <c r="M51" s="166">
        <v>44927</v>
      </c>
      <c r="N51" s="164">
        <f t="shared" si="12"/>
        <v>365</v>
      </c>
      <c r="O51" s="164">
        <v>365</v>
      </c>
      <c r="P51" s="175" t="s">
        <v>104</v>
      </c>
      <c r="Q51" s="186">
        <f t="shared" si="13"/>
        <v>0</v>
      </c>
      <c r="R51" s="165" cm="1">
        <f t="array" ref="R51">_xlfn.IFS($P51="Nee",G51*$N51/$O51,$P51="Ja",G51*0.5)</f>
        <v>0</v>
      </c>
      <c r="S51" s="165" cm="1">
        <f t="array" ref="S51">_xlfn.IFS($P51="Nee",-(H51*$N51/$O51),$P51="Ja",-(H51*0.5))</f>
        <v>0</v>
      </c>
      <c r="T51" s="165">
        <f t="shared" si="14"/>
        <v>0</v>
      </c>
      <c r="U51" s="187">
        <f t="shared" si="15"/>
        <v>0</v>
      </c>
      <c r="V51" s="191">
        <f>IFERROR(_xlfn.XLOOKUP(Table4[[#This Row],[Subnummer]],Table3[Sub],Table3[Promillage 1]),0)</f>
        <v>0</v>
      </c>
      <c r="W51" s="167">
        <f>IFERROR(_xlfn.XLOOKUP(Table4[[#This Row],[Subnummer]],Table3[Sub],Table3[Promillage 2]),0)</f>
        <v>0</v>
      </c>
      <c r="X51" s="167">
        <f>IFERROR(_xlfn.XLOOKUP(Table4[[#This Row],[Subnummer]],Table3[Sub],Table3[Promillage 3]),0)</f>
        <v>0</v>
      </c>
      <c r="Y51" s="167">
        <f>IFERROR(_xlfn.XLOOKUP(Table4[[#This Row],[Subnummer]],Table3[Sub],Table3[Promillage 4]),0)</f>
        <v>0</v>
      </c>
      <c r="Z51" s="167">
        <f>IFERROR(_xlfn.XLOOKUP(Table4[[#This Row],[Subnummer]],Table3[Sub],#REF!),0)</f>
        <v>0</v>
      </c>
      <c r="AA51" s="167">
        <f>IFERROR(_xlfn.XLOOKUP(Table4[[#This Row],[Subnummer]],Table3[Sub],#REF!),0)</f>
        <v>0</v>
      </c>
      <c r="AB51" s="167">
        <f>IFERROR(_xlfn.XLOOKUP(Table4[[#This Row],[Subnummer]],Table3[Sub],#REF!),0)</f>
        <v>0</v>
      </c>
      <c r="AC51" s="167">
        <f>IFERROR(_xlfn.XLOOKUP(Table4[[#This Row],[Subnummer]],Table3[Sub],#REF!),0)</f>
        <v>0</v>
      </c>
      <c r="AD51" s="167">
        <f>IFERROR(_xlfn.XLOOKUP(Table4[[#This Row],[Subnummer]],Table3[Sub],#REF!),0)</f>
        <v>0</v>
      </c>
      <c r="AE51" s="167">
        <f>IFERROR(_xlfn.XLOOKUP(Table4[[#This Row],[Subnummer]],Table3[Sub],#REF!),0)</f>
        <v>0</v>
      </c>
      <c r="AF51" s="189">
        <f t="shared" si="16"/>
        <v>0</v>
      </c>
      <c r="AG51" s="189">
        <f t="shared" si="17"/>
        <v>0</v>
      </c>
      <c r="AH51" s="189">
        <f t="shared" si="18"/>
        <v>0</v>
      </c>
      <c r="AI51" s="189">
        <f t="shared" si="19"/>
        <v>0</v>
      </c>
      <c r="AJ51" s="189" t="e">
        <f t="shared" si="20"/>
        <v>#REF!</v>
      </c>
      <c r="AK51" s="189" t="e">
        <f t="shared" si="21"/>
        <v>#REF!</v>
      </c>
      <c r="AL51" s="189" t="e">
        <f t="shared" si="22"/>
        <v>#REF!</v>
      </c>
      <c r="AM51" s="189" t="e">
        <f t="shared" si="23"/>
        <v>#REF!</v>
      </c>
      <c r="AN51" s="189" t="e">
        <f t="shared" si="24"/>
        <v>#REF!</v>
      </c>
      <c r="AO51" s="189" t="e">
        <f t="shared" si="25"/>
        <v>#REF!</v>
      </c>
      <c r="AP51" s="165" t="e">
        <f t="shared" si="26"/>
        <v>#REF!</v>
      </c>
      <c r="AQ51" s="175" t="e" cm="1">
        <f t="array" ref="AQ51">_xlfn.IFS(AP51=0,"Nihil",AP51&gt;0,"Suppletie",AP51&lt;0,"Restitutie")</f>
        <v>#REF!</v>
      </c>
    </row>
    <row r="52" spans="1:43" x14ac:dyDescent="0.25">
      <c r="A52" s="174" t="str">
        <f>IFERROR(_xlfn.XLOOKUP(D52,Table3[Sub],Table3[Verzekerde]),"-")</f>
        <v>-</v>
      </c>
      <c r="B52" s="164"/>
      <c r="C52" s="164" t="str">
        <f>IFERROR(_xlfn.XLOOKUP(Table4[[#This Row],[Subnummer]],Table3[Sub],Table3[Certificaat]),"-")</f>
        <v>-</v>
      </c>
      <c r="D52" s="177">
        <v>0</v>
      </c>
      <c r="E52" s="180">
        <f>IFERROR(_xlfn.XLOOKUP(Table4[[#This Row],[Subnummer]],Table3[Sub],Table3[Verz. Waarde Oud:]),0)</f>
        <v>0</v>
      </c>
      <c r="F52" s="165">
        <v>0</v>
      </c>
      <c r="G52" s="165">
        <v>0</v>
      </c>
      <c r="H52" s="165">
        <v>0</v>
      </c>
      <c r="I52" s="165">
        <v>0</v>
      </c>
      <c r="J52" s="165">
        <f t="shared" si="10"/>
        <v>0</v>
      </c>
      <c r="K52" s="181">
        <f t="shared" si="11"/>
        <v>0</v>
      </c>
      <c r="L52" s="183">
        <v>44562</v>
      </c>
      <c r="M52" s="166">
        <v>44927</v>
      </c>
      <c r="N52" s="164">
        <f t="shared" si="12"/>
        <v>365</v>
      </c>
      <c r="O52" s="164">
        <v>365</v>
      </c>
      <c r="P52" s="175" t="s">
        <v>104</v>
      </c>
      <c r="Q52" s="186">
        <f t="shared" si="13"/>
        <v>0</v>
      </c>
      <c r="R52" s="165" cm="1">
        <f t="array" ref="R52">_xlfn.IFS($P52="Nee",G52*$N52/$O52,$P52="Ja",G52*0.5)</f>
        <v>0</v>
      </c>
      <c r="S52" s="165" cm="1">
        <f t="array" ref="S52">_xlfn.IFS($P52="Nee",-(H52*$N52/$O52),$P52="Ja",-(H52*0.5))</f>
        <v>0</v>
      </c>
      <c r="T52" s="165">
        <f t="shared" si="14"/>
        <v>0</v>
      </c>
      <c r="U52" s="187">
        <f t="shared" si="15"/>
        <v>0</v>
      </c>
      <c r="V52" s="191">
        <f>IFERROR(_xlfn.XLOOKUP(Table4[[#This Row],[Subnummer]],Table3[Sub],Table3[Promillage 1]),0)</f>
        <v>0</v>
      </c>
      <c r="W52" s="167">
        <f>IFERROR(_xlfn.XLOOKUP(Table4[[#This Row],[Subnummer]],Table3[Sub],Table3[Promillage 2]),0)</f>
        <v>0</v>
      </c>
      <c r="X52" s="167">
        <f>IFERROR(_xlfn.XLOOKUP(Table4[[#This Row],[Subnummer]],Table3[Sub],Table3[Promillage 3]),0)</f>
        <v>0</v>
      </c>
      <c r="Y52" s="167">
        <f>IFERROR(_xlfn.XLOOKUP(Table4[[#This Row],[Subnummer]],Table3[Sub],Table3[Promillage 4]),0)</f>
        <v>0</v>
      </c>
      <c r="Z52" s="167">
        <f>IFERROR(_xlfn.XLOOKUP(Table4[[#This Row],[Subnummer]],Table3[Sub],#REF!),0)</f>
        <v>0</v>
      </c>
      <c r="AA52" s="167">
        <f>IFERROR(_xlfn.XLOOKUP(Table4[[#This Row],[Subnummer]],Table3[Sub],#REF!),0)</f>
        <v>0</v>
      </c>
      <c r="AB52" s="167">
        <f>IFERROR(_xlfn.XLOOKUP(Table4[[#This Row],[Subnummer]],Table3[Sub],#REF!),0)</f>
        <v>0</v>
      </c>
      <c r="AC52" s="167">
        <f>IFERROR(_xlfn.XLOOKUP(Table4[[#This Row],[Subnummer]],Table3[Sub],#REF!),0)</f>
        <v>0</v>
      </c>
      <c r="AD52" s="167">
        <f>IFERROR(_xlfn.XLOOKUP(Table4[[#This Row],[Subnummer]],Table3[Sub],#REF!),0)</f>
        <v>0</v>
      </c>
      <c r="AE52" s="167">
        <f>IFERROR(_xlfn.XLOOKUP(Table4[[#This Row],[Subnummer]],Table3[Sub],#REF!),0)</f>
        <v>0</v>
      </c>
      <c r="AF52" s="189">
        <f t="shared" si="16"/>
        <v>0</v>
      </c>
      <c r="AG52" s="189">
        <f t="shared" si="17"/>
        <v>0</v>
      </c>
      <c r="AH52" s="189">
        <f t="shared" si="18"/>
        <v>0</v>
      </c>
      <c r="AI52" s="189">
        <f t="shared" si="19"/>
        <v>0</v>
      </c>
      <c r="AJ52" s="189" t="e">
        <f t="shared" si="20"/>
        <v>#REF!</v>
      </c>
      <c r="AK52" s="189" t="e">
        <f t="shared" si="21"/>
        <v>#REF!</v>
      </c>
      <c r="AL52" s="189" t="e">
        <f t="shared" si="22"/>
        <v>#REF!</v>
      </c>
      <c r="AM52" s="189" t="e">
        <f t="shared" si="23"/>
        <v>#REF!</v>
      </c>
      <c r="AN52" s="189" t="e">
        <f t="shared" si="24"/>
        <v>#REF!</v>
      </c>
      <c r="AO52" s="189" t="e">
        <f t="shared" si="25"/>
        <v>#REF!</v>
      </c>
      <c r="AP52" s="165" t="e">
        <f t="shared" si="26"/>
        <v>#REF!</v>
      </c>
      <c r="AQ52" s="175" t="e" cm="1">
        <f t="array" ref="AQ52">_xlfn.IFS(AP52=0,"Nihil",AP52&gt;0,"Suppletie",AP52&lt;0,"Restitutie")</f>
        <v>#REF!</v>
      </c>
    </row>
    <row r="53" spans="1:43" x14ac:dyDescent="0.25">
      <c r="A53" s="174" t="str">
        <f>IFERROR(_xlfn.XLOOKUP(D53,Table3[Sub],Table3[Verzekerde]),"-")</f>
        <v>-</v>
      </c>
      <c r="B53" s="164"/>
      <c r="C53" s="164" t="str">
        <f>IFERROR(_xlfn.XLOOKUP(Table4[[#This Row],[Subnummer]],Table3[Sub],Table3[Certificaat]),"-")</f>
        <v>-</v>
      </c>
      <c r="D53" s="177">
        <v>0</v>
      </c>
      <c r="E53" s="180">
        <f>IFERROR(_xlfn.XLOOKUP(Table4[[#This Row],[Subnummer]],Table3[Sub],Table3[Verz. Waarde Oud:]),0)</f>
        <v>0</v>
      </c>
      <c r="F53" s="165">
        <v>0</v>
      </c>
      <c r="G53" s="165">
        <v>0</v>
      </c>
      <c r="H53" s="165">
        <v>0</v>
      </c>
      <c r="I53" s="165">
        <v>0</v>
      </c>
      <c r="J53" s="165">
        <f t="shared" si="10"/>
        <v>0</v>
      </c>
      <c r="K53" s="181">
        <f t="shared" si="11"/>
        <v>0</v>
      </c>
      <c r="L53" s="183">
        <v>44562</v>
      </c>
      <c r="M53" s="166">
        <v>44927</v>
      </c>
      <c r="N53" s="164">
        <f t="shared" si="12"/>
        <v>365</v>
      </c>
      <c r="O53" s="164">
        <v>365</v>
      </c>
      <c r="P53" s="175" t="s">
        <v>104</v>
      </c>
      <c r="Q53" s="186">
        <f t="shared" si="13"/>
        <v>0</v>
      </c>
      <c r="R53" s="165" cm="1">
        <f t="array" ref="R53">_xlfn.IFS($P53="Nee",G53*$N53/$O53,$P53="Ja",G53*0.5)</f>
        <v>0</v>
      </c>
      <c r="S53" s="165" cm="1">
        <f t="array" ref="S53">_xlfn.IFS($P53="Nee",-(H53*$N53/$O53),$P53="Ja",-(H53*0.5))</f>
        <v>0</v>
      </c>
      <c r="T53" s="165">
        <f t="shared" si="14"/>
        <v>0</v>
      </c>
      <c r="U53" s="187">
        <f t="shared" si="15"/>
        <v>0</v>
      </c>
      <c r="V53" s="191">
        <f>IFERROR(_xlfn.XLOOKUP(Table4[[#This Row],[Subnummer]],Table3[Sub],Table3[Promillage 1]),0)</f>
        <v>0</v>
      </c>
      <c r="W53" s="167">
        <f>IFERROR(_xlfn.XLOOKUP(Table4[[#This Row],[Subnummer]],Table3[Sub],Table3[Promillage 2]),0)</f>
        <v>0</v>
      </c>
      <c r="X53" s="167">
        <f>IFERROR(_xlfn.XLOOKUP(Table4[[#This Row],[Subnummer]],Table3[Sub],Table3[Promillage 3]),0)</f>
        <v>0</v>
      </c>
      <c r="Y53" s="167">
        <f>IFERROR(_xlfn.XLOOKUP(Table4[[#This Row],[Subnummer]],Table3[Sub],Table3[Promillage 4]),0)</f>
        <v>0</v>
      </c>
      <c r="Z53" s="167">
        <f>IFERROR(_xlfn.XLOOKUP(Table4[[#This Row],[Subnummer]],Table3[Sub],#REF!),0)</f>
        <v>0</v>
      </c>
      <c r="AA53" s="167">
        <f>IFERROR(_xlfn.XLOOKUP(Table4[[#This Row],[Subnummer]],Table3[Sub],#REF!),0)</f>
        <v>0</v>
      </c>
      <c r="AB53" s="167">
        <f>IFERROR(_xlfn.XLOOKUP(Table4[[#This Row],[Subnummer]],Table3[Sub],#REF!),0)</f>
        <v>0</v>
      </c>
      <c r="AC53" s="167">
        <f>IFERROR(_xlfn.XLOOKUP(Table4[[#This Row],[Subnummer]],Table3[Sub],#REF!),0)</f>
        <v>0</v>
      </c>
      <c r="AD53" s="167">
        <f>IFERROR(_xlfn.XLOOKUP(Table4[[#This Row],[Subnummer]],Table3[Sub],#REF!),0)</f>
        <v>0</v>
      </c>
      <c r="AE53" s="167">
        <f>IFERROR(_xlfn.XLOOKUP(Table4[[#This Row],[Subnummer]],Table3[Sub],#REF!),0)</f>
        <v>0</v>
      </c>
      <c r="AF53" s="189">
        <f t="shared" si="16"/>
        <v>0</v>
      </c>
      <c r="AG53" s="189">
        <f t="shared" si="17"/>
        <v>0</v>
      </c>
      <c r="AH53" s="189">
        <f t="shared" si="18"/>
        <v>0</v>
      </c>
      <c r="AI53" s="189">
        <f t="shared" si="19"/>
        <v>0</v>
      </c>
      <c r="AJ53" s="189" t="e">
        <f t="shared" si="20"/>
        <v>#REF!</v>
      </c>
      <c r="AK53" s="189" t="e">
        <f t="shared" si="21"/>
        <v>#REF!</v>
      </c>
      <c r="AL53" s="189" t="e">
        <f t="shared" si="22"/>
        <v>#REF!</v>
      </c>
      <c r="AM53" s="189" t="e">
        <f t="shared" si="23"/>
        <v>#REF!</v>
      </c>
      <c r="AN53" s="189" t="e">
        <f t="shared" si="24"/>
        <v>#REF!</v>
      </c>
      <c r="AO53" s="189" t="e">
        <f t="shared" si="25"/>
        <v>#REF!</v>
      </c>
      <c r="AP53" s="165" t="e">
        <f t="shared" si="26"/>
        <v>#REF!</v>
      </c>
      <c r="AQ53" s="175" t="e" cm="1">
        <f t="array" ref="AQ53">_xlfn.IFS(AP53=0,"Nihil",AP53&gt;0,"Suppletie",AP53&lt;0,"Restitutie")</f>
        <v>#REF!</v>
      </c>
    </row>
    <row r="54" spans="1:43" x14ac:dyDescent="0.25">
      <c r="A54" s="174" t="str">
        <f>IFERROR(_xlfn.XLOOKUP(D54,Table3[Sub],Table3[Verzekerde]),"-")</f>
        <v>-</v>
      </c>
      <c r="B54" s="164"/>
      <c r="C54" s="164" t="str">
        <f>IFERROR(_xlfn.XLOOKUP(Table4[[#This Row],[Subnummer]],Table3[Sub],Table3[Certificaat]),"-")</f>
        <v>-</v>
      </c>
      <c r="D54" s="177">
        <v>0</v>
      </c>
      <c r="E54" s="180">
        <f>IFERROR(_xlfn.XLOOKUP(Table4[[#This Row],[Subnummer]],Table3[Sub],Table3[Verz. Waarde Oud:]),0)</f>
        <v>0</v>
      </c>
      <c r="F54" s="165">
        <v>0</v>
      </c>
      <c r="G54" s="165">
        <v>0</v>
      </c>
      <c r="H54" s="165">
        <v>0</v>
      </c>
      <c r="I54" s="165">
        <v>0</v>
      </c>
      <c r="J54" s="165">
        <f t="shared" si="10"/>
        <v>0</v>
      </c>
      <c r="K54" s="181">
        <f t="shared" si="11"/>
        <v>0</v>
      </c>
      <c r="L54" s="183">
        <v>44562</v>
      </c>
      <c r="M54" s="166">
        <v>44927</v>
      </c>
      <c r="N54" s="164">
        <f t="shared" si="12"/>
        <v>365</v>
      </c>
      <c r="O54" s="164">
        <v>365</v>
      </c>
      <c r="P54" s="175" t="s">
        <v>104</v>
      </c>
      <c r="Q54" s="186">
        <f t="shared" si="13"/>
        <v>0</v>
      </c>
      <c r="R54" s="165" cm="1">
        <f t="array" ref="R54">_xlfn.IFS($P54="Nee",G54*$N54/$O54,$P54="Ja",G54*0.5)</f>
        <v>0</v>
      </c>
      <c r="S54" s="165" cm="1">
        <f t="array" ref="S54">_xlfn.IFS($P54="Nee",-(H54*$N54/$O54),$P54="Ja",-(H54*0.5))</f>
        <v>0</v>
      </c>
      <c r="T54" s="165">
        <f t="shared" si="14"/>
        <v>0</v>
      </c>
      <c r="U54" s="187">
        <f t="shared" si="15"/>
        <v>0</v>
      </c>
      <c r="V54" s="191">
        <f>IFERROR(_xlfn.XLOOKUP(Table4[[#This Row],[Subnummer]],Table3[Sub],Table3[Promillage 1]),0)</f>
        <v>0</v>
      </c>
      <c r="W54" s="167">
        <f>IFERROR(_xlfn.XLOOKUP(Table4[[#This Row],[Subnummer]],Table3[Sub],Table3[Promillage 2]),0)</f>
        <v>0</v>
      </c>
      <c r="X54" s="167">
        <f>IFERROR(_xlfn.XLOOKUP(Table4[[#This Row],[Subnummer]],Table3[Sub],Table3[Promillage 3]),0)</f>
        <v>0</v>
      </c>
      <c r="Y54" s="167">
        <f>IFERROR(_xlfn.XLOOKUP(Table4[[#This Row],[Subnummer]],Table3[Sub],Table3[Promillage 4]),0)</f>
        <v>0</v>
      </c>
      <c r="Z54" s="167">
        <f>IFERROR(_xlfn.XLOOKUP(Table4[[#This Row],[Subnummer]],Table3[Sub],#REF!),0)</f>
        <v>0</v>
      </c>
      <c r="AA54" s="167">
        <f>IFERROR(_xlfn.XLOOKUP(Table4[[#This Row],[Subnummer]],Table3[Sub],#REF!),0)</f>
        <v>0</v>
      </c>
      <c r="AB54" s="167">
        <f>IFERROR(_xlfn.XLOOKUP(Table4[[#This Row],[Subnummer]],Table3[Sub],#REF!),0)</f>
        <v>0</v>
      </c>
      <c r="AC54" s="167">
        <f>IFERROR(_xlfn.XLOOKUP(Table4[[#This Row],[Subnummer]],Table3[Sub],#REF!),0)</f>
        <v>0</v>
      </c>
      <c r="AD54" s="167">
        <f>IFERROR(_xlfn.XLOOKUP(Table4[[#This Row],[Subnummer]],Table3[Sub],#REF!),0)</f>
        <v>0</v>
      </c>
      <c r="AE54" s="167">
        <f>IFERROR(_xlfn.XLOOKUP(Table4[[#This Row],[Subnummer]],Table3[Sub],#REF!),0)</f>
        <v>0</v>
      </c>
      <c r="AF54" s="189">
        <f t="shared" si="16"/>
        <v>0</v>
      </c>
      <c r="AG54" s="189">
        <f t="shared" si="17"/>
        <v>0</v>
      </c>
      <c r="AH54" s="189">
        <f t="shared" si="18"/>
        <v>0</v>
      </c>
      <c r="AI54" s="189">
        <f t="shared" si="19"/>
        <v>0</v>
      </c>
      <c r="AJ54" s="189" t="e">
        <f t="shared" si="20"/>
        <v>#REF!</v>
      </c>
      <c r="AK54" s="189" t="e">
        <f t="shared" si="21"/>
        <v>#REF!</v>
      </c>
      <c r="AL54" s="189" t="e">
        <f t="shared" si="22"/>
        <v>#REF!</v>
      </c>
      <c r="AM54" s="189" t="e">
        <f t="shared" si="23"/>
        <v>#REF!</v>
      </c>
      <c r="AN54" s="189" t="e">
        <f t="shared" si="24"/>
        <v>#REF!</v>
      </c>
      <c r="AO54" s="189" t="e">
        <f t="shared" si="25"/>
        <v>#REF!</v>
      </c>
      <c r="AP54" s="165" t="e">
        <f t="shared" si="26"/>
        <v>#REF!</v>
      </c>
      <c r="AQ54" s="175" t="e" cm="1">
        <f t="array" ref="AQ54">_xlfn.IFS(AP54=0,"Nihil",AP54&gt;0,"Suppletie",AP54&lt;0,"Restitutie")</f>
        <v>#REF!</v>
      </c>
    </row>
    <row r="55" spans="1:43" x14ac:dyDescent="0.25">
      <c r="A55" s="174" t="str">
        <f>IFERROR(_xlfn.XLOOKUP(D55,Table3[Sub],Table3[Verzekerde]),"-")</f>
        <v>-</v>
      </c>
      <c r="B55" s="164"/>
      <c r="C55" s="164" t="str">
        <f>IFERROR(_xlfn.XLOOKUP(Table4[[#This Row],[Subnummer]],Table3[Sub],Table3[Certificaat]),"-")</f>
        <v>-</v>
      </c>
      <c r="D55" s="177">
        <v>0</v>
      </c>
      <c r="E55" s="180">
        <f>IFERROR(_xlfn.XLOOKUP(Table4[[#This Row],[Subnummer]],Table3[Sub],Table3[Verz. Waarde Oud:]),0)</f>
        <v>0</v>
      </c>
      <c r="F55" s="165">
        <v>0</v>
      </c>
      <c r="G55" s="165">
        <v>0</v>
      </c>
      <c r="H55" s="165">
        <v>0</v>
      </c>
      <c r="I55" s="165">
        <v>0</v>
      </c>
      <c r="J55" s="165">
        <f t="shared" si="10"/>
        <v>0</v>
      </c>
      <c r="K55" s="181">
        <f t="shared" si="11"/>
        <v>0</v>
      </c>
      <c r="L55" s="183">
        <v>44562</v>
      </c>
      <c r="M55" s="166">
        <v>44927</v>
      </c>
      <c r="N55" s="164">
        <f t="shared" si="12"/>
        <v>365</v>
      </c>
      <c r="O55" s="164">
        <v>365</v>
      </c>
      <c r="P55" s="175" t="s">
        <v>104</v>
      </c>
      <c r="Q55" s="186">
        <f t="shared" si="13"/>
        <v>0</v>
      </c>
      <c r="R55" s="165" cm="1">
        <f t="array" ref="R55">_xlfn.IFS($P55="Nee",G55*$N55/$O55,$P55="Ja",G55*0.5)</f>
        <v>0</v>
      </c>
      <c r="S55" s="165" cm="1">
        <f t="array" ref="S55">_xlfn.IFS($P55="Nee",-(H55*$N55/$O55),$P55="Ja",-(H55*0.5))</f>
        <v>0</v>
      </c>
      <c r="T55" s="165">
        <f t="shared" si="14"/>
        <v>0</v>
      </c>
      <c r="U55" s="187">
        <f t="shared" si="15"/>
        <v>0</v>
      </c>
      <c r="V55" s="191">
        <f>IFERROR(_xlfn.XLOOKUP(Table4[[#This Row],[Subnummer]],Table3[Sub],Table3[Promillage 1]),0)</f>
        <v>0</v>
      </c>
      <c r="W55" s="167">
        <f>IFERROR(_xlfn.XLOOKUP(Table4[[#This Row],[Subnummer]],Table3[Sub],Table3[Promillage 2]),0)</f>
        <v>0</v>
      </c>
      <c r="X55" s="167">
        <f>IFERROR(_xlfn.XLOOKUP(Table4[[#This Row],[Subnummer]],Table3[Sub],Table3[Promillage 3]),0)</f>
        <v>0</v>
      </c>
      <c r="Y55" s="167">
        <f>IFERROR(_xlfn.XLOOKUP(Table4[[#This Row],[Subnummer]],Table3[Sub],Table3[Promillage 4]),0)</f>
        <v>0</v>
      </c>
      <c r="Z55" s="167">
        <f>IFERROR(_xlfn.XLOOKUP(Table4[[#This Row],[Subnummer]],Table3[Sub],#REF!),0)</f>
        <v>0</v>
      </c>
      <c r="AA55" s="167">
        <f>IFERROR(_xlfn.XLOOKUP(Table4[[#This Row],[Subnummer]],Table3[Sub],#REF!),0)</f>
        <v>0</v>
      </c>
      <c r="AB55" s="167">
        <f>IFERROR(_xlfn.XLOOKUP(Table4[[#This Row],[Subnummer]],Table3[Sub],#REF!),0)</f>
        <v>0</v>
      </c>
      <c r="AC55" s="167">
        <f>IFERROR(_xlfn.XLOOKUP(Table4[[#This Row],[Subnummer]],Table3[Sub],#REF!),0)</f>
        <v>0</v>
      </c>
      <c r="AD55" s="167">
        <f>IFERROR(_xlfn.XLOOKUP(Table4[[#This Row],[Subnummer]],Table3[Sub],#REF!),0)</f>
        <v>0</v>
      </c>
      <c r="AE55" s="167">
        <f>IFERROR(_xlfn.XLOOKUP(Table4[[#This Row],[Subnummer]],Table3[Sub],#REF!),0)</f>
        <v>0</v>
      </c>
      <c r="AF55" s="189">
        <f t="shared" si="16"/>
        <v>0</v>
      </c>
      <c r="AG55" s="189">
        <f t="shared" si="17"/>
        <v>0</v>
      </c>
      <c r="AH55" s="189">
        <f t="shared" si="18"/>
        <v>0</v>
      </c>
      <c r="AI55" s="189">
        <f t="shared" si="19"/>
        <v>0</v>
      </c>
      <c r="AJ55" s="189" t="e">
        <f t="shared" si="20"/>
        <v>#REF!</v>
      </c>
      <c r="AK55" s="189" t="e">
        <f t="shared" si="21"/>
        <v>#REF!</v>
      </c>
      <c r="AL55" s="189" t="e">
        <f t="shared" si="22"/>
        <v>#REF!</v>
      </c>
      <c r="AM55" s="189" t="e">
        <f t="shared" si="23"/>
        <v>#REF!</v>
      </c>
      <c r="AN55" s="189" t="e">
        <f t="shared" si="24"/>
        <v>#REF!</v>
      </c>
      <c r="AO55" s="189" t="e">
        <f t="shared" si="25"/>
        <v>#REF!</v>
      </c>
      <c r="AP55" s="165" t="e">
        <f t="shared" si="26"/>
        <v>#REF!</v>
      </c>
      <c r="AQ55" s="175" t="e" cm="1">
        <f t="array" ref="AQ55">_xlfn.IFS(AP55=0,"Nihil",AP55&gt;0,"Suppletie",AP55&lt;0,"Restitutie")</f>
        <v>#REF!</v>
      </c>
    </row>
    <row r="56" spans="1:43" x14ac:dyDescent="0.25">
      <c r="A56" s="174" t="str">
        <f>IFERROR(_xlfn.XLOOKUP(D56,Table3[Sub],Table3[Verzekerde]),"-")</f>
        <v>-</v>
      </c>
      <c r="B56" s="164"/>
      <c r="C56" s="164" t="str">
        <f>IFERROR(_xlfn.XLOOKUP(Table4[[#This Row],[Subnummer]],Table3[Sub],Table3[Certificaat]),"-")</f>
        <v>-</v>
      </c>
      <c r="D56" s="177">
        <v>0</v>
      </c>
      <c r="E56" s="180">
        <f>IFERROR(_xlfn.XLOOKUP(Table4[[#This Row],[Subnummer]],Table3[Sub],Table3[Verz. Waarde Oud:]),0)</f>
        <v>0</v>
      </c>
      <c r="F56" s="165">
        <v>0</v>
      </c>
      <c r="G56" s="165">
        <v>0</v>
      </c>
      <c r="H56" s="165">
        <v>0</v>
      </c>
      <c r="I56" s="165">
        <v>0</v>
      </c>
      <c r="J56" s="165">
        <f t="shared" si="10"/>
        <v>0</v>
      </c>
      <c r="K56" s="181">
        <f t="shared" si="11"/>
        <v>0</v>
      </c>
      <c r="L56" s="183">
        <v>44562</v>
      </c>
      <c r="M56" s="166">
        <v>44927</v>
      </c>
      <c r="N56" s="164">
        <f t="shared" si="12"/>
        <v>365</v>
      </c>
      <c r="O56" s="164">
        <v>365</v>
      </c>
      <c r="P56" s="175" t="s">
        <v>104</v>
      </c>
      <c r="Q56" s="186">
        <f t="shared" si="13"/>
        <v>0</v>
      </c>
      <c r="R56" s="165" cm="1">
        <f t="array" ref="R56">_xlfn.IFS($P56="Nee",G56*$N56/$O56,$P56="Ja",G56*0.5)</f>
        <v>0</v>
      </c>
      <c r="S56" s="165" cm="1">
        <f t="array" ref="S56">_xlfn.IFS($P56="Nee",-(H56*$N56/$O56),$P56="Ja",-(H56*0.5))</f>
        <v>0</v>
      </c>
      <c r="T56" s="165">
        <f t="shared" si="14"/>
        <v>0</v>
      </c>
      <c r="U56" s="187">
        <f t="shared" si="15"/>
        <v>0</v>
      </c>
      <c r="V56" s="191">
        <f>IFERROR(_xlfn.XLOOKUP(Table4[[#This Row],[Subnummer]],Table3[Sub],Table3[Promillage 1]),0)</f>
        <v>0</v>
      </c>
      <c r="W56" s="167">
        <f>IFERROR(_xlfn.XLOOKUP(Table4[[#This Row],[Subnummer]],Table3[Sub],Table3[Promillage 2]),0)</f>
        <v>0</v>
      </c>
      <c r="X56" s="167">
        <f>IFERROR(_xlfn.XLOOKUP(Table4[[#This Row],[Subnummer]],Table3[Sub],Table3[Promillage 3]),0)</f>
        <v>0</v>
      </c>
      <c r="Y56" s="167">
        <f>IFERROR(_xlfn.XLOOKUP(Table4[[#This Row],[Subnummer]],Table3[Sub],Table3[Promillage 4]),0)</f>
        <v>0</v>
      </c>
      <c r="Z56" s="167">
        <f>IFERROR(_xlfn.XLOOKUP(Table4[[#This Row],[Subnummer]],Table3[Sub],#REF!),0)</f>
        <v>0</v>
      </c>
      <c r="AA56" s="167">
        <f>IFERROR(_xlfn.XLOOKUP(Table4[[#This Row],[Subnummer]],Table3[Sub],#REF!),0)</f>
        <v>0</v>
      </c>
      <c r="AB56" s="167">
        <f>IFERROR(_xlfn.XLOOKUP(Table4[[#This Row],[Subnummer]],Table3[Sub],#REF!),0)</f>
        <v>0</v>
      </c>
      <c r="AC56" s="167">
        <f>IFERROR(_xlfn.XLOOKUP(Table4[[#This Row],[Subnummer]],Table3[Sub],#REF!),0)</f>
        <v>0</v>
      </c>
      <c r="AD56" s="167">
        <f>IFERROR(_xlfn.XLOOKUP(Table4[[#This Row],[Subnummer]],Table3[Sub],#REF!),0)</f>
        <v>0</v>
      </c>
      <c r="AE56" s="167">
        <f>IFERROR(_xlfn.XLOOKUP(Table4[[#This Row],[Subnummer]],Table3[Sub],#REF!),0)</f>
        <v>0</v>
      </c>
      <c r="AF56" s="189">
        <f t="shared" si="16"/>
        <v>0</v>
      </c>
      <c r="AG56" s="189">
        <f t="shared" si="17"/>
        <v>0</v>
      </c>
      <c r="AH56" s="189">
        <f t="shared" si="18"/>
        <v>0</v>
      </c>
      <c r="AI56" s="189">
        <f t="shared" si="19"/>
        <v>0</v>
      </c>
      <c r="AJ56" s="189" t="e">
        <f t="shared" si="20"/>
        <v>#REF!</v>
      </c>
      <c r="AK56" s="189" t="e">
        <f t="shared" si="21"/>
        <v>#REF!</v>
      </c>
      <c r="AL56" s="189" t="e">
        <f t="shared" si="22"/>
        <v>#REF!</v>
      </c>
      <c r="AM56" s="189" t="e">
        <f t="shared" si="23"/>
        <v>#REF!</v>
      </c>
      <c r="AN56" s="189" t="e">
        <f t="shared" si="24"/>
        <v>#REF!</v>
      </c>
      <c r="AO56" s="189" t="e">
        <f t="shared" si="25"/>
        <v>#REF!</v>
      </c>
      <c r="AP56" s="165" t="e">
        <f t="shared" si="26"/>
        <v>#REF!</v>
      </c>
      <c r="AQ56" s="175" t="e" cm="1">
        <f t="array" ref="AQ56">_xlfn.IFS(AP56=0,"Nihil",AP56&gt;0,"Suppletie",AP56&lt;0,"Restitutie")</f>
        <v>#REF!</v>
      </c>
    </row>
    <row r="57" spans="1:43" x14ac:dyDescent="0.25">
      <c r="A57" s="174" t="str">
        <f>IFERROR(_xlfn.XLOOKUP(D57,Table3[Sub],Table3[Verzekerde]),"-")</f>
        <v>-</v>
      </c>
      <c r="B57" s="164"/>
      <c r="C57" s="164" t="str">
        <f>IFERROR(_xlfn.XLOOKUP(Table4[[#This Row],[Subnummer]],Table3[Sub],Table3[Certificaat]),"-")</f>
        <v>-</v>
      </c>
      <c r="D57" s="177">
        <v>0</v>
      </c>
      <c r="E57" s="180">
        <f>IFERROR(_xlfn.XLOOKUP(Table4[[#This Row],[Subnummer]],Table3[Sub],Table3[Verz. Waarde Oud:]),0)</f>
        <v>0</v>
      </c>
      <c r="F57" s="165">
        <v>0</v>
      </c>
      <c r="G57" s="165">
        <v>0</v>
      </c>
      <c r="H57" s="165">
        <v>0</v>
      </c>
      <c r="I57" s="165">
        <v>0</v>
      </c>
      <c r="J57" s="165">
        <f t="shared" si="10"/>
        <v>0</v>
      </c>
      <c r="K57" s="181">
        <f t="shared" si="11"/>
        <v>0</v>
      </c>
      <c r="L57" s="183">
        <v>44562</v>
      </c>
      <c r="M57" s="166">
        <v>44927</v>
      </c>
      <c r="N57" s="164">
        <f t="shared" si="12"/>
        <v>365</v>
      </c>
      <c r="O57" s="164">
        <v>365</v>
      </c>
      <c r="P57" s="175" t="s">
        <v>104</v>
      </c>
      <c r="Q57" s="186">
        <f t="shared" si="13"/>
        <v>0</v>
      </c>
      <c r="R57" s="165" cm="1">
        <f t="array" ref="R57">_xlfn.IFS($P57="Nee",G57*$N57/$O57,$P57="Ja",G57*0.5)</f>
        <v>0</v>
      </c>
      <c r="S57" s="165" cm="1">
        <f t="array" ref="S57">_xlfn.IFS($P57="Nee",-(H57*$N57/$O57),$P57="Ja",-(H57*0.5))</f>
        <v>0</v>
      </c>
      <c r="T57" s="165">
        <f t="shared" si="14"/>
        <v>0</v>
      </c>
      <c r="U57" s="187">
        <f t="shared" si="15"/>
        <v>0</v>
      </c>
      <c r="V57" s="191">
        <f>IFERROR(_xlfn.XLOOKUP(Table4[[#This Row],[Subnummer]],Table3[Sub],Table3[Promillage 1]),0)</f>
        <v>0</v>
      </c>
      <c r="W57" s="167">
        <f>IFERROR(_xlfn.XLOOKUP(Table4[[#This Row],[Subnummer]],Table3[Sub],Table3[Promillage 2]),0)</f>
        <v>0</v>
      </c>
      <c r="X57" s="167">
        <f>IFERROR(_xlfn.XLOOKUP(Table4[[#This Row],[Subnummer]],Table3[Sub],Table3[Promillage 3]),0)</f>
        <v>0</v>
      </c>
      <c r="Y57" s="167">
        <f>IFERROR(_xlfn.XLOOKUP(Table4[[#This Row],[Subnummer]],Table3[Sub],Table3[Promillage 4]),0)</f>
        <v>0</v>
      </c>
      <c r="Z57" s="167">
        <f>IFERROR(_xlfn.XLOOKUP(Table4[[#This Row],[Subnummer]],Table3[Sub],#REF!),0)</f>
        <v>0</v>
      </c>
      <c r="AA57" s="167">
        <f>IFERROR(_xlfn.XLOOKUP(Table4[[#This Row],[Subnummer]],Table3[Sub],#REF!),0)</f>
        <v>0</v>
      </c>
      <c r="AB57" s="167">
        <f>IFERROR(_xlfn.XLOOKUP(Table4[[#This Row],[Subnummer]],Table3[Sub],#REF!),0)</f>
        <v>0</v>
      </c>
      <c r="AC57" s="167">
        <f>IFERROR(_xlfn.XLOOKUP(Table4[[#This Row],[Subnummer]],Table3[Sub],#REF!),0)</f>
        <v>0</v>
      </c>
      <c r="AD57" s="167">
        <f>IFERROR(_xlfn.XLOOKUP(Table4[[#This Row],[Subnummer]],Table3[Sub],#REF!),0)</f>
        <v>0</v>
      </c>
      <c r="AE57" s="167">
        <f>IFERROR(_xlfn.XLOOKUP(Table4[[#This Row],[Subnummer]],Table3[Sub],#REF!),0)</f>
        <v>0</v>
      </c>
      <c r="AF57" s="189">
        <f t="shared" si="16"/>
        <v>0</v>
      </c>
      <c r="AG57" s="189">
        <f t="shared" si="17"/>
        <v>0</v>
      </c>
      <c r="AH57" s="189">
        <f t="shared" si="18"/>
        <v>0</v>
      </c>
      <c r="AI57" s="189">
        <f t="shared" si="19"/>
        <v>0</v>
      </c>
      <c r="AJ57" s="189" t="e">
        <f t="shared" si="20"/>
        <v>#REF!</v>
      </c>
      <c r="AK57" s="189" t="e">
        <f t="shared" si="21"/>
        <v>#REF!</v>
      </c>
      <c r="AL57" s="189" t="e">
        <f t="shared" si="22"/>
        <v>#REF!</v>
      </c>
      <c r="AM57" s="189" t="e">
        <f t="shared" si="23"/>
        <v>#REF!</v>
      </c>
      <c r="AN57" s="189" t="e">
        <f t="shared" si="24"/>
        <v>#REF!</v>
      </c>
      <c r="AO57" s="189" t="e">
        <f t="shared" si="25"/>
        <v>#REF!</v>
      </c>
      <c r="AP57" s="165" t="e">
        <f t="shared" si="26"/>
        <v>#REF!</v>
      </c>
      <c r="AQ57" s="175" t="e" cm="1">
        <f t="array" ref="AQ57">_xlfn.IFS(AP57=0,"Nihil",AP57&gt;0,"Suppletie",AP57&lt;0,"Restitutie")</f>
        <v>#REF!</v>
      </c>
    </row>
    <row r="58" spans="1:43" x14ac:dyDescent="0.25">
      <c r="A58" s="174" t="str">
        <f>IFERROR(_xlfn.XLOOKUP(D58,Table3[Sub],Table3[Verzekerde]),"-")</f>
        <v>-</v>
      </c>
      <c r="B58" s="164"/>
      <c r="C58" s="164" t="str">
        <f>IFERROR(_xlfn.XLOOKUP(Table4[[#This Row],[Subnummer]],Table3[Sub],Table3[Certificaat]),"-")</f>
        <v>-</v>
      </c>
      <c r="D58" s="177">
        <v>0</v>
      </c>
      <c r="E58" s="180">
        <f>IFERROR(_xlfn.XLOOKUP(Table4[[#This Row],[Subnummer]],Table3[Sub],Table3[Verz. Waarde Oud:]),0)</f>
        <v>0</v>
      </c>
      <c r="F58" s="165">
        <v>0</v>
      </c>
      <c r="G58" s="165">
        <v>0</v>
      </c>
      <c r="H58" s="165">
        <v>0</v>
      </c>
      <c r="I58" s="165">
        <v>0</v>
      </c>
      <c r="J58" s="165">
        <f t="shared" si="10"/>
        <v>0</v>
      </c>
      <c r="K58" s="181">
        <f t="shared" si="11"/>
        <v>0</v>
      </c>
      <c r="L58" s="183">
        <v>44562</v>
      </c>
      <c r="M58" s="166">
        <v>44927</v>
      </c>
      <c r="N58" s="164">
        <f t="shared" si="12"/>
        <v>365</v>
      </c>
      <c r="O58" s="164">
        <v>365</v>
      </c>
      <c r="P58" s="175" t="s">
        <v>104</v>
      </c>
      <c r="Q58" s="186">
        <f t="shared" si="13"/>
        <v>0</v>
      </c>
      <c r="R58" s="165" cm="1">
        <f t="array" ref="R58">_xlfn.IFS($P58="Nee",G58*$N58/$O58,$P58="Ja",G58*0.5)</f>
        <v>0</v>
      </c>
      <c r="S58" s="165" cm="1">
        <f t="array" ref="S58">_xlfn.IFS($P58="Nee",-(H58*$N58/$O58),$P58="Ja",-(H58*0.5))</f>
        <v>0</v>
      </c>
      <c r="T58" s="165">
        <f t="shared" si="14"/>
        <v>0</v>
      </c>
      <c r="U58" s="187">
        <f t="shared" si="15"/>
        <v>0</v>
      </c>
      <c r="V58" s="191">
        <f>IFERROR(_xlfn.XLOOKUP(Table4[[#This Row],[Subnummer]],Table3[Sub],Table3[Promillage 1]),0)</f>
        <v>0</v>
      </c>
      <c r="W58" s="167">
        <f>IFERROR(_xlfn.XLOOKUP(Table4[[#This Row],[Subnummer]],Table3[Sub],Table3[Promillage 2]),0)</f>
        <v>0</v>
      </c>
      <c r="X58" s="167">
        <f>IFERROR(_xlfn.XLOOKUP(Table4[[#This Row],[Subnummer]],Table3[Sub],Table3[Promillage 3]),0)</f>
        <v>0</v>
      </c>
      <c r="Y58" s="167">
        <f>IFERROR(_xlfn.XLOOKUP(Table4[[#This Row],[Subnummer]],Table3[Sub],Table3[Promillage 4]),0)</f>
        <v>0</v>
      </c>
      <c r="Z58" s="167">
        <f>IFERROR(_xlfn.XLOOKUP(Table4[[#This Row],[Subnummer]],Table3[Sub],#REF!),0)</f>
        <v>0</v>
      </c>
      <c r="AA58" s="167">
        <f>IFERROR(_xlfn.XLOOKUP(Table4[[#This Row],[Subnummer]],Table3[Sub],#REF!),0)</f>
        <v>0</v>
      </c>
      <c r="AB58" s="167">
        <f>IFERROR(_xlfn.XLOOKUP(Table4[[#This Row],[Subnummer]],Table3[Sub],#REF!),0)</f>
        <v>0</v>
      </c>
      <c r="AC58" s="167">
        <f>IFERROR(_xlfn.XLOOKUP(Table4[[#This Row],[Subnummer]],Table3[Sub],#REF!),0)</f>
        <v>0</v>
      </c>
      <c r="AD58" s="167">
        <f>IFERROR(_xlfn.XLOOKUP(Table4[[#This Row],[Subnummer]],Table3[Sub],#REF!),0)</f>
        <v>0</v>
      </c>
      <c r="AE58" s="167">
        <f>IFERROR(_xlfn.XLOOKUP(Table4[[#This Row],[Subnummer]],Table3[Sub],#REF!),0)</f>
        <v>0</v>
      </c>
      <c r="AF58" s="189">
        <f t="shared" si="16"/>
        <v>0</v>
      </c>
      <c r="AG58" s="189">
        <f t="shared" si="17"/>
        <v>0</v>
      </c>
      <c r="AH58" s="189">
        <f t="shared" si="18"/>
        <v>0</v>
      </c>
      <c r="AI58" s="189">
        <f t="shared" si="19"/>
        <v>0</v>
      </c>
      <c r="AJ58" s="189" t="e">
        <f t="shared" si="20"/>
        <v>#REF!</v>
      </c>
      <c r="AK58" s="189" t="e">
        <f t="shared" si="21"/>
        <v>#REF!</v>
      </c>
      <c r="AL58" s="189" t="e">
        <f t="shared" si="22"/>
        <v>#REF!</v>
      </c>
      <c r="AM58" s="189" t="e">
        <f t="shared" si="23"/>
        <v>#REF!</v>
      </c>
      <c r="AN58" s="189" t="e">
        <f t="shared" si="24"/>
        <v>#REF!</v>
      </c>
      <c r="AO58" s="189" t="e">
        <f t="shared" si="25"/>
        <v>#REF!</v>
      </c>
      <c r="AP58" s="165" t="e">
        <f t="shared" si="26"/>
        <v>#REF!</v>
      </c>
      <c r="AQ58" s="175" t="e" cm="1">
        <f t="array" ref="AQ58">_xlfn.IFS(AP58=0,"Nihil",AP58&gt;0,"Suppletie",AP58&lt;0,"Restitutie")</f>
        <v>#REF!</v>
      </c>
    </row>
    <row r="59" spans="1:43" x14ac:dyDescent="0.25">
      <c r="A59" s="174" t="str">
        <f>IFERROR(_xlfn.XLOOKUP(D59,Table3[Sub],Table3[Verzekerde]),"-")</f>
        <v>-</v>
      </c>
      <c r="B59" s="164"/>
      <c r="C59" s="164" t="str">
        <f>IFERROR(_xlfn.XLOOKUP(Table4[[#This Row],[Subnummer]],Table3[Sub],Table3[Certificaat]),"-")</f>
        <v>-</v>
      </c>
      <c r="D59" s="177">
        <v>0</v>
      </c>
      <c r="E59" s="180">
        <f>IFERROR(_xlfn.XLOOKUP(Table4[[#This Row],[Subnummer]],Table3[Sub],Table3[Verz. Waarde Oud:]),0)</f>
        <v>0</v>
      </c>
      <c r="F59" s="165">
        <v>0</v>
      </c>
      <c r="G59" s="165">
        <v>0</v>
      </c>
      <c r="H59" s="165">
        <v>0</v>
      </c>
      <c r="I59" s="165">
        <v>0</v>
      </c>
      <c r="J59" s="165">
        <f t="shared" si="10"/>
        <v>0</v>
      </c>
      <c r="K59" s="181">
        <f t="shared" si="11"/>
        <v>0</v>
      </c>
      <c r="L59" s="183">
        <v>44562</v>
      </c>
      <c r="M59" s="166">
        <v>44927</v>
      </c>
      <c r="N59" s="164">
        <f t="shared" si="12"/>
        <v>365</v>
      </c>
      <c r="O59" s="164">
        <v>365</v>
      </c>
      <c r="P59" s="175" t="s">
        <v>104</v>
      </c>
      <c r="Q59" s="186">
        <f t="shared" si="13"/>
        <v>0</v>
      </c>
      <c r="R59" s="165" cm="1">
        <f t="array" ref="R59">_xlfn.IFS($P59="Nee",G59*$N59/$O59,$P59="Ja",G59*0.5)</f>
        <v>0</v>
      </c>
      <c r="S59" s="165" cm="1">
        <f t="array" ref="S59">_xlfn.IFS($P59="Nee",-(H59*$N59/$O59),$P59="Ja",-(H59*0.5))</f>
        <v>0</v>
      </c>
      <c r="T59" s="165">
        <f t="shared" si="14"/>
        <v>0</v>
      </c>
      <c r="U59" s="187">
        <f t="shared" si="15"/>
        <v>0</v>
      </c>
      <c r="V59" s="191">
        <f>IFERROR(_xlfn.XLOOKUP(Table4[[#This Row],[Subnummer]],Table3[Sub],Table3[Promillage 1]),0)</f>
        <v>0</v>
      </c>
      <c r="W59" s="167">
        <f>IFERROR(_xlfn.XLOOKUP(Table4[[#This Row],[Subnummer]],Table3[Sub],Table3[Promillage 2]),0)</f>
        <v>0</v>
      </c>
      <c r="X59" s="167">
        <f>IFERROR(_xlfn.XLOOKUP(Table4[[#This Row],[Subnummer]],Table3[Sub],Table3[Promillage 3]),0)</f>
        <v>0</v>
      </c>
      <c r="Y59" s="167">
        <f>IFERROR(_xlfn.XLOOKUP(Table4[[#This Row],[Subnummer]],Table3[Sub],Table3[Promillage 4]),0)</f>
        <v>0</v>
      </c>
      <c r="Z59" s="167">
        <f>IFERROR(_xlfn.XLOOKUP(Table4[[#This Row],[Subnummer]],Table3[Sub],#REF!),0)</f>
        <v>0</v>
      </c>
      <c r="AA59" s="167">
        <f>IFERROR(_xlfn.XLOOKUP(Table4[[#This Row],[Subnummer]],Table3[Sub],#REF!),0)</f>
        <v>0</v>
      </c>
      <c r="AB59" s="167">
        <f>IFERROR(_xlfn.XLOOKUP(Table4[[#This Row],[Subnummer]],Table3[Sub],#REF!),0)</f>
        <v>0</v>
      </c>
      <c r="AC59" s="167">
        <f>IFERROR(_xlfn.XLOOKUP(Table4[[#This Row],[Subnummer]],Table3[Sub],#REF!),0)</f>
        <v>0</v>
      </c>
      <c r="AD59" s="167">
        <f>IFERROR(_xlfn.XLOOKUP(Table4[[#This Row],[Subnummer]],Table3[Sub],#REF!),0)</f>
        <v>0</v>
      </c>
      <c r="AE59" s="167">
        <f>IFERROR(_xlfn.XLOOKUP(Table4[[#This Row],[Subnummer]],Table3[Sub],#REF!),0)</f>
        <v>0</v>
      </c>
      <c r="AF59" s="189">
        <f t="shared" si="16"/>
        <v>0</v>
      </c>
      <c r="AG59" s="189">
        <f t="shared" si="17"/>
        <v>0</v>
      </c>
      <c r="AH59" s="189">
        <f t="shared" si="18"/>
        <v>0</v>
      </c>
      <c r="AI59" s="189">
        <f t="shared" si="19"/>
        <v>0</v>
      </c>
      <c r="AJ59" s="189" t="e">
        <f t="shared" si="20"/>
        <v>#REF!</v>
      </c>
      <c r="AK59" s="189" t="e">
        <f t="shared" si="21"/>
        <v>#REF!</v>
      </c>
      <c r="AL59" s="189" t="e">
        <f t="shared" si="22"/>
        <v>#REF!</v>
      </c>
      <c r="AM59" s="189" t="e">
        <f t="shared" si="23"/>
        <v>#REF!</v>
      </c>
      <c r="AN59" s="189" t="e">
        <f t="shared" si="24"/>
        <v>#REF!</v>
      </c>
      <c r="AO59" s="189" t="e">
        <f t="shared" si="25"/>
        <v>#REF!</v>
      </c>
      <c r="AP59" s="165" t="e">
        <f t="shared" si="26"/>
        <v>#REF!</v>
      </c>
      <c r="AQ59" s="175" t="e" cm="1">
        <f t="array" ref="AQ59">_xlfn.IFS(AP59=0,"Nihil",AP59&gt;0,"Suppletie",AP59&lt;0,"Restitutie")</f>
        <v>#REF!</v>
      </c>
    </row>
    <row r="60" spans="1:43" x14ac:dyDescent="0.25">
      <c r="A60" s="174" t="str">
        <f>IFERROR(_xlfn.XLOOKUP(D60,Table3[Sub],Table3[Verzekerde]),"-")</f>
        <v>-</v>
      </c>
      <c r="B60" s="164"/>
      <c r="C60" s="164" t="str">
        <f>IFERROR(_xlfn.XLOOKUP(Table4[[#This Row],[Subnummer]],Table3[Sub],Table3[Certificaat]),"-")</f>
        <v>-</v>
      </c>
      <c r="D60" s="177">
        <v>0</v>
      </c>
      <c r="E60" s="180">
        <f>IFERROR(_xlfn.XLOOKUP(Table4[[#This Row],[Subnummer]],Table3[Sub],Table3[Verz. Waarde Oud:]),0)</f>
        <v>0</v>
      </c>
      <c r="F60" s="165">
        <v>0</v>
      </c>
      <c r="G60" s="165">
        <v>0</v>
      </c>
      <c r="H60" s="165">
        <v>0</v>
      </c>
      <c r="I60" s="165">
        <v>0</v>
      </c>
      <c r="J60" s="165">
        <f t="shared" si="10"/>
        <v>0</v>
      </c>
      <c r="K60" s="181">
        <f t="shared" si="11"/>
        <v>0</v>
      </c>
      <c r="L60" s="183">
        <v>44562</v>
      </c>
      <c r="M60" s="166">
        <v>44927</v>
      </c>
      <c r="N60" s="164">
        <f t="shared" si="12"/>
        <v>365</v>
      </c>
      <c r="O60" s="164">
        <v>365</v>
      </c>
      <c r="P60" s="175" t="s">
        <v>104</v>
      </c>
      <c r="Q60" s="186">
        <f t="shared" si="13"/>
        <v>0</v>
      </c>
      <c r="R60" s="165" cm="1">
        <f t="array" ref="R60">_xlfn.IFS($P60="Nee",G60*$N60/$O60,$P60="Ja",G60*0.5)</f>
        <v>0</v>
      </c>
      <c r="S60" s="165" cm="1">
        <f t="array" ref="S60">_xlfn.IFS($P60="Nee",-(H60*$N60/$O60),$P60="Ja",-(H60*0.5))</f>
        <v>0</v>
      </c>
      <c r="T60" s="165">
        <f t="shared" si="14"/>
        <v>0</v>
      </c>
      <c r="U60" s="187">
        <f t="shared" si="15"/>
        <v>0</v>
      </c>
      <c r="V60" s="191">
        <f>IFERROR(_xlfn.XLOOKUP(Table4[[#This Row],[Subnummer]],Table3[Sub],Table3[Promillage 1]),0)</f>
        <v>0</v>
      </c>
      <c r="W60" s="167">
        <f>IFERROR(_xlfn.XLOOKUP(Table4[[#This Row],[Subnummer]],Table3[Sub],Table3[Promillage 2]),0)</f>
        <v>0</v>
      </c>
      <c r="X60" s="167">
        <f>IFERROR(_xlfn.XLOOKUP(Table4[[#This Row],[Subnummer]],Table3[Sub],Table3[Promillage 3]),0)</f>
        <v>0</v>
      </c>
      <c r="Y60" s="167">
        <f>IFERROR(_xlfn.XLOOKUP(Table4[[#This Row],[Subnummer]],Table3[Sub],Table3[Promillage 4]),0)</f>
        <v>0</v>
      </c>
      <c r="Z60" s="167">
        <f>IFERROR(_xlfn.XLOOKUP(Table4[[#This Row],[Subnummer]],Table3[Sub],#REF!),0)</f>
        <v>0</v>
      </c>
      <c r="AA60" s="167">
        <f>IFERROR(_xlfn.XLOOKUP(Table4[[#This Row],[Subnummer]],Table3[Sub],#REF!),0)</f>
        <v>0</v>
      </c>
      <c r="AB60" s="167">
        <f>IFERROR(_xlfn.XLOOKUP(Table4[[#This Row],[Subnummer]],Table3[Sub],#REF!),0)</f>
        <v>0</v>
      </c>
      <c r="AC60" s="167">
        <f>IFERROR(_xlfn.XLOOKUP(Table4[[#This Row],[Subnummer]],Table3[Sub],#REF!),0)</f>
        <v>0</v>
      </c>
      <c r="AD60" s="167">
        <f>IFERROR(_xlfn.XLOOKUP(Table4[[#This Row],[Subnummer]],Table3[Sub],#REF!),0)</f>
        <v>0</v>
      </c>
      <c r="AE60" s="167">
        <f>IFERROR(_xlfn.XLOOKUP(Table4[[#This Row],[Subnummer]],Table3[Sub],#REF!),0)</f>
        <v>0</v>
      </c>
      <c r="AF60" s="189">
        <f t="shared" si="16"/>
        <v>0</v>
      </c>
      <c r="AG60" s="189">
        <f t="shared" si="17"/>
        <v>0</v>
      </c>
      <c r="AH60" s="189">
        <f t="shared" si="18"/>
        <v>0</v>
      </c>
      <c r="AI60" s="189">
        <f t="shared" si="19"/>
        <v>0</v>
      </c>
      <c r="AJ60" s="189" t="e">
        <f t="shared" si="20"/>
        <v>#REF!</v>
      </c>
      <c r="AK60" s="189" t="e">
        <f t="shared" si="21"/>
        <v>#REF!</v>
      </c>
      <c r="AL60" s="189" t="e">
        <f t="shared" si="22"/>
        <v>#REF!</v>
      </c>
      <c r="AM60" s="189" t="e">
        <f t="shared" si="23"/>
        <v>#REF!</v>
      </c>
      <c r="AN60" s="189" t="e">
        <f t="shared" si="24"/>
        <v>#REF!</v>
      </c>
      <c r="AO60" s="189" t="e">
        <f t="shared" si="25"/>
        <v>#REF!</v>
      </c>
      <c r="AP60" s="165" t="e">
        <f t="shared" si="26"/>
        <v>#REF!</v>
      </c>
      <c r="AQ60" s="175" t="e" cm="1">
        <f t="array" ref="AQ60">_xlfn.IFS(AP60=0,"Nihil",AP60&gt;0,"Suppletie",AP60&lt;0,"Restitutie")</f>
        <v>#REF!</v>
      </c>
    </row>
    <row r="61" spans="1:43" x14ac:dyDescent="0.25">
      <c r="A61" s="174" t="str">
        <f>IFERROR(_xlfn.XLOOKUP(D61,Table3[Sub],Table3[Verzekerde]),"-")</f>
        <v>-</v>
      </c>
      <c r="B61" s="164"/>
      <c r="C61" s="164" t="str">
        <f>IFERROR(_xlfn.XLOOKUP(Table4[[#This Row],[Subnummer]],Table3[Sub],Table3[Certificaat]),"-")</f>
        <v>-</v>
      </c>
      <c r="D61" s="177">
        <v>0</v>
      </c>
      <c r="E61" s="180">
        <f>IFERROR(_xlfn.XLOOKUP(Table4[[#This Row],[Subnummer]],Table3[Sub],Table3[Verz. Waarde Oud:]),0)</f>
        <v>0</v>
      </c>
      <c r="F61" s="165">
        <v>0</v>
      </c>
      <c r="G61" s="165">
        <v>0</v>
      </c>
      <c r="H61" s="165">
        <v>0</v>
      </c>
      <c r="I61" s="165">
        <v>0</v>
      </c>
      <c r="J61" s="165">
        <f t="shared" si="10"/>
        <v>0</v>
      </c>
      <c r="K61" s="181">
        <f t="shared" si="11"/>
        <v>0</v>
      </c>
      <c r="L61" s="183">
        <v>44562</v>
      </c>
      <c r="M61" s="166">
        <v>44927</v>
      </c>
      <c r="N61" s="164">
        <f t="shared" si="12"/>
        <v>365</v>
      </c>
      <c r="O61" s="164">
        <v>365</v>
      </c>
      <c r="P61" s="175" t="s">
        <v>104</v>
      </c>
      <c r="Q61" s="186">
        <f t="shared" si="13"/>
        <v>0</v>
      </c>
      <c r="R61" s="165" cm="1">
        <f t="array" ref="R61">_xlfn.IFS($P61="Nee",G61*$N61/$O61,$P61="Ja",G61*0.5)</f>
        <v>0</v>
      </c>
      <c r="S61" s="165" cm="1">
        <f t="array" ref="S61">_xlfn.IFS($P61="Nee",-(H61*$N61/$O61),$P61="Ja",-(H61*0.5))</f>
        <v>0</v>
      </c>
      <c r="T61" s="165">
        <f t="shared" si="14"/>
        <v>0</v>
      </c>
      <c r="U61" s="187">
        <f t="shared" si="15"/>
        <v>0</v>
      </c>
      <c r="V61" s="191">
        <f>IFERROR(_xlfn.XLOOKUP(Table4[[#This Row],[Subnummer]],Table3[Sub],Table3[Promillage 1]),0)</f>
        <v>0</v>
      </c>
      <c r="W61" s="167">
        <f>IFERROR(_xlfn.XLOOKUP(Table4[[#This Row],[Subnummer]],Table3[Sub],Table3[Promillage 2]),0)</f>
        <v>0</v>
      </c>
      <c r="X61" s="167">
        <f>IFERROR(_xlfn.XLOOKUP(Table4[[#This Row],[Subnummer]],Table3[Sub],Table3[Promillage 3]),0)</f>
        <v>0</v>
      </c>
      <c r="Y61" s="167">
        <f>IFERROR(_xlfn.XLOOKUP(Table4[[#This Row],[Subnummer]],Table3[Sub],Table3[Promillage 4]),0)</f>
        <v>0</v>
      </c>
      <c r="Z61" s="167">
        <f>IFERROR(_xlfn.XLOOKUP(Table4[[#This Row],[Subnummer]],Table3[Sub],#REF!),0)</f>
        <v>0</v>
      </c>
      <c r="AA61" s="167">
        <f>IFERROR(_xlfn.XLOOKUP(Table4[[#This Row],[Subnummer]],Table3[Sub],#REF!),0)</f>
        <v>0</v>
      </c>
      <c r="AB61" s="167">
        <f>IFERROR(_xlfn.XLOOKUP(Table4[[#This Row],[Subnummer]],Table3[Sub],#REF!),0)</f>
        <v>0</v>
      </c>
      <c r="AC61" s="167">
        <f>IFERROR(_xlfn.XLOOKUP(Table4[[#This Row],[Subnummer]],Table3[Sub],#REF!),0)</f>
        <v>0</v>
      </c>
      <c r="AD61" s="167">
        <f>IFERROR(_xlfn.XLOOKUP(Table4[[#This Row],[Subnummer]],Table3[Sub],#REF!),0)</f>
        <v>0</v>
      </c>
      <c r="AE61" s="167">
        <f>IFERROR(_xlfn.XLOOKUP(Table4[[#This Row],[Subnummer]],Table3[Sub],#REF!),0)</f>
        <v>0</v>
      </c>
      <c r="AF61" s="189">
        <f t="shared" si="16"/>
        <v>0</v>
      </c>
      <c r="AG61" s="189">
        <f t="shared" si="17"/>
        <v>0</v>
      </c>
      <c r="AH61" s="189">
        <f t="shared" si="18"/>
        <v>0</v>
      </c>
      <c r="AI61" s="189">
        <f t="shared" si="19"/>
        <v>0</v>
      </c>
      <c r="AJ61" s="189" t="e">
        <f t="shared" si="20"/>
        <v>#REF!</v>
      </c>
      <c r="AK61" s="189" t="e">
        <f t="shared" si="21"/>
        <v>#REF!</v>
      </c>
      <c r="AL61" s="189" t="e">
        <f t="shared" si="22"/>
        <v>#REF!</v>
      </c>
      <c r="AM61" s="189" t="e">
        <f t="shared" si="23"/>
        <v>#REF!</v>
      </c>
      <c r="AN61" s="189" t="e">
        <f t="shared" si="24"/>
        <v>#REF!</v>
      </c>
      <c r="AO61" s="189" t="e">
        <f t="shared" si="25"/>
        <v>#REF!</v>
      </c>
      <c r="AP61" s="165" t="e">
        <f t="shared" si="26"/>
        <v>#REF!</v>
      </c>
      <c r="AQ61" s="175" t="e" cm="1">
        <f t="array" ref="AQ61">_xlfn.IFS(AP61=0,"Nihil",AP61&gt;0,"Suppletie",AP61&lt;0,"Restitutie")</f>
        <v>#REF!</v>
      </c>
    </row>
    <row r="62" spans="1:43" x14ac:dyDescent="0.25">
      <c r="A62" s="174" t="str">
        <f>IFERROR(_xlfn.XLOOKUP(D62,Table3[Sub],Table3[Verzekerde]),"-")</f>
        <v>-</v>
      </c>
      <c r="B62" s="164"/>
      <c r="C62" s="164" t="str">
        <f>IFERROR(_xlfn.XLOOKUP(Table4[[#This Row],[Subnummer]],Table3[Sub],Table3[Certificaat]),"-")</f>
        <v>-</v>
      </c>
      <c r="D62" s="177">
        <v>0</v>
      </c>
      <c r="E62" s="180">
        <f>IFERROR(_xlfn.XLOOKUP(Table4[[#This Row],[Subnummer]],Table3[Sub],Table3[Verz. Waarde Oud:]),0)</f>
        <v>0</v>
      </c>
      <c r="F62" s="165">
        <v>0</v>
      </c>
      <c r="G62" s="165">
        <v>0</v>
      </c>
      <c r="H62" s="165">
        <v>0</v>
      </c>
      <c r="I62" s="165">
        <v>0</v>
      </c>
      <c r="J62" s="165">
        <f t="shared" si="10"/>
        <v>0</v>
      </c>
      <c r="K62" s="181">
        <f t="shared" si="11"/>
        <v>0</v>
      </c>
      <c r="L62" s="183">
        <v>44562</v>
      </c>
      <c r="M62" s="166">
        <v>44927</v>
      </c>
      <c r="N62" s="164">
        <f t="shared" si="12"/>
        <v>365</v>
      </c>
      <c r="O62" s="164">
        <v>365</v>
      </c>
      <c r="P62" s="175" t="s">
        <v>104</v>
      </c>
      <c r="Q62" s="186">
        <f t="shared" si="13"/>
        <v>0</v>
      </c>
      <c r="R62" s="165" cm="1">
        <f t="array" ref="R62">_xlfn.IFS($P62="Nee",G62*$N62/$O62,$P62="Ja",G62*0.5)</f>
        <v>0</v>
      </c>
      <c r="S62" s="165" cm="1">
        <f t="array" ref="S62">_xlfn.IFS($P62="Nee",-(H62*$N62/$O62),$P62="Ja",-(H62*0.5))</f>
        <v>0</v>
      </c>
      <c r="T62" s="165">
        <f t="shared" si="14"/>
        <v>0</v>
      </c>
      <c r="U62" s="187">
        <f t="shared" si="15"/>
        <v>0</v>
      </c>
      <c r="V62" s="191">
        <f>IFERROR(_xlfn.XLOOKUP(Table4[[#This Row],[Subnummer]],Table3[Sub],Table3[Promillage 1]),0)</f>
        <v>0</v>
      </c>
      <c r="W62" s="167">
        <f>IFERROR(_xlfn.XLOOKUP(Table4[[#This Row],[Subnummer]],Table3[Sub],Table3[Promillage 2]),0)</f>
        <v>0</v>
      </c>
      <c r="X62" s="167">
        <f>IFERROR(_xlfn.XLOOKUP(Table4[[#This Row],[Subnummer]],Table3[Sub],Table3[Promillage 3]),0)</f>
        <v>0</v>
      </c>
      <c r="Y62" s="167">
        <f>IFERROR(_xlfn.XLOOKUP(Table4[[#This Row],[Subnummer]],Table3[Sub],Table3[Promillage 4]),0)</f>
        <v>0</v>
      </c>
      <c r="Z62" s="167">
        <f>IFERROR(_xlfn.XLOOKUP(Table4[[#This Row],[Subnummer]],Table3[Sub],#REF!),0)</f>
        <v>0</v>
      </c>
      <c r="AA62" s="167">
        <f>IFERROR(_xlfn.XLOOKUP(Table4[[#This Row],[Subnummer]],Table3[Sub],#REF!),0)</f>
        <v>0</v>
      </c>
      <c r="AB62" s="167">
        <f>IFERROR(_xlfn.XLOOKUP(Table4[[#This Row],[Subnummer]],Table3[Sub],#REF!),0)</f>
        <v>0</v>
      </c>
      <c r="AC62" s="167">
        <f>IFERROR(_xlfn.XLOOKUP(Table4[[#This Row],[Subnummer]],Table3[Sub],#REF!),0)</f>
        <v>0</v>
      </c>
      <c r="AD62" s="167">
        <f>IFERROR(_xlfn.XLOOKUP(Table4[[#This Row],[Subnummer]],Table3[Sub],#REF!),0)</f>
        <v>0</v>
      </c>
      <c r="AE62" s="167">
        <f>IFERROR(_xlfn.XLOOKUP(Table4[[#This Row],[Subnummer]],Table3[Sub],#REF!),0)</f>
        <v>0</v>
      </c>
      <c r="AF62" s="189">
        <f t="shared" si="16"/>
        <v>0</v>
      </c>
      <c r="AG62" s="189">
        <f t="shared" si="17"/>
        <v>0</v>
      </c>
      <c r="AH62" s="189">
        <f t="shared" si="18"/>
        <v>0</v>
      </c>
      <c r="AI62" s="189">
        <f t="shared" si="19"/>
        <v>0</v>
      </c>
      <c r="AJ62" s="189" t="e">
        <f t="shared" si="20"/>
        <v>#REF!</v>
      </c>
      <c r="AK62" s="189" t="e">
        <f t="shared" si="21"/>
        <v>#REF!</v>
      </c>
      <c r="AL62" s="189" t="e">
        <f t="shared" si="22"/>
        <v>#REF!</v>
      </c>
      <c r="AM62" s="189" t="e">
        <f t="shared" si="23"/>
        <v>#REF!</v>
      </c>
      <c r="AN62" s="189" t="e">
        <f t="shared" si="24"/>
        <v>#REF!</v>
      </c>
      <c r="AO62" s="189" t="e">
        <f t="shared" si="25"/>
        <v>#REF!</v>
      </c>
      <c r="AP62" s="165" t="e">
        <f t="shared" si="26"/>
        <v>#REF!</v>
      </c>
      <c r="AQ62" s="175" t="e" cm="1">
        <f t="array" ref="AQ62">_xlfn.IFS(AP62=0,"Nihil",AP62&gt;0,"Suppletie",AP62&lt;0,"Restitutie")</f>
        <v>#REF!</v>
      </c>
    </row>
    <row r="63" spans="1:43" x14ac:dyDescent="0.25">
      <c r="A63" s="174" t="str">
        <f>IFERROR(_xlfn.XLOOKUP(D63,Table3[Sub],Table3[Verzekerde]),"-")</f>
        <v>-</v>
      </c>
      <c r="B63" s="164"/>
      <c r="C63" s="164" t="str">
        <f>IFERROR(_xlfn.XLOOKUP(Table4[[#This Row],[Subnummer]],Table3[Sub],Table3[Certificaat]),"-")</f>
        <v>-</v>
      </c>
      <c r="D63" s="177">
        <v>0</v>
      </c>
      <c r="E63" s="180">
        <f>IFERROR(_xlfn.XLOOKUP(Table4[[#This Row],[Subnummer]],Table3[Sub],Table3[Verz. Waarde Oud:]),0)</f>
        <v>0</v>
      </c>
      <c r="F63" s="165">
        <v>0</v>
      </c>
      <c r="G63" s="165">
        <v>0</v>
      </c>
      <c r="H63" s="165">
        <v>0</v>
      </c>
      <c r="I63" s="165">
        <v>0</v>
      </c>
      <c r="J63" s="165">
        <f t="shared" si="10"/>
        <v>0</v>
      </c>
      <c r="K63" s="181">
        <f t="shared" si="11"/>
        <v>0</v>
      </c>
      <c r="L63" s="183">
        <v>44562</v>
      </c>
      <c r="M63" s="166">
        <v>44927</v>
      </c>
      <c r="N63" s="164">
        <f t="shared" si="12"/>
        <v>365</v>
      </c>
      <c r="O63" s="164">
        <v>365</v>
      </c>
      <c r="P63" s="175" t="s">
        <v>104</v>
      </c>
      <c r="Q63" s="186">
        <f t="shared" si="13"/>
        <v>0</v>
      </c>
      <c r="R63" s="165" cm="1">
        <f t="array" ref="R63">_xlfn.IFS($P63="Nee",G63*$N63/$O63,$P63="Ja",G63*0.5)</f>
        <v>0</v>
      </c>
      <c r="S63" s="165" cm="1">
        <f t="array" ref="S63">_xlfn.IFS($P63="Nee",-(H63*$N63/$O63),$P63="Ja",-(H63*0.5))</f>
        <v>0</v>
      </c>
      <c r="T63" s="165">
        <f t="shared" si="14"/>
        <v>0</v>
      </c>
      <c r="U63" s="187">
        <f t="shared" si="15"/>
        <v>0</v>
      </c>
      <c r="V63" s="191">
        <f>IFERROR(_xlfn.XLOOKUP(Table4[[#This Row],[Subnummer]],Table3[Sub],Table3[Promillage 1]),0)</f>
        <v>0</v>
      </c>
      <c r="W63" s="167">
        <f>IFERROR(_xlfn.XLOOKUP(Table4[[#This Row],[Subnummer]],Table3[Sub],Table3[Promillage 2]),0)</f>
        <v>0</v>
      </c>
      <c r="X63" s="167">
        <f>IFERROR(_xlfn.XLOOKUP(Table4[[#This Row],[Subnummer]],Table3[Sub],Table3[Promillage 3]),0)</f>
        <v>0</v>
      </c>
      <c r="Y63" s="167">
        <f>IFERROR(_xlfn.XLOOKUP(Table4[[#This Row],[Subnummer]],Table3[Sub],Table3[Promillage 4]),0)</f>
        <v>0</v>
      </c>
      <c r="Z63" s="167">
        <f>IFERROR(_xlfn.XLOOKUP(Table4[[#This Row],[Subnummer]],Table3[Sub],#REF!),0)</f>
        <v>0</v>
      </c>
      <c r="AA63" s="167">
        <f>IFERROR(_xlfn.XLOOKUP(Table4[[#This Row],[Subnummer]],Table3[Sub],#REF!),0)</f>
        <v>0</v>
      </c>
      <c r="AB63" s="167">
        <f>IFERROR(_xlfn.XLOOKUP(Table4[[#This Row],[Subnummer]],Table3[Sub],#REF!),0)</f>
        <v>0</v>
      </c>
      <c r="AC63" s="167">
        <f>IFERROR(_xlfn.XLOOKUP(Table4[[#This Row],[Subnummer]],Table3[Sub],#REF!),0)</f>
        <v>0</v>
      </c>
      <c r="AD63" s="167">
        <f>IFERROR(_xlfn.XLOOKUP(Table4[[#This Row],[Subnummer]],Table3[Sub],#REF!),0)</f>
        <v>0</v>
      </c>
      <c r="AE63" s="167">
        <f>IFERROR(_xlfn.XLOOKUP(Table4[[#This Row],[Subnummer]],Table3[Sub],#REF!),0)</f>
        <v>0</v>
      </c>
      <c r="AF63" s="189">
        <f t="shared" si="16"/>
        <v>0</v>
      </c>
      <c r="AG63" s="189">
        <f t="shared" si="17"/>
        <v>0</v>
      </c>
      <c r="AH63" s="189">
        <f t="shared" si="18"/>
        <v>0</v>
      </c>
      <c r="AI63" s="189">
        <f t="shared" si="19"/>
        <v>0</v>
      </c>
      <c r="AJ63" s="189" t="e">
        <f t="shared" si="20"/>
        <v>#REF!</v>
      </c>
      <c r="AK63" s="189" t="e">
        <f t="shared" si="21"/>
        <v>#REF!</v>
      </c>
      <c r="AL63" s="189" t="e">
        <f t="shared" si="22"/>
        <v>#REF!</v>
      </c>
      <c r="AM63" s="189" t="e">
        <f t="shared" si="23"/>
        <v>#REF!</v>
      </c>
      <c r="AN63" s="189" t="e">
        <f t="shared" si="24"/>
        <v>#REF!</v>
      </c>
      <c r="AO63" s="189" t="e">
        <f t="shared" si="25"/>
        <v>#REF!</v>
      </c>
      <c r="AP63" s="165" t="e">
        <f t="shared" si="26"/>
        <v>#REF!</v>
      </c>
      <c r="AQ63" s="175" t="e" cm="1">
        <f t="array" ref="AQ63">_xlfn.IFS(AP63=0,"Nihil",AP63&gt;0,"Suppletie",AP63&lt;0,"Restitutie")</f>
        <v>#REF!</v>
      </c>
    </row>
    <row r="64" spans="1:43" x14ac:dyDescent="0.25">
      <c r="A64" s="174" t="str">
        <f>IFERROR(_xlfn.XLOOKUP(D64,Table3[Sub],Table3[Verzekerde]),"-")</f>
        <v>-</v>
      </c>
      <c r="B64" s="164"/>
      <c r="C64" s="164" t="str">
        <f>IFERROR(_xlfn.XLOOKUP(Table4[[#This Row],[Subnummer]],Table3[Sub],Table3[Certificaat]),"-")</f>
        <v>-</v>
      </c>
      <c r="D64" s="177">
        <v>0</v>
      </c>
      <c r="E64" s="180">
        <f>IFERROR(_xlfn.XLOOKUP(Table4[[#This Row],[Subnummer]],Table3[Sub],Table3[Verz. Waarde Oud:]),0)</f>
        <v>0</v>
      </c>
      <c r="F64" s="165">
        <v>0</v>
      </c>
      <c r="G64" s="165">
        <v>0</v>
      </c>
      <c r="H64" s="165">
        <v>0</v>
      </c>
      <c r="I64" s="165">
        <v>0</v>
      </c>
      <c r="J64" s="165">
        <f t="shared" si="10"/>
        <v>0</v>
      </c>
      <c r="K64" s="181">
        <f t="shared" si="11"/>
        <v>0</v>
      </c>
      <c r="L64" s="183">
        <v>44562</v>
      </c>
      <c r="M64" s="166">
        <v>44927</v>
      </c>
      <c r="N64" s="164">
        <f t="shared" si="12"/>
        <v>365</v>
      </c>
      <c r="O64" s="164">
        <v>365</v>
      </c>
      <c r="P64" s="175" t="s">
        <v>104</v>
      </c>
      <c r="Q64" s="186">
        <f t="shared" si="13"/>
        <v>0</v>
      </c>
      <c r="R64" s="165" cm="1">
        <f t="array" ref="R64">_xlfn.IFS($P64="Nee",G64*$N64/$O64,$P64="Ja",G64*0.5)</f>
        <v>0</v>
      </c>
      <c r="S64" s="165" cm="1">
        <f t="array" ref="S64">_xlfn.IFS($P64="Nee",-(H64*$N64/$O64),$P64="Ja",-(H64*0.5))</f>
        <v>0</v>
      </c>
      <c r="T64" s="165">
        <f t="shared" si="14"/>
        <v>0</v>
      </c>
      <c r="U64" s="187">
        <f t="shared" si="15"/>
        <v>0</v>
      </c>
      <c r="V64" s="191">
        <f>IFERROR(_xlfn.XLOOKUP(Table4[[#This Row],[Subnummer]],Table3[Sub],Table3[Promillage 1]),0)</f>
        <v>0</v>
      </c>
      <c r="W64" s="167">
        <f>IFERROR(_xlfn.XLOOKUP(Table4[[#This Row],[Subnummer]],Table3[Sub],Table3[Promillage 2]),0)</f>
        <v>0</v>
      </c>
      <c r="X64" s="167">
        <f>IFERROR(_xlfn.XLOOKUP(Table4[[#This Row],[Subnummer]],Table3[Sub],Table3[Promillage 3]),0)</f>
        <v>0</v>
      </c>
      <c r="Y64" s="167">
        <f>IFERROR(_xlfn.XLOOKUP(Table4[[#This Row],[Subnummer]],Table3[Sub],Table3[Promillage 4]),0)</f>
        <v>0</v>
      </c>
      <c r="Z64" s="167">
        <f>IFERROR(_xlfn.XLOOKUP(Table4[[#This Row],[Subnummer]],Table3[Sub],#REF!),0)</f>
        <v>0</v>
      </c>
      <c r="AA64" s="167">
        <f>IFERROR(_xlfn.XLOOKUP(Table4[[#This Row],[Subnummer]],Table3[Sub],#REF!),0)</f>
        <v>0</v>
      </c>
      <c r="AB64" s="167">
        <f>IFERROR(_xlfn.XLOOKUP(Table4[[#This Row],[Subnummer]],Table3[Sub],#REF!),0)</f>
        <v>0</v>
      </c>
      <c r="AC64" s="167">
        <f>IFERROR(_xlfn.XLOOKUP(Table4[[#This Row],[Subnummer]],Table3[Sub],#REF!),0)</f>
        <v>0</v>
      </c>
      <c r="AD64" s="167">
        <f>IFERROR(_xlfn.XLOOKUP(Table4[[#This Row],[Subnummer]],Table3[Sub],#REF!),0)</f>
        <v>0</v>
      </c>
      <c r="AE64" s="167">
        <f>IFERROR(_xlfn.XLOOKUP(Table4[[#This Row],[Subnummer]],Table3[Sub],#REF!),0)</f>
        <v>0</v>
      </c>
      <c r="AF64" s="189">
        <f t="shared" si="16"/>
        <v>0</v>
      </c>
      <c r="AG64" s="189">
        <f t="shared" si="17"/>
        <v>0</v>
      </c>
      <c r="AH64" s="189">
        <f t="shared" si="18"/>
        <v>0</v>
      </c>
      <c r="AI64" s="189">
        <f t="shared" si="19"/>
        <v>0</v>
      </c>
      <c r="AJ64" s="189" t="e">
        <f t="shared" si="20"/>
        <v>#REF!</v>
      </c>
      <c r="AK64" s="189" t="e">
        <f t="shared" si="21"/>
        <v>#REF!</v>
      </c>
      <c r="AL64" s="189" t="e">
        <f t="shared" si="22"/>
        <v>#REF!</v>
      </c>
      <c r="AM64" s="189" t="e">
        <f t="shared" si="23"/>
        <v>#REF!</v>
      </c>
      <c r="AN64" s="189" t="e">
        <f t="shared" si="24"/>
        <v>#REF!</v>
      </c>
      <c r="AO64" s="189" t="e">
        <f t="shared" si="25"/>
        <v>#REF!</v>
      </c>
      <c r="AP64" s="165" t="e">
        <f t="shared" si="26"/>
        <v>#REF!</v>
      </c>
      <c r="AQ64" s="175" t="e" cm="1">
        <f t="array" ref="AQ64">_xlfn.IFS(AP64=0,"Nihil",AP64&gt;0,"Suppletie",AP64&lt;0,"Restitutie")</f>
        <v>#REF!</v>
      </c>
    </row>
    <row r="65" spans="1:43" x14ac:dyDescent="0.25">
      <c r="A65" s="174" t="str">
        <f>IFERROR(_xlfn.XLOOKUP(D65,Table3[Sub],Table3[Verzekerde]),"-")</f>
        <v>-</v>
      </c>
      <c r="B65" s="164"/>
      <c r="C65" s="164" t="str">
        <f>IFERROR(_xlfn.XLOOKUP(Table4[[#This Row],[Subnummer]],Table3[Sub],Table3[Certificaat]),"-")</f>
        <v>-</v>
      </c>
      <c r="D65" s="177">
        <v>0</v>
      </c>
      <c r="E65" s="180">
        <f>IFERROR(_xlfn.XLOOKUP(Table4[[#This Row],[Subnummer]],Table3[Sub],Table3[Verz. Waarde Oud:]),0)</f>
        <v>0</v>
      </c>
      <c r="F65" s="165">
        <v>0</v>
      </c>
      <c r="G65" s="165">
        <v>0</v>
      </c>
      <c r="H65" s="165">
        <v>0</v>
      </c>
      <c r="I65" s="165">
        <v>0</v>
      </c>
      <c r="J65" s="165">
        <f t="shared" si="10"/>
        <v>0</v>
      </c>
      <c r="K65" s="181">
        <f t="shared" si="11"/>
        <v>0</v>
      </c>
      <c r="L65" s="183">
        <v>44562</v>
      </c>
      <c r="M65" s="166">
        <v>44927</v>
      </c>
      <c r="N65" s="164">
        <f t="shared" si="12"/>
        <v>365</v>
      </c>
      <c r="O65" s="164">
        <v>365</v>
      </c>
      <c r="P65" s="175" t="s">
        <v>104</v>
      </c>
      <c r="Q65" s="186">
        <f t="shared" si="13"/>
        <v>0</v>
      </c>
      <c r="R65" s="165" cm="1">
        <f t="array" ref="R65">_xlfn.IFS($P65="Nee",G65*$N65/$O65,$P65="Ja",G65*0.5)</f>
        <v>0</v>
      </c>
      <c r="S65" s="165" cm="1">
        <f t="array" ref="S65">_xlfn.IFS($P65="Nee",-(H65*$N65/$O65),$P65="Ja",-(H65*0.5))</f>
        <v>0</v>
      </c>
      <c r="T65" s="165">
        <f t="shared" si="14"/>
        <v>0</v>
      </c>
      <c r="U65" s="187">
        <f t="shared" si="15"/>
        <v>0</v>
      </c>
      <c r="V65" s="191">
        <f>IFERROR(_xlfn.XLOOKUP(Table4[[#This Row],[Subnummer]],Table3[Sub],Table3[Promillage 1]),0)</f>
        <v>0</v>
      </c>
      <c r="W65" s="167">
        <f>IFERROR(_xlfn.XLOOKUP(Table4[[#This Row],[Subnummer]],Table3[Sub],Table3[Promillage 2]),0)</f>
        <v>0</v>
      </c>
      <c r="X65" s="167">
        <f>IFERROR(_xlfn.XLOOKUP(Table4[[#This Row],[Subnummer]],Table3[Sub],Table3[Promillage 3]),0)</f>
        <v>0</v>
      </c>
      <c r="Y65" s="167">
        <f>IFERROR(_xlfn.XLOOKUP(Table4[[#This Row],[Subnummer]],Table3[Sub],Table3[Promillage 4]),0)</f>
        <v>0</v>
      </c>
      <c r="Z65" s="167">
        <f>IFERROR(_xlfn.XLOOKUP(Table4[[#This Row],[Subnummer]],Table3[Sub],#REF!),0)</f>
        <v>0</v>
      </c>
      <c r="AA65" s="167">
        <f>IFERROR(_xlfn.XLOOKUP(Table4[[#This Row],[Subnummer]],Table3[Sub],#REF!),0)</f>
        <v>0</v>
      </c>
      <c r="AB65" s="167">
        <f>IFERROR(_xlfn.XLOOKUP(Table4[[#This Row],[Subnummer]],Table3[Sub],#REF!),0)</f>
        <v>0</v>
      </c>
      <c r="AC65" s="167">
        <f>IFERROR(_xlfn.XLOOKUP(Table4[[#This Row],[Subnummer]],Table3[Sub],#REF!),0)</f>
        <v>0</v>
      </c>
      <c r="AD65" s="167">
        <f>IFERROR(_xlfn.XLOOKUP(Table4[[#This Row],[Subnummer]],Table3[Sub],#REF!),0)</f>
        <v>0</v>
      </c>
      <c r="AE65" s="167">
        <f>IFERROR(_xlfn.XLOOKUP(Table4[[#This Row],[Subnummer]],Table3[Sub],#REF!),0)</f>
        <v>0</v>
      </c>
      <c r="AF65" s="189">
        <f t="shared" si="16"/>
        <v>0</v>
      </c>
      <c r="AG65" s="189">
        <f t="shared" si="17"/>
        <v>0</v>
      </c>
      <c r="AH65" s="189">
        <f t="shared" si="18"/>
        <v>0</v>
      </c>
      <c r="AI65" s="189">
        <f t="shared" si="19"/>
        <v>0</v>
      </c>
      <c r="AJ65" s="189" t="e">
        <f t="shared" si="20"/>
        <v>#REF!</v>
      </c>
      <c r="AK65" s="189" t="e">
        <f t="shared" si="21"/>
        <v>#REF!</v>
      </c>
      <c r="AL65" s="189" t="e">
        <f t="shared" si="22"/>
        <v>#REF!</v>
      </c>
      <c r="AM65" s="189" t="e">
        <f t="shared" si="23"/>
        <v>#REF!</v>
      </c>
      <c r="AN65" s="189" t="e">
        <f t="shared" si="24"/>
        <v>#REF!</v>
      </c>
      <c r="AO65" s="189" t="e">
        <f t="shared" si="25"/>
        <v>#REF!</v>
      </c>
      <c r="AP65" s="165" t="e">
        <f t="shared" si="26"/>
        <v>#REF!</v>
      </c>
      <c r="AQ65" s="175" t="e" cm="1">
        <f t="array" ref="AQ65">_xlfn.IFS(AP65=0,"Nihil",AP65&gt;0,"Suppletie",AP65&lt;0,"Restitutie")</f>
        <v>#REF!</v>
      </c>
    </row>
    <row r="66" spans="1:43" x14ac:dyDescent="0.25">
      <c r="A66" s="174" t="str">
        <f>IFERROR(_xlfn.XLOOKUP(D66,Table3[Sub],Table3[Verzekerde]),"-")</f>
        <v>-</v>
      </c>
      <c r="B66" s="164"/>
      <c r="C66" s="164" t="str">
        <f>IFERROR(_xlfn.XLOOKUP(Table4[[#This Row],[Subnummer]],Table3[Sub],Table3[Certificaat]),"-")</f>
        <v>-</v>
      </c>
      <c r="D66" s="177">
        <v>0</v>
      </c>
      <c r="E66" s="180">
        <f>IFERROR(_xlfn.XLOOKUP(Table4[[#This Row],[Subnummer]],Table3[Sub],Table3[Verz. Waarde Oud:]),0)</f>
        <v>0</v>
      </c>
      <c r="F66" s="165">
        <v>0</v>
      </c>
      <c r="G66" s="165">
        <v>0</v>
      </c>
      <c r="H66" s="165">
        <v>0</v>
      </c>
      <c r="I66" s="165">
        <v>0</v>
      </c>
      <c r="J66" s="165">
        <f t="shared" si="10"/>
        <v>0</v>
      </c>
      <c r="K66" s="181">
        <f t="shared" si="11"/>
        <v>0</v>
      </c>
      <c r="L66" s="183">
        <v>44562</v>
      </c>
      <c r="M66" s="166">
        <v>44927</v>
      </c>
      <c r="N66" s="164">
        <f t="shared" si="12"/>
        <v>365</v>
      </c>
      <c r="O66" s="164">
        <v>365</v>
      </c>
      <c r="P66" s="175" t="s">
        <v>104</v>
      </c>
      <c r="Q66" s="186">
        <f t="shared" si="13"/>
        <v>0</v>
      </c>
      <c r="R66" s="165" cm="1">
        <f t="array" ref="R66">_xlfn.IFS($P66="Nee",G66*$N66/$O66,$P66="Ja",G66*0.5)</f>
        <v>0</v>
      </c>
      <c r="S66" s="165" cm="1">
        <f t="array" ref="S66">_xlfn.IFS($P66="Nee",-(H66*$N66/$O66),$P66="Ja",-(H66*0.5))</f>
        <v>0</v>
      </c>
      <c r="T66" s="165">
        <f t="shared" si="14"/>
        <v>0</v>
      </c>
      <c r="U66" s="187">
        <f t="shared" si="15"/>
        <v>0</v>
      </c>
      <c r="V66" s="191">
        <f>IFERROR(_xlfn.XLOOKUP(Table4[[#This Row],[Subnummer]],Table3[Sub],Table3[Promillage 1]),0)</f>
        <v>0</v>
      </c>
      <c r="W66" s="167">
        <f>IFERROR(_xlfn.XLOOKUP(Table4[[#This Row],[Subnummer]],Table3[Sub],Table3[Promillage 2]),0)</f>
        <v>0</v>
      </c>
      <c r="X66" s="167">
        <f>IFERROR(_xlfn.XLOOKUP(Table4[[#This Row],[Subnummer]],Table3[Sub],Table3[Promillage 3]),0)</f>
        <v>0</v>
      </c>
      <c r="Y66" s="167">
        <f>IFERROR(_xlfn.XLOOKUP(Table4[[#This Row],[Subnummer]],Table3[Sub],Table3[Promillage 4]),0)</f>
        <v>0</v>
      </c>
      <c r="Z66" s="167">
        <f>IFERROR(_xlfn.XLOOKUP(Table4[[#This Row],[Subnummer]],Table3[Sub],#REF!),0)</f>
        <v>0</v>
      </c>
      <c r="AA66" s="167">
        <f>IFERROR(_xlfn.XLOOKUP(Table4[[#This Row],[Subnummer]],Table3[Sub],#REF!),0)</f>
        <v>0</v>
      </c>
      <c r="AB66" s="167">
        <f>IFERROR(_xlfn.XLOOKUP(Table4[[#This Row],[Subnummer]],Table3[Sub],#REF!),0)</f>
        <v>0</v>
      </c>
      <c r="AC66" s="167">
        <f>IFERROR(_xlfn.XLOOKUP(Table4[[#This Row],[Subnummer]],Table3[Sub],#REF!),0)</f>
        <v>0</v>
      </c>
      <c r="AD66" s="167">
        <f>IFERROR(_xlfn.XLOOKUP(Table4[[#This Row],[Subnummer]],Table3[Sub],#REF!),0)</f>
        <v>0</v>
      </c>
      <c r="AE66" s="167">
        <f>IFERROR(_xlfn.XLOOKUP(Table4[[#This Row],[Subnummer]],Table3[Sub],#REF!),0)</f>
        <v>0</v>
      </c>
      <c r="AF66" s="189">
        <f t="shared" si="16"/>
        <v>0</v>
      </c>
      <c r="AG66" s="189">
        <f t="shared" si="17"/>
        <v>0</v>
      </c>
      <c r="AH66" s="189">
        <f t="shared" si="18"/>
        <v>0</v>
      </c>
      <c r="AI66" s="189">
        <f t="shared" si="19"/>
        <v>0</v>
      </c>
      <c r="AJ66" s="189" t="e">
        <f t="shared" si="20"/>
        <v>#REF!</v>
      </c>
      <c r="AK66" s="189" t="e">
        <f t="shared" si="21"/>
        <v>#REF!</v>
      </c>
      <c r="AL66" s="189" t="e">
        <f t="shared" si="22"/>
        <v>#REF!</v>
      </c>
      <c r="AM66" s="189" t="e">
        <f t="shared" si="23"/>
        <v>#REF!</v>
      </c>
      <c r="AN66" s="189" t="e">
        <f t="shared" si="24"/>
        <v>#REF!</v>
      </c>
      <c r="AO66" s="189" t="e">
        <f t="shared" si="25"/>
        <v>#REF!</v>
      </c>
      <c r="AP66" s="165" t="e">
        <f t="shared" si="26"/>
        <v>#REF!</v>
      </c>
      <c r="AQ66" s="175" t="e" cm="1">
        <f t="array" ref="AQ66">_xlfn.IFS(AP66=0,"Nihil",AP66&gt;0,"Suppletie",AP66&lt;0,"Restitutie")</f>
        <v>#REF!</v>
      </c>
    </row>
    <row r="67" spans="1:43" x14ac:dyDescent="0.25">
      <c r="A67" s="174" t="str">
        <f>IFERROR(_xlfn.XLOOKUP(D67,Table3[Sub],Table3[Verzekerde]),"-")</f>
        <v>-</v>
      </c>
      <c r="B67" s="164"/>
      <c r="C67" s="164" t="str">
        <f>IFERROR(_xlfn.XLOOKUP(Table4[[#This Row],[Subnummer]],Table3[Sub],Table3[Certificaat]),"-")</f>
        <v>-</v>
      </c>
      <c r="D67" s="177">
        <v>0</v>
      </c>
      <c r="E67" s="180">
        <f>IFERROR(_xlfn.XLOOKUP(Table4[[#This Row],[Subnummer]],Table3[Sub],Table3[Verz. Waarde Oud:]),0)</f>
        <v>0</v>
      </c>
      <c r="F67" s="165">
        <v>0</v>
      </c>
      <c r="G67" s="165">
        <v>0</v>
      </c>
      <c r="H67" s="165">
        <v>0</v>
      </c>
      <c r="I67" s="165">
        <v>0</v>
      </c>
      <c r="J67" s="165">
        <f t="shared" si="10"/>
        <v>0</v>
      </c>
      <c r="K67" s="181">
        <f t="shared" si="11"/>
        <v>0</v>
      </c>
      <c r="L67" s="183">
        <v>44562</v>
      </c>
      <c r="M67" s="166">
        <v>44927</v>
      </c>
      <c r="N67" s="164">
        <f t="shared" si="12"/>
        <v>365</v>
      </c>
      <c r="O67" s="164">
        <v>365</v>
      </c>
      <c r="P67" s="175" t="s">
        <v>104</v>
      </c>
      <c r="Q67" s="186">
        <f t="shared" si="13"/>
        <v>0</v>
      </c>
      <c r="R67" s="165" cm="1">
        <f t="array" ref="R67">_xlfn.IFS($P67="Nee",G67*$N67/$O67,$P67="Ja",G67*0.5)</f>
        <v>0</v>
      </c>
      <c r="S67" s="165" cm="1">
        <f t="array" ref="S67">_xlfn.IFS($P67="Nee",-(H67*$N67/$O67),$P67="Ja",-(H67*0.5))</f>
        <v>0</v>
      </c>
      <c r="T67" s="165">
        <f t="shared" si="14"/>
        <v>0</v>
      </c>
      <c r="U67" s="187">
        <f t="shared" si="15"/>
        <v>0</v>
      </c>
      <c r="V67" s="191">
        <f>IFERROR(_xlfn.XLOOKUP(Table4[[#This Row],[Subnummer]],Table3[Sub],Table3[Promillage 1]),0)</f>
        <v>0</v>
      </c>
      <c r="W67" s="167">
        <f>IFERROR(_xlfn.XLOOKUP(Table4[[#This Row],[Subnummer]],Table3[Sub],Table3[Promillage 2]),0)</f>
        <v>0</v>
      </c>
      <c r="X67" s="167">
        <f>IFERROR(_xlfn.XLOOKUP(Table4[[#This Row],[Subnummer]],Table3[Sub],Table3[Promillage 3]),0)</f>
        <v>0</v>
      </c>
      <c r="Y67" s="167">
        <f>IFERROR(_xlfn.XLOOKUP(Table4[[#This Row],[Subnummer]],Table3[Sub],Table3[Promillage 4]),0)</f>
        <v>0</v>
      </c>
      <c r="Z67" s="167">
        <f>IFERROR(_xlfn.XLOOKUP(Table4[[#This Row],[Subnummer]],Table3[Sub],#REF!),0)</f>
        <v>0</v>
      </c>
      <c r="AA67" s="167">
        <f>IFERROR(_xlfn.XLOOKUP(Table4[[#This Row],[Subnummer]],Table3[Sub],#REF!),0)</f>
        <v>0</v>
      </c>
      <c r="AB67" s="167">
        <f>IFERROR(_xlfn.XLOOKUP(Table4[[#This Row],[Subnummer]],Table3[Sub],#REF!),0)</f>
        <v>0</v>
      </c>
      <c r="AC67" s="167">
        <f>IFERROR(_xlfn.XLOOKUP(Table4[[#This Row],[Subnummer]],Table3[Sub],#REF!),0)</f>
        <v>0</v>
      </c>
      <c r="AD67" s="167">
        <f>IFERROR(_xlfn.XLOOKUP(Table4[[#This Row],[Subnummer]],Table3[Sub],#REF!),0)</f>
        <v>0</v>
      </c>
      <c r="AE67" s="167">
        <f>IFERROR(_xlfn.XLOOKUP(Table4[[#This Row],[Subnummer]],Table3[Sub],#REF!),0)</f>
        <v>0</v>
      </c>
      <c r="AF67" s="189">
        <f t="shared" si="16"/>
        <v>0</v>
      </c>
      <c r="AG67" s="189">
        <f t="shared" si="17"/>
        <v>0</v>
      </c>
      <c r="AH67" s="189">
        <f t="shared" si="18"/>
        <v>0</v>
      </c>
      <c r="AI67" s="189">
        <f t="shared" si="19"/>
        <v>0</v>
      </c>
      <c r="AJ67" s="189" t="e">
        <f t="shared" si="20"/>
        <v>#REF!</v>
      </c>
      <c r="AK67" s="189" t="e">
        <f t="shared" si="21"/>
        <v>#REF!</v>
      </c>
      <c r="AL67" s="189" t="e">
        <f t="shared" si="22"/>
        <v>#REF!</v>
      </c>
      <c r="AM67" s="189" t="e">
        <f t="shared" si="23"/>
        <v>#REF!</v>
      </c>
      <c r="AN67" s="189" t="e">
        <f t="shared" si="24"/>
        <v>#REF!</v>
      </c>
      <c r="AO67" s="189" t="e">
        <f t="shared" si="25"/>
        <v>#REF!</v>
      </c>
      <c r="AP67" s="165" t="e">
        <f t="shared" si="26"/>
        <v>#REF!</v>
      </c>
      <c r="AQ67" s="175" t="e" cm="1">
        <f t="array" ref="AQ67">_xlfn.IFS(AP67=0,"Nihil",AP67&gt;0,"Suppletie",AP67&lt;0,"Restitutie")</f>
        <v>#REF!</v>
      </c>
    </row>
    <row r="68" spans="1:43" x14ac:dyDescent="0.25">
      <c r="A68" s="174" t="str">
        <f>IFERROR(_xlfn.XLOOKUP(D68,Table3[Sub],Table3[Verzekerde]),"-")</f>
        <v>-</v>
      </c>
      <c r="B68" s="164"/>
      <c r="C68" s="164" t="str">
        <f>IFERROR(_xlfn.XLOOKUP(Table4[[#This Row],[Subnummer]],Table3[Sub],Table3[Certificaat]),"-")</f>
        <v>-</v>
      </c>
      <c r="D68" s="177">
        <v>0</v>
      </c>
      <c r="E68" s="180">
        <f>IFERROR(_xlfn.XLOOKUP(Table4[[#This Row],[Subnummer]],Table3[Sub],Table3[Verz. Waarde Oud:]),0)</f>
        <v>0</v>
      </c>
      <c r="F68" s="165">
        <v>0</v>
      </c>
      <c r="G68" s="165">
        <v>0</v>
      </c>
      <c r="H68" s="165">
        <v>0</v>
      </c>
      <c r="I68" s="165">
        <v>0</v>
      </c>
      <c r="J68" s="165">
        <f t="shared" si="10"/>
        <v>0</v>
      </c>
      <c r="K68" s="181">
        <f t="shared" si="11"/>
        <v>0</v>
      </c>
      <c r="L68" s="183">
        <v>44562</v>
      </c>
      <c r="M68" s="166">
        <v>44927</v>
      </c>
      <c r="N68" s="164">
        <f t="shared" si="12"/>
        <v>365</v>
      </c>
      <c r="O68" s="164">
        <v>365</v>
      </c>
      <c r="P68" s="175" t="s">
        <v>104</v>
      </c>
      <c r="Q68" s="186">
        <f t="shared" si="13"/>
        <v>0</v>
      </c>
      <c r="R68" s="165" cm="1">
        <f t="array" ref="R68">_xlfn.IFS($P68="Nee",G68*$N68/$O68,$P68="Ja",G68*0.5)</f>
        <v>0</v>
      </c>
      <c r="S68" s="165" cm="1">
        <f t="array" ref="S68">_xlfn.IFS($P68="Nee",-(H68*$N68/$O68),$P68="Ja",-(H68*0.5))</f>
        <v>0</v>
      </c>
      <c r="T68" s="165">
        <f t="shared" si="14"/>
        <v>0</v>
      </c>
      <c r="U68" s="187">
        <f t="shared" si="15"/>
        <v>0</v>
      </c>
      <c r="V68" s="191">
        <f>IFERROR(_xlfn.XLOOKUP(Table4[[#This Row],[Subnummer]],Table3[Sub],Table3[Promillage 1]),0)</f>
        <v>0</v>
      </c>
      <c r="W68" s="167">
        <f>IFERROR(_xlfn.XLOOKUP(Table4[[#This Row],[Subnummer]],Table3[Sub],Table3[Promillage 2]),0)</f>
        <v>0</v>
      </c>
      <c r="X68" s="167">
        <f>IFERROR(_xlfn.XLOOKUP(Table4[[#This Row],[Subnummer]],Table3[Sub],Table3[Promillage 3]),0)</f>
        <v>0</v>
      </c>
      <c r="Y68" s="167">
        <f>IFERROR(_xlfn.XLOOKUP(Table4[[#This Row],[Subnummer]],Table3[Sub],Table3[Promillage 4]),0)</f>
        <v>0</v>
      </c>
      <c r="Z68" s="167">
        <f>IFERROR(_xlfn.XLOOKUP(Table4[[#This Row],[Subnummer]],Table3[Sub],#REF!),0)</f>
        <v>0</v>
      </c>
      <c r="AA68" s="167">
        <f>IFERROR(_xlfn.XLOOKUP(Table4[[#This Row],[Subnummer]],Table3[Sub],#REF!),0)</f>
        <v>0</v>
      </c>
      <c r="AB68" s="167">
        <f>IFERROR(_xlfn.XLOOKUP(Table4[[#This Row],[Subnummer]],Table3[Sub],#REF!),0)</f>
        <v>0</v>
      </c>
      <c r="AC68" s="167">
        <f>IFERROR(_xlfn.XLOOKUP(Table4[[#This Row],[Subnummer]],Table3[Sub],#REF!),0)</f>
        <v>0</v>
      </c>
      <c r="AD68" s="167">
        <f>IFERROR(_xlfn.XLOOKUP(Table4[[#This Row],[Subnummer]],Table3[Sub],#REF!),0)</f>
        <v>0</v>
      </c>
      <c r="AE68" s="167">
        <f>IFERROR(_xlfn.XLOOKUP(Table4[[#This Row],[Subnummer]],Table3[Sub],#REF!),0)</f>
        <v>0</v>
      </c>
      <c r="AF68" s="189">
        <f t="shared" si="16"/>
        <v>0</v>
      </c>
      <c r="AG68" s="189">
        <f t="shared" si="17"/>
        <v>0</v>
      </c>
      <c r="AH68" s="189">
        <f t="shared" si="18"/>
        <v>0</v>
      </c>
      <c r="AI68" s="189">
        <f t="shared" si="19"/>
        <v>0</v>
      </c>
      <c r="AJ68" s="189" t="e">
        <f t="shared" si="20"/>
        <v>#REF!</v>
      </c>
      <c r="AK68" s="189" t="e">
        <f t="shared" si="21"/>
        <v>#REF!</v>
      </c>
      <c r="AL68" s="189" t="e">
        <f t="shared" si="22"/>
        <v>#REF!</v>
      </c>
      <c r="AM68" s="189" t="e">
        <f t="shared" si="23"/>
        <v>#REF!</v>
      </c>
      <c r="AN68" s="189" t="e">
        <f t="shared" si="24"/>
        <v>#REF!</v>
      </c>
      <c r="AO68" s="189" t="e">
        <f t="shared" si="25"/>
        <v>#REF!</v>
      </c>
      <c r="AP68" s="165" t="e">
        <f t="shared" si="26"/>
        <v>#REF!</v>
      </c>
      <c r="AQ68" s="175" t="e" cm="1">
        <f t="array" ref="AQ68">_xlfn.IFS(AP68=0,"Nihil",AP68&gt;0,"Suppletie",AP68&lt;0,"Restitutie")</f>
        <v>#REF!</v>
      </c>
    </row>
    <row r="69" spans="1:43" x14ac:dyDescent="0.25">
      <c r="A69" s="174" t="str">
        <f>IFERROR(_xlfn.XLOOKUP(D69,Table3[Sub],Table3[Verzekerde]),"-")</f>
        <v>-</v>
      </c>
      <c r="B69" s="164"/>
      <c r="C69" s="164" t="str">
        <f>IFERROR(_xlfn.XLOOKUP(Table4[[#This Row],[Subnummer]],Table3[Sub],Table3[Certificaat]),"-")</f>
        <v>-</v>
      </c>
      <c r="D69" s="177">
        <v>0</v>
      </c>
      <c r="E69" s="180">
        <f>IFERROR(_xlfn.XLOOKUP(Table4[[#This Row],[Subnummer]],Table3[Sub],Table3[Verz. Waarde Oud:]),0)</f>
        <v>0</v>
      </c>
      <c r="F69" s="165">
        <v>0</v>
      </c>
      <c r="G69" s="165">
        <v>0</v>
      </c>
      <c r="H69" s="165">
        <v>0</v>
      </c>
      <c r="I69" s="165">
        <v>0</v>
      </c>
      <c r="J69" s="165">
        <f t="shared" si="10"/>
        <v>0</v>
      </c>
      <c r="K69" s="181">
        <f t="shared" si="11"/>
        <v>0</v>
      </c>
      <c r="L69" s="183">
        <v>44562</v>
      </c>
      <c r="M69" s="166">
        <v>44927</v>
      </c>
      <c r="N69" s="164">
        <f t="shared" si="12"/>
        <v>365</v>
      </c>
      <c r="O69" s="164">
        <v>365</v>
      </c>
      <c r="P69" s="175" t="s">
        <v>104</v>
      </c>
      <c r="Q69" s="186">
        <f t="shared" si="13"/>
        <v>0</v>
      </c>
      <c r="R69" s="165" cm="1">
        <f t="array" ref="R69">_xlfn.IFS($P69="Nee",G69*$N69/$O69,$P69="Ja",G69*0.5)</f>
        <v>0</v>
      </c>
      <c r="S69" s="165" cm="1">
        <f t="array" ref="S69">_xlfn.IFS($P69="Nee",-(H69*$N69/$O69),$P69="Ja",-(H69*0.5))</f>
        <v>0</v>
      </c>
      <c r="T69" s="165">
        <f t="shared" si="14"/>
        <v>0</v>
      </c>
      <c r="U69" s="187">
        <f t="shared" si="15"/>
        <v>0</v>
      </c>
      <c r="V69" s="191">
        <f>IFERROR(_xlfn.XLOOKUP(Table4[[#This Row],[Subnummer]],Table3[Sub],Table3[Promillage 1]),0)</f>
        <v>0</v>
      </c>
      <c r="W69" s="167">
        <f>IFERROR(_xlfn.XLOOKUP(Table4[[#This Row],[Subnummer]],Table3[Sub],Table3[Promillage 2]),0)</f>
        <v>0</v>
      </c>
      <c r="X69" s="167">
        <f>IFERROR(_xlfn.XLOOKUP(Table4[[#This Row],[Subnummer]],Table3[Sub],Table3[Promillage 3]),0)</f>
        <v>0</v>
      </c>
      <c r="Y69" s="167">
        <f>IFERROR(_xlfn.XLOOKUP(Table4[[#This Row],[Subnummer]],Table3[Sub],Table3[Promillage 4]),0)</f>
        <v>0</v>
      </c>
      <c r="Z69" s="167">
        <f>IFERROR(_xlfn.XLOOKUP(Table4[[#This Row],[Subnummer]],Table3[Sub],#REF!),0)</f>
        <v>0</v>
      </c>
      <c r="AA69" s="167">
        <f>IFERROR(_xlfn.XLOOKUP(Table4[[#This Row],[Subnummer]],Table3[Sub],#REF!),0)</f>
        <v>0</v>
      </c>
      <c r="AB69" s="167">
        <f>IFERROR(_xlfn.XLOOKUP(Table4[[#This Row],[Subnummer]],Table3[Sub],#REF!),0)</f>
        <v>0</v>
      </c>
      <c r="AC69" s="167">
        <f>IFERROR(_xlfn.XLOOKUP(Table4[[#This Row],[Subnummer]],Table3[Sub],#REF!),0)</f>
        <v>0</v>
      </c>
      <c r="AD69" s="167">
        <f>IFERROR(_xlfn.XLOOKUP(Table4[[#This Row],[Subnummer]],Table3[Sub],#REF!),0)</f>
        <v>0</v>
      </c>
      <c r="AE69" s="167">
        <f>IFERROR(_xlfn.XLOOKUP(Table4[[#This Row],[Subnummer]],Table3[Sub],#REF!),0)</f>
        <v>0</v>
      </c>
      <c r="AF69" s="189">
        <f t="shared" si="16"/>
        <v>0</v>
      </c>
      <c r="AG69" s="189">
        <f t="shared" si="17"/>
        <v>0</v>
      </c>
      <c r="AH69" s="189">
        <f t="shared" si="18"/>
        <v>0</v>
      </c>
      <c r="AI69" s="189">
        <f t="shared" si="19"/>
        <v>0</v>
      </c>
      <c r="AJ69" s="189" t="e">
        <f t="shared" si="20"/>
        <v>#REF!</v>
      </c>
      <c r="AK69" s="189" t="e">
        <f t="shared" si="21"/>
        <v>#REF!</v>
      </c>
      <c r="AL69" s="189" t="e">
        <f t="shared" si="22"/>
        <v>#REF!</v>
      </c>
      <c r="AM69" s="189" t="e">
        <f t="shared" si="23"/>
        <v>#REF!</v>
      </c>
      <c r="AN69" s="189" t="e">
        <f t="shared" si="24"/>
        <v>#REF!</v>
      </c>
      <c r="AO69" s="189" t="e">
        <f t="shared" si="25"/>
        <v>#REF!</v>
      </c>
      <c r="AP69" s="165" t="e">
        <f t="shared" si="26"/>
        <v>#REF!</v>
      </c>
      <c r="AQ69" s="175" t="e" cm="1">
        <f t="array" ref="AQ69">_xlfn.IFS(AP69=0,"Nihil",AP69&gt;0,"Suppletie",AP69&lt;0,"Restitutie")</f>
        <v>#REF!</v>
      </c>
    </row>
    <row r="70" spans="1:43" x14ac:dyDescent="0.25">
      <c r="A70" s="174" t="str">
        <f>IFERROR(_xlfn.XLOOKUP(D70,Table3[Sub],Table3[Verzekerde]),"-")</f>
        <v>-</v>
      </c>
      <c r="B70" s="164"/>
      <c r="C70" s="164" t="str">
        <f>IFERROR(_xlfn.XLOOKUP(Table4[[#This Row],[Subnummer]],Table3[Sub],Table3[Certificaat]),"-")</f>
        <v>-</v>
      </c>
      <c r="D70" s="177">
        <v>0</v>
      </c>
      <c r="E70" s="180">
        <f>IFERROR(_xlfn.XLOOKUP(Table4[[#This Row],[Subnummer]],Table3[Sub],Table3[Verz. Waarde Oud:]),0)</f>
        <v>0</v>
      </c>
      <c r="F70" s="165">
        <v>0</v>
      </c>
      <c r="G70" s="165">
        <v>0</v>
      </c>
      <c r="H70" s="165">
        <v>0</v>
      </c>
      <c r="I70" s="165">
        <v>0</v>
      </c>
      <c r="J70" s="165">
        <f t="shared" si="10"/>
        <v>0</v>
      </c>
      <c r="K70" s="181">
        <f t="shared" si="11"/>
        <v>0</v>
      </c>
      <c r="L70" s="183">
        <v>44562</v>
      </c>
      <c r="M70" s="166">
        <v>44927</v>
      </c>
      <c r="N70" s="164">
        <f t="shared" si="12"/>
        <v>365</v>
      </c>
      <c r="O70" s="164">
        <v>365</v>
      </c>
      <c r="P70" s="175" t="s">
        <v>104</v>
      </c>
      <c r="Q70" s="186">
        <f t="shared" si="13"/>
        <v>0</v>
      </c>
      <c r="R70" s="165" cm="1">
        <f t="array" ref="R70">_xlfn.IFS($P70="Nee",G70*$N70/$O70,$P70="Ja",G70*0.5)</f>
        <v>0</v>
      </c>
      <c r="S70" s="165" cm="1">
        <f t="array" ref="S70">_xlfn.IFS($P70="Nee",-(H70*$N70/$O70),$P70="Ja",-(H70*0.5))</f>
        <v>0</v>
      </c>
      <c r="T70" s="165">
        <f t="shared" si="14"/>
        <v>0</v>
      </c>
      <c r="U70" s="187">
        <f t="shared" si="15"/>
        <v>0</v>
      </c>
      <c r="V70" s="191">
        <f>IFERROR(_xlfn.XLOOKUP(Table4[[#This Row],[Subnummer]],Table3[Sub],Table3[Promillage 1]),0)</f>
        <v>0</v>
      </c>
      <c r="W70" s="167">
        <f>IFERROR(_xlfn.XLOOKUP(Table4[[#This Row],[Subnummer]],Table3[Sub],Table3[Promillage 2]),0)</f>
        <v>0</v>
      </c>
      <c r="X70" s="167">
        <f>IFERROR(_xlfn.XLOOKUP(Table4[[#This Row],[Subnummer]],Table3[Sub],Table3[Promillage 3]),0)</f>
        <v>0</v>
      </c>
      <c r="Y70" s="167">
        <f>IFERROR(_xlfn.XLOOKUP(Table4[[#This Row],[Subnummer]],Table3[Sub],Table3[Promillage 4]),0)</f>
        <v>0</v>
      </c>
      <c r="Z70" s="167">
        <f>IFERROR(_xlfn.XLOOKUP(Table4[[#This Row],[Subnummer]],Table3[Sub],#REF!),0)</f>
        <v>0</v>
      </c>
      <c r="AA70" s="167">
        <f>IFERROR(_xlfn.XLOOKUP(Table4[[#This Row],[Subnummer]],Table3[Sub],#REF!),0)</f>
        <v>0</v>
      </c>
      <c r="AB70" s="167">
        <f>IFERROR(_xlfn.XLOOKUP(Table4[[#This Row],[Subnummer]],Table3[Sub],#REF!),0)</f>
        <v>0</v>
      </c>
      <c r="AC70" s="167">
        <f>IFERROR(_xlfn.XLOOKUP(Table4[[#This Row],[Subnummer]],Table3[Sub],#REF!),0)</f>
        <v>0</v>
      </c>
      <c r="AD70" s="167">
        <f>IFERROR(_xlfn.XLOOKUP(Table4[[#This Row],[Subnummer]],Table3[Sub],#REF!),0)</f>
        <v>0</v>
      </c>
      <c r="AE70" s="167">
        <f>IFERROR(_xlfn.XLOOKUP(Table4[[#This Row],[Subnummer]],Table3[Sub],#REF!),0)</f>
        <v>0</v>
      </c>
      <c r="AF70" s="189">
        <f t="shared" si="16"/>
        <v>0</v>
      </c>
      <c r="AG70" s="189">
        <f t="shared" si="17"/>
        <v>0</v>
      </c>
      <c r="AH70" s="189">
        <f t="shared" si="18"/>
        <v>0</v>
      </c>
      <c r="AI70" s="189">
        <f t="shared" si="19"/>
        <v>0</v>
      </c>
      <c r="AJ70" s="189" t="e">
        <f t="shared" si="20"/>
        <v>#REF!</v>
      </c>
      <c r="AK70" s="189" t="e">
        <f t="shared" si="21"/>
        <v>#REF!</v>
      </c>
      <c r="AL70" s="189" t="e">
        <f t="shared" si="22"/>
        <v>#REF!</v>
      </c>
      <c r="AM70" s="189" t="e">
        <f t="shared" si="23"/>
        <v>#REF!</v>
      </c>
      <c r="AN70" s="189" t="e">
        <f t="shared" si="24"/>
        <v>#REF!</v>
      </c>
      <c r="AO70" s="189" t="e">
        <f t="shared" si="25"/>
        <v>#REF!</v>
      </c>
      <c r="AP70" s="165" t="e">
        <f t="shared" si="26"/>
        <v>#REF!</v>
      </c>
      <c r="AQ70" s="175" t="e" cm="1">
        <f t="array" ref="AQ70">_xlfn.IFS(AP70=0,"Nihil",AP70&gt;0,"Suppletie",AP70&lt;0,"Restitutie")</f>
        <v>#REF!</v>
      </c>
    </row>
    <row r="71" spans="1:43" x14ac:dyDescent="0.25">
      <c r="A71" s="174" t="str">
        <f>IFERROR(_xlfn.XLOOKUP(D71,Table3[Sub],Table3[Verzekerde]),"-")</f>
        <v>-</v>
      </c>
      <c r="B71" s="164"/>
      <c r="C71" s="164" t="str">
        <f>IFERROR(_xlfn.XLOOKUP(Table4[[#This Row],[Subnummer]],Table3[Sub],Table3[Certificaat]),"-")</f>
        <v>-</v>
      </c>
      <c r="D71" s="177">
        <v>0</v>
      </c>
      <c r="E71" s="180">
        <f>IFERROR(_xlfn.XLOOKUP(Table4[[#This Row],[Subnummer]],Table3[Sub],Table3[Verz. Waarde Oud:]),0)</f>
        <v>0</v>
      </c>
      <c r="F71" s="165">
        <v>0</v>
      </c>
      <c r="G71" s="165">
        <v>0</v>
      </c>
      <c r="H71" s="165">
        <v>0</v>
      </c>
      <c r="I71" s="165">
        <v>0</v>
      </c>
      <c r="J71" s="165">
        <f t="shared" si="10"/>
        <v>0</v>
      </c>
      <c r="K71" s="181">
        <f t="shared" si="11"/>
        <v>0</v>
      </c>
      <c r="L71" s="183">
        <v>44562</v>
      </c>
      <c r="M71" s="166">
        <v>44927</v>
      </c>
      <c r="N71" s="164">
        <f t="shared" si="12"/>
        <v>365</v>
      </c>
      <c r="O71" s="164">
        <v>365</v>
      </c>
      <c r="P71" s="175" t="s">
        <v>104</v>
      </c>
      <c r="Q71" s="186">
        <f t="shared" si="13"/>
        <v>0</v>
      </c>
      <c r="R71" s="165" cm="1">
        <f t="array" ref="R71">_xlfn.IFS($P71="Nee",G71*$N71/$O71,$P71="Ja",G71*0.5)</f>
        <v>0</v>
      </c>
      <c r="S71" s="165" cm="1">
        <f t="array" ref="S71">_xlfn.IFS($P71="Nee",-(H71*$N71/$O71),$P71="Ja",-(H71*0.5))</f>
        <v>0</v>
      </c>
      <c r="T71" s="165">
        <f t="shared" si="14"/>
        <v>0</v>
      </c>
      <c r="U71" s="187">
        <f t="shared" si="15"/>
        <v>0</v>
      </c>
      <c r="V71" s="191">
        <f>IFERROR(_xlfn.XLOOKUP(Table4[[#This Row],[Subnummer]],Table3[Sub],Table3[Promillage 1]),0)</f>
        <v>0</v>
      </c>
      <c r="W71" s="167">
        <f>IFERROR(_xlfn.XLOOKUP(Table4[[#This Row],[Subnummer]],Table3[Sub],Table3[Promillage 2]),0)</f>
        <v>0</v>
      </c>
      <c r="X71" s="167">
        <f>IFERROR(_xlfn.XLOOKUP(Table4[[#This Row],[Subnummer]],Table3[Sub],Table3[Promillage 3]),0)</f>
        <v>0</v>
      </c>
      <c r="Y71" s="167">
        <f>IFERROR(_xlfn.XLOOKUP(Table4[[#This Row],[Subnummer]],Table3[Sub],Table3[Promillage 4]),0)</f>
        <v>0</v>
      </c>
      <c r="Z71" s="167">
        <f>IFERROR(_xlfn.XLOOKUP(Table4[[#This Row],[Subnummer]],Table3[Sub],#REF!),0)</f>
        <v>0</v>
      </c>
      <c r="AA71" s="167">
        <f>IFERROR(_xlfn.XLOOKUP(Table4[[#This Row],[Subnummer]],Table3[Sub],#REF!),0)</f>
        <v>0</v>
      </c>
      <c r="AB71" s="167">
        <f>IFERROR(_xlfn.XLOOKUP(Table4[[#This Row],[Subnummer]],Table3[Sub],#REF!),0)</f>
        <v>0</v>
      </c>
      <c r="AC71" s="167">
        <f>IFERROR(_xlfn.XLOOKUP(Table4[[#This Row],[Subnummer]],Table3[Sub],#REF!),0)</f>
        <v>0</v>
      </c>
      <c r="AD71" s="167">
        <f>IFERROR(_xlfn.XLOOKUP(Table4[[#This Row],[Subnummer]],Table3[Sub],#REF!),0)</f>
        <v>0</v>
      </c>
      <c r="AE71" s="167">
        <f>IFERROR(_xlfn.XLOOKUP(Table4[[#This Row],[Subnummer]],Table3[Sub],#REF!),0)</f>
        <v>0</v>
      </c>
      <c r="AF71" s="189">
        <f t="shared" si="16"/>
        <v>0</v>
      </c>
      <c r="AG71" s="189">
        <f t="shared" si="17"/>
        <v>0</v>
      </c>
      <c r="AH71" s="189">
        <f t="shared" si="18"/>
        <v>0</v>
      </c>
      <c r="AI71" s="189">
        <f t="shared" si="19"/>
        <v>0</v>
      </c>
      <c r="AJ71" s="189" t="e">
        <f t="shared" si="20"/>
        <v>#REF!</v>
      </c>
      <c r="AK71" s="189" t="e">
        <f t="shared" si="21"/>
        <v>#REF!</v>
      </c>
      <c r="AL71" s="189" t="e">
        <f t="shared" si="22"/>
        <v>#REF!</v>
      </c>
      <c r="AM71" s="189" t="e">
        <f t="shared" si="23"/>
        <v>#REF!</v>
      </c>
      <c r="AN71" s="189" t="e">
        <f t="shared" si="24"/>
        <v>#REF!</v>
      </c>
      <c r="AO71" s="189" t="e">
        <f t="shared" si="25"/>
        <v>#REF!</v>
      </c>
      <c r="AP71" s="165" t="e">
        <f t="shared" si="26"/>
        <v>#REF!</v>
      </c>
      <c r="AQ71" s="175" t="e" cm="1">
        <f t="array" ref="AQ71">_xlfn.IFS(AP71=0,"Nihil",AP71&gt;0,"Suppletie",AP71&lt;0,"Restitutie")</f>
        <v>#REF!</v>
      </c>
    </row>
    <row r="72" spans="1:43" x14ac:dyDescent="0.25">
      <c r="A72" s="174" t="str">
        <f>IFERROR(_xlfn.XLOOKUP(D72,Table3[Sub],Table3[Verzekerde]),"-")</f>
        <v>-</v>
      </c>
      <c r="B72" s="164"/>
      <c r="C72" s="164" t="str">
        <f>IFERROR(_xlfn.XLOOKUP(Table4[[#This Row],[Subnummer]],Table3[Sub],Table3[Certificaat]),"-")</f>
        <v>-</v>
      </c>
      <c r="D72" s="177">
        <v>0</v>
      </c>
      <c r="E72" s="180">
        <f>IFERROR(_xlfn.XLOOKUP(Table4[[#This Row],[Subnummer]],Table3[Sub],Table3[Verz. Waarde Oud:]),0)</f>
        <v>0</v>
      </c>
      <c r="F72" s="165">
        <v>0</v>
      </c>
      <c r="G72" s="165">
        <v>0</v>
      </c>
      <c r="H72" s="165">
        <v>0</v>
      </c>
      <c r="I72" s="165">
        <v>0</v>
      </c>
      <c r="J72" s="165">
        <f t="shared" si="10"/>
        <v>0</v>
      </c>
      <c r="K72" s="181">
        <f t="shared" si="11"/>
        <v>0</v>
      </c>
      <c r="L72" s="183">
        <v>44562</v>
      </c>
      <c r="M72" s="166">
        <v>44927</v>
      </c>
      <c r="N72" s="164">
        <f t="shared" si="12"/>
        <v>365</v>
      </c>
      <c r="O72" s="164">
        <v>365</v>
      </c>
      <c r="P72" s="175" t="s">
        <v>104</v>
      </c>
      <c r="Q72" s="186">
        <f t="shared" si="13"/>
        <v>0</v>
      </c>
      <c r="R72" s="165" cm="1">
        <f t="array" ref="R72">_xlfn.IFS($P72="Nee",G72*$N72/$O72,$P72="Ja",G72*0.5)</f>
        <v>0</v>
      </c>
      <c r="S72" s="165" cm="1">
        <f t="array" ref="S72">_xlfn.IFS($P72="Nee",-(H72*$N72/$O72),$P72="Ja",-(H72*0.5))</f>
        <v>0</v>
      </c>
      <c r="T72" s="165">
        <f t="shared" si="14"/>
        <v>0</v>
      </c>
      <c r="U72" s="187">
        <f t="shared" si="15"/>
        <v>0</v>
      </c>
      <c r="V72" s="191">
        <f>IFERROR(_xlfn.XLOOKUP(Table4[[#This Row],[Subnummer]],Table3[Sub],Table3[Promillage 1]),0)</f>
        <v>0</v>
      </c>
      <c r="W72" s="167">
        <f>IFERROR(_xlfn.XLOOKUP(Table4[[#This Row],[Subnummer]],Table3[Sub],Table3[Promillage 2]),0)</f>
        <v>0</v>
      </c>
      <c r="X72" s="167">
        <f>IFERROR(_xlfn.XLOOKUP(Table4[[#This Row],[Subnummer]],Table3[Sub],Table3[Promillage 3]),0)</f>
        <v>0</v>
      </c>
      <c r="Y72" s="167">
        <f>IFERROR(_xlfn.XLOOKUP(Table4[[#This Row],[Subnummer]],Table3[Sub],Table3[Promillage 4]),0)</f>
        <v>0</v>
      </c>
      <c r="Z72" s="167">
        <f>IFERROR(_xlfn.XLOOKUP(Table4[[#This Row],[Subnummer]],Table3[Sub],#REF!),0)</f>
        <v>0</v>
      </c>
      <c r="AA72" s="167">
        <f>IFERROR(_xlfn.XLOOKUP(Table4[[#This Row],[Subnummer]],Table3[Sub],#REF!),0)</f>
        <v>0</v>
      </c>
      <c r="AB72" s="167">
        <f>IFERROR(_xlfn.XLOOKUP(Table4[[#This Row],[Subnummer]],Table3[Sub],#REF!),0)</f>
        <v>0</v>
      </c>
      <c r="AC72" s="167">
        <f>IFERROR(_xlfn.XLOOKUP(Table4[[#This Row],[Subnummer]],Table3[Sub],#REF!),0)</f>
        <v>0</v>
      </c>
      <c r="AD72" s="167">
        <f>IFERROR(_xlfn.XLOOKUP(Table4[[#This Row],[Subnummer]],Table3[Sub],#REF!),0)</f>
        <v>0</v>
      </c>
      <c r="AE72" s="167">
        <f>IFERROR(_xlfn.XLOOKUP(Table4[[#This Row],[Subnummer]],Table3[Sub],#REF!),0)</f>
        <v>0</v>
      </c>
      <c r="AF72" s="189">
        <f t="shared" si="16"/>
        <v>0</v>
      </c>
      <c r="AG72" s="189">
        <f t="shared" si="17"/>
        <v>0</v>
      </c>
      <c r="AH72" s="189">
        <f t="shared" si="18"/>
        <v>0</v>
      </c>
      <c r="AI72" s="189">
        <f t="shared" si="19"/>
        <v>0</v>
      </c>
      <c r="AJ72" s="189" t="e">
        <f t="shared" si="20"/>
        <v>#REF!</v>
      </c>
      <c r="AK72" s="189" t="e">
        <f t="shared" si="21"/>
        <v>#REF!</v>
      </c>
      <c r="AL72" s="189" t="e">
        <f t="shared" si="22"/>
        <v>#REF!</v>
      </c>
      <c r="AM72" s="189" t="e">
        <f t="shared" si="23"/>
        <v>#REF!</v>
      </c>
      <c r="AN72" s="189" t="e">
        <f t="shared" si="24"/>
        <v>#REF!</v>
      </c>
      <c r="AO72" s="189" t="e">
        <f t="shared" si="25"/>
        <v>#REF!</v>
      </c>
      <c r="AP72" s="165" t="e">
        <f t="shared" si="26"/>
        <v>#REF!</v>
      </c>
      <c r="AQ72" s="175" t="e" cm="1">
        <f t="array" ref="AQ72">_xlfn.IFS(AP72=0,"Nihil",AP72&gt;0,"Suppletie",AP72&lt;0,"Restitutie")</f>
        <v>#REF!</v>
      </c>
    </row>
    <row r="73" spans="1:43" x14ac:dyDescent="0.25">
      <c r="A73" s="174" t="str">
        <f>IFERROR(_xlfn.XLOOKUP(D73,Table3[Sub],Table3[Verzekerde]),"-")</f>
        <v>-</v>
      </c>
      <c r="B73" s="164"/>
      <c r="C73" s="164" t="str">
        <f>IFERROR(_xlfn.XLOOKUP(Table4[[#This Row],[Subnummer]],Table3[Sub],Table3[Certificaat]),"-")</f>
        <v>-</v>
      </c>
      <c r="D73" s="177">
        <v>0</v>
      </c>
      <c r="E73" s="180">
        <f>IFERROR(_xlfn.XLOOKUP(Table4[[#This Row],[Subnummer]],Table3[Sub],Table3[Verz. Waarde Oud:]),0)</f>
        <v>0</v>
      </c>
      <c r="F73" s="165">
        <v>0</v>
      </c>
      <c r="G73" s="165">
        <v>0</v>
      </c>
      <c r="H73" s="165">
        <v>0</v>
      </c>
      <c r="I73" s="165">
        <v>0</v>
      </c>
      <c r="J73" s="165">
        <f t="shared" si="10"/>
        <v>0</v>
      </c>
      <c r="K73" s="181">
        <f t="shared" si="11"/>
        <v>0</v>
      </c>
      <c r="L73" s="183">
        <v>44562</v>
      </c>
      <c r="M73" s="166">
        <v>44927</v>
      </c>
      <c r="N73" s="164">
        <f t="shared" si="12"/>
        <v>365</v>
      </c>
      <c r="O73" s="164">
        <v>365</v>
      </c>
      <c r="P73" s="175" t="s">
        <v>104</v>
      </c>
      <c r="Q73" s="186">
        <f t="shared" si="13"/>
        <v>0</v>
      </c>
      <c r="R73" s="165" cm="1">
        <f t="array" ref="R73">_xlfn.IFS($P73="Nee",G73*$N73/$O73,$P73="Ja",G73*0.5)</f>
        <v>0</v>
      </c>
      <c r="S73" s="165" cm="1">
        <f t="array" ref="S73">_xlfn.IFS($P73="Nee",-(H73*$N73/$O73),$P73="Ja",-(H73*0.5))</f>
        <v>0</v>
      </c>
      <c r="T73" s="165">
        <f t="shared" si="14"/>
        <v>0</v>
      </c>
      <c r="U73" s="187">
        <f t="shared" si="15"/>
        <v>0</v>
      </c>
      <c r="V73" s="191">
        <f>IFERROR(_xlfn.XLOOKUP(Table4[[#This Row],[Subnummer]],Table3[Sub],Table3[Promillage 1]),0)</f>
        <v>0</v>
      </c>
      <c r="W73" s="167">
        <f>IFERROR(_xlfn.XLOOKUP(Table4[[#This Row],[Subnummer]],Table3[Sub],Table3[Promillage 2]),0)</f>
        <v>0</v>
      </c>
      <c r="X73" s="167">
        <f>IFERROR(_xlfn.XLOOKUP(Table4[[#This Row],[Subnummer]],Table3[Sub],Table3[Promillage 3]),0)</f>
        <v>0</v>
      </c>
      <c r="Y73" s="167">
        <f>IFERROR(_xlfn.XLOOKUP(Table4[[#This Row],[Subnummer]],Table3[Sub],Table3[Promillage 4]),0)</f>
        <v>0</v>
      </c>
      <c r="Z73" s="167">
        <f>IFERROR(_xlfn.XLOOKUP(Table4[[#This Row],[Subnummer]],Table3[Sub],#REF!),0)</f>
        <v>0</v>
      </c>
      <c r="AA73" s="167">
        <f>IFERROR(_xlfn.XLOOKUP(Table4[[#This Row],[Subnummer]],Table3[Sub],#REF!),0)</f>
        <v>0</v>
      </c>
      <c r="AB73" s="167">
        <f>IFERROR(_xlfn.XLOOKUP(Table4[[#This Row],[Subnummer]],Table3[Sub],#REF!),0)</f>
        <v>0</v>
      </c>
      <c r="AC73" s="167">
        <f>IFERROR(_xlfn.XLOOKUP(Table4[[#This Row],[Subnummer]],Table3[Sub],#REF!),0)</f>
        <v>0</v>
      </c>
      <c r="AD73" s="167">
        <f>IFERROR(_xlfn.XLOOKUP(Table4[[#This Row],[Subnummer]],Table3[Sub],#REF!),0)</f>
        <v>0</v>
      </c>
      <c r="AE73" s="167">
        <f>IFERROR(_xlfn.XLOOKUP(Table4[[#This Row],[Subnummer]],Table3[Sub],#REF!),0)</f>
        <v>0</v>
      </c>
      <c r="AF73" s="189">
        <f t="shared" si="16"/>
        <v>0</v>
      </c>
      <c r="AG73" s="189">
        <f t="shared" si="17"/>
        <v>0</v>
      </c>
      <c r="AH73" s="189">
        <f t="shared" si="18"/>
        <v>0</v>
      </c>
      <c r="AI73" s="189">
        <f t="shared" si="19"/>
        <v>0</v>
      </c>
      <c r="AJ73" s="189" t="e">
        <f t="shared" si="20"/>
        <v>#REF!</v>
      </c>
      <c r="AK73" s="189" t="e">
        <f t="shared" si="21"/>
        <v>#REF!</v>
      </c>
      <c r="AL73" s="189" t="e">
        <f t="shared" si="22"/>
        <v>#REF!</v>
      </c>
      <c r="AM73" s="189" t="e">
        <f t="shared" si="23"/>
        <v>#REF!</v>
      </c>
      <c r="AN73" s="189" t="e">
        <f t="shared" si="24"/>
        <v>#REF!</v>
      </c>
      <c r="AO73" s="189" t="e">
        <f t="shared" si="25"/>
        <v>#REF!</v>
      </c>
      <c r="AP73" s="165" t="e">
        <f t="shared" si="26"/>
        <v>#REF!</v>
      </c>
      <c r="AQ73" s="175" t="e" cm="1">
        <f t="array" ref="AQ73">_xlfn.IFS(AP73=0,"Nihil",AP73&gt;0,"Suppletie",AP73&lt;0,"Restitutie")</f>
        <v>#REF!</v>
      </c>
    </row>
    <row r="74" spans="1:43" x14ac:dyDescent="0.25">
      <c r="A74" s="174" t="str">
        <f>IFERROR(_xlfn.XLOOKUP(D74,Table3[Sub],Table3[Verzekerde]),"-")</f>
        <v>-</v>
      </c>
      <c r="B74" s="164"/>
      <c r="C74" s="164" t="str">
        <f>IFERROR(_xlfn.XLOOKUP(Table4[[#This Row],[Subnummer]],Table3[Sub],Table3[Certificaat]),"-")</f>
        <v>-</v>
      </c>
      <c r="D74" s="177">
        <v>0</v>
      </c>
      <c r="E74" s="180">
        <f>IFERROR(_xlfn.XLOOKUP(Table4[[#This Row],[Subnummer]],Table3[Sub],Table3[Verz. Waarde Oud:]),0)</f>
        <v>0</v>
      </c>
      <c r="F74" s="165">
        <v>0</v>
      </c>
      <c r="G74" s="165">
        <v>0</v>
      </c>
      <c r="H74" s="165">
        <v>0</v>
      </c>
      <c r="I74" s="165">
        <v>0</v>
      </c>
      <c r="J74" s="165">
        <f t="shared" si="10"/>
        <v>0</v>
      </c>
      <c r="K74" s="181">
        <f t="shared" si="11"/>
        <v>0</v>
      </c>
      <c r="L74" s="183">
        <v>44562</v>
      </c>
      <c r="M74" s="166">
        <v>44927</v>
      </c>
      <c r="N74" s="164">
        <f t="shared" si="12"/>
        <v>365</v>
      </c>
      <c r="O74" s="164">
        <v>365</v>
      </c>
      <c r="P74" s="175" t="s">
        <v>104</v>
      </c>
      <c r="Q74" s="186">
        <f t="shared" si="13"/>
        <v>0</v>
      </c>
      <c r="R74" s="165" cm="1">
        <f t="array" ref="R74">_xlfn.IFS($P74="Nee",G74*$N74/$O74,$P74="Ja",G74*0.5)</f>
        <v>0</v>
      </c>
      <c r="S74" s="165" cm="1">
        <f t="array" ref="S74">_xlfn.IFS($P74="Nee",-(H74*$N74/$O74),$P74="Ja",-(H74*0.5))</f>
        <v>0</v>
      </c>
      <c r="T74" s="165">
        <f t="shared" si="14"/>
        <v>0</v>
      </c>
      <c r="U74" s="187">
        <f t="shared" si="15"/>
        <v>0</v>
      </c>
      <c r="V74" s="191">
        <f>IFERROR(_xlfn.XLOOKUP(Table4[[#This Row],[Subnummer]],Table3[Sub],Table3[Promillage 1]),0)</f>
        <v>0</v>
      </c>
      <c r="W74" s="167">
        <f>IFERROR(_xlfn.XLOOKUP(Table4[[#This Row],[Subnummer]],Table3[Sub],Table3[Promillage 2]),0)</f>
        <v>0</v>
      </c>
      <c r="X74" s="167">
        <f>IFERROR(_xlfn.XLOOKUP(Table4[[#This Row],[Subnummer]],Table3[Sub],Table3[Promillage 3]),0)</f>
        <v>0</v>
      </c>
      <c r="Y74" s="167">
        <f>IFERROR(_xlfn.XLOOKUP(Table4[[#This Row],[Subnummer]],Table3[Sub],Table3[Promillage 4]),0)</f>
        <v>0</v>
      </c>
      <c r="Z74" s="167">
        <f>IFERROR(_xlfn.XLOOKUP(Table4[[#This Row],[Subnummer]],Table3[Sub],#REF!),0)</f>
        <v>0</v>
      </c>
      <c r="AA74" s="167">
        <f>IFERROR(_xlfn.XLOOKUP(Table4[[#This Row],[Subnummer]],Table3[Sub],#REF!),0)</f>
        <v>0</v>
      </c>
      <c r="AB74" s="167">
        <f>IFERROR(_xlfn.XLOOKUP(Table4[[#This Row],[Subnummer]],Table3[Sub],#REF!),0)</f>
        <v>0</v>
      </c>
      <c r="AC74" s="167">
        <f>IFERROR(_xlfn.XLOOKUP(Table4[[#This Row],[Subnummer]],Table3[Sub],#REF!),0)</f>
        <v>0</v>
      </c>
      <c r="AD74" s="167">
        <f>IFERROR(_xlfn.XLOOKUP(Table4[[#This Row],[Subnummer]],Table3[Sub],#REF!),0)</f>
        <v>0</v>
      </c>
      <c r="AE74" s="167">
        <f>IFERROR(_xlfn.XLOOKUP(Table4[[#This Row],[Subnummer]],Table3[Sub],#REF!),0)</f>
        <v>0</v>
      </c>
      <c r="AF74" s="189">
        <f t="shared" si="16"/>
        <v>0</v>
      </c>
      <c r="AG74" s="189">
        <f t="shared" si="17"/>
        <v>0</v>
      </c>
      <c r="AH74" s="189">
        <f t="shared" si="18"/>
        <v>0</v>
      </c>
      <c r="AI74" s="189">
        <f t="shared" si="19"/>
        <v>0</v>
      </c>
      <c r="AJ74" s="189" t="e">
        <f t="shared" si="20"/>
        <v>#REF!</v>
      </c>
      <c r="AK74" s="189" t="e">
        <f t="shared" si="21"/>
        <v>#REF!</v>
      </c>
      <c r="AL74" s="189" t="e">
        <f t="shared" si="22"/>
        <v>#REF!</v>
      </c>
      <c r="AM74" s="189" t="e">
        <f t="shared" si="23"/>
        <v>#REF!</v>
      </c>
      <c r="AN74" s="189" t="e">
        <f t="shared" si="24"/>
        <v>#REF!</v>
      </c>
      <c r="AO74" s="189" t="e">
        <f t="shared" si="25"/>
        <v>#REF!</v>
      </c>
      <c r="AP74" s="165" t="e">
        <f t="shared" si="26"/>
        <v>#REF!</v>
      </c>
      <c r="AQ74" s="175" t="e" cm="1">
        <f t="array" ref="AQ74">_xlfn.IFS(AP74=0,"Nihil",AP74&gt;0,"Suppletie",AP74&lt;0,"Restitutie")</f>
        <v>#REF!</v>
      </c>
    </row>
    <row r="75" spans="1:43" x14ac:dyDescent="0.25">
      <c r="A75" s="174" t="str">
        <f>IFERROR(_xlfn.XLOOKUP(D75,Table3[Sub],Table3[Verzekerde]),"-")</f>
        <v>-</v>
      </c>
      <c r="B75" s="164"/>
      <c r="C75" s="164" t="str">
        <f>IFERROR(_xlfn.XLOOKUP(Table4[[#This Row],[Subnummer]],Table3[Sub],Table3[Certificaat]),"-")</f>
        <v>-</v>
      </c>
      <c r="D75" s="177">
        <v>0</v>
      </c>
      <c r="E75" s="180">
        <f>IFERROR(_xlfn.XLOOKUP(Table4[[#This Row],[Subnummer]],Table3[Sub],Table3[Verz. Waarde Oud:]),0)</f>
        <v>0</v>
      </c>
      <c r="F75" s="165">
        <v>0</v>
      </c>
      <c r="G75" s="165">
        <v>0</v>
      </c>
      <c r="H75" s="165">
        <v>0</v>
      </c>
      <c r="I75" s="165">
        <v>0</v>
      </c>
      <c r="J75" s="165">
        <f t="shared" si="10"/>
        <v>0</v>
      </c>
      <c r="K75" s="181">
        <f t="shared" si="11"/>
        <v>0</v>
      </c>
      <c r="L75" s="183">
        <v>44562</v>
      </c>
      <c r="M75" s="166">
        <v>44927</v>
      </c>
      <c r="N75" s="164">
        <f t="shared" si="12"/>
        <v>365</v>
      </c>
      <c r="O75" s="164">
        <v>365</v>
      </c>
      <c r="P75" s="175" t="s">
        <v>104</v>
      </c>
      <c r="Q75" s="186">
        <f t="shared" si="13"/>
        <v>0</v>
      </c>
      <c r="R75" s="165" cm="1">
        <f t="array" ref="R75">_xlfn.IFS($P75="Nee",G75*$N75/$O75,$P75="Ja",G75*0.5)</f>
        <v>0</v>
      </c>
      <c r="S75" s="165" cm="1">
        <f t="array" ref="S75">_xlfn.IFS($P75="Nee",-(H75*$N75/$O75),$P75="Ja",-(H75*0.5))</f>
        <v>0</v>
      </c>
      <c r="T75" s="165">
        <f t="shared" si="14"/>
        <v>0</v>
      </c>
      <c r="U75" s="187">
        <f t="shared" si="15"/>
        <v>0</v>
      </c>
      <c r="V75" s="191">
        <f>IFERROR(_xlfn.XLOOKUP(Table4[[#This Row],[Subnummer]],Table3[Sub],Table3[Promillage 1]),0)</f>
        <v>0</v>
      </c>
      <c r="W75" s="167">
        <f>IFERROR(_xlfn.XLOOKUP(Table4[[#This Row],[Subnummer]],Table3[Sub],Table3[Promillage 2]),0)</f>
        <v>0</v>
      </c>
      <c r="X75" s="167">
        <f>IFERROR(_xlfn.XLOOKUP(Table4[[#This Row],[Subnummer]],Table3[Sub],Table3[Promillage 3]),0)</f>
        <v>0</v>
      </c>
      <c r="Y75" s="167">
        <f>IFERROR(_xlfn.XLOOKUP(Table4[[#This Row],[Subnummer]],Table3[Sub],Table3[Promillage 4]),0)</f>
        <v>0</v>
      </c>
      <c r="Z75" s="167">
        <f>IFERROR(_xlfn.XLOOKUP(Table4[[#This Row],[Subnummer]],Table3[Sub],#REF!),0)</f>
        <v>0</v>
      </c>
      <c r="AA75" s="167">
        <f>IFERROR(_xlfn.XLOOKUP(Table4[[#This Row],[Subnummer]],Table3[Sub],#REF!),0)</f>
        <v>0</v>
      </c>
      <c r="AB75" s="167">
        <f>IFERROR(_xlfn.XLOOKUP(Table4[[#This Row],[Subnummer]],Table3[Sub],#REF!),0)</f>
        <v>0</v>
      </c>
      <c r="AC75" s="167">
        <f>IFERROR(_xlfn.XLOOKUP(Table4[[#This Row],[Subnummer]],Table3[Sub],#REF!),0)</f>
        <v>0</v>
      </c>
      <c r="AD75" s="167">
        <f>IFERROR(_xlfn.XLOOKUP(Table4[[#This Row],[Subnummer]],Table3[Sub],#REF!),0)</f>
        <v>0</v>
      </c>
      <c r="AE75" s="167">
        <f>IFERROR(_xlfn.XLOOKUP(Table4[[#This Row],[Subnummer]],Table3[Sub],#REF!),0)</f>
        <v>0</v>
      </c>
      <c r="AF75" s="189">
        <f t="shared" si="16"/>
        <v>0</v>
      </c>
      <c r="AG75" s="189">
        <f t="shared" si="17"/>
        <v>0</v>
      </c>
      <c r="AH75" s="189">
        <f t="shared" si="18"/>
        <v>0</v>
      </c>
      <c r="AI75" s="189">
        <f t="shared" si="19"/>
        <v>0</v>
      </c>
      <c r="AJ75" s="189" t="e">
        <f t="shared" si="20"/>
        <v>#REF!</v>
      </c>
      <c r="AK75" s="189" t="e">
        <f t="shared" si="21"/>
        <v>#REF!</v>
      </c>
      <c r="AL75" s="189" t="e">
        <f t="shared" si="22"/>
        <v>#REF!</v>
      </c>
      <c r="AM75" s="189" t="e">
        <f t="shared" si="23"/>
        <v>#REF!</v>
      </c>
      <c r="AN75" s="189" t="e">
        <f t="shared" si="24"/>
        <v>#REF!</v>
      </c>
      <c r="AO75" s="189" t="e">
        <f t="shared" si="25"/>
        <v>#REF!</v>
      </c>
      <c r="AP75" s="165" t="e">
        <f t="shared" si="26"/>
        <v>#REF!</v>
      </c>
      <c r="AQ75" s="175" t="e" cm="1">
        <f t="array" ref="AQ75">_xlfn.IFS(AP75=0,"Nihil",AP75&gt;0,"Suppletie",AP75&lt;0,"Restitutie")</f>
        <v>#REF!</v>
      </c>
    </row>
    <row r="76" spans="1:43" x14ac:dyDescent="0.25">
      <c r="A76" s="174" t="str">
        <f>IFERROR(_xlfn.XLOOKUP(D76,Table3[Sub],Table3[Verzekerde]),"-")</f>
        <v>-</v>
      </c>
      <c r="B76" s="164"/>
      <c r="C76" s="164" t="str">
        <f>IFERROR(_xlfn.XLOOKUP(Table4[[#This Row],[Subnummer]],Table3[Sub],Table3[Certificaat]),"-")</f>
        <v>-</v>
      </c>
      <c r="D76" s="177">
        <v>0</v>
      </c>
      <c r="E76" s="180">
        <f>IFERROR(_xlfn.XLOOKUP(Table4[[#This Row],[Subnummer]],Table3[Sub],Table3[Verz. Waarde Oud:]),0)</f>
        <v>0</v>
      </c>
      <c r="F76" s="165">
        <v>0</v>
      </c>
      <c r="G76" s="165">
        <v>0</v>
      </c>
      <c r="H76" s="165">
        <v>0</v>
      </c>
      <c r="I76" s="165">
        <v>0</v>
      </c>
      <c r="J76" s="165">
        <f t="shared" si="10"/>
        <v>0</v>
      </c>
      <c r="K76" s="181">
        <f t="shared" si="11"/>
        <v>0</v>
      </c>
      <c r="L76" s="183">
        <v>44562</v>
      </c>
      <c r="M76" s="166">
        <v>44927</v>
      </c>
      <c r="N76" s="164">
        <f t="shared" si="12"/>
        <v>365</v>
      </c>
      <c r="O76" s="164">
        <v>365</v>
      </c>
      <c r="P76" s="175" t="s">
        <v>104</v>
      </c>
      <c r="Q76" s="186">
        <f t="shared" si="13"/>
        <v>0</v>
      </c>
      <c r="R76" s="165" cm="1">
        <f t="array" ref="R76">_xlfn.IFS($P76="Nee",G76*$N76/$O76,$P76="Ja",G76*0.5)</f>
        <v>0</v>
      </c>
      <c r="S76" s="165" cm="1">
        <f t="array" ref="S76">_xlfn.IFS($P76="Nee",-(H76*$N76/$O76),$P76="Ja",-(H76*0.5))</f>
        <v>0</v>
      </c>
      <c r="T76" s="165">
        <f t="shared" si="14"/>
        <v>0</v>
      </c>
      <c r="U76" s="187">
        <f t="shared" si="15"/>
        <v>0</v>
      </c>
      <c r="V76" s="191">
        <f>IFERROR(_xlfn.XLOOKUP(Table4[[#This Row],[Subnummer]],Table3[Sub],Table3[Promillage 1]),0)</f>
        <v>0</v>
      </c>
      <c r="W76" s="167">
        <f>IFERROR(_xlfn.XLOOKUP(Table4[[#This Row],[Subnummer]],Table3[Sub],Table3[Promillage 2]),0)</f>
        <v>0</v>
      </c>
      <c r="X76" s="167">
        <f>IFERROR(_xlfn.XLOOKUP(Table4[[#This Row],[Subnummer]],Table3[Sub],Table3[Promillage 3]),0)</f>
        <v>0</v>
      </c>
      <c r="Y76" s="167">
        <f>IFERROR(_xlfn.XLOOKUP(Table4[[#This Row],[Subnummer]],Table3[Sub],Table3[Promillage 4]),0)</f>
        <v>0</v>
      </c>
      <c r="Z76" s="167">
        <f>IFERROR(_xlfn.XLOOKUP(Table4[[#This Row],[Subnummer]],Table3[Sub],#REF!),0)</f>
        <v>0</v>
      </c>
      <c r="AA76" s="167">
        <f>IFERROR(_xlfn.XLOOKUP(Table4[[#This Row],[Subnummer]],Table3[Sub],#REF!),0)</f>
        <v>0</v>
      </c>
      <c r="AB76" s="167">
        <f>IFERROR(_xlfn.XLOOKUP(Table4[[#This Row],[Subnummer]],Table3[Sub],#REF!),0)</f>
        <v>0</v>
      </c>
      <c r="AC76" s="167">
        <f>IFERROR(_xlfn.XLOOKUP(Table4[[#This Row],[Subnummer]],Table3[Sub],#REF!),0)</f>
        <v>0</v>
      </c>
      <c r="AD76" s="167">
        <f>IFERROR(_xlfn.XLOOKUP(Table4[[#This Row],[Subnummer]],Table3[Sub],#REF!),0)</f>
        <v>0</v>
      </c>
      <c r="AE76" s="167">
        <f>IFERROR(_xlfn.XLOOKUP(Table4[[#This Row],[Subnummer]],Table3[Sub],#REF!),0)</f>
        <v>0</v>
      </c>
      <c r="AF76" s="189">
        <f t="shared" si="16"/>
        <v>0</v>
      </c>
      <c r="AG76" s="189">
        <f t="shared" si="17"/>
        <v>0</v>
      </c>
      <c r="AH76" s="189">
        <f t="shared" si="18"/>
        <v>0</v>
      </c>
      <c r="AI76" s="189">
        <f t="shared" si="19"/>
        <v>0</v>
      </c>
      <c r="AJ76" s="189" t="e">
        <f t="shared" si="20"/>
        <v>#REF!</v>
      </c>
      <c r="AK76" s="189" t="e">
        <f t="shared" si="21"/>
        <v>#REF!</v>
      </c>
      <c r="AL76" s="189" t="e">
        <f t="shared" si="22"/>
        <v>#REF!</v>
      </c>
      <c r="AM76" s="189" t="e">
        <f t="shared" si="23"/>
        <v>#REF!</v>
      </c>
      <c r="AN76" s="189" t="e">
        <f t="shared" si="24"/>
        <v>#REF!</v>
      </c>
      <c r="AO76" s="189" t="e">
        <f t="shared" si="25"/>
        <v>#REF!</v>
      </c>
      <c r="AP76" s="165" t="e">
        <f t="shared" si="26"/>
        <v>#REF!</v>
      </c>
      <c r="AQ76" s="175" t="e" cm="1">
        <f t="array" ref="AQ76">_xlfn.IFS(AP76=0,"Nihil",AP76&gt;0,"Suppletie",AP76&lt;0,"Restitutie")</f>
        <v>#REF!</v>
      </c>
    </row>
    <row r="77" spans="1:43" x14ac:dyDescent="0.25">
      <c r="A77" s="174" t="str">
        <f>IFERROR(_xlfn.XLOOKUP(D77,Table3[Sub],Table3[Verzekerde]),"-")</f>
        <v>-</v>
      </c>
      <c r="B77" s="164"/>
      <c r="C77" s="164" t="str">
        <f>IFERROR(_xlfn.XLOOKUP(Table4[[#This Row],[Subnummer]],Table3[Sub],Table3[Certificaat]),"-")</f>
        <v>-</v>
      </c>
      <c r="D77" s="177">
        <v>0</v>
      </c>
      <c r="E77" s="180">
        <f>IFERROR(_xlfn.XLOOKUP(Table4[[#This Row],[Subnummer]],Table3[Sub],Table3[Verz. Waarde Oud:]),0)</f>
        <v>0</v>
      </c>
      <c r="F77" s="165">
        <v>0</v>
      </c>
      <c r="G77" s="165">
        <v>0</v>
      </c>
      <c r="H77" s="165">
        <v>0</v>
      </c>
      <c r="I77" s="165">
        <v>0</v>
      </c>
      <c r="J77" s="165">
        <f t="shared" si="10"/>
        <v>0</v>
      </c>
      <c r="K77" s="181">
        <f t="shared" si="11"/>
        <v>0</v>
      </c>
      <c r="L77" s="183">
        <v>44562</v>
      </c>
      <c r="M77" s="166">
        <v>44927</v>
      </c>
      <c r="N77" s="164">
        <f t="shared" si="12"/>
        <v>365</v>
      </c>
      <c r="O77" s="164">
        <v>365</v>
      </c>
      <c r="P77" s="175" t="s">
        <v>104</v>
      </c>
      <c r="Q77" s="186">
        <f t="shared" si="13"/>
        <v>0</v>
      </c>
      <c r="R77" s="165" cm="1">
        <f t="array" ref="R77">_xlfn.IFS($P77="Nee",G77*$N77/$O77,$P77="Ja",G77*0.5)</f>
        <v>0</v>
      </c>
      <c r="S77" s="165" cm="1">
        <f t="array" ref="S77">_xlfn.IFS($P77="Nee",-(H77*$N77/$O77),$P77="Ja",-(H77*0.5))</f>
        <v>0</v>
      </c>
      <c r="T77" s="165">
        <f t="shared" si="14"/>
        <v>0</v>
      </c>
      <c r="U77" s="187">
        <f t="shared" si="15"/>
        <v>0</v>
      </c>
      <c r="V77" s="191">
        <f>IFERROR(_xlfn.XLOOKUP(Table4[[#This Row],[Subnummer]],Table3[Sub],Table3[Promillage 1]),0)</f>
        <v>0</v>
      </c>
      <c r="W77" s="167">
        <f>IFERROR(_xlfn.XLOOKUP(Table4[[#This Row],[Subnummer]],Table3[Sub],Table3[Promillage 2]),0)</f>
        <v>0</v>
      </c>
      <c r="X77" s="167">
        <f>IFERROR(_xlfn.XLOOKUP(Table4[[#This Row],[Subnummer]],Table3[Sub],Table3[Promillage 3]),0)</f>
        <v>0</v>
      </c>
      <c r="Y77" s="167">
        <f>IFERROR(_xlfn.XLOOKUP(Table4[[#This Row],[Subnummer]],Table3[Sub],Table3[Promillage 4]),0)</f>
        <v>0</v>
      </c>
      <c r="Z77" s="167">
        <f>IFERROR(_xlfn.XLOOKUP(Table4[[#This Row],[Subnummer]],Table3[Sub],#REF!),0)</f>
        <v>0</v>
      </c>
      <c r="AA77" s="167">
        <f>IFERROR(_xlfn.XLOOKUP(Table4[[#This Row],[Subnummer]],Table3[Sub],#REF!),0)</f>
        <v>0</v>
      </c>
      <c r="AB77" s="167">
        <f>IFERROR(_xlfn.XLOOKUP(Table4[[#This Row],[Subnummer]],Table3[Sub],#REF!),0)</f>
        <v>0</v>
      </c>
      <c r="AC77" s="167">
        <f>IFERROR(_xlfn.XLOOKUP(Table4[[#This Row],[Subnummer]],Table3[Sub],#REF!),0)</f>
        <v>0</v>
      </c>
      <c r="AD77" s="167">
        <f>IFERROR(_xlfn.XLOOKUP(Table4[[#This Row],[Subnummer]],Table3[Sub],#REF!),0)</f>
        <v>0</v>
      </c>
      <c r="AE77" s="167">
        <f>IFERROR(_xlfn.XLOOKUP(Table4[[#This Row],[Subnummer]],Table3[Sub],#REF!),0)</f>
        <v>0</v>
      </c>
      <c r="AF77" s="189">
        <f t="shared" si="16"/>
        <v>0</v>
      </c>
      <c r="AG77" s="189">
        <f t="shared" si="17"/>
        <v>0</v>
      </c>
      <c r="AH77" s="189">
        <f t="shared" si="18"/>
        <v>0</v>
      </c>
      <c r="AI77" s="189">
        <f t="shared" si="19"/>
        <v>0</v>
      </c>
      <c r="AJ77" s="189" t="e">
        <f t="shared" si="20"/>
        <v>#REF!</v>
      </c>
      <c r="AK77" s="189" t="e">
        <f t="shared" si="21"/>
        <v>#REF!</v>
      </c>
      <c r="AL77" s="189" t="e">
        <f t="shared" si="22"/>
        <v>#REF!</v>
      </c>
      <c r="AM77" s="189" t="e">
        <f t="shared" si="23"/>
        <v>#REF!</v>
      </c>
      <c r="AN77" s="189" t="e">
        <f t="shared" si="24"/>
        <v>#REF!</v>
      </c>
      <c r="AO77" s="189" t="e">
        <f t="shared" si="25"/>
        <v>#REF!</v>
      </c>
      <c r="AP77" s="165" t="e">
        <f t="shared" si="26"/>
        <v>#REF!</v>
      </c>
      <c r="AQ77" s="175" t="e" cm="1">
        <f t="array" ref="AQ77">_xlfn.IFS(AP77=0,"Nihil",AP77&gt;0,"Suppletie",AP77&lt;0,"Restitutie")</f>
        <v>#REF!</v>
      </c>
    </row>
    <row r="78" spans="1:43" x14ac:dyDescent="0.25">
      <c r="A78" s="174" t="str">
        <f>IFERROR(_xlfn.XLOOKUP(D78,Table3[Sub],Table3[Verzekerde]),"-")</f>
        <v>-</v>
      </c>
      <c r="B78" s="164"/>
      <c r="C78" s="164" t="str">
        <f>IFERROR(_xlfn.XLOOKUP(Table4[[#This Row],[Subnummer]],Table3[Sub],Table3[Certificaat]),"-")</f>
        <v>-</v>
      </c>
      <c r="D78" s="177">
        <v>0</v>
      </c>
      <c r="E78" s="180">
        <f>IFERROR(_xlfn.XLOOKUP(Table4[[#This Row],[Subnummer]],Table3[Sub],Table3[Verz. Waarde Oud:]),0)</f>
        <v>0</v>
      </c>
      <c r="F78" s="165">
        <v>0</v>
      </c>
      <c r="G78" s="165">
        <v>0</v>
      </c>
      <c r="H78" s="165">
        <v>0</v>
      </c>
      <c r="I78" s="165">
        <v>0</v>
      </c>
      <c r="J78" s="165">
        <f t="shared" si="10"/>
        <v>0</v>
      </c>
      <c r="K78" s="181">
        <f t="shared" si="11"/>
        <v>0</v>
      </c>
      <c r="L78" s="183">
        <v>44562</v>
      </c>
      <c r="M78" s="166">
        <v>44927</v>
      </c>
      <c r="N78" s="164">
        <f t="shared" si="12"/>
        <v>365</v>
      </c>
      <c r="O78" s="164">
        <v>365</v>
      </c>
      <c r="P78" s="175" t="s">
        <v>104</v>
      </c>
      <c r="Q78" s="186">
        <f t="shared" si="13"/>
        <v>0</v>
      </c>
      <c r="R78" s="165" cm="1">
        <f t="array" ref="R78">_xlfn.IFS($P78="Nee",G78*$N78/$O78,$P78="Ja",G78*0.5)</f>
        <v>0</v>
      </c>
      <c r="S78" s="165" cm="1">
        <f t="array" ref="S78">_xlfn.IFS($P78="Nee",-(H78*$N78/$O78),$P78="Ja",-(H78*0.5))</f>
        <v>0</v>
      </c>
      <c r="T78" s="165">
        <f t="shared" si="14"/>
        <v>0</v>
      </c>
      <c r="U78" s="187">
        <f t="shared" si="15"/>
        <v>0</v>
      </c>
      <c r="V78" s="191">
        <f>IFERROR(_xlfn.XLOOKUP(Table4[[#This Row],[Subnummer]],Table3[Sub],Table3[Promillage 1]),0)</f>
        <v>0</v>
      </c>
      <c r="W78" s="167">
        <f>IFERROR(_xlfn.XLOOKUP(Table4[[#This Row],[Subnummer]],Table3[Sub],Table3[Promillage 2]),0)</f>
        <v>0</v>
      </c>
      <c r="X78" s="167">
        <f>IFERROR(_xlfn.XLOOKUP(Table4[[#This Row],[Subnummer]],Table3[Sub],Table3[Promillage 3]),0)</f>
        <v>0</v>
      </c>
      <c r="Y78" s="167">
        <f>IFERROR(_xlfn.XLOOKUP(Table4[[#This Row],[Subnummer]],Table3[Sub],Table3[Promillage 4]),0)</f>
        <v>0</v>
      </c>
      <c r="Z78" s="167">
        <f>IFERROR(_xlfn.XLOOKUP(Table4[[#This Row],[Subnummer]],Table3[Sub],#REF!),0)</f>
        <v>0</v>
      </c>
      <c r="AA78" s="167">
        <f>IFERROR(_xlfn.XLOOKUP(Table4[[#This Row],[Subnummer]],Table3[Sub],#REF!),0)</f>
        <v>0</v>
      </c>
      <c r="AB78" s="167">
        <f>IFERROR(_xlfn.XLOOKUP(Table4[[#This Row],[Subnummer]],Table3[Sub],#REF!),0)</f>
        <v>0</v>
      </c>
      <c r="AC78" s="167">
        <f>IFERROR(_xlfn.XLOOKUP(Table4[[#This Row],[Subnummer]],Table3[Sub],#REF!),0)</f>
        <v>0</v>
      </c>
      <c r="AD78" s="167">
        <f>IFERROR(_xlfn.XLOOKUP(Table4[[#This Row],[Subnummer]],Table3[Sub],#REF!),0)</f>
        <v>0</v>
      </c>
      <c r="AE78" s="167">
        <f>IFERROR(_xlfn.XLOOKUP(Table4[[#This Row],[Subnummer]],Table3[Sub],#REF!),0)</f>
        <v>0</v>
      </c>
      <c r="AF78" s="189">
        <f t="shared" si="16"/>
        <v>0</v>
      </c>
      <c r="AG78" s="189">
        <f t="shared" si="17"/>
        <v>0</v>
      </c>
      <c r="AH78" s="189">
        <f t="shared" si="18"/>
        <v>0</v>
      </c>
      <c r="AI78" s="189">
        <f t="shared" si="19"/>
        <v>0</v>
      </c>
      <c r="AJ78" s="189" t="e">
        <f t="shared" si="20"/>
        <v>#REF!</v>
      </c>
      <c r="AK78" s="189" t="e">
        <f t="shared" si="21"/>
        <v>#REF!</v>
      </c>
      <c r="AL78" s="189" t="e">
        <f t="shared" si="22"/>
        <v>#REF!</v>
      </c>
      <c r="AM78" s="189" t="e">
        <f t="shared" si="23"/>
        <v>#REF!</v>
      </c>
      <c r="AN78" s="189" t="e">
        <f t="shared" si="24"/>
        <v>#REF!</v>
      </c>
      <c r="AO78" s="189" t="e">
        <f t="shared" si="25"/>
        <v>#REF!</v>
      </c>
      <c r="AP78" s="165" t="e">
        <f t="shared" si="26"/>
        <v>#REF!</v>
      </c>
      <c r="AQ78" s="175" t="e" cm="1">
        <f t="array" ref="AQ78">_xlfn.IFS(AP78=0,"Nihil",AP78&gt;0,"Suppletie",AP78&lt;0,"Restitutie")</f>
        <v>#REF!</v>
      </c>
    </row>
    <row r="79" spans="1:43" x14ac:dyDescent="0.25">
      <c r="A79" s="174" t="str">
        <f>IFERROR(_xlfn.XLOOKUP(D79,Table3[Sub],Table3[Verzekerde]),"-")</f>
        <v>-</v>
      </c>
      <c r="B79" s="164"/>
      <c r="C79" s="164" t="str">
        <f>IFERROR(_xlfn.XLOOKUP(Table4[[#This Row],[Subnummer]],Table3[Sub],Table3[Certificaat]),"-")</f>
        <v>-</v>
      </c>
      <c r="D79" s="177">
        <v>0</v>
      </c>
      <c r="E79" s="180">
        <f>IFERROR(_xlfn.XLOOKUP(Table4[[#This Row],[Subnummer]],Table3[Sub],Table3[Verz. Waarde Oud:]),0)</f>
        <v>0</v>
      </c>
      <c r="F79" s="165">
        <v>0</v>
      </c>
      <c r="G79" s="165">
        <v>0</v>
      </c>
      <c r="H79" s="165">
        <v>0</v>
      </c>
      <c r="I79" s="165">
        <v>0</v>
      </c>
      <c r="J79" s="165">
        <f t="shared" si="10"/>
        <v>0</v>
      </c>
      <c r="K79" s="181">
        <f t="shared" si="11"/>
        <v>0</v>
      </c>
      <c r="L79" s="183">
        <v>44562</v>
      </c>
      <c r="M79" s="166">
        <v>44927</v>
      </c>
      <c r="N79" s="164">
        <f t="shared" si="12"/>
        <v>365</v>
      </c>
      <c r="O79" s="164">
        <v>365</v>
      </c>
      <c r="P79" s="175" t="s">
        <v>104</v>
      </c>
      <c r="Q79" s="186">
        <f t="shared" si="13"/>
        <v>0</v>
      </c>
      <c r="R79" s="165" cm="1">
        <f t="array" ref="R79">_xlfn.IFS($P79="Nee",G79*$N79/$O79,$P79="Ja",G79*0.5)</f>
        <v>0</v>
      </c>
      <c r="S79" s="165" cm="1">
        <f t="array" ref="S79">_xlfn.IFS($P79="Nee",-(H79*$N79/$O79),$P79="Ja",-(H79*0.5))</f>
        <v>0</v>
      </c>
      <c r="T79" s="165">
        <f t="shared" si="14"/>
        <v>0</v>
      </c>
      <c r="U79" s="187">
        <f t="shared" si="15"/>
        <v>0</v>
      </c>
      <c r="V79" s="191">
        <f>IFERROR(_xlfn.XLOOKUP(Table4[[#This Row],[Subnummer]],Table3[Sub],Table3[Promillage 1]),0)</f>
        <v>0</v>
      </c>
      <c r="W79" s="167">
        <f>IFERROR(_xlfn.XLOOKUP(Table4[[#This Row],[Subnummer]],Table3[Sub],Table3[Promillage 2]),0)</f>
        <v>0</v>
      </c>
      <c r="X79" s="167">
        <f>IFERROR(_xlfn.XLOOKUP(Table4[[#This Row],[Subnummer]],Table3[Sub],Table3[Promillage 3]),0)</f>
        <v>0</v>
      </c>
      <c r="Y79" s="167">
        <f>IFERROR(_xlfn.XLOOKUP(Table4[[#This Row],[Subnummer]],Table3[Sub],Table3[Promillage 4]),0)</f>
        <v>0</v>
      </c>
      <c r="Z79" s="167">
        <f>IFERROR(_xlfn.XLOOKUP(Table4[[#This Row],[Subnummer]],Table3[Sub],#REF!),0)</f>
        <v>0</v>
      </c>
      <c r="AA79" s="167">
        <f>IFERROR(_xlfn.XLOOKUP(Table4[[#This Row],[Subnummer]],Table3[Sub],#REF!),0)</f>
        <v>0</v>
      </c>
      <c r="AB79" s="167">
        <f>IFERROR(_xlfn.XLOOKUP(Table4[[#This Row],[Subnummer]],Table3[Sub],#REF!),0)</f>
        <v>0</v>
      </c>
      <c r="AC79" s="167">
        <f>IFERROR(_xlfn.XLOOKUP(Table4[[#This Row],[Subnummer]],Table3[Sub],#REF!),0)</f>
        <v>0</v>
      </c>
      <c r="AD79" s="167">
        <f>IFERROR(_xlfn.XLOOKUP(Table4[[#This Row],[Subnummer]],Table3[Sub],#REF!),0)</f>
        <v>0</v>
      </c>
      <c r="AE79" s="167">
        <f>IFERROR(_xlfn.XLOOKUP(Table4[[#This Row],[Subnummer]],Table3[Sub],#REF!),0)</f>
        <v>0</v>
      </c>
      <c r="AF79" s="189">
        <f t="shared" si="16"/>
        <v>0</v>
      </c>
      <c r="AG79" s="189">
        <f t="shared" si="17"/>
        <v>0</v>
      </c>
      <c r="AH79" s="189">
        <f t="shared" si="18"/>
        <v>0</v>
      </c>
      <c r="AI79" s="189">
        <f t="shared" si="19"/>
        <v>0</v>
      </c>
      <c r="AJ79" s="189" t="e">
        <f t="shared" si="20"/>
        <v>#REF!</v>
      </c>
      <c r="AK79" s="189" t="e">
        <f t="shared" si="21"/>
        <v>#REF!</v>
      </c>
      <c r="AL79" s="189" t="e">
        <f t="shared" si="22"/>
        <v>#REF!</v>
      </c>
      <c r="AM79" s="189" t="e">
        <f t="shared" si="23"/>
        <v>#REF!</v>
      </c>
      <c r="AN79" s="189" t="e">
        <f t="shared" si="24"/>
        <v>#REF!</v>
      </c>
      <c r="AO79" s="189" t="e">
        <f t="shared" si="25"/>
        <v>#REF!</v>
      </c>
      <c r="AP79" s="165" t="e">
        <f t="shared" si="26"/>
        <v>#REF!</v>
      </c>
      <c r="AQ79" s="175" t="e" cm="1">
        <f t="array" ref="AQ79">_xlfn.IFS(AP79=0,"Nihil",AP79&gt;0,"Suppletie",AP79&lt;0,"Restitutie")</f>
        <v>#REF!</v>
      </c>
    </row>
    <row r="80" spans="1:43" x14ac:dyDescent="0.25">
      <c r="A80" s="174" t="str">
        <f>IFERROR(_xlfn.XLOOKUP(D80,Table3[Sub],Table3[Verzekerde]),"-")</f>
        <v>-</v>
      </c>
      <c r="B80" s="164"/>
      <c r="C80" s="164" t="str">
        <f>IFERROR(_xlfn.XLOOKUP(Table4[[#This Row],[Subnummer]],Table3[Sub],Table3[Certificaat]),"-")</f>
        <v>-</v>
      </c>
      <c r="D80" s="177">
        <v>0</v>
      </c>
      <c r="E80" s="180">
        <f>IFERROR(_xlfn.XLOOKUP(Table4[[#This Row],[Subnummer]],Table3[Sub],Table3[Verz. Waarde Oud:]),0)</f>
        <v>0</v>
      </c>
      <c r="F80" s="165">
        <v>0</v>
      </c>
      <c r="G80" s="165">
        <v>0</v>
      </c>
      <c r="H80" s="165">
        <v>0</v>
      </c>
      <c r="I80" s="165">
        <v>0</v>
      </c>
      <c r="J80" s="165">
        <f t="shared" si="10"/>
        <v>0</v>
      </c>
      <c r="K80" s="181">
        <f t="shared" si="11"/>
        <v>0</v>
      </c>
      <c r="L80" s="183">
        <v>44562</v>
      </c>
      <c r="M80" s="166">
        <v>44927</v>
      </c>
      <c r="N80" s="164">
        <f t="shared" si="12"/>
        <v>365</v>
      </c>
      <c r="O80" s="164">
        <v>365</v>
      </c>
      <c r="P80" s="175" t="s">
        <v>104</v>
      </c>
      <c r="Q80" s="186">
        <f t="shared" si="13"/>
        <v>0</v>
      </c>
      <c r="R80" s="165" cm="1">
        <f t="array" ref="R80">_xlfn.IFS($P80="Nee",G80*$N80/$O80,$P80="Ja",G80*0.5)</f>
        <v>0</v>
      </c>
      <c r="S80" s="165" cm="1">
        <f t="array" ref="S80">_xlfn.IFS($P80="Nee",-(H80*$N80/$O80),$P80="Ja",-(H80*0.5))</f>
        <v>0</v>
      </c>
      <c r="T80" s="165">
        <f t="shared" si="14"/>
        <v>0</v>
      </c>
      <c r="U80" s="187">
        <f t="shared" si="15"/>
        <v>0</v>
      </c>
      <c r="V80" s="191">
        <f>IFERROR(_xlfn.XLOOKUP(Table4[[#This Row],[Subnummer]],Table3[Sub],Table3[Promillage 1]),0)</f>
        <v>0</v>
      </c>
      <c r="W80" s="167">
        <f>IFERROR(_xlfn.XLOOKUP(Table4[[#This Row],[Subnummer]],Table3[Sub],Table3[Promillage 2]),0)</f>
        <v>0</v>
      </c>
      <c r="X80" s="167">
        <f>IFERROR(_xlfn.XLOOKUP(Table4[[#This Row],[Subnummer]],Table3[Sub],Table3[Promillage 3]),0)</f>
        <v>0</v>
      </c>
      <c r="Y80" s="167">
        <f>IFERROR(_xlfn.XLOOKUP(Table4[[#This Row],[Subnummer]],Table3[Sub],Table3[Promillage 4]),0)</f>
        <v>0</v>
      </c>
      <c r="Z80" s="167">
        <f>IFERROR(_xlfn.XLOOKUP(Table4[[#This Row],[Subnummer]],Table3[Sub],#REF!),0)</f>
        <v>0</v>
      </c>
      <c r="AA80" s="167">
        <f>IFERROR(_xlfn.XLOOKUP(Table4[[#This Row],[Subnummer]],Table3[Sub],#REF!),0)</f>
        <v>0</v>
      </c>
      <c r="AB80" s="167">
        <f>IFERROR(_xlfn.XLOOKUP(Table4[[#This Row],[Subnummer]],Table3[Sub],#REF!),0)</f>
        <v>0</v>
      </c>
      <c r="AC80" s="167">
        <f>IFERROR(_xlfn.XLOOKUP(Table4[[#This Row],[Subnummer]],Table3[Sub],#REF!),0)</f>
        <v>0</v>
      </c>
      <c r="AD80" s="167">
        <f>IFERROR(_xlfn.XLOOKUP(Table4[[#This Row],[Subnummer]],Table3[Sub],#REF!),0)</f>
        <v>0</v>
      </c>
      <c r="AE80" s="167">
        <f>IFERROR(_xlfn.XLOOKUP(Table4[[#This Row],[Subnummer]],Table3[Sub],#REF!),0)</f>
        <v>0</v>
      </c>
      <c r="AF80" s="189">
        <f t="shared" si="16"/>
        <v>0</v>
      </c>
      <c r="AG80" s="189">
        <f t="shared" si="17"/>
        <v>0</v>
      </c>
      <c r="AH80" s="189">
        <f t="shared" si="18"/>
        <v>0</v>
      </c>
      <c r="AI80" s="189">
        <f t="shared" si="19"/>
        <v>0</v>
      </c>
      <c r="AJ80" s="189" t="e">
        <f t="shared" si="20"/>
        <v>#REF!</v>
      </c>
      <c r="AK80" s="189" t="e">
        <f t="shared" si="21"/>
        <v>#REF!</v>
      </c>
      <c r="AL80" s="189" t="e">
        <f t="shared" si="22"/>
        <v>#REF!</v>
      </c>
      <c r="AM80" s="189" t="e">
        <f t="shared" si="23"/>
        <v>#REF!</v>
      </c>
      <c r="AN80" s="189" t="e">
        <f t="shared" si="24"/>
        <v>#REF!</v>
      </c>
      <c r="AO80" s="189" t="e">
        <f t="shared" si="25"/>
        <v>#REF!</v>
      </c>
      <c r="AP80" s="165" t="e">
        <f t="shared" si="26"/>
        <v>#REF!</v>
      </c>
      <c r="AQ80" s="175" t="e" cm="1">
        <f t="array" ref="AQ80">_xlfn.IFS(AP80=0,"Nihil",AP80&gt;0,"Suppletie",AP80&lt;0,"Restitutie")</f>
        <v>#REF!</v>
      </c>
    </row>
    <row r="81" spans="1:43" x14ac:dyDescent="0.25">
      <c r="A81" s="174" t="str">
        <f>IFERROR(_xlfn.XLOOKUP(D81,Table3[Sub],Table3[Verzekerde]),"-")</f>
        <v>-</v>
      </c>
      <c r="B81" s="164"/>
      <c r="C81" s="164" t="str">
        <f>IFERROR(_xlfn.XLOOKUP(Table4[[#This Row],[Subnummer]],Table3[Sub],Table3[Certificaat]),"-")</f>
        <v>-</v>
      </c>
      <c r="D81" s="177">
        <v>0</v>
      </c>
      <c r="E81" s="180">
        <f>IFERROR(_xlfn.XLOOKUP(Table4[[#This Row],[Subnummer]],Table3[Sub],Table3[Verz. Waarde Oud:]),0)</f>
        <v>0</v>
      </c>
      <c r="F81" s="165">
        <v>0</v>
      </c>
      <c r="G81" s="165">
        <v>0</v>
      </c>
      <c r="H81" s="165">
        <v>0</v>
      </c>
      <c r="I81" s="165">
        <v>0</v>
      </c>
      <c r="J81" s="165">
        <f t="shared" si="10"/>
        <v>0</v>
      </c>
      <c r="K81" s="181">
        <f t="shared" si="11"/>
        <v>0</v>
      </c>
      <c r="L81" s="183">
        <v>44562</v>
      </c>
      <c r="M81" s="166">
        <v>44927</v>
      </c>
      <c r="N81" s="164">
        <f t="shared" si="12"/>
        <v>365</v>
      </c>
      <c r="O81" s="164">
        <v>365</v>
      </c>
      <c r="P81" s="175" t="s">
        <v>104</v>
      </c>
      <c r="Q81" s="186">
        <f t="shared" si="13"/>
        <v>0</v>
      </c>
      <c r="R81" s="165" cm="1">
        <f t="array" ref="R81">_xlfn.IFS($P81="Nee",G81*$N81/$O81,$P81="Ja",G81*0.5)</f>
        <v>0</v>
      </c>
      <c r="S81" s="165" cm="1">
        <f t="array" ref="S81">_xlfn.IFS($P81="Nee",-(H81*$N81/$O81),$P81="Ja",-(H81*0.5))</f>
        <v>0</v>
      </c>
      <c r="T81" s="165">
        <f t="shared" si="14"/>
        <v>0</v>
      </c>
      <c r="U81" s="187">
        <f t="shared" si="15"/>
        <v>0</v>
      </c>
      <c r="V81" s="191">
        <f>IFERROR(_xlfn.XLOOKUP(Table4[[#This Row],[Subnummer]],Table3[Sub],Table3[Promillage 1]),0)</f>
        <v>0</v>
      </c>
      <c r="W81" s="167">
        <f>IFERROR(_xlfn.XLOOKUP(Table4[[#This Row],[Subnummer]],Table3[Sub],Table3[Promillage 2]),0)</f>
        <v>0</v>
      </c>
      <c r="X81" s="167">
        <f>IFERROR(_xlfn.XLOOKUP(Table4[[#This Row],[Subnummer]],Table3[Sub],Table3[Promillage 3]),0)</f>
        <v>0</v>
      </c>
      <c r="Y81" s="167">
        <f>IFERROR(_xlfn.XLOOKUP(Table4[[#This Row],[Subnummer]],Table3[Sub],Table3[Promillage 4]),0)</f>
        <v>0</v>
      </c>
      <c r="Z81" s="167">
        <f>IFERROR(_xlfn.XLOOKUP(Table4[[#This Row],[Subnummer]],Table3[Sub],#REF!),0)</f>
        <v>0</v>
      </c>
      <c r="AA81" s="167">
        <f>IFERROR(_xlfn.XLOOKUP(Table4[[#This Row],[Subnummer]],Table3[Sub],#REF!),0)</f>
        <v>0</v>
      </c>
      <c r="AB81" s="167">
        <f>IFERROR(_xlfn.XLOOKUP(Table4[[#This Row],[Subnummer]],Table3[Sub],#REF!),0)</f>
        <v>0</v>
      </c>
      <c r="AC81" s="167">
        <f>IFERROR(_xlfn.XLOOKUP(Table4[[#This Row],[Subnummer]],Table3[Sub],#REF!),0)</f>
        <v>0</v>
      </c>
      <c r="AD81" s="167">
        <f>IFERROR(_xlfn.XLOOKUP(Table4[[#This Row],[Subnummer]],Table3[Sub],#REF!),0)</f>
        <v>0</v>
      </c>
      <c r="AE81" s="167">
        <f>IFERROR(_xlfn.XLOOKUP(Table4[[#This Row],[Subnummer]],Table3[Sub],#REF!),0)</f>
        <v>0</v>
      </c>
      <c r="AF81" s="189">
        <f t="shared" si="16"/>
        <v>0</v>
      </c>
      <c r="AG81" s="189">
        <f t="shared" si="17"/>
        <v>0</v>
      </c>
      <c r="AH81" s="189">
        <f t="shared" si="18"/>
        <v>0</v>
      </c>
      <c r="AI81" s="189">
        <f t="shared" si="19"/>
        <v>0</v>
      </c>
      <c r="AJ81" s="189" t="e">
        <f t="shared" si="20"/>
        <v>#REF!</v>
      </c>
      <c r="AK81" s="189" t="e">
        <f t="shared" si="21"/>
        <v>#REF!</v>
      </c>
      <c r="AL81" s="189" t="e">
        <f t="shared" si="22"/>
        <v>#REF!</v>
      </c>
      <c r="AM81" s="189" t="e">
        <f t="shared" si="23"/>
        <v>#REF!</v>
      </c>
      <c r="AN81" s="189" t="e">
        <f t="shared" si="24"/>
        <v>#REF!</v>
      </c>
      <c r="AO81" s="189" t="e">
        <f t="shared" si="25"/>
        <v>#REF!</v>
      </c>
      <c r="AP81" s="165" t="e">
        <f t="shared" si="26"/>
        <v>#REF!</v>
      </c>
      <c r="AQ81" s="175" t="e" cm="1">
        <f t="array" ref="AQ81">_xlfn.IFS(AP81=0,"Nihil",AP81&gt;0,"Suppletie",AP81&lt;0,"Restitutie")</f>
        <v>#REF!</v>
      </c>
    </row>
    <row r="82" spans="1:43" x14ac:dyDescent="0.25">
      <c r="A82" s="174" t="str">
        <f>IFERROR(_xlfn.XLOOKUP(D82,Table3[Sub],Table3[Verzekerde]),"-")</f>
        <v>-</v>
      </c>
      <c r="B82" s="164"/>
      <c r="C82" s="164" t="str">
        <f>IFERROR(_xlfn.XLOOKUP(Table4[[#This Row],[Subnummer]],Table3[Sub],Table3[Certificaat]),"-")</f>
        <v>-</v>
      </c>
      <c r="D82" s="177">
        <v>0</v>
      </c>
      <c r="E82" s="180">
        <f>IFERROR(_xlfn.XLOOKUP(Table4[[#This Row],[Subnummer]],Table3[Sub],Table3[Verz. Waarde Oud:]),0)</f>
        <v>0</v>
      </c>
      <c r="F82" s="165">
        <v>0</v>
      </c>
      <c r="G82" s="165">
        <v>0</v>
      </c>
      <c r="H82" s="165">
        <v>0</v>
      </c>
      <c r="I82" s="165">
        <v>0</v>
      </c>
      <c r="J82" s="165">
        <f t="shared" si="10"/>
        <v>0</v>
      </c>
      <c r="K82" s="181">
        <f t="shared" si="11"/>
        <v>0</v>
      </c>
      <c r="L82" s="183">
        <v>44562</v>
      </c>
      <c r="M82" s="166">
        <v>44927</v>
      </c>
      <c r="N82" s="164">
        <f t="shared" si="12"/>
        <v>365</v>
      </c>
      <c r="O82" s="164">
        <v>365</v>
      </c>
      <c r="P82" s="175" t="s">
        <v>104</v>
      </c>
      <c r="Q82" s="186">
        <f t="shared" si="13"/>
        <v>0</v>
      </c>
      <c r="R82" s="165" cm="1">
        <f t="array" ref="R82">_xlfn.IFS($P82="Nee",G82*$N82/$O82,$P82="Ja",G82*0.5)</f>
        <v>0</v>
      </c>
      <c r="S82" s="165" cm="1">
        <f t="array" ref="S82">_xlfn.IFS($P82="Nee",-(H82*$N82/$O82),$P82="Ja",-(H82*0.5))</f>
        <v>0</v>
      </c>
      <c r="T82" s="165">
        <f t="shared" si="14"/>
        <v>0</v>
      </c>
      <c r="U82" s="187">
        <f t="shared" si="15"/>
        <v>0</v>
      </c>
      <c r="V82" s="191">
        <f>IFERROR(_xlfn.XLOOKUP(Table4[[#This Row],[Subnummer]],Table3[Sub],Table3[Promillage 1]),0)</f>
        <v>0</v>
      </c>
      <c r="W82" s="167">
        <f>IFERROR(_xlfn.XLOOKUP(Table4[[#This Row],[Subnummer]],Table3[Sub],Table3[Promillage 2]),0)</f>
        <v>0</v>
      </c>
      <c r="X82" s="167">
        <f>IFERROR(_xlfn.XLOOKUP(Table4[[#This Row],[Subnummer]],Table3[Sub],Table3[Promillage 3]),0)</f>
        <v>0</v>
      </c>
      <c r="Y82" s="167">
        <f>IFERROR(_xlfn.XLOOKUP(Table4[[#This Row],[Subnummer]],Table3[Sub],Table3[Promillage 4]),0)</f>
        <v>0</v>
      </c>
      <c r="Z82" s="167">
        <f>IFERROR(_xlfn.XLOOKUP(Table4[[#This Row],[Subnummer]],Table3[Sub],#REF!),0)</f>
        <v>0</v>
      </c>
      <c r="AA82" s="167">
        <f>IFERROR(_xlfn.XLOOKUP(Table4[[#This Row],[Subnummer]],Table3[Sub],#REF!),0)</f>
        <v>0</v>
      </c>
      <c r="AB82" s="167">
        <f>IFERROR(_xlfn.XLOOKUP(Table4[[#This Row],[Subnummer]],Table3[Sub],#REF!),0)</f>
        <v>0</v>
      </c>
      <c r="AC82" s="167">
        <f>IFERROR(_xlfn.XLOOKUP(Table4[[#This Row],[Subnummer]],Table3[Sub],#REF!),0)</f>
        <v>0</v>
      </c>
      <c r="AD82" s="167">
        <f>IFERROR(_xlfn.XLOOKUP(Table4[[#This Row],[Subnummer]],Table3[Sub],#REF!),0)</f>
        <v>0</v>
      </c>
      <c r="AE82" s="167">
        <f>IFERROR(_xlfn.XLOOKUP(Table4[[#This Row],[Subnummer]],Table3[Sub],#REF!),0)</f>
        <v>0</v>
      </c>
      <c r="AF82" s="189">
        <f t="shared" si="16"/>
        <v>0</v>
      </c>
      <c r="AG82" s="189">
        <f t="shared" si="17"/>
        <v>0</v>
      </c>
      <c r="AH82" s="189">
        <f t="shared" si="18"/>
        <v>0</v>
      </c>
      <c r="AI82" s="189">
        <f t="shared" si="19"/>
        <v>0</v>
      </c>
      <c r="AJ82" s="189" t="e">
        <f t="shared" si="20"/>
        <v>#REF!</v>
      </c>
      <c r="AK82" s="189" t="e">
        <f t="shared" si="21"/>
        <v>#REF!</v>
      </c>
      <c r="AL82" s="189" t="e">
        <f t="shared" si="22"/>
        <v>#REF!</v>
      </c>
      <c r="AM82" s="189" t="e">
        <f t="shared" si="23"/>
        <v>#REF!</v>
      </c>
      <c r="AN82" s="189" t="e">
        <f t="shared" si="24"/>
        <v>#REF!</v>
      </c>
      <c r="AO82" s="189" t="e">
        <f t="shared" si="25"/>
        <v>#REF!</v>
      </c>
      <c r="AP82" s="165" t="e">
        <f t="shared" si="26"/>
        <v>#REF!</v>
      </c>
      <c r="AQ82" s="175" t="e" cm="1">
        <f t="array" ref="AQ82">_xlfn.IFS(AP82=0,"Nihil",AP82&gt;0,"Suppletie",AP82&lt;0,"Restitutie")</f>
        <v>#REF!</v>
      </c>
    </row>
    <row r="83" spans="1:43" x14ac:dyDescent="0.25">
      <c r="A83" s="174" t="str">
        <f>IFERROR(_xlfn.XLOOKUP(D83,Table3[Sub],Table3[Verzekerde]),"-")</f>
        <v>-</v>
      </c>
      <c r="B83" s="164"/>
      <c r="C83" s="164" t="str">
        <f>IFERROR(_xlfn.XLOOKUP(Table4[[#This Row],[Subnummer]],Table3[Sub],Table3[Certificaat]),"-")</f>
        <v>-</v>
      </c>
      <c r="D83" s="177">
        <v>0</v>
      </c>
      <c r="E83" s="180">
        <f>IFERROR(_xlfn.XLOOKUP(Table4[[#This Row],[Subnummer]],Table3[Sub],Table3[Verz. Waarde Oud:]),0)</f>
        <v>0</v>
      </c>
      <c r="F83" s="165">
        <v>0</v>
      </c>
      <c r="G83" s="165">
        <v>0</v>
      </c>
      <c r="H83" s="165">
        <v>0</v>
      </c>
      <c r="I83" s="165">
        <v>0</v>
      </c>
      <c r="J83" s="165">
        <f t="shared" si="10"/>
        <v>0</v>
      </c>
      <c r="K83" s="181">
        <f t="shared" si="11"/>
        <v>0</v>
      </c>
      <c r="L83" s="183">
        <v>44562</v>
      </c>
      <c r="M83" s="166">
        <v>44927</v>
      </c>
      <c r="N83" s="164">
        <f t="shared" si="12"/>
        <v>365</v>
      </c>
      <c r="O83" s="164">
        <v>365</v>
      </c>
      <c r="P83" s="175" t="s">
        <v>104</v>
      </c>
      <c r="Q83" s="186">
        <f t="shared" si="13"/>
        <v>0</v>
      </c>
      <c r="R83" s="165" cm="1">
        <f t="array" ref="R83">_xlfn.IFS($P83="Nee",G83*$N83/$O83,$P83="Ja",G83*0.5)</f>
        <v>0</v>
      </c>
      <c r="S83" s="165" cm="1">
        <f t="array" ref="S83">_xlfn.IFS($P83="Nee",-(H83*$N83/$O83),$P83="Ja",-(H83*0.5))</f>
        <v>0</v>
      </c>
      <c r="T83" s="165">
        <f t="shared" si="14"/>
        <v>0</v>
      </c>
      <c r="U83" s="187">
        <f t="shared" si="15"/>
        <v>0</v>
      </c>
      <c r="V83" s="191">
        <f>IFERROR(_xlfn.XLOOKUP(Table4[[#This Row],[Subnummer]],Table3[Sub],Table3[Promillage 1]),0)</f>
        <v>0</v>
      </c>
      <c r="W83" s="167">
        <f>IFERROR(_xlfn.XLOOKUP(Table4[[#This Row],[Subnummer]],Table3[Sub],Table3[Promillage 2]),0)</f>
        <v>0</v>
      </c>
      <c r="X83" s="167">
        <f>IFERROR(_xlfn.XLOOKUP(Table4[[#This Row],[Subnummer]],Table3[Sub],Table3[Promillage 3]),0)</f>
        <v>0</v>
      </c>
      <c r="Y83" s="167">
        <f>IFERROR(_xlfn.XLOOKUP(Table4[[#This Row],[Subnummer]],Table3[Sub],Table3[Promillage 4]),0)</f>
        <v>0</v>
      </c>
      <c r="Z83" s="167">
        <f>IFERROR(_xlfn.XLOOKUP(Table4[[#This Row],[Subnummer]],Table3[Sub],#REF!),0)</f>
        <v>0</v>
      </c>
      <c r="AA83" s="167">
        <f>IFERROR(_xlfn.XLOOKUP(Table4[[#This Row],[Subnummer]],Table3[Sub],#REF!),0)</f>
        <v>0</v>
      </c>
      <c r="AB83" s="167">
        <f>IFERROR(_xlfn.XLOOKUP(Table4[[#This Row],[Subnummer]],Table3[Sub],#REF!),0)</f>
        <v>0</v>
      </c>
      <c r="AC83" s="167">
        <f>IFERROR(_xlfn.XLOOKUP(Table4[[#This Row],[Subnummer]],Table3[Sub],#REF!),0)</f>
        <v>0</v>
      </c>
      <c r="AD83" s="167">
        <f>IFERROR(_xlfn.XLOOKUP(Table4[[#This Row],[Subnummer]],Table3[Sub],#REF!),0)</f>
        <v>0</v>
      </c>
      <c r="AE83" s="167">
        <f>IFERROR(_xlfn.XLOOKUP(Table4[[#This Row],[Subnummer]],Table3[Sub],#REF!),0)</f>
        <v>0</v>
      </c>
      <c r="AF83" s="189">
        <f t="shared" si="16"/>
        <v>0</v>
      </c>
      <c r="AG83" s="189">
        <f t="shared" si="17"/>
        <v>0</v>
      </c>
      <c r="AH83" s="189">
        <f t="shared" si="18"/>
        <v>0</v>
      </c>
      <c r="AI83" s="189">
        <f t="shared" si="19"/>
        <v>0</v>
      </c>
      <c r="AJ83" s="189" t="e">
        <f t="shared" si="20"/>
        <v>#REF!</v>
      </c>
      <c r="AK83" s="189" t="e">
        <f t="shared" si="21"/>
        <v>#REF!</v>
      </c>
      <c r="AL83" s="189" t="e">
        <f t="shared" si="22"/>
        <v>#REF!</v>
      </c>
      <c r="AM83" s="189" t="e">
        <f t="shared" si="23"/>
        <v>#REF!</v>
      </c>
      <c r="AN83" s="189" t="e">
        <f t="shared" si="24"/>
        <v>#REF!</v>
      </c>
      <c r="AO83" s="189" t="e">
        <f t="shared" si="25"/>
        <v>#REF!</v>
      </c>
      <c r="AP83" s="165" t="e">
        <f t="shared" si="26"/>
        <v>#REF!</v>
      </c>
      <c r="AQ83" s="175" t="e" cm="1">
        <f t="array" ref="AQ83">_xlfn.IFS(AP83=0,"Nihil",AP83&gt;0,"Suppletie",AP83&lt;0,"Restitutie")</f>
        <v>#REF!</v>
      </c>
    </row>
    <row r="84" spans="1:43" x14ac:dyDescent="0.25">
      <c r="A84" s="174" t="str">
        <f>IFERROR(_xlfn.XLOOKUP(D84,Table3[Sub],Table3[Verzekerde]),"-")</f>
        <v>-</v>
      </c>
      <c r="B84" s="164"/>
      <c r="C84" s="164" t="str">
        <f>IFERROR(_xlfn.XLOOKUP(Table4[[#This Row],[Subnummer]],Table3[Sub],Table3[Certificaat]),"-")</f>
        <v>-</v>
      </c>
      <c r="D84" s="177">
        <v>0</v>
      </c>
      <c r="E84" s="180">
        <f>IFERROR(_xlfn.XLOOKUP(Table4[[#This Row],[Subnummer]],Table3[Sub],Table3[Verz. Waarde Oud:]),0)</f>
        <v>0</v>
      </c>
      <c r="F84" s="165">
        <v>0</v>
      </c>
      <c r="G84" s="165">
        <v>0</v>
      </c>
      <c r="H84" s="165">
        <v>0</v>
      </c>
      <c r="I84" s="165">
        <v>0</v>
      </c>
      <c r="J84" s="165">
        <f t="shared" ref="J84:J99" si="27">E84+F84+G84-H84-I84</f>
        <v>0</v>
      </c>
      <c r="K84" s="181">
        <f t="shared" ref="K84:K99" si="28">J84-E84</f>
        <v>0</v>
      </c>
      <c r="L84" s="183">
        <v>44562</v>
      </c>
      <c r="M84" s="166">
        <v>44927</v>
      </c>
      <c r="N84" s="164">
        <f t="shared" ref="N84:N99" si="29">M84-L84</f>
        <v>365</v>
      </c>
      <c r="O84" s="164">
        <v>365</v>
      </c>
      <c r="P84" s="175" t="s">
        <v>104</v>
      </c>
      <c r="Q84" s="186">
        <f t="shared" ref="Q84:Q99" si="30">F84*N84/O84</f>
        <v>0</v>
      </c>
      <c r="R84" s="165" cm="1">
        <f t="array" ref="R84">_xlfn.IFS($P84="Nee",G84*$N84/$O84,$P84="Ja",G84*0.5)</f>
        <v>0</v>
      </c>
      <c r="S84" s="165" cm="1">
        <f t="array" ref="S84">_xlfn.IFS($P84="Nee",-(H84*$N84/$O84),$P84="Ja",-(H84*0.5))</f>
        <v>0</v>
      </c>
      <c r="T84" s="165">
        <f t="shared" ref="T84:T99" si="31">-I84*N84/O84</f>
        <v>0</v>
      </c>
      <c r="U84" s="187">
        <f t="shared" ref="U84:U99" si="32">SUM(Q84:T84)</f>
        <v>0</v>
      </c>
      <c r="V84" s="191">
        <f>IFERROR(_xlfn.XLOOKUP(Table4[[#This Row],[Subnummer]],Table3[Sub],Table3[Promillage 1]),0)</f>
        <v>0</v>
      </c>
      <c r="W84" s="167">
        <f>IFERROR(_xlfn.XLOOKUP(Table4[[#This Row],[Subnummer]],Table3[Sub],Table3[Promillage 2]),0)</f>
        <v>0</v>
      </c>
      <c r="X84" s="167">
        <f>IFERROR(_xlfn.XLOOKUP(Table4[[#This Row],[Subnummer]],Table3[Sub],Table3[Promillage 3]),0)</f>
        <v>0</v>
      </c>
      <c r="Y84" s="167">
        <f>IFERROR(_xlfn.XLOOKUP(Table4[[#This Row],[Subnummer]],Table3[Sub],Table3[Promillage 4]),0)</f>
        <v>0</v>
      </c>
      <c r="Z84" s="167">
        <f>IFERROR(_xlfn.XLOOKUP(Table4[[#This Row],[Subnummer]],Table3[Sub],#REF!),0)</f>
        <v>0</v>
      </c>
      <c r="AA84" s="167">
        <f>IFERROR(_xlfn.XLOOKUP(Table4[[#This Row],[Subnummer]],Table3[Sub],#REF!),0)</f>
        <v>0</v>
      </c>
      <c r="AB84" s="167">
        <f>IFERROR(_xlfn.XLOOKUP(Table4[[#This Row],[Subnummer]],Table3[Sub],#REF!),0)</f>
        <v>0</v>
      </c>
      <c r="AC84" s="167">
        <f>IFERROR(_xlfn.XLOOKUP(Table4[[#This Row],[Subnummer]],Table3[Sub],#REF!),0)</f>
        <v>0</v>
      </c>
      <c r="AD84" s="167">
        <f>IFERROR(_xlfn.XLOOKUP(Table4[[#This Row],[Subnummer]],Table3[Sub],#REF!),0)</f>
        <v>0</v>
      </c>
      <c r="AE84" s="167">
        <f>IFERROR(_xlfn.XLOOKUP(Table4[[#This Row],[Subnummer]],Table3[Sub],#REF!),0)</f>
        <v>0</v>
      </c>
      <c r="AF84" s="189">
        <f t="shared" ref="AF84:AF99" si="33">$U84*V84/1000*V$9</f>
        <v>0</v>
      </c>
      <c r="AG84" s="189">
        <f t="shared" ref="AG84:AG99" si="34">$U84*W84/1000*W$9</f>
        <v>0</v>
      </c>
      <c r="AH84" s="189">
        <f t="shared" ref="AH84:AH99" si="35">$U84*X84/1000*X$9</f>
        <v>0</v>
      </c>
      <c r="AI84" s="189">
        <f t="shared" ref="AI84:AI99" si="36">$U84*Y84/1000*Y$9</f>
        <v>0</v>
      </c>
      <c r="AJ84" s="189" t="e">
        <f t="shared" ref="AJ84:AJ99" si="37">$U84*Z84/1000*Z$9</f>
        <v>#REF!</v>
      </c>
      <c r="AK84" s="189" t="e">
        <f t="shared" ref="AK84:AK99" si="38">$U84*AA84/1000*AA$9</f>
        <v>#REF!</v>
      </c>
      <c r="AL84" s="189" t="e">
        <f t="shared" ref="AL84:AL99" si="39">$U84*AB84/1000*AB$9</f>
        <v>#REF!</v>
      </c>
      <c r="AM84" s="189" t="e">
        <f t="shared" ref="AM84:AM99" si="40">$U84*AC84/1000*AC$9</f>
        <v>#REF!</v>
      </c>
      <c r="AN84" s="189" t="e">
        <f t="shared" ref="AN84:AN99" si="41">$U84*AD84/1000*AD$9</f>
        <v>#REF!</v>
      </c>
      <c r="AO84" s="189" t="e">
        <f t="shared" ref="AO84:AO99" si="42">$U84*AE84/1000*AE$9</f>
        <v>#REF!</v>
      </c>
      <c r="AP84" s="165" t="e">
        <f t="shared" ref="AP84:AP99" si="43">SUM(AF84:AO84)</f>
        <v>#REF!</v>
      </c>
      <c r="AQ84" s="175" t="e" cm="1">
        <f t="array" ref="AQ84">_xlfn.IFS(AP84=0,"Nihil",AP84&gt;0,"Suppletie",AP84&lt;0,"Restitutie")</f>
        <v>#REF!</v>
      </c>
    </row>
    <row r="85" spans="1:43" x14ac:dyDescent="0.25">
      <c r="A85" s="174" t="str">
        <f>IFERROR(_xlfn.XLOOKUP(D85,Table3[Sub],Table3[Verzekerde]),"-")</f>
        <v>-</v>
      </c>
      <c r="B85" s="164"/>
      <c r="C85" s="164" t="str">
        <f>IFERROR(_xlfn.XLOOKUP(Table4[[#This Row],[Subnummer]],Table3[Sub],Table3[Certificaat]),"-")</f>
        <v>-</v>
      </c>
      <c r="D85" s="177">
        <v>0</v>
      </c>
      <c r="E85" s="180">
        <f>IFERROR(_xlfn.XLOOKUP(Table4[[#This Row],[Subnummer]],Table3[Sub],Table3[Verz. Waarde Oud:]),0)</f>
        <v>0</v>
      </c>
      <c r="F85" s="165">
        <v>0</v>
      </c>
      <c r="G85" s="165">
        <v>0</v>
      </c>
      <c r="H85" s="165">
        <v>0</v>
      </c>
      <c r="I85" s="165">
        <v>0</v>
      </c>
      <c r="J85" s="165">
        <f t="shared" si="27"/>
        <v>0</v>
      </c>
      <c r="K85" s="181">
        <f t="shared" si="28"/>
        <v>0</v>
      </c>
      <c r="L85" s="183">
        <v>44562</v>
      </c>
      <c r="M85" s="166">
        <v>44927</v>
      </c>
      <c r="N85" s="164">
        <f t="shared" si="29"/>
        <v>365</v>
      </c>
      <c r="O85" s="164">
        <v>365</v>
      </c>
      <c r="P85" s="175" t="s">
        <v>104</v>
      </c>
      <c r="Q85" s="186">
        <f t="shared" si="30"/>
        <v>0</v>
      </c>
      <c r="R85" s="165" cm="1">
        <f t="array" ref="R85">_xlfn.IFS($P85="Nee",G85*$N85/$O85,$P85="Ja",G85*0.5)</f>
        <v>0</v>
      </c>
      <c r="S85" s="165" cm="1">
        <f t="array" ref="S85">_xlfn.IFS($P85="Nee",-(H85*$N85/$O85),$P85="Ja",-(H85*0.5))</f>
        <v>0</v>
      </c>
      <c r="T85" s="165">
        <f t="shared" si="31"/>
        <v>0</v>
      </c>
      <c r="U85" s="187">
        <f t="shared" si="32"/>
        <v>0</v>
      </c>
      <c r="V85" s="191">
        <f>IFERROR(_xlfn.XLOOKUP(Table4[[#This Row],[Subnummer]],Table3[Sub],Table3[Promillage 1]),0)</f>
        <v>0</v>
      </c>
      <c r="W85" s="167">
        <f>IFERROR(_xlfn.XLOOKUP(Table4[[#This Row],[Subnummer]],Table3[Sub],Table3[Promillage 2]),0)</f>
        <v>0</v>
      </c>
      <c r="X85" s="167">
        <f>IFERROR(_xlfn.XLOOKUP(Table4[[#This Row],[Subnummer]],Table3[Sub],Table3[Promillage 3]),0)</f>
        <v>0</v>
      </c>
      <c r="Y85" s="167">
        <f>IFERROR(_xlfn.XLOOKUP(Table4[[#This Row],[Subnummer]],Table3[Sub],Table3[Promillage 4]),0)</f>
        <v>0</v>
      </c>
      <c r="Z85" s="167">
        <f>IFERROR(_xlfn.XLOOKUP(Table4[[#This Row],[Subnummer]],Table3[Sub],#REF!),0)</f>
        <v>0</v>
      </c>
      <c r="AA85" s="167">
        <f>IFERROR(_xlfn.XLOOKUP(Table4[[#This Row],[Subnummer]],Table3[Sub],#REF!),0)</f>
        <v>0</v>
      </c>
      <c r="AB85" s="167">
        <f>IFERROR(_xlfn.XLOOKUP(Table4[[#This Row],[Subnummer]],Table3[Sub],#REF!),0)</f>
        <v>0</v>
      </c>
      <c r="AC85" s="167">
        <f>IFERROR(_xlfn.XLOOKUP(Table4[[#This Row],[Subnummer]],Table3[Sub],#REF!),0)</f>
        <v>0</v>
      </c>
      <c r="AD85" s="167">
        <f>IFERROR(_xlfn.XLOOKUP(Table4[[#This Row],[Subnummer]],Table3[Sub],#REF!),0)</f>
        <v>0</v>
      </c>
      <c r="AE85" s="167">
        <f>IFERROR(_xlfn.XLOOKUP(Table4[[#This Row],[Subnummer]],Table3[Sub],#REF!),0)</f>
        <v>0</v>
      </c>
      <c r="AF85" s="189">
        <f t="shared" si="33"/>
        <v>0</v>
      </c>
      <c r="AG85" s="189">
        <f t="shared" si="34"/>
        <v>0</v>
      </c>
      <c r="AH85" s="189">
        <f t="shared" si="35"/>
        <v>0</v>
      </c>
      <c r="AI85" s="189">
        <f t="shared" si="36"/>
        <v>0</v>
      </c>
      <c r="AJ85" s="189" t="e">
        <f t="shared" si="37"/>
        <v>#REF!</v>
      </c>
      <c r="AK85" s="189" t="e">
        <f t="shared" si="38"/>
        <v>#REF!</v>
      </c>
      <c r="AL85" s="189" t="e">
        <f t="shared" si="39"/>
        <v>#REF!</v>
      </c>
      <c r="AM85" s="189" t="e">
        <f t="shared" si="40"/>
        <v>#REF!</v>
      </c>
      <c r="AN85" s="189" t="e">
        <f t="shared" si="41"/>
        <v>#REF!</v>
      </c>
      <c r="AO85" s="189" t="e">
        <f t="shared" si="42"/>
        <v>#REF!</v>
      </c>
      <c r="AP85" s="165" t="e">
        <f t="shared" si="43"/>
        <v>#REF!</v>
      </c>
      <c r="AQ85" s="175" t="e" cm="1">
        <f t="array" ref="AQ85">_xlfn.IFS(AP85=0,"Nihil",AP85&gt;0,"Suppletie",AP85&lt;0,"Restitutie")</f>
        <v>#REF!</v>
      </c>
    </row>
    <row r="86" spans="1:43" x14ac:dyDescent="0.25">
      <c r="A86" s="174" t="str">
        <f>IFERROR(_xlfn.XLOOKUP(D86,Table3[Sub],Table3[Verzekerde]),"-")</f>
        <v>-</v>
      </c>
      <c r="B86" s="164"/>
      <c r="C86" s="164" t="str">
        <f>IFERROR(_xlfn.XLOOKUP(Table4[[#This Row],[Subnummer]],Table3[Sub],Table3[Certificaat]),"-")</f>
        <v>-</v>
      </c>
      <c r="D86" s="177">
        <v>0</v>
      </c>
      <c r="E86" s="180">
        <f>IFERROR(_xlfn.XLOOKUP(Table4[[#This Row],[Subnummer]],Table3[Sub],Table3[Verz. Waarde Oud:]),0)</f>
        <v>0</v>
      </c>
      <c r="F86" s="165">
        <v>0</v>
      </c>
      <c r="G86" s="165">
        <v>0</v>
      </c>
      <c r="H86" s="165">
        <v>0</v>
      </c>
      <c r="I86" s="165">
        <v>0</v>
      </c>
      <c r="J86" s="165">
        <f t="shared" si="27"/>
        <v>0</v>
      </c>
      <c r="K86" s="181">
        <f t="shared" si="28"/>
        <v>0</v>
      </c>
      <c r="L86" s="183">
        <v>44562</v>
      </c>
      <c r="M86" s="166">
        <v>44927</v>
      </c>
      <c r="N86" s="164">
        <f t="shared" si="29"/>
        <v>365</v>
      </c>
      <c r="O86" s="164">
        <v>365</v>
      </c>
      <c r="P86" s="175" t="s">
        <v>104</v>
      </c>
      <c r="Q86" s="186">
        <f t="shared" si="30"/>
        <v>0</v>
      </c>
      <c r="R86" s="165" cm="1">
        <f t="array" ref="R86">_xlfn.IFS($P86="Nee",G86*$N86/$O86,$P86="Ja",G86*0.5)</f>
        <v>0</v>
      </c>
      <c r="S86" s="165" cm="1">
        <f t="array" ref="S86">_xlfn.IFS($P86="Nee",-(H86*$N86/$O86),$P86="Ja",-(H86*0.5))</f>
        <v>0</v>
      </c>
      <c r="T86" s="165">
        <f t="shared" si="31"/>
        <v>0</v>
      </c>
      <c r="U86" s="187">
        <f t="shared" si="32"/>
        <v>0</v>
      </c>
      <c r="V86" s="191">
        <f>IFERROR(_xlfn.XLOOKUP(Table4[[#This Row],[Subnummer]],Table3[Sub],Table3[Promillage 1]),0)</f>
        <v>0</v>
      </c>
      <c r="W86" s="167">
        <f>IFERROR(_xlfn.XLOOKUP(Table4[[#This Row],[Subnummer]],Table3[Sub],Table3[Promillage 2]),0)</f>
        <v>0</v>
      </c>
      <c r="X86" s="167">
        <f>IFERROR(_xlfn.XLOOKUP(Table4[[#This Row],[Subnummer]],Table3[Sub],Table3[Promillage 3]),0)</f>
        <v>0</v>
      </c>
      <c r="Y86" s="167">
        <f>IFERROR(_xlfn.XLOOKUP(Table4[[#This Row],[Subnummer]],Table3[Sub],Table3[Promillage 4]),0)</f>
        <v>0</v>
      </c>
      <c r="Z86" s="167">
        <f>IFERROR(_xlfn.XLOOKUP(Table4[[#This Row],[Subnummer]],Table3[Sub],#REF!),0)</f>
        <v>0</v>
      </c>
      <c r="AA86" s="167">
        <f>IFERROR(_xlfn.XLOOKUP(Table4[[#This Row],[Subnummer]],Table3[Sub],#REF!),0)</f>
        <v>0</v>
      </c>
      <c r="AB86" s="167">
        <f>IFERROR(_xlfn.XLOOKUP(Table4[[#This Row],[Subnummer]],Table3[Sub],#REF!),0)</f>
        <v>0</v>
      </c>
      <c r="AC86" s="167">
        <f>IFERROR(_xlfn.XLOOKUP(Table4[[#This Row],[Subnummer]],Table3[Sub],#REF!),0)</f>
        <v>0</v>
      </c>
      <c r="AD86" s="167">
        <f>IFERROR(_xlfn.XLOOKUP(Table4[[#This Row],[Subnummer]],Table3[Sub],#REF!),0)</f>
        <v>0</v>
      </c>
      <c r="AE86" s="167">
        <f>IFERROR(_xlfn.XLOOKUP(Table4[[#This Row],[Subnummer]],Table3[Sub],#REF!),0)</f>
        <v>0</v>
      </c>
      <c r="AF86" s="189">
        <f t="shared" si="33"/>
        <v>0</v>
      </c>
      <c r="AG86" s="189">
        <f t="shared" si="34"/>
        <v>0</v>
      </c>
      <c r="AH86" s="189">
        <f t="shared" si="35"/>
        <v>0</v>
      </c>
      <c r="AI86" s="189">
        <f t="shared" si="36"/>
        <v>0</v>
      </c>
      <c r="AJ86" s="189" t="e">
        <f t="shared" si="37"/>
        <v>#REF!</v>
      </c>
      <c r="AK86" s="189" t="e">
        <f t="shared" si="38"/>
        <v>#REF!</v>
      </c>
      <c r="AL86" s="189" t="e">
        <f t="shared" si="39"/>
        <v>#REF!</v>
      </c>
      <c r="AM86" s="189" t="e">
        <f t="shared" si="40"/>
        <v>#REF!</v>
      </c>
      <c r="AN86" s="189" t="e">
        <f t="shared" si="41"/>
        <v>#REF!</v>
      </c>
      <c r="AO86" s="189" t="e">
        <f t="shared" si="42"/>
        <v>#REF!</v>
      </c>
      <c r="AP86" s="165" t="e">
        <f t="shared" si="43"/>
        <v>#REF!</v>
      </c>
      <c r="AQ86" s="175" t="e" cm="1">
        <f t="array" ref="AQ86">_xlfn.IFS(AP86=0,"Nihil",AP86&gt;0,"Suppletie",AP86&lt;0,"Restitutie")</f>
        <v>#REF!</v>
      </c>
    </row>
    <row r="87" spans="1:43" x14ac:dyDescent="0.25">
      <c r="A87" s="174" t="str">
        <f>IFERROR(_xlfn.XLOOKUP(D87,Table3[Sub],Table3[Verzekerde]),"-")</f>
        <v>-</v>
      </c>
      <c r="B87" s="164"/>
      <c r="C87" s="164" t="str">
        <f>IFERROR(_xlfn.XLOOKUP(Table4[[#This Row],[Subnummer]],Table3[Sub],Table3[Certificaat]),"-")</f>
        <v>-</v>
      </c>
      <c r="D87" s="177">
        <v>0</v>
      </c>
      <c r="E87" s="180">
        <f>IFERROR(_xlfn.XLOOKUP(Table4[[#This Row],[Subnummer]],Table3[Sub],Table3[Verz. Waarde Oud:]),0)</f>
        <v>0</v>
      </c>
      <c r="F87" s="165">
        <v>0</v>
      </c>
      <c r="G87" s="165">
        <v>0</v>
      </c>
      <c r="H87" s="165">
        <v>0</v>
      </c>
      <c r="I87" s="165">
        <v>0</v>
      </c>
      <c r="J87" s="165">
        <f t="shared" si="27"/>
        <v>0</v>
      </c>
      <c r="K87" s="181">
        <f t="shared" si="28"/>
        <v>0</v>
      </c>
      <c r="L87" s="183">
        <v>44562</v>
      </c>
      <c r="M87" s="166">
        <v>44927</v>
      </c>
      <c r="N87" s="164">
        <f t="shared" si="29"/>
        <v>365</v>
      </c>
      <c r="O87" s="164">
        <v>365</v>
      </c>
      <c r="P87" s="175" t="s">
        <v>104</v>
      </c>
      <c r="Q87" s="186">
        <f t="shared" si="30"/>
        <v>0</v>
      </c>
      <c r="R87" s="165" cm="1">
        <f t="array" ref="R87">_xlfn.IFS($P87="Nee",G87*$N87/$O87,$P87="Ja",G87*0.5)</f>
        <v>0</v>
      </c>
      <c r="S87" s="165" cm="1">
        <f t="array" ref="S87">_xlfn.IFS($P87="Nee",-(H87*$N87/$O87),$P87="Ja",-(H87*0.5))</f>
        <v>0</v>
      </c>
      <c r="T87" s="165">
        <f t="shared" si="31"/>
        <v>0</v>
      </c>
      <c r="U87" s="187">
        <f t="shared" si="32"/>
        <v>0</v>
      </c>
      <c r="V87" s="191">
        <f>IFERROR(_xlfn.XLOOKUP(Table4[[#This Row],[Subnummer]],Table3[Sub],Table3[Promillage 1]),0)</f>
        <v>0</v>
      </c>
      <c r="W87" s="167">
        <f>IFERROR(_xlfn.XLOOKUP(Table4[[#This Row],[Subnummer]],Table3[Sub],Table3[Promillage 2]),0)</f>
        <v>0</v>
      </c>
      <c r="X87" s="167">
        <f>IFERROR(_xlfn.XLOOKUP(Table4[[#This Row],[Subnummer]],Table3[Sub],Table3[Promillage 3]),0)</f>
        <v>0</v>
      </c>
      <c r="Y87" s="167">
        <f>IFERROR(_xlfn.XLOOKUP(Table4[[#This Row],[Subnummer]],Table3[Sub],Table3[Promillage 4]),0)</f>
        <v>0</v>
      </c>
      <c r="Z87" s="167">
        <f>IFERROR(_xlfn.XLOOKUP(Table4[[#This Row],[Subnummer]],Table3[Sub],#REF!),0)</f>
        <v>0</v>
      </c>
      <c r="AA87" s="167">
        <f>IFERROR(_xlfn.XLOOKUP(Table4[[#This Row],[Subnummer]],Table3[Sub],#REF!),0)</f>
        <v>0</v>
      </c>
      <c r="AB87" s="167">
        <f>IFERROR(_xlfn.XLOOKUP(Table4[[#This Row],[Subnummer]],Table3[Sub],#REF!),0)</f>
        <v>0</v>
      </c>
      <c r="AC87" s="167">
        <f>IFERROR(_xlfn.XLOOKUP(Table4[[#This Row],[Subnummer]],Table3[Sub],#REF!),0)</f>
        <v>0</v>
      </c>
      <c r="AD87" s="167">
        <f>IFERROR(_xlfn.XLOOKUP(Table4[[#This Row],[Subnummer]],Table3[Sub],#REF!),0)</f>
        <v>0</v>
      </c>
      <c r="AE87" s="167">
        <f>IFERROR(_xlfn.XLOOKUP(Table4[[#This Row],[Subnummer]],Table3[Sub],#REF!),0)</f>
        <v>0</v>
      </c>
      <c r="AF87" s="189">
        <f t="shared" si="33"/>
        <v>0</v>
      </c>
      <c r="AG87" s="189">
        <f t="shared" si="34"/>
        <v>0</v>
      </c>
      <c r="AH87" s="189">
        <f t="shared" si="35"/>
        <v>0</v>
      </c>
      <c r="AI87" s="189">
        <f t="shared" si="36"/>
        <v>0</v>
      </c>
      <c r="AJ87" s="189" t="e">
        <f t="shared" si="37"/>
        <v>#REF!</v>
      </c>
      <c r="AK87" s="189" t="e">
        <f t="shared" si="38"/>
        <v>#REF!</v>
      </c>
      <c r="AL87" s="189" t="e">
        <f t="shared" si="39"/>
        <v>#REF!</v>
      </c>
      <c r="AM87" s="189" t="e">
        <f t="shared" si="40"/>
        <v>#REF!</v>
      </c>
      <c r="AN87" s="189" t="e">
        <f t="shared" si="41"/>
        <v>#REF!</v>
      </c>
      <c r="AO87" s="189" t="e">
        <f t="shared" si="42"/>
        <v>#REF!</v>
      </c>
      <c r="AP87" s="165" t="e">
        <f t="shared" si="43"/>
        <v>#REF!</v>
      </c>
      <c r="AQ87" s="175" t="e" cm="1">
        <f t="array" ref="AQ87">_xlfn.IFS(AP87=0,"Nihil",AP87&gt;0,"Suppletie",AP87&lt;0,"Restitutie")</f>
        <v>#REF!</v>
      </c>
    </row>
    <row r="88" spans="1:43" x14ac:dyDescent="0.25">
      <c r="A88" s="174" t="str">
        <f>IFERROR(_xlfn.XLOOKUP(D88,Table3[Sub],Table3[Verzekerde]),"-")</f>
        <v>-</v>
      </c>
      <c r="B88" s="164"/>
      <c r="C88" s="164" t="str">
        <f>IFERROR(_xlfn.XLOOKUP(Table4[[#This Row],[Subnummer]],Table3[Sub],Table3[Certificaat]),"-")</f>
        <v>-</v>
      </c>
      <c r="D88" s="177">
        <v>0</v>
      </c>
      <c r="E88" s="180">
        <f>IFERROR(_xlfn.XLOOKUP(Table4[[#This Row],[Subnummer]],Table3[Sub],Table3[Verz. Waarde Oud:]),0)</f>
        <v>0</v>
      </c>
      <c r="F88" s="165">
        <v>0</v>
      </c>
      <c r="G88" s="165">
        <v>0</v>
      </c>
      <c r="H88" s="165">
        <v>0</v>
      </c>
      <c r="I88" s="165">
        <v>0</v>
      </c>
      <c r="J88" s="165">
        <f t="shared" si="27"/>
        <v>0</v>
      </c>
      <c r="K88" s="181">
        <f t="shared" si="28"/>
        <v>0</v>
      </c>
      <c r="L88" s="183">
        <v>44562</v>
      </c>
      <c r="M88" s="166">
        <v>44927</v>
      </c>
      <c r="N88" s="164">
        <f t="shared" si="29"/>
        <v>365</v>
      </c>
      <c r="O88" s="164">
        <v>365</v>
      </c>
      <c r="P88" s="175" t="s">
        <v>104</v>
      </c>
      <c r="Q88" s="186">
        <f t="shared" si="30"/>
        <v>0</v>
      </c>
      <c r="R88" s="165" cm="1">
        <f t="array" ref="R88">_xlfn.IFS($P88="Nee",G88*$N88/$O88,$P88="Ja",G88*0.5)</f>
        <v>0</v>
      </c>
      <c r="S88" s="165" cm="1">
        <f t="array" ref="S88">_xlfn.IFS($P88="Nee",-(H88*$N88/$O88),$P88="Ja",-(H88*0.5))</f>
        <v>0</v>
      </c>
      <c r="T88" s="165">
        <f t="shared" si="31"/>
        <v>0</v>
      </c>
      <c r="U88" s="187">
        <f t="shared" si="32"/>
        <v>0</v>
      </c>
      <c r="V88" s="191">
        <f>IFERROR(_xlfn.XLOOKUP(Table4[[#This Row],[Subnummer]],Table3[Sub],Table3[Promillage 1]),0)</f>
        <v>0</v>
      </c>
      <c r="W88" s="167">
        <f>IFERROR(_xlfn.XLOOKUP(Table4[[#This Row],[Subnummer]],Table3[Sub],Table3[Promillage 2]),0)</f>
        <v>0</v>
      </c>
      <c r="X88" s="167">
        <f>IFERROR(_xlfn.XLOOKUP(Table4[[#This Row],[Subnummer]],Table3[Sub],Table3[Promillage 3]),0)</f>
        <v>0</v>
      </c>
      <c r="Y88" s="167">
        <f>IFERROR(_xlfn.XLOOKUP(Table4[[#This Row],[Subnummer]],Table3[Sub],Table3[Promillage 4]),0)</f>
        <v>0</v>
      </c>
      <c r="Z88" s="167">
        <f>IFERROR(_xlfn.XLOOKUP(Table4[[#This Row],[Subnummer]],Table3[Sub],#REF!),0)</f>
        <v>0</v>
      </c>
      <c r="AA88" s="167">
        <f>IFERROR(_xlfn.XLOOKUP(Table4[[#This Row],[Subnummer]],Table3[Sub],#REF!),0)</f>
        <v>0</v>
      </c>
      <c r="AB88" s="167">
        <f>IFERROR(_xlfn.XLOOKUP(Table4[[#This Row],[Subnummer]],Table3[Sub],#REF!),0)</f>
        <v>0</v>
      </c>
      <c r="AC88" s="167">
        <f>IFERROR(_xlfn.XLOOKUP(Table4[[#This Row],[Subnummer]],Table3[Sub],#REF!),0)</f>
        <v>0</v>
      </c>
      <c r="AD88" s="167">
        <f>IFERROR(_xlfn.XLOOKUP(Table4[[#This Row],[Subnummer]],Table3[Sub],#REF!),0)</f>
        <v>0</v>
      </c>
      <c r="AE88" s="167">
        <f>IFERROR(_xlfn.XLOOKUP(Table4[[#This Row],[Subnummer]],Table3[Sub],#REF!),0)</f>
        <v>0</v>
      </c>
      <c r="AF88" s="189">
        <f t="shared" si="33"/>
        <v>0</v>
      </c>
      <c r="AG88" s="189">
        <f t="shared" si="34"/>
        <v>0</v>
      </c>
      <c r="AH88" s="189">
        <f t="shared" si="35"/>
        <v>0</v>
      </c>
      <c r="AI88" s="189">
        <f t="shared" si="36"/>
        <v>0</v>
      </c>
      <c r="AJ88" s="189" t="e">
        <f t="shared" si="37"/>
        <v>#REF!</v>
      </c>
      <c r="AK88" s="189" t="e">
        <f t="shared" si="38"/>
        <v>#REF!</v>
      </c>
      <c r="AL88" s="189" t="e">
        <f t="shared" si="39"/>
        <v>#REF!</v>
      </c>
      <c r="AM88" s="189" t="e">
        <f t="shared" si="40"/>
        <v>#REF!</v>
      </c>
      <c r="AN88" s="189" t="e">
        <f t="shared" si="41"/>
        <v>#REF!</v>
      </c>
      <c r="AO88" s="189" t="e">
        <f t="shared" si="42"/>
        <v>#REF!</v>
      </c>
      <c r="AP88" s="165" t="e">
        <f t="shared" si="43"/>
        <v>#REF!</v>
      </c>
      <c r="AQ88" s="175" t="e" cm="1">
        <f t="array" ref="AQ88">_xlfn.IFS(AP88=0,"Nihil",AP88&gt;0,"Suppletie",AP88&lt;0,"Restitutie")</f>
        <v>#REF!</v>
      </c>
    </row>
    <row r="89" spans="1:43" x14ac:dyDescent="0.25">
      <c r="A89" s="174" t="str">
        <f>IFERROR(_xlfn.XLOOKUP(D89,Table3[Sub],Table3[Verzekerde]),"-")</f>
        <v>-</v>
      </c>
      <c r="B89" s="164"/>
      <c r="C89" s="164" t="str">
        <f>IFERROR(_xlfn.XLOOKUP(Table4[[#This Row],[Subnummer]],Table3[Sub],Table3[Certificaat]),"-")</f>
        <v>-</v>
      </c>
      <c r="D89" s="177">
        <v>0</v>
      </c>
      <c r="E89" s="180">
        <f>IFERROR(_xlfn.XLOOKUP(Table4[[#This Row],[Subnummer]],Table3[Sub],Table3[Verz. Waarde Oud:]),0)</f>
        <v>0</v>
      </c>
      <c r="F89" s="165">
        <v>0</v>
      </c>
      <c r="G89" s="165">
        <v>0</v>
      </c>
      <c r="H89" s="165">
        <v>0</v>
      </c>
      <c r="I89" s="165">
        <v>0</v>
      </c>
      <c r="J89" s="165">
        <f t="shared" si="27"/>
        <v>0</v>
      </c>
      <c r="K89" s="181">
        <f t="shared" si="28"/>
        <v>0</v>
      </c>
      <c r="L89" s="183">
        <v>44562</v>
      </c>
      <c r="M89" s="166">
        <v>44927</v>
      </c>
      <c r="N89" s="164">
        <f t="shared" si="29"/>
        <v>365</v>
      </c>
      <c r="O89" s="164">
        <v>365</v>
      </c>
      <c r="P89" s="175" t="s">
        <v>104</v>
      </c>
      <c r="Q89" s="186">
        <f t="shared" si="30"/>
        <v>0</v>
      </c>
      <c r="R89" s="165" cm="1">
        <f t="array" ref="R89">_xlfn.IFS($P89="Nee",G89*$N89/$O89,$P89="Ja",G89*0.5)</f>
        <v>0</v>
      </c>
      <c r="S89" s="165" cm="1">
        <f t="array" ref="S89">_xlfn.IFS($P89="Nee",-(H89*$N89/$O89),$P89="Ja",-(H89*0.5))</f>
        <v>0</v>
      </c>
      <c r="T89" s="165">
        <f t="shared" si="31"/>
        <v>0</v>
      </c>
      <c r="U89" s="187">
        <f t="shared" si="32"/>
        <v>0</v>
      </c>
      <c r="V89" s="191">
        <f>IFERROR(_xlfn.XLOOKUP(Table4[[#This Row],[Subnummer]],Table3[Sub],Table3[Promillage 1]),0)</f>
        <v>0</v>
      </c>
      <c r="W89" s="167">
        <f>IFERROR(_xlfn.XLOOKUP(Table4[[#This Row],[Subnummer]],Table3[Sub],Table3[Promillage 2]),0)</f>
        <v>0</v>
      </c>
      <c r="X89" s="167">
        <f>IFERROR(_xlfn.XLOOKUP(Table4[[#This Row],[Subnummer]],Table3[Sub],Table3[Promillage 3]),0)</f>
        <v>0</v>
      </c>
      <c r="Y89" s="167">
        <f>IFERROR(_xlfn.XLOOKUP(Table4[[#This Row],[Subnummer]],Table3[Sub],Table3[Promillage 4]),0)</f>
        <v>0</v>
      </c>
      <c r="Z89" s="167">
        <f>IFERROR(_xlfn.XLOOKUP(Table4[[#This Row],[Subnummer]],Table3[Sub],#REF!),0)</f>
        <v>0</v>
      </c>
      <c r="AA89" s="167">
        <f>IFERROR(_xlfn.XLOOKUP(Table4[[#This Row],[Subnummer]],Table3[Sub],#REF!),0)</f>
        <v>0</v>
      </c>
      <c r="AB89" s="167">
        <f>IFERROR(_xlfn.XLOOKUP(Table4[[#This Row],[Subnummer]],Table3[Sub],#REF!),0)</f>
        <v>0</v>
      </c>
      <c r="AC89" s="167">
        <f>IFERROR(_xlfn.XLOOKUP(Table4[[#This Row],[Subnummer]],Table3[Sub],#REF!),0)</f>
        <v>0</v>
      </c>
      <c r="AD89" s="167">
        <f>IFERROR(_xlfn.XLOOKUP(Table4[[#This Row],[Subnummer]],Table3[Sub],#REF!),0)</f>
        <v>0</v>
      </c>
      <c r="AE89" s="167">
        <f>IFERROR(_xlfn.XLOOKUP(Table4[[#This Row],[Subnummer]],Table3[Sub],#REF!),0)</f>
        <v>0</v>
      </c>
      <c r="AF89" s="189">
        <f t="shared" si="33"/>
        <v>0</v>
      </c>
      <c r="AG89" s="189">
        <f t="shared" si="34"/>
        <v>0</v>
      </c>
      <c r="AH89" s="189">
        <f t="shared" si="35"/>
        <v>0</v>
      </c>
      <c r="AI89" s="189">
        <f t="shared" si="36"/>
        <v>0</v>
      </c>
      <c r="AJ89" s="189" t="e">
        <f t="shared" si="37"/>
        <v>#REF!</v>
      </c>
      <c r="AK89" s="189" t="e">
        <f t="shared" si="38"/>
        <v>#REF!</v>
      </c>
      <c r="AL89" s="189" t="e">
        <f t="shared" si="39"/>
        <v>#REF!</v>
      </c>
      <c r="AM89" s="189" t="e">
        <f t="shared" si="40"/>
        <v>#REF!</v>
      </c>
      <c r="AN89" s="189" t="e">
        <f t="shared" si="41"/>
        <v>#REF!</v>
      </c>
      <c r="AO89" s="189" t="e">
        <f t="shared" si="42"/>
        <v>#REF!</v>
      </c>
      <c r="AP89" s="165" t="e">
        <f t="shared" si="43"/>
        <v>#REF!</v>
      </c>
      <c r="AQ89" s="175" t="e" cm="1">
        <f t="array" ref="AQ89">_xlfn.IFS(AP89=0,"Nihil",AP89&gt;0,"Suppletie",AP89&lt;0,"Restitutie")</f>
        <v>#REF!</v>
      </c>
    </row>
    <row r="90" spans="1:43" x14ac:dyDescent="0.25">
      <c r="A90" s="174" t="str">
        <f>IFERROR(_xlfn.XLOOKUP(D90,Table3[Sub],Table3[Verzekerde]),"-")</f>
        <v>-</v>
      </c>
      <c r="B90" s="164"/>
      <c r="C90" s="164" t="str">
        <f>IFERROR(_xlfn.XLOOKUP(Table4[[#This Row],[Subnummer]],Table3[Sub],Table3[Certificaat]),"-")</f>
        <v>-</v>
      </c>
      <c r="D90" s="177">
        <v>0</v>
      </c>
      <c r="E90" s="180">
        <f>IFERROR(_xlfn.XLOOKUP(Table4[[#This Row],[Subnummer]],Table3[Sub],Table3[Verz. Waarde Oud:]),0)</f>
        <v>0</v>
      </c>
      <c r="F90" s="165">
        <v>0</v>
      </c>
      <c r="G90" s="165">
        <v>0</v>
      </c>
      <c r="H90" s="165">
        <v>0</v>
      </c>
      <c r="I90" s="165">
        <v>0</v>
      </c>
      <c r="J90" s="165">
        <f t="shared" si="27"/>
        <v>0</v>
      </c>
      <c r="K90" s="181">
        <f t="shared" si="28"/>
        <v>0</v>
      </c>
      <c r="L90" s="183">
        <v>44562</v>
      </c>
      <c r="M90" s="166">
        <v>44927</v>
      </c>
      <c r="N90" s="164">
        <f t="shared" si="29"/>
        <v>365</v>
      </c>
      <c r="O90" s="164">
        <v>365</v>
      </c>
      <c r="P90" s="175" t="s">
        <v>104</v>
      </c>
      <c r="Q90" s="186">
        <f t="shared" si="30"/>
        <v>0</v>
      </c>
      <c r="R90" s="165" cm="1">
        <f t="array" ref="R90">_xlfn.IFS($P90="Nee",G90*$N90/$O90,$P90="Ja",G90*0.5)</f>
        <v>0</v>
      </c>
      <c r="S90" s="165" cm="1">
        <f t="array" ref="S90">_xlfn.IFS($P90="Nee",-(H90*$N90/$O90),$P90="Ja",-(H90*0.5))</f>
        <v>0</v>
      </c>
      <c r="T90" s="165">
        <f t="shared" si="31"/>
        <v>0</v>
      </c>
      <c r="U90" s="187">
        <f t="shared" si="32"/>
        <v>0</v>
      </c>
      <c r="V90" s="191">
        <f>IFERROR(_xlfn.XLOOKUP(Table4[[#This Row],[Subnummer]],Table3[Sub],Table3[Promillage 1]),0)</f>
        <v>0</v>
      </c>
      <c r="W90" s="167">
        <f>IFERROR(_xlfn.XLOOKUP(Table4[[#This Row],[Subnummer]],Table3[Sub],Table3[Promillage 2]),0)</f>
        <v>0</v>
      </c>
      <c r="X90" s="167">
        <f>IFERROR(_xlfn.XLOOKUP(Table4[[#This Row],[Subnummer]],Table3[Sub],Table3[Promillage 3]),0)</f>
        <v>0</v>
      </c>
      <c r="Y90" s="167">
        <f>IFERROR(_xlfn.XLOOKUP(Table4[[#This Row],[Subnummer]],Table3[Sub],Table3[Promillage 4]),0)</f>
        <v>0</v>
      </c>
      <c r="Z90" s="167">
        <f>IFERROR(_xlfn.XLOOKUP(Table4[[#This Row],[Subnummer]],Table3[Sub],#REF!),0)</f>
        <v>0</v>
      </c>
      <c r="AA90" s="167">
        <f>IFERROR(_xlfn.XLOOKUP(Table4[[#This Row],[Subnummer]],Table3[Sub],#REF!),0)</f>
        <v>0</v>
      </c>
      <c r="AB90" s="167">
        <f>IFERROR(_xlfn.XLOOKUP(Table4[[#This Row],[Subnummer]],Table3[Sub],#REF!),0)</f>
        <v>0</v>
      </c>
      <c r="AC90" s="167">
        <f>IFERROR(_xlfn.XLOOKUP(Table4[[#This Row],[Subnummer]],Table3[Sub],#REF!),0)</f>
        <v>0</v>
      </c>
      <c r="AD90" s="167">
        <f>IFERROR(_xlfn.XLOOKUP(Table4[[#This Row],[Subnummer]],Table3[Sub],#REF!),0)</f>
        <v>0</v>
      </c>
      <c r="AE90" s="167">
        <f>IFERROR(_xlfn.XLOOKUP(Table4[[#This Row],[Subnummer]],Table3[Sub],#REF!),0)</f>
        <v>0</v>
      </c>
      <c r="AF90" s="189">
        <f t="shared" si="33"/>
        <v>0</v>
      </c>
      <c r="AG90" s="189">
        <f t="shared" si="34"/>
        <v>0</v>
      </c>
      <c r="AH90" s="189">
        <f t="shared" si="35"/>
        <v>0</v>
      </c>
      <c r="AI90" s="189">
        <f t="shared" si="36"/>
        <v>0</v>
      </c>
      <c r="AJ90" s="189" t="e">
        <f t="shared" si="37"/>
        <v>#REF!</v>
      </c>
      <c r="AK90" s="189" t="e">
        <f t="shared" si="38"/>
        <v>#REF!</v>
      </c>
      <c r="AL90" s="189" t="e">
        <f t="shared" si="39"/>
        <v>#REF!</v>
      </c>
      <c r="AM90" s="189" t="e">
        <f t="shared" si="40"/>
        <v>#REF!</v>
      </c>
      <c r="AN90" s="189" t="e">
        <f t="shared" si="41"/>
        <v>#REF!</v>
      </c>
      <c r="AO90" s="189" t="e">
        <f t="shared" si="42"/>
        <v>#REF!</v>
      </c>
      <c r="AP90" s="165" t="e">
        <f t="shared" si="43"/>
        <v>#REF!</v>
      </c>
      <c r="AQ90" s="175" t="e" cm="1">
        <f t="array" ref="AQ90">_xlfn.IFS(AP90=0,"Nihil",AP90&gt;0,"Suppletie",AP90&lt;0,"Restitutie")</f>
        <v>#REF!</v>
      </c>
    </row>
    <row r="91" spans="1:43" x14ac:dyDescent="0.25">
      <c r="A91" s="174" t="str">
        <f>IFERROR(_xlfn.XLOOKUP(D91,Table3[Sub],Table3[Verzekerde]),"-")</f>
        <v>-</v>
      </c>
      <c r="B91" s="164"/>
      <c r="C91" s="164" t="str">
        <f>IFERROR(_xlfn.XLOOKUP(Table4[[#This Row],[Subnummer]],Table3[Sub],Table3[Certificaat]),"-")</f>
        <v>-</v>
      </c>
      <c r="D91" s="177">
        <v>0</v>
      </c>
      <c r="E91" s="180">
        <f>IFERROR(_xlfn.XLOOKUP(Table4[[#This Row],[Subnummer]],Table3[Sub],Table3[Verz. Waarde Oud:]),0)</f>
        <v>0</v>
      </c>
      <c r="F91" s="165">
        <v>0</v>
      </c>
      <c r="G91" s="165">
        <v>0</v>
      </c>
      <c r="H91" s="165">
        <v>0</v>
      </c>
      <c r="I91" s="165">
        <v>0</v>
      </c>
      <c r="J91" s="165">
        <f t="shared" si="27"/>
        <v>0</v>
      </c>
      <c r="K91" s="181">
        <f t="shared" si="28"/>
        <v>0</v>
      </c>
      <c r="L91" s="183">
        <v>44562</v>
      </c>
      <c r="M91" s="166">
        <v>44927</v>
      </c>
      <c r="N91" s="164">
        <f t="shared" si="29"/>
        <v>365</v>
      </c>
      <c r="O91" s="164">
        <v>365</v>
      </c>
      <c r="P91" s="175" t="s">
        <v>104</v>
      </c>
      <c r="Q91" s="186">
        <f t="shared" si="30"/>
        <v>0</v>
      </c>
      <c r="R91" s="165" cm="1">
        <f t="array" ref="R91">_xlfn.IFS($P91="Nee",G91*$N91/$O91,$P91="Ja",G91*0.5)</f>
        <v>0</v>
      </c>
      <c r="S91" s="165" cm="1">
        <f t="array" ref="S91">_xlfn.IFS($P91="Nee",-(H91*$N91/$O91),$P91="Ja",-(H91*0.5))</f>
        <v>0</v>
      </c>
      <c r="T91" s="165">
        <f t="shared" si="31"/>
        <v>0</v>
      </c>
      <c r="U91" s="187">
        <f t="shared" si="32"/>
        <v>0</v>
      </c>
      <c r="V91" s="191">
        <f>IFERROR(_xlfn.XLOOKUP(Table4[[#This Row],[Subnummer]],Table3[Sub],Table3[Promillage 1]),0)</f>
        <v>0</v>
      </c>
      <c r="W91" s="167">
        <f>IFERROR(_xlfn.XLOOKUP(Table4[[#This Row],[Subnummer]],Table3[Sub],Table3[Promillage 2]),0)</f>
        <v>0</v>
      </c>
      <c r="X91" s="167">
        <f>IFERROR(_xlfn.XLOOKUP(Table4[[#This Row],[Subnummer]],Table3[Sub],Table3[Promillage 3]),0)</f>
        <v>0</v>
      </c>
      <c r="Y91" s="167">
        <f>IFERROR(_xlfn.XLOOKUP(Table4[[#This Row],[Subnummer]],Table3[Sub],Table3[Promillage 4]),0)</f>
        <v>0</v>
      </c>
      <c r="Z91" s="167">
        <f>IFERROR(_xlfn.XLOOKUP(Table4[[#This Row],[Subnummer]],Table3[Sub],#REF!),0)</f>
        <v>0</v>
      </c>
      <c r="AA91" s="167">
        <f>IFERROR(_xlfn.XLOOKUP(Table4[[#This Row],[Subnummer]],Table3[Sub],#REF!),0)</f>
        <v>0</v>
      </c>
      <c r="AB91" s="167">
        <f>IFERROR(_xlfn.XLOOKUP(Table4[[#This Row],[Subnummer]],Table3[Sub],#REF!),0)</f>
        <v>0</v>
      </c>
      <c r="AC91" s="167">
        <f>IFERROR(_xlfn.XLOOKUP(Table4[[#This Row],[Subnummer]],Table3[Sub],#REF!),0)</f>
        <v>0</v>
      </c>
      <c r="AD91" s="167">
        <f>IFERROR(_xlfn.XLOOKUP(Table4[[#This Row],[Subnummer]],Table3[Sub],#REF!),0)</f>
        <v>0</v>
      </c>
      <c r="AE91" s="167">
        <f>IFERROR(_xlfn.XLOOKUP(Table4[[#This Row],[Subnummer]],Table3[Sub],#REF!),0)</f>
        <v>0</v>
      </c>
      <c r="AF91" s="189">
        <f t="shared" si="33"/>
        <v>0</v>
      </c>
      <c r="AG91" s="189">
        <f t="shared" si="34"/>
        <v>0</v>
      </c>
      <c r="AH91" s="189">
        <f t="shared" si="35"/>
        <v>0</v>
      </c>
      <c r="AI91" s="189">
        <f t="shared" si="36"/>
        <v>0</v>
      </c>
      <c r="AJ91" s="189" t="e">
        <f t="shared" si="37"/>
        <v>#REF!</v>
      </c>
      <c r="AK91" s="189" t="e">
        <f t="shared" si="38"/>
        <v>#REF!</v>
      </c>
      <c r="AL91" s="189" t="e">
        <f t="shared" si="39"/>
        <v>#REF!</v>
      </c>
      <c r="AM91" s="189" t="e">
        <f t="shared" si="40"/>
        <v>#REF!</v>
      </c>
      <c r="AN91" s="189" t="e">
        <f t="shared" si="41"/>
        <v>#REF!</v>
      </c>
      <c r="AO91" s="189" t="e">
        <f t="shared" si="42"/>
        <v>#REF!</v>
      </c>
      <c r="AP91" s="165" t="e">
        <f t="shared" si="43"/>
        <v>#REF!</v>
      </c>
      <c r="AQ91" s="175" t="e" cm="1">
        <f t="array" ref="AQ91">_xlfn.IFS(AP91=0,"Nihil",AP91&gt;0,"Suppletie",AP91&lt;0,"Restitutie")</f>
        <v>#REF!</v>
      </c>
    </row>
    <row r="92" spans="1:43" x14ac:dyDescent="0.25">
      <c r="A92" s="174" t="str">
        <f>IFERROR(_xlfn.XLOOKUP(D92,Table3[Sub],Table3[Verzekerde]),"-")</f>
        <v>-</v>
      </c>
      <c r="B92" s="164"/>
      <c r="C92" s="164" t="str">
        <f>IFERROR(_xlfn.XLOOKUP(Table4[[#This Row],[Subnummer]],Table3[Sub],Table3[Certificaat]),"-")</f>
        <v>-</v>
      </c>
      <c r="D92" s="177">
        <v>0</v>
      </c>
      <c r="E92" s="180">
        <f>IFERROR(_xlfn.XLOOKUP(Table4[[#This Row],[Subnummer]],Table3[Sub],Table3[Verz. Waarde Oud:]),0)</f>
        <v>0</v>
      </c>
      <c r="F92" s="165">
        <v>0</v>
      </c>
      <c r="G92" s="165">
        <v>0</v>
      </c>
      <c r="H92" s="165">
        <v>0</v>
      </c>
      <c r="I92" s="165">
        <v>0</v>
      </c>
      <c r="J92" s="165">
        <f t="shared" si="27"/>
        <v>0</v>
      </c>
      <c r="K92" s="181">
        <f t="shared" si="28"/>
        <v>0</v>
      </c>
      <c r="L92" s="183">
        <v>44562</v>
      </c>
      <c r="M92" s="166">
        <v>44927</v>
      </c>
      <c r="N92" s="164">
        <f t="shared" si="29"/>
        <v>365</v>
      </c>
      <c r="O92" s="164">
        <v>365</v>
      </c>
      <c r="P92" s="175" t="s">
        <v>104</v>
      </c>
      <c r="Q92" s="186">
        <f t="shared" si="30"/>
        <v>0</v>
      </c>
      <c r="R92" s="165" cm="1">
        <f t="array" ref="R92">_xlfn.IFS($P92="Nee",G92*$N92/$O92,$P92="Ja",G92*0.5)</f>
        <v>0</v>
      </c>
      <c r="S92" s="165" cm="1">
        <f t="array" ref="S92">_xlfn.IFS($P92="Nee",-(H92*$N92/$O92),$P92="Ja",-(H92*0.5))</f>
        <v>0</v>
      </c>
      <c r="T92" s="165">
        <f t="shared" si="31"/>
        <v>0</v>
      </c>
      <c r="U92" s="187">
        <f t="shared" si="32"/>
        <v>0</v>
      </c>
      <c r="V92" s="191">
        <f>IFERROR(_xlfn.XLOOKUP(Table4[[#This Row],[Subnummer]],Table3[Sub],Table3[Promillage 1]),0)</f>
        <v>0</v>
      </c>
      <c r="W92" s="167">
        <f>IFERROR(_xlfn.XLOOKUP(Table4[[#This Row],[Subnummer]],Table3[Sub],Table3[Promillage 2]),0)</f>
        <v>0</v>
      </c>
      <c r="X92" s="167">
        <f>IFERROR(_xlfn.XLOOKUP(Table4[[#This Row],[Subnummer]],Table3[Sub],Table3[Promillage 3]),0)</f>
        <v>0</v>
      </c>
      <c r="Y92" s="167">
        <f>IFERROR(_xlfn.XLOOKUP(Table4[[#This Row],[Subnummer]],Table3[Sub],Table3[Promillage 4]),0)</f>
        <v>0</v>
      </c>
      <c r="Z92" s="167">
        <f>IFERROR(_xlfn.XLOOKUP(Table4[[#This Row],[Subnummer]],Table3[Sub],#REF!),0)</f>
        <v>0</v>
      </c>
      <c r="AA92" s="167">
        <f>IFERROR(_xlfn.XLOOKUP(Table4[[#This Row],[Subnummer]],Table3[Sub],#REF!),0)</f>
        <v>0</v>
      </c>
      <c r="AB92" s="167">
        <f>IFERROR(_xlfn.XLOOKUP(Table4[[#This Row],[Subnummer]],Table3[Sub],#REF!),0)</f>
        <v>0</v>
      </c>
      <c r="AC92" s="167">
        <f>IFERROR(_xlfn.XLOOKUP(Table4[[#This Row],[Subnummer]],Table3[Sub],#REF!),0)</f>
        <v>0</v>
      </c>
      <c r="AD92" s="167">
        <f>IFERROR(_xlfn.XLOOKUP(Table4[[#This Row],[Subnummer]],Table3[Sub],#REF!),0)</f>
        <v>0</v>
      </c>
      <c r="AE92" s="167">
        <f>IFERROR(_xlfn.XLOOKUP(Table4[[#This Row],[Subnummer]],Table3[Sub],#REF!),0)</f>
        <v>0</v>
      </c>
      <c r="AF92" s="189">
        <f t="shared" si="33"/>
        <v>0</v>
      </c>
      <c r="AG92" s="189">
        <f t="shared" si="34"/>
        <v>0</v>
      </c>
      <c r="AH92" s="189">
        <f t="shared" si="35"/>
        <v>0</v>
      </c>
      <c r="AI92" s="189">
        <f t="shared" si="36"/>
        <v>0</v>
      </c>
      <c r="AJ92" s="189" t="e">
        <f t="shared" si="37"/>
        <v>#REF!</v>
      </c>
      <c r="AK92" s="189" t="e">
        <f t="shared" si="38"/>
        <v>#REF!</v>
      </c>
      <c r="AL92" s="189" t="e">
        <f t="shared" si="39"/>
        <v>#REF!</v>
      </c>
      <c r="AM92" s="189" t="e">
        <f t="shared" si="40"/>
        <v>#REF!</v>
      </c>
      <c r="AN92" s="189" t="e">
        <f t="shared" si="41"/>
        <v>#REF!</v>
      </c>
      <c r="AO92" s="189" t="e">
        <f t="shared" si="42"/>
        <v>#REF!</v>
      </c>
      <c r="AP92" s="165" t="e">
        <f t="shared" si="43"/>
        <v>#REF!</v>
      </c>
      <c r="AQ92" s="175" t="e" cm="1">
        <f t="array" ref="AQ92">_xlfn.IFS(AP92=0,"Nihil",AP92&gt;0,"Suppletie",AP92&lt;0,"Restitutie")</f>
        <v>#REF!</v>
      </c>
    </row>
    <row r="93" spans="1:43" x14ac:dyDescent="0.25">
      <c r="A93" s="174" t="str">
        <f>IFERROR(_xlfn.XLOOKUP(D93,Table3[Sub],Table3[Verzekerde]),"-")</f>
        <v>-</v>
      </c>
      <c r="B93" s="164"/>
      <c r="C93" s="164" t="str">
        <f>IFERROR(_xlfn.XLOOKUP(Table4[[#This Row],[Subnummer]],Table3[Sub],Table3[Certificaat]),"-")</f>
        <v>-</v>
      </c>
      <c r="D93" s="177">
        <v>0</v>
      </c>
      <c r="E93" s="180">
        <f>IFERROR(_xlfn.XLOOKUP(Table4[[#This Row],[Subnummer]],Table3[Sub],Table3[Verz. Waarde Oud:]),0)</f>
        <v>0</v>
      </c>
      <c r="F93" s="165">
        <v>0</v>
      </c>
      <c r="G93" s="165">
        <v>0</v>
      </c>
      <c r="H93" s="165">
        <v>0</v>
      </c>
      <c r="I93" s="165">
        <v>0</v>
      </c>
      <c r="J93" s="165">
        <f t="shared" si="27"/>
        <v>0</v>
      </c>
      <c r="K93" s="181">
        <f t="shared" si="28"/>
        <v>0</v>
      </c>
      <c r="L93" s="183">
        <v>44562</v>
      </c>
      <c r="M93" s="166">
        <v>44927</v>
      </c>
      <c r="N93" s="164">
        <f t="shared" si="29"/>
        <v>365</v>
      </c>
      <c r="O93" s="164">
        <v>365</v>
      </c>
      <c r="P93" s="175" t="s">
        <v>104</v>
      </c>
      <c r="Q93" s="186">
        <f t="shared" si="30"/>
        <v>0</v>
      </c>
      <c r="R93" s="165" cm="1">
        <f t="array" ref="R93">_xlfn.IFS($P93="Nee",G93*$N93/$O93,$P93="Ja",G93*0.5)</f>
        <v>0</v>
      </c>
      <c r="S93" s="165" cm="1">
        <f t="array" ref="S93">_xlfn.IFS($P93="Nee",-(H93*$N93/$O93),$P93="Ja",-(H93*0.5))</f>
        <v>0</v>
      </c>
      <c r="T93" s="165">
        <f t="shared" si="31"/>
        <v>0</v>
      </c>
      <c r="U93" s="187">
        <f t="shared" si="32"/>
        <v>0</v>
      </c>
      <c r="V93" s="191">
        <f>IFERROR(_xlfn.XLOOKUP(Table4[[#This Row],[Subnummer]],Table3[Sub],Table3[Promillage 1]),0)</f>
        <v>0</v>
      </c>
      <c r="W93" s="167">
        <f>IFERROR(_xlfn.XLOOKUP(Table4[[#This Row],[Subnummer]],Table3[Sub],Table3[Promillage 2]),0)</f>
        <v>0</v>
      </c>
      <c r="X93" s="167">
        <f>IFERROR(_xlfn.XLOOKUP(Table4[[#This Row],[Subnummer]],Table3[Sub],Table3[Promillage 3]),0)</f>
        <v>0</v>
      </c>
      <c r="Y93" s="167">
        <f>IFERROR(_xlfn.XLOOKUP(Table4[[#This Row],[Subnummer]],Table3[Sub],Table3[Promillage 4]),0)</f>
        <v>0</v>
      </c>
      <c r="Z93" s="167">
        <f>IFERROR(_xlfn.XLOOKUP(Table4[[#This Row],[Subnummer]],Table3[Sub],#REF!),0)</f>
        <v>0</v>
      </c>
      <c r="AA93" s="167">
        <f>IFERROR(_xlfn.XLOOKUP(Table4[[#This Row],[Subnummer]],Table3[Sub],#REF!),0)</f>
        <v>0</v>
      </c>
      <c r="AB93" s="167">
        <f>IFERROR(_xlfn.XLOOKUP(Table4[[#This Row],[Subnummer]],Table3[Sub],#REF!),0)</f>
        <v>0</v>
      </c>
      <c r="AC93" s="167">
        <f>IFERROR(_xlfn.XLOOKUP(Table4[[#This Row],[Subnummer]],Table3[Sub],#REF!),0)</f>
        <v>0</v>
      </c>
      <c r="AD93" s="167">
        <f>IFERROR(_xlfn.XLOOKUP(Table4[[#This Row],[Subnummer]],Table3[Sub],#REF!),0)</f>
        <v>0</v>
      </c>
      <c r="AE93" s="167">
        <f>IFERROR(_xlfn.XLOOKUP(Table4[[#This Row],[Subnummer]],Table3[Sub],#REF!),0)</f>
        <v>0</v>
      </c>
      <c r="AF93" s="189">
        <f t="shared" si="33"/>
        <v>0</v>
      </c>
      <c r="AG93" s="189">
        <f t="shared" si="34"/>
        <v>0</v>
      </c>
      <c r="AH93" s="189">
        <f t="shared" si="35"/>
        <v>0</v>
      </c>
      <c r="AI93" s="189">
        <f t="shared" si="36"/>
        <v>0</v>
      </c>
      <c r="AJ93" s="189" t="e">
        <f t="shared" si="37"/>
        <v>#REF!</v>
      </c>
      <c r="AK93" s="189" t="e">
        <f t="shared" si="38"/>
        <v>#REF!</v>
      </c>
      <c r="AL93" s="189" t="e">
        <f t="shared" si="39"/>
        <v>#REF!</v>
      </c>
      <c r="AM93" s="189" t="e">
        <f t="shared" si="40"/>
        <v>#REF!</v>
      </c>
      <c r="AN93" s="189" t="e">
        <f t="shared" si="41"/>
        <v>#REF!</v>
      </c>
      <c r="AO93" s="189" t="e">
        <f t="shared" si="42"/>
        <v>#REF!</v>
      </c>
      <c r="AP93" s="165" t="e">
        <f t="shared" si="43"/>
        <v>#REF!</v>
      </c>
      <c r="AQ93" s="175" t="e" cm="1">
        <f t="array" ref="AQ93">_xlfn.IFS(AP93=0,"Nihil",AP93&gt;0,"Suppletie",AP93&lt;0,"Restitutie")</f>
        <v>#REF!</v>
      </c>
    </row>
    <row r="94" spans="1:43" x14ac:dyDescent="0.25">
      <c r="A94" s="174" t="str">
        <f>IFERROR(_xlfn.XLOOKUP(D94,Table3[Sub],Table3[Verzekerde]),"-")</f>
        <v>-</v>
      </c>
      <c r="B94" s="164"/>
      <c r="C94" s="164" t="str">
        <f>IFERROR(_xlfn.XLOOKUP(Table4[[#This Row],[Subnummer]],Table3[Sub],Table3[Certificaat]),"-")</f>
        <v>-</v>
      </c>
      <c r="D94" s="177">
        <v>0</v>
      </c>
      <c r="E94" s="180">
        <f>IFERROR(_xlfn.XLOOKUP(Table4[[#This Row],[Subnummer]],Table3[Sub],Table3[Verz. Waarde Oud:]),0)</f>
        <v>0</v>
      </c>
      <c r="F94" s="165">
        <v>0</v>
      </c>
      <c r="G94" s="165">
        <v>0</v>
      </c>
      <c r="H94" s="165">
        <v>0</v>
      </c>
      <c r="I94" s="165">
        <v>0</v>
      </c>
      <c r="J94" s="165">
        <f t="shared" si="27"/>
        <v>0</v>
      </c>
      <c r="K94" s="181">
        <f t="shared" si="28"/>
        <v>0</v>
      </c>
      <c r="L94" s="183">
        <v>44562</v>
      </c>
      <c r="M94" s="166">
        <v>44927</v>
      </c>
      <c r="N94" s="164">
        <f t="shared" si="29"/>
        <v>365</v>
      </c>
      <c r="O94" s="164">
        <v>365</v>
      </c>
      <c r="P94" s="175" t="s">
        <v>104</v>
      </c>
      <c r="Q94" s="186">
        <f t="shared" si="30"/>
        <v>0</v>
      </c>
      <c r="R94" s="165" cm="1">
        <f t="array" ref="R94">_xlfn.IFS($P94="Nee",G94*$N94/$O94,$P94="Ja",G94*0.5)</f>
        <v>0</v>
      </c>
      <c r="S94" s="165" cm="1">
        <f t="array" ref="S94">_xlfn.IFS($P94="Nee",-(H94*$N94/$O94),$P94="Ja",-(H94*0.5))</f>
        <v>0</v>
      </c>
      <c r="T94" s="165">
        <f t="shared" si="31"/>
        <v>0</v>
      </c>
      <c r="U94" s="187">
        <f t="shared" si="32"/>
        <v>0</v>
      </c>
      <c r="V94" s="191">
        <f>IFERROR(_xlfn.XLOOKUP(Table4[[#This Row],[Subnummer]],Table3[Sub],Table3[Promillage 1]),0)</f>
        <v>0</v>
      </c>
      <c r="W94" s="167">
        <f>IFERROR(_xlfn.XLOOKUP(Table4[[#This Row],[Subnummer]],Table3[Sub],Table3[Promillage 2]),0)</f>
        <v>0</v>
      </c>
      <c r="X94" s="167">
        <f>IFERROR(_xlfn.XLOOKUP(Table4[[#This Row],[Subnummer]],Table3[Sub],Table3[Promillage 3]),0)</f>
        <v>0</v>
      </c>
      <c r="Y94" s="167">
        <f>IFERROR(_xlfn.XLOOKUP(Table4[[#This Row],[Subnummer]],Table3[Sub],Table3[Promillage 4]),0)</f>
        <v>0</v>
      </c>
      <c r="Z94" s="167">
        <f>IFERROR(_xlfn.XLOOKUP(Table4[[#This Row],[Subnummer]],Table3[Sub],#REF!),0)</f>
        <v>0</v>
      </c>
      <c r="AA94" s="167">
        <f>IFERROR(_xlfn.XLOOKUP(Table4[[#This Row],[Subnummer]],Table3[Sub],#REF!),0)</f>
        <v>0</v>
      </c>
      <c r="AB94" s="167">
        <f>IFERROR(_xlfn.XLOOKUP(Table4[[#This Row],[Subnummer]],Table3[Sub],#REF!),0)</f>
        <v>0</v>
      </c>
      <c r="AC94" s="167">
        <f>IFERROR(_xlfn.XLOOKUP(Table4[[#This Row],[Subnummer]],Table3[Sub],#REF!),0)</f>
        <v>0</v>
      </c>
      <c r="AD94" s="167">
        <f>IFERROR(_xlfn.XLOOKUP(Table4[[#This Row],[Subnummer]],Table3[Sub],#REF!),0)</f>
        <v>0</v>
      </c>
      <c r="AE94" s="167">
        <f>IFERROR(_xlfn.XLOOKUP(Table4[[#This Row],[Subnummer]],Table3[Sub],#REF!),0)</f>
        <v>0</v>
      </c>
      <c r="AF94" s="189">
        <f t="shared" si="33"/>
        <v>0</v>
      </c>
      <c r="AG94" s="189">
        <f t="shared" si="34"/>
        <v>0</v>
      </c>
      <c r="AH94" s="189">
        <f t="shared" si="35"/>
        <v>0</v>
      </c>
      <c r="AI94" s="189">
        <f t="shared" si="36"/>
        <v>0</v>
      </c>
      <c r="AJ94" s="189" t="e">
        <f t="shared" si="37"/>
        <v>#REF!</v>
      </c>
      <c r="AK94" s="189" t="e">
        <f t="shared" si="38"/>
        <v>#REF!</v>
      </c>
      <c r="AL94" s="189" t="e">
        <f t="shared" si="39"/>
        <v>#REF!</v>
      </c>
      <c r="AM94" s="189" t="e">
        <f t="shared" si="40"/>
        <v>#REF!</v>
      </c>
      <c r="AN94" s="189" t="e">
        <f t="shared" si="41"/>
        <v>#REF!</v>
      </c>
      <c r="AO94" s="189" t="e">
        <f t="shared" si="42"/>
        <v>#REF!</v>
      </c>
      <c r="AP94" s="165" t="e">
        <f t="shared" si="43"/>
        <v>#REF!</v>
      </c>
      <c r="AQ94" s="175" t="e" cm="1">
        <f t="array" ref="AQ94">_xlfn.IFS(AP94=0,"Nihil",AP94&gt;0,"Suppletie",AP94&lt;0,"Restitutie")</f>
        <v>#REF!</v>
      </c>
    </row>
    <row r="95" spans="1:43" x14ac:dyDescent="0.25">
      <c r="A95" s="174" t="str">
        <f>IFERROR(_xlfn.XLOOKUP(D95,Table3[Sub],Table3[Verzekerde]),"-")</f>
        <v>-</v>
      </c>
      <c r="B95" s="164"/>
      <c r="C95" s="164" t="str">
        <f>IFERROR(_xlfn.XLOOKUP(Table4[[#This Row],[Subnummer]],Table3[Sub],Table3[Certificaat]),"-")</f>
        <v>-</v>
      </c>
      <c r="D95" s="177">
        <v>0</v>
      </c>
      <c r="E95" s="180">
        <f>IFERROR(_xlfn.XLOOKUP(Table4[[#This Row],[Subnummer]],Table3[Sub],Table3[Verz. Waarde Oud:]),0)</f>
        <v>0</v>
      </c>
      <c r="F95" s="165">
        <v>0</v>
      </c>
      <c r="G95" s="165">
        <v>0</v>
      </c>
      <c r="H95" s="165">
        <v>0</v>
      </c>
      <c r="I95" s="165">
        <v>0</v>
      </c>
      <c r="J95" s="165">
        <f t="shared" si="27"/>
        <v>0</v>
      </c>
      <c r="K95" s="181">
        <f t="shared" si="28"/>
        <v>0</v>
      </c>
      <c r="L95" s="183">
        <v>44562</v>
      </c>
      <c r="M95" s="166">
        <v>44927</v>
      </c>
      <c r="N95" s="164">
        <f t="shared" si="29"/>
        <v>365</v>
      </c>
      <c r="O95" s="164">
        <v>365</v>
      </c>
      <c r="P95" s="175" t="s">
        <v>104</v>
      </c>
      <c r="Q95" s="186">
        <f t="shared" si="30"/>
        <v>0</v>
      </c>
      <c r="R95" s="165" cm="1">
        <f t="array" ref="R95">_xlfn.IFS($P95="Nee",G95*$N95/$O95,$P95="Ja",G95*0.5)</f>
        <v>0</v>
      </c>
      <c r="S95" s="165" cm="1">
        <f t="array" ref="S95">_xlfn.IFS($P95="Nee",-(H95*$N95/$O95),$P95="Ja",-(H95*0.5))</f>
        <v>0</v>
      </c>
      <c r="T95" s="165">
        <f t="shared" si="31"/>
        <v>0</v>
      </c>
      <c r="U95" s="187">
        <f t="shared" si="32"/>
        <v>0</v>
      </c>
      <c r="V95" s="191">
        <f>IFERROR(_xlfn.XLOOKUP(Table4[[#This Row],[Subnummer]],Table3[Sub],Table3[Promillage 1]),0)</f>
        <v>0</v>
      </c>
      <c r="W95" s="167">
        <f>IFERROR(_xlfn.XLOOKUP(Table4[[#This Row],[Subnummer]],Table3[Sub],Table3[Promillage 2]),0)</f>
        <v>0</v>
      </c>
      <c r="X95" s="167">
        <f>IFERROR(_xlfn.XLOOKUP(Table4[[#This Row],[Subnummer]],Table3[Sub],Table3[Promillage 3]),0)</f>
        <v>0</v>
      </c>
      <c r="Y95" s="167">
        <f>IFERROR(_xlfn.XLOOKUP(Table4[[#This Row],[Subnummer]],Table3[Sub],Table3[Promillage 4]),0)</f>
        <v>0</v>
      </c>
      <c r="Z95" s="167">
        <f>IFERROR(_xlfn.XLOOKUP(Table4[[#This Row],[Subnummer]],Table3[Sub],#REF!),0)</f>
        <v>0</v>
      </c>
      <c r="AA95" s="167">
        <f>IFERROR(_xlfn.XLOOKUP(Table4[[#This Row],[Subnummer]],Table3[Sub],#REF!),0)</f>
        <v>0</v>
      </c>
      <c r="AB95" s="167">
        <f>IFERROR(_xlfn.XLOOKUP(Table4[[#This Row],[Subnummer]],Table3[Sub],#REF!),0)</f>
        <v>0</v>
      </c>
      <c r="AC95" s="167">
        <f>IFERROR(_xlfn.XLOOKUP(Table4[[#This Row],[Subnummer]],Table3[Sub],#REF!),0)</f>
        <v>0</v>
      </c>
      <c r="AD95" s="167">
        <f>IFERROR(_xlfn.XLOOKUP(Table4[[#This Row],[Subnummer]],Table3[Sub],#REF!),0)</f>
        <v>0</v>
      </c>
      <c r="AE95" s="167">
        <f>IFERROR(_xlfn.XLOOKUP(Table4[[#This Row],[Subnummer]],Table3[Sub],#REF!),0)</f>
        <v>0</v>
      </c>
      <c r="AF95" s="189">
        <f t="shared" si="33"/>
        <v>0</v>
      </c>
      <c r="AG95" s="189">
        <f t="shared" si="34"/>
        <v>0</v>
      </c>
      <c r="AH95" s="189">
        <f t="shared" si="35"/>
        <v>0</v>
      </c>
      <c r="AI95" s="189">
        <f t="shared" si="36"/>
        <v>0</v>
      </c>
      <c r="AJ95" s="189" t="e">
        <f t="shared" si="37"/>
        <v>#REF!</v>
      </c>
      <c r="AK95" s="189" t="e">
        <f t="shared" si="38"/>
        <v>#REF!</v>
      </c>
      <c r="AL95" s="189" t="e">
        <f t="shared" si="39"/>
        <v>#REF!</v>
      </c>
      <c r="AM95" s="189" t="e">
        <f t="shared" si="40"/>
        <v>#REF!</v>
      </c>
      <c r="AN95" s="189" t="e">
        <f t="shared" si="41"/>
        <v>#REF!</v>
      </c>
      <c r="AO95" s="189" t="e">
        <f t="shared" si="42"/>
        <v>#REF!</v>
      </c>
      <c r="AP95" s="165" t="e">
        <f t="shared" si="43"/>
        <v>#REF!</v>
      </c>
      <c r="AQ95" s="175" t="e" cm="1">
        <f t="array" ref="AQ95">_xlfn.IFS(AP95=0,"Nihil",AP95&gt;0,"Suppletie",AP95&lt;0,"Restitutie")</f>
        <v>#REF!</v>
      </c>
    </row>
    <row r="96" spans="1:43" x14ac:dyDescent="0.25">
      <c r="A96" s="174" t="str">
        <f>IFERROR(_xlfn.XLOOKUP(D96,Table3[Sub],Table3[Verzekerde]),"-")</f>
        <v>-</v>
      </c>
      <c r="B96" s="164"/>
      <c r="C96" s="164" t="str">
        <f>IFERROR(_xlfn.XLOOKUP(Table4[[#This Row],[Subnummer]],Table3[Sub],Table3[Certificaat]),"-")</f>
        <v>-</v>
      </c>
      <c r="D96" s="177">
        <v>0</v>
      </c>
      <c r="E96" s="180">
        <f>IFERROR(_xlfn.XLOOKUP(Table4[[#This Row],[Subnummer]],Table3[Sub],Table3[Verz. Waarde Oud:]),0)</f>
        <v>0</v>
      </c>
      <c r="F96" s="165">
        <v>0</v>
      </c>
      <c r="G96" s="165">
        <v>0</v>
      </c>
      <c r="H96" s="165">
        <v>0</v>
      </c>
      <c r="I96" s="165">
        <v>0</v>
      </c>
      <c r="J96" s="165">
        <f t="shared" si="27"/>
        <v>0</v>
      </c>
      <c r="K96" s="181">
        <f t="shared" si="28"/>
        <v>0</v>
      </c>
      <c r="L96" s="183">
        <v>44562</v>
      </c>
      <c r="M96" s="166">
        <v>44927</v>
      </c>
      <c r="N96" s="164">
        <f t="shared" si="29"/>
        <v>365</v>
      </c>
      <c r="O96" s="164">
        <v>365</v>
      </c>
      <c r="P96" s="175" t="s">
        <v>104</v>
      </c>
      <c r="Q96" s="186">
        <f t="shared" si="30"/>
        <v>0</v>
      </c>
      <c r="R96" s="165" cm="1">
        <f t="array" ref="R96">_xlfn.IFS($P96="Nee",G96*$N96/$O96,$P96="Ja",G96*0.5)</f>
        <v>0</v>
      </c>
      <c r="S96" s="165" cm="1">
        <f t="array" ref="S96">_xlfn.IFS($P96="Nee",-(H96*$N96/$O96),$P96="Ja",-(H96*0.5))</f>
        <v>0</v>
      </c>
      <c r="T96" s="165">
        <f t="shared" si="31"/>
        <v>0</v>
      </c>
      <c r="U96" s="187">
        <f t="shared" si="32"/>
        <v>0</v>
      </c>
      <c r="V96" s="191">
        <f>IFERROR(_xlfn.XLOOKUP(Table4[[#This Row],[Subnummer]],Table3[Sub],Table3[Promillage 1]),0)</f>
        <v>0</v>
      </c>
      <c r="W96" s="167">
        <f>IFERROR(_xlfn.XLOOKUP(Table4[[#This Row],[Subnummer]],Table3[Sub],Table3[Promillage 2]),0)</f>
        <v>0</v>
      </c>
      <c r="X96" s="167">
        <f>IFERROR(_xlfn.XLOOKUP(Table4[[#This Row],[Subnummer]],Table3[Sub],Table3[Promillage 3]),0)</f>
        <v>0</v>
      </c>
      <c r="Y96" s="167">
        <f>IFERROR(_xlfn.XLOOKUP(Table4[[#This Row],[Subnummer]],Table3[Sub],Table3[Promillage 4]),0)</f>
        <v>0</v>
      </c>
      <c r="Z96" s="167">
        <f>IFERROR(_xlfn.XLOOKUP(Table4[[#This Row],[Subnummer]],Table3[Sub],#REF!),0)</f>
        <v>0</v>
      </c>
      <c r="AA96" s="167">
        <f>IFERROR(_xlfn.XLOOKUP(Table4[[#This Row],[Subnummer]],Table3[Sub],#REF!),0)</f>
        <v>0</v>
      </c>
      <c r="AB96" s="167">
        <f>IFERROR(_xlfn.XLOOKUP(Table4[[#This Row],[Subnummer]],Table3[Sub],#REF!),0)</f>
        <v>0</v>
      </c>
      <c r="AC96" s="167">
        <f>IFERROR(_xlfn.XLOOKUP(Table4[[#This Row],[Subnummer]],Table3[Sub],#REF!),0)</f>
        <v>0</v>
      </c>
      <c r="AD96" s="167">
        <f>IFERROR(_xlfn.XLOOKUP(Table4[[#This Row],[Subnummer]],Table3[Sub],#REF!),0)</f>
        <v>0</v>
      </c>
      <c r="AE96" s="167">
        <f>IFERROR(_xlfn.XLOOKUP(Table4[[#This Row],[Subnummer]],Table3[Sub],#REF!),0)</f>
        <v>0</v>
      </c>
      <c r="AF96" s="189">
        <f t="shared" si="33"/>
        <v>0</v>
      </c>
      <c r="AG96" s="189">
        <f t="shared" si="34"/>
        <v>0</v>
      </c>
      <c r="AH96" s="189">
        <f t="shared" si="35"/>
        <v>0</v>
      </c>
      <c r="AI96" s="189">
        <f t="shared" si="36"/>
        <v>0</v>
      </c>
      <c r="AJ96" s="189" t="e">
        <f t="shared" si="37"/>
        <v>#REF!</v>
      </c>
      <c r="AK96" s="189" t="e">
        <f t="shared" si="38"/>
        <v>#REF!</v>
      </c>
      <c r="AL96" s="189" t="e">
        <f t="shared" si="39"/>
        <v>#REF!</v>
      </c>
      <c r="AM96" s="189" t="e">
        <f t="shared" si="40"/>
        <v>#REF!</v>
      </c>
      <c r="AN96" s="189" t="e">
        <f t="shared" si="41"/>
        <v>#REF!</v>
      </c>
      <c r="AO96" s="189" t="e">
        <f t="shared" si="42"/>
        <v>#REF!</v>
      </c>
      <c r="AP96" s="165" t="e">
        <f t="shared" si="43"/>
        <v>#REF!</v>
      </c>
      <c r="AQ96" s="175" t="e" cm="1">
        <f t="array" ref="AQ96">_xlfn.IFS(AP96=0,"Nihil",AP96&gt;0,"Suppletie",AP96&lt;0,"Restitutie")</f>
        <v>#REF!</v>
      </c>
    </row>
    <row r="97" spans="1:43" x14ac:dyDescent="0.25">
      <c r="A97" s="174" t="str">
        <f>IFERROR(_xlfn.XLOOKUP(D97,Table3[Sub],Table3[Verzekerde]),"-")</f>
        <v>-</v>
      </c>
      <c r="B97" s="164"/>
      <c r="C97" s="164" t="str">
        <f>IFERROR(_xlfn.XLOOKUP(Table4[[#This Row],[Subnummer]],Table3[Sub],Table3[Certificaat]),"-")</f>
        <v>-</v>
      </c>
      <c r="D97" s="177">
        <v>0</v>
      </c>
      <c r="E97" s="180">
        <f>IFERROR(_xlfn.XLOOKUP(Table4[[#This Row],[Subnummer]],Table3[Sub],Table3[Verz. Waarde Oud:]),0)</f>
        <v>0</v>
      </c>
      <c r="F97" s="165">
        <v>0</v>
      </c>
      <c r="G97" s="165">
        <v>0</v>
      </c>
      <c r="H97" s="165">
        <v>0</v>
      </c>
      <c r="I97" s="165">
        <v>0</v>
      </c>
      <c r="J97" s="165">
        <f t="shared" si="27"/>
        <v>0</v>
      </c>
      <c r="K97" s="181">
        <f t="shared" si="28"/>
        <v>0</v>
      </c>
      <c r="L97" s="183">
        <v>44562</v>
      </c>
      <c r="M97" s="166">
        <v>44927</v>
      </c>
      <c r="N97" s="164">
        <f t="shared" si="29"/>
        <v>365</v>
      </c>
      <c r="O97" s="164">
        <v>365</v>
      </c>
      <c r="P97" s="175" t="s">
        <v>104</v>
      </c>
      <c r="Q97" s="186">
        <f t="shared" si="30"/>
        <v>0</v>
      </c>
      <c r="R97" s="165" cm="1">
        <f t="array" ref="R97">_xlfn.IFS($P97="Nee",G97*$N97/$O97,$P97="Ja",G97*0.5)</f>
        <v>0</v>
      </c>
      <c r="S97" s="165" cm="1">
        <f t="array" ref="S97">_xlfn.IFS($P97="Nee",-(H97*$N97/$O97),$P97="Ja",-(H97*0.5))</f>
        <v>0</v>
      </c>
      <c r="T97" s="165">
        <f t="shared" si="31"/>
        <v>0</v>
      </c>
      <c r="U97" s="187">
        <f t="shared" si="32"/>
        <v>0</v>
      </c>
      <c r="V97" s="191">
        <f>IFERROR(_xlfn.XLOOKUP(Table4[[#This Row],[Subnummer]],Table3[Sub],Table3[Promillage 1]),0)</f>
        <v>0</v>
      </c>
      <c r="W97" s="167">
        <f>IFERROR(_xlfn.XLOOKUP(Table4[[#This Row],[Subnummer]],Table3[Sub],Table3[Promillage 2]),0)</f>
        <v>0</v>
      </c>
      <c r="X97" s="167">
        <f>IFERROR(_xlfn.XLOOKUP(Table4[[#This Row],[Subnummer]],Table3[Sub],Table3[Promillage 3]),0)</f>
        <v>0</v>
      </c>
      <c r="Y97" s="167">
        <f>IFERROR(_xlfn.XLOOKUP(Table4[[#This Row],[Subnummer]],Table3[Sub],Table3[Promillage 4]),0)</f>
        <v>0</v>
      </c>
      <c r="Z97" s="167">
        <f>IFERROR(_xlfn.XLOOKUP(Table4[[#This Row],[Subnummer]],Table3[Sub],#REF!),0)</f>
        <v>0</v>
      </c>
      <c r="AA97" s="167">
        <f>IFERROR(_xlfn.XLOOKUP(Table4[[#This Row],[Subnummer]],Table3[Sub],#REF!),0)</f>
        <v>0</v>
      </c>
      <c r="AB97" s="167">
        <f>IFERROR(_xlfn.XLOOKUP(Table4[[#This Row],[Subnummer]],Table3[Sub],#REF!),0)</f>
        <v>0</v>
      </c>
      <c r="AC97" s="167">
        <f>IFERROR(_xlfn.XLOOKUP(Table4[[#This Row],[Subnummer]],Table3[Sub],#REF!),0)</f>
        <v>0</v>
      </c>
      <c r="AD97" s="167">
        <f>IFERROR(_xlfn.XLOOKUP(Table4[[#This Row],[Subnummer]],Table3[Sub],#REF!),0)</f>
        <v>0</v>
      </c>
      <c r="AE97" s="167">
        <f>IFERROR(_xlfn.XLOOKUP(Table4[[#This Row],[Subnummer]],Table3[Sub],#REF!),0)</f>
        <v>0</v>
      </c>
      <c r="AF97" s="189">
        <f t="shared" si="33"/>
        <v>0</v>
      </c>
      <c r="AG97" s="189">
        <f t="shared" si="34"/>
        <v>0</v>
      </c>
      <c r="AH97" s="189">
        <f t="shared" si="35"/>
        <v>0</v>
      </c>
      <c r="AI97" s="189">
        <f t="shared" si="36"/>
        <v>0</v>
      </c>
      <c r="AJ97" s="189" t="e">
        <f t="shared" si="37"/>
        <v>#REF!</v>
      </c>
      <c r="AK97" s="189" t="e">
        <f t="shared" si="38"/>
        <v>#REF!</v>
      </c>
      <c r="AL97" s="189" t="e">
        <f t="shared" si="39"/>
        <v>#REF!</v>
      </c>
      <c r="AM97" s="189" t="e">
        <f t="shared" si="40"/>
        <v>#REF!</v>
      </c>
      <c r="AN97" s="189" t="e">
        <f t="shared" si="41"/>
        <v>#REF!</v>
      </c>
      <c r="AO97" s="189" t="e">
        <f t="shared" si="42"/>
        <v>#REF!</v>
      </c>
      <c r="AP97" s="165" t="e">
        <f t="shared" si="43"/>
        <v>#REF!</v>
      </c>
      <c r="AQ97" s="175" t="e" cm="1">
        <f t="array" ref="AQ97">_xlfn.IFS(AP97=0,"Nihil",AP97&gt;0,"Suppletie",AP97&lt;0,"Restitutie")</f>
        <v>#REF!</v>
      </c>
    </row>
    <row r="98" spans="1:43" x14ac:dyDescent="0.25">
      <c r="A98" s="174" t="str">
        <f>IFERROR(_xlfn.XLOOKUP(D98,Table3[Sub],Table3[Verzekerde]),"-")</f>
        <v>-</v>
      </c>
      <c r="B98" s="164"/>
      <c r="C98" s="164" t="str">
        <f>IFERROR(_xlfn.XLOOKUP(Table4[[#This Row],[Subnummer]],Table3[Sub],Table3[Certificaat]),"-")</f>
        <v>-</v>
      </c>
      <c r="D98" s="177">
        <v>0</v>
      </c>
      <c r="E98" s="180">
        <f>IFERROR(_xlfn.XLOOKUP(Table4[[#This Row],[Subnummer]],Table3[Sub],Table3[Verz. Waarde Oud:]),0)</f>
        <v>0</v>
      </c>
      <c r="F98" s="165">
        <v>0</v>
      </c>
      <c r="G98" s="165">
        <v>0</v>
      </c>
      <c r="H98" s="165">
        <v>0</v>
      </c>
      <c r="I98" s="165">
        <v>0</v>
      </c>
      <c r="J98" s="165">
        <f t="shared" si="27"/>
        <v>0</v>
      </c>
      <c r="K98" s="181">
        <f t="shared" si="28"/>
        <v>0</v>
      </c>
      <c r="L98" s="183">
        <v>44562</v>
      </c>
      <c r="M98" s="166">
        <v>44927</v>
      </c>
      <c r="N98" s="164">
        <f t="shared" si="29"/>
        <v>365</v>
      </c>
      <c r="O98" s="164">
        <v>365</v>
      </c>
      <c r="P98" s="175" t="s">
        <v>104</v>
      </c>
      <c r="Q98" s="186">
        <f t="shared" si="30"/>
        <v>0</v>
      </c>
      <c r="R98" s="165" cm="1">
        <f t="array" ref="R98">_xlfn.IFS($P98="Nee",G98*$N98/$O98,$P98="Ja",G98*0.5)</f>
        <v>0</v>
      </c>
      <c r="S98" s="165" cm="1">
        <f t="array" ref="S98">_xlfn.IFS($P98="Nee",-(H98*$N98/$O98),$P98="Ja",-(H98*0.5))</f>
        <v>0</v>
      </c>
      <c r="T98" s="165">
        <f t="shared" si="31"/>
        <v>0</v>
      </c>
      <c r="U98" s="187">
        <f t="shared" si="32"/>
        <v>0</v>
      </c>
      <c r="V98" s="191">
        <f>IFERROR(_xlfn.XLOOKUP(Table4[[#This Row],[Subnummer]],Table3[Sub],Table3[Promillage 1]),0)</f>
        <v>0</v>
      </c>
      <c r="W98" s="167">
        <f>IFERROR(_xlfn.XLOOKUP(Table4[[#This Row],[Subnummer]],Table3[Sub],Table3[Promillage 2]),0)</f>
        <v>0</v>
      </c>
      <c r="X98" s="167">
        <f>IFERROR(_xlfn.XLOOKUP(Table4[[#This Row],[Subnummer]],Table3[Sub],Table3[Promillage 3]),0)</f>
        <v>0</v>
      </c>
      <c r="Y98" s="167">
        <f>IFERROR(_xlfn.XLOOKUP(Table4[[#This Row],[Subnummer]],Table3[Sub],Table3[Promillage 4]),0)</f>
        <v>0</v>
      </c>
      <c r="Z98" s="167">
        <f>IFERROR(_xlfn.XLOOKUP(Table4[[#This Row],[Subnummer]],Table3[Sub],#REF!),0)</f>
        <v>0</v>
      </c>
      <c r="AA98" s="167">
        <f>IFERROR(_xlfn.XLOOKUP(Table4[[#This Row],[Subnummer]],Table3[Sub],#REF!),0)</f>
        <v>0</v>
      </c>
      <c r="AB98" s="167">
        <f>IFERROR(_xlfn.XLOOKUP(Table4[[#This Row],[Subnummer]],Table3[Sub],#REF!),0)</f>
        <v>0</v>
      </c>
      <c r="AC98" s="167">
        <f>IFERROR(_xlfn.XLOOKUP(Table4[[#This Row],[Subnummer]],Table3[Sub],#REF!),0)</f>
        <v>0</v>
      </c>
      <c r="AD98" s="167">
        <f>IFERROR(_xlfn.XLOOKUP(Table4[[#This Row],[Subnummer]],Table3[Sub],#REF!),0)</f>
        <v>0</v>
      </c>
      <c r="AE98" s="167">
        <f>IFERROR(_xlfn.XLOOKUP(Table4[[#This Row],[Subnummer]],Table3[Sub],#REF!),0)</f>
        <v>0</v>
      </c>
      <c r="AF98" s="189">
        <f t="shared" si="33"/>
        <v>0</v>
      </c>
      <c r="AG98" s="189">
        <f t="shared" si="34"/>
        <v>0</v>
      </c>
      <c r="AH98" s="189">
        <f t="shared" si="35"/>
        <v>0</v>
      </c>
      <c r="AI98" s="189">
        <f t="shared" si="36"/>
        <v>0</v>
      </c>
      <c r="AJ98" s="189" t="e">
        <f t="shared" si="37"/>
        <v>#REF!</v>
      </c>
      <c r="AK98" s="189" t="e">
        <f t="shared" si="38"/>
        <v>#REF!</v>
      </c>
      <c r="AL98" s="189" t="e">
        <f t="shared" si="39"/>
        <v>#REF!</v>
      </c>
      <c r="AM98" s="189" t="e">
        <f t="shared" si="40"/>
        <v>#REF!</v>
      </c>
      <c r="AN98" s="189" t="e">
        <f t="shared" si="41"/>
        <v>#REF!</v>
      </c>
      <c r="AO98" s="189" t="e">
        <f t="shared" si="42"/>
        <v>#REF!</v>
      </c>
      <c r="AP98" s="165" t="e">
        <f t="shared" si="43"/>
        <v>#REF!</v>
      </c>
      <c r="AQ98" s="175" t="e" cm="1">
        <f t="array" ref="AQ98">_xlfn.IFS(AP98=0,"Nihil",AP98&gt;0,"Suppletie",AP98&lt;0,"Restitutie")</f>
        <v>#REF!</v>
      </c>
    </row>
    <row r="99" spans="1:43" x14ac:dyDescent="0.25">
      <c r="A99" s="174" t="str">
        <f>IFERROR(_xlfn.XLOOKUP(D99,Table3[Sub],Table3[Verzekerde]),"-")</f>
        <v>-</v>
      </c>
      <c r="B99" s="164"/>
      <c r="C99" s="164" t="str">
        <f>IFERROR(_xlfn.XLOOKUP(Table4[[#This Row],[Subnummer]],Table3[Sub],Table3[Certificaat]),"-")</f>
        <v>-</v>
      </c>
      <c r="D99" s="177">
        <v>0</v>
      </c>
      <c r="E99" s="180">
        <f>IFERROR(_xlfn.XLOOKUP(Table4[[#This Row],[Subnummer]],Table3[Sub],Table3[Verz. Waarde Oud:]),0)</f>
        <v>0</v>
      </c>
      <c r="F99" s="165">
        <v>0</v>
      </c>
      <c r="G99" s="165">
        <v>0</v>
      </c>
      <c r="H99" s="165">
        <v>0</v>
      </c>
      <c r="I99" s="165">
        <v>0</v>
      </c>
      <c r="J99" s="165">
        <f t="shared" si="27"/>
        <v>0</v>
      </c>
      <c r="K99" s="181">
        <f t="shared" si="28"/>
        <v>0</v>
      </c>
      <c r="L99" s="183">
        <v>44562</v>
      </c>
      <c r="M99" s="166">
        <v>44927</v>
      </c>
      <c r="N99" s="164">
        <f t="shared" si="29"/>
        <v>365</v>
      </c>
      <c r="O99" s="164">
        <v>365</v>
      </c>
      <c r="P99" s="175" t="s">
        <v>104</v>
      </c>
      <c r="Q99" s="186">
        <f t="shared" si="30"/>
        <v>0</v>
      </c>
      <c r="R99" s="165" cm="1">
        <f t="array" ref="R99">_xlfn.IFS($P99="Nee",G99*$N99/$O99,$P99="Ja",G99*0.5)</f>
        <v>0</v>
      </c>
      <c r="S99" s="165" cm="1">
        <f t="array" ref="S99">_xlfn.IFS($P99="Nee",-(H99*$N99/$O99),$P99="Ja",-(H99*0.5))</f>
        <v>0</v>
      </c>
      <c r="T99" s="165">
        <f t="shared" si="31"/>
        <v>0</v>
      </c>
      <c r="U99" s="187">
        <f t="shared" si="32"/>
        <v>0</v>
      </c>
      <c r="V99" s="191">
        <f>IFERROR(_xlfn.XLOOKUP(Table4[[#This Row],[Subnummer]],Table3[Sub],Table3[Promillage 1]),0)</f>
        <v>0</v>
      </c>
      <c r="W99" s="167">
        <f>IFERROR(_xlfn.XLOOKUP(Table4[[#This Row],[Subnummer]],Table3[Sub],Table3[Promillage 2]),0)</f>
        <v>0</v>
      </c>
      <c r="X99" s="167">
        <f>IFERROR(_xlfn.XLOOKUP(Table4[[#This Row],[Subnummer]],Table3[Sub],Table3[Promillage 3]),0)</f>
        <v>0</v>
      </c>
      <c r="Y99" s="167">
        <f>IFERROR(_xlfn.XLOOKUP(Table4[[#This Row],[Subnummer]],Table3[Sub],Table3[Promillage 4]),0)</f>
        <v>0</v>
      </c>
      <c r="Z99" s="167">
        <f>IFERROR(_xlfn.XLOOKUP(Table4[[#This Row],[Subnummer]],Table3[Sub],#REF!),0)</f>
        <v>0</v>
      </c>
      <c r="AA99" s="167">
        <f>IFERROR(_xlfn.XLOOKUP(Table4[[#This Row],[Subnummer]],Table3[Sub],#REF!),0)</f>
        <v>0</v>
      </c>
      <c r="AB99" s="167">
        <f>IFERROR(_xlfn.XLOOKUP(Table4[[#This Row],[Subnummer]],Table3[Sub],#REF!),0)</f>
        <v>0</v>
      </c>
      <c r="AC99" s="167">
        <f>IFERROR(_xlfn.XLOOKUP(Table4[[#This Row],[Subnummer]],Table3[Sub],#REF!),0)</f>
        <v>0</v>
      </c>
      <c r="AD99" s="167">
        <f>IFERROR(_xlfn.XLOOKUP(Table4[[#This Row],[Subnummer]],Table3[Sub],#REF!),0)</f>
        <v>0</v>
      </c>
      <c r="AE99" s="167">
        <f>IFERROR(_xlfn.XLOOKUP(Table4[[#This Row],[Subnummer]],Table3[Sub],#REF!),0)</f>
        <v>0</v>
      </c>
      <c r="AF99" s="189">
        <f t="shared" si="33"/>
        <v>0</v>
      </c>
      <c r="AG99" s="189">
        <f t="shared" si="34"/>
        <v>0</v>
      </c>
      <c r="AH99" s="189">
        <f t="shared" si="35"/>
        <v>0</v>
      </c>
      <c r="AI99" s="189">
        <f t="shared" si="36"/>
        <v>0</v>
      </c>
      <c r="AJ99" s="189" t="e">
        <f t="shared" si="37"/>
        <v>#REF!</v>
      </c>
      <c r="AK99" s="189" t="e">
        <f t="shared" si="38"/>
        <v>#REF!</v>
      </c>
      <c r="AL99" s="189" t="e">
        <f t="shared" si="39"/>
        <v>#REF!</v>
      </c>
      <c r="AM99" s="189" t="e">
        <f t="shared" si="40"/>
        <v>#REF!</v>
      </c>
      <c r="AN99" s="189" t="e">
        <f t="shared" si="41"/>
        <v>#REF!</v>
      </c>
      <c r="AO99" s="189" t="e">
        <f t="shared" si="42"/>
        <v>#REF!</v>
      </c>
      <c r="AP99" s="165" t="e">
        <f t="shared" si="43"/>
        <v>#REF!</v>
      </c>
      <c r="AQ99" s="175" t="e" cm="1">
        <f t="array" ref="AQ99">_xlfn.IFS(AP99=0,"Nihil",AP99&gt;0,"Suppletie",AP99&lt;0,"Restitutie")</f>
        <v>#REF!</v>
      </c>
    </row>
    <row r="100" spans="1:43" ht="15.75" thickBot="1" x14ac:dyDescent="0.3">
      <c r="A100" s="83" t="s">
        <v>78</v>
      </c>
      <c r="B100" s="83"/>
      <c r="C100" s="83"/>
      <c r="D100" s="84"/>
      <c r="E100" s="85">
        <f>SUBTOTAL(109,Table4[Oud])</f>
        <v>0</v>
      </c>
      <c r="F100" s="85">
        <f>SUBTOTAL(109,Table4[Investering Nieuw])</f>
        <v>0</v>
      </c>
      <c r="G100" s="85">
        <f>SUBTOTAL(109,Table4[Investering bestaand])</f>
        <v>0</v>
      </c>
      <c r="H100" s="85">
        <f>SUBTOTAL(109,Table4[Verlaging])</f>
        <v>0</v>
      </c>
      <c r="I100" s="85">
        <f>SUBTOTAL(109,Table4[Afvoer])</f>
        <v>0</v>
      </c>
      <c r="J100" s="85">
        <f>SUBTOTAL(109,Table4[Inclusief mutatie])</f>
        <v>0</v>
      </c>
      <c r="K100" s="85">
        <f>SUBTOTAL(109,Table4[Som mutaties])</f>
        <v>0</v>
      </c>
      <c r="L100" s="83"/>
      <c r="M100" s="84"/>
      <c r="N100" s="84"/>
      <c r="O100" s="84"/>
      <c r="P100" s="90"/>
      <c r="Q100" s="89">
        <f>SUBTOTAL(109,Table4[Investering nieuw2])</f>
        <v>0</v>
      </c>
      <c r="R100" s="85">
        <f>SUBTOTAL(109,Table4[Investering bestaand2])</f>
        <v>0</v>
      </c>
      <c r="S100" s="85">
        <f>SUBTOTAL(109,Table4[Verlaging2])</f>
        <v>0</v>
      </c>
      <c r="T100" s="85">
        <f>SUBTOTAL(109,Table4[Afvoer2])</f>
        <v>0</v>
      </c>
      <c r="U100" s="85">
        <f>SUBTOTAL(109,Table4[Totaal])</f>
        <v>0</v>
      </c>
      <c r="V100" s="86"/>
      <c r="W100" s="87"/>
      <c r="X100" s="87"/>
      <c r="Y100" s="87"/>
      <c r="Z100" s="87"/>
      <c r="AA100" s="87"/>
      <c r="AB100" s="87"/>
      <c r="AC100" s="87"/>
      <c r="AD100" s="87"/>
      <c r="AE100" s="88"/>
      <c r="AF100" s="89">
        <f>SUBTOTAL(109,Table4[Verzekeraar 12])</f>
        <v>0</v>
      </c>
      <c r="AG100" s="89">
        <f>SUBTOTAL(109,Table4[Verzekeraar 13])</f>
        <v>0</v>
      </c>
      <c r="AH100" s="89">
        <f>SUBTOTAL(109,Table4[Verzekeraar 14])</f>
        <v>0</v>
      </c>
      <c r="AI100" s="89">
        <f>SUBTOTAL(109,Table4[Verzekeraar 15])</f>
        <v>0</v>
      </c>
      <c r="AJ100" s="89" t="e">
        <f>SUBTOTAL(109,Table4[Verzekeraar 16])</f>
        <v>#REF!</v>
      </c>
      <c r="AK100" s="89" t="e">
        <f>SUBTOTAL(109,Table4[Verzekeraar 17])</f>
        <v>#REF!</v>
      </c>
      <c r="AL100" s="89" t="e">
        <f>SUBTOTAL(109,Table4[Verzekeraar 18])</f>
        <v>#REF!</v>
      </c>
      <c r="AM100" s="89" t="e">
        <f>SUBTOTAL(109,Table4[Verzekeraar 19])</f>
        <v>#REF!</v>
      </c>
      <c r="AN100" s="89" t="e">
        <f>SUBTOTAL(109,Table4[Verzekeraar 20])</f>
        <v>#REF!</v>
      </c>
      <c r="AO100" s="89" t="e">
        <f>SUBTOTAL(109,Table4[Verzekeraar 21])</f>
        <v>#REF!</v>
      </c>
      <c r="AP100" s="89" t="e">
        <f>SUBTOTAL(109,Table4[Totaal2])</f>
        <v>#REF!</v>
      </c>
      <c r="AQ100" s="90"/>
    </row>
  </sheetData>
  <sheetProtection formatColumns="0" insertRows="0" deleteRows="0"/>
  <mergeCells count="4">
    <mergeCell ref="E7:K7"/>
    <mergeCell ref="Q7:U7"/>
    <mergeCell ref="V7:AE7"/>
    <mergeCell ref="AF7:AQ7"/>
  </mergeCells>
  <phoneticPr fontId="5" type="noConversion"/>
  <dataValidations count="1">
    <dataValidation type="list" allowBlank="1" showInputMessage="1" showErrorMessage="1" sqref="P11:P99" xr:uid="{64D9E925-208A-4155-956D-CBEDFFFC7C3A}">
      <formula1>CAD</formula1>
    </dataValidation>
  </dataValidations>
  <pageMargins left="0.25" right="0.25" top="0.75" bottom="0.75" header="0.3" footer="0.3"/>
  <pageSetup paperSize="9" orientation="landscape" horizontalDpi="1200" verticalDpi="1200" r:id="rId1"/>
  <headerFooter>
    <oddFooter>&amp;L&amp;F
Uniek nr e-ABS XXXXXXXXXXXXXXXXXXX</oddFooter>
  </headerFooter>
  <colBreaks count="3" manualBreakCount="3">
    <brk id="6" max="1048575" man="1"/>
    <brk id="11" max="1048575" man="1"/>
    <brk id="21" max="1048575" man="1"/>
  </colBreaks>
  <ignoredErrors>
    <ignoredError sqref="A11:A19 C11 V12:Z19 W11:Z11 A20:A99" calculatedColumn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2096-F122-4979-B8DD-F18F20F45C12}">
  <sheetPr codeName="Sheet5"/>
  <dimension ref="A1:J21"/>
  <sheetViews>
    <sheetView showGridLines="0" zoomScaleNormal="100" workbookViewId="0">
      <selection activeCell="G9" sqref="G9"/>
    </sheetView>
  </sheetViews>
  <sheetFormatPr defaultColWidth="23.140625" defaultRowHeight="14.25" x14ac:dyDescent="0.25"/>
  <cols>
    <col min="1" max="1" width="2.85546875" style="4" customWidth="1"/>
    <col min="2" max="2" width="28" style="4" bestFit="1" customWidth="1"/>
    <col min="3" max="3" width="18.42578125" style="4" customWidth="1"/>
    <col min="4" max="5" width="17.28515625" style="4" bestFit="1" customWidth="1"/>
    <col min="6" max="6" width="29.85546875" style="4" customWidth="1"/>
    <col min="7" max="7" width="18" style="4" customWidth="1"/>
    <col min="8" max="9" width="17.28515625" style="4" bestFit="1" customWidth="1"/>
    <col min="10" max="13" width="23.140625" style="4" customWidth="1"/>
    <col min="14" max="16384" width="23.140625" style="4"/>
  </cols>
  <sheetData>
    <row r="1" spans="1:10" s="3" customFormat="1" x14ac:dyDescent="0.25">
      <c r="A1" s="232"/>
      <c r="B1" s="232"/>
      <c r="C1" s="232"/>
      <c r="D1" s="232"/>
      <c r="E1" s="232"/>
      <c r="F1" s="232"/>
      <c r="G1" s="232"/>
      <c r="H1" s="232"/>
    </row>
    <row r="2" spans="1:10" s="3" customFormat="1" x14ac:dyDescent="0.25">
      <c r="A2" s="232"/>
      <c r="B2" s="232"/>
      <c r="C2" s="232"/>
      <c r="D2" s="232"/>
      <c r="E2" s="232"/>
      <c r="F2" s="232"/>
      <c r="G2" s="232"/>
      <c r="H2" s="232"/>
    </row>
    <row r="3" spans="1:10" s="3" customFormat="1" x14ac:dyDescent="0.25">
      <c r="A3" s="232"/>
      <c r="B3" s="232"/>
      <c r="C3" s="232"/>
      <c r="D3" s="232"/>
      <c r="E3" s="232"/>
      <c r="F3" s="232"/>
      <c r="G3" s="232"/>
      <c r="H3" s="232"/>
    </row>
    <row r="4" spans="1:10" x14ac:dyDescent="0.25">
      <c r="B4" s="3"/>
      <c r="C4" s="3"/>
    </row>
    <row r="5" spans="1:10" x14ac:dyDescent="0.25">
      <c r="B5" s="3"/>
      <c r="C5" s="3"/>
    </row>
    <row r="6" spans="1:10" x14ac:dyDescent="0.25">
      <c r="B6" s="3"/>
      <c r="C6" s="3"/>
    </row>
    <row r="7" spans="1:10" x14ac:dyDescent="0.25">
      <c r="B7" s="3"/>
      <c r="C7" s="3"/>
    </row>
    <row r="8" spans="1:10" x14ac:dyDescent="0.25">
      <c r="B8" s="3"/>
      <c r="C8" s="3"/>
    </row>
    <row r="9" spans="1:10" x14ac:dyDescent="0.25">
      <c r="B9" s="3"/>
      <c r="C9" s="3"/>
    </row>
    <row r="10" spans="1:10" x14ac:dyDescent="0.25">
      <c r="B10" s="3"/>
      <c r="C10" s="3"/>
    </row>
    <row r="11" spans="1:10" x14ac:dyDescent="0.25">
      <c r="B11" s="5" t="s">
        <v>105</v>
      </c>
      <c r="C11" s="5" t="s">
        <v>106</v>
      </c>
      <c r="D11" s="35"/>
      <c r="E11" s="35"/>
    </row>
    <row r="12" spans="1:10" ht="15" x14ac:dyDescent="0.25">
      <c r="B12" s="36" t="s">
        <v>107</v>
      </c>
      <c r="C12" s="37">
        <f>Overzicht!B7</f>
        <v>45292</v>
      </c>
    </row>
    <row r="13" spans="1:10" ht="15" x14ac:dyDescent="0.25">
      <c r="B13" s="36" t="s">
        <v>6</v>
      </c>
      <c r="C13" s="37">
        <f>Overzicht!C7</f>
        <v>45658</v>
      </c>
    </row>
    <row r="15" spans="1:10" x14ac:dyDescent="0.25">
      <c r="B15" s="4" t="s">
        <v>18</v>
      </c>
      <c r="C15" s="4">
        <v>0</v>
      </c>
      <c r="J15" s="6"/>
    </row>
    <row r="16" spans="1:10" ht="30" x14ac:dyDescent="0.25">
      <c r="B16" s="106" t="s">
        <v>108</v>
      </c>
      <c r="C16" s="107" t="s">
        <v>109</v>
      </c>
      <c r="D16" s="107" t="s">
        <v>110</v>
      </c>
      <c r="E16" s="107" t="s">
        <v>10</v>
      </c>
      <c r="F16" s="249" t="s">
        <v>161</v>
      </c>
      <c r="G16" s="108" t="s">
        <v>112</v>
      </c>
    </row>
    <row r="17" spans="2:7" x14ac:dyDescent="0.25">
      <c r="B17" s="104" t="str">
        <f>Specificatie!$U$7</f>
        <v xml:space="preserve">MS Amlin </v>
      </c>
      <c r="C17" s="102">
        <f>Specificatie!$U$8</f>
        <v>9</v>
      </c>
      <c r="D17" s="141">
        <f>Specificatie!$U$10</f>
        <v>0.3</v>
      </c>
      <c r="E17" s="103">
        <f>SUMIF(Table3[Certificaat],$C15,Table3[Jaarpremie 1])</f>
        <v>18625.302000000003</v>
      </c>
      <c r="F17" s="103">
        <v>17952.84</v>
      </c>
      <c r="G17" s="105">
        <f>E17-F17</f>
        <v>672.46200000000317</v>
      </c>
    </row>
    <row r="18" spans="2:7" x14ac:dyDescent="0.25">
      <c r="B18" s="104" t="str">
        <f>Specificatie!$V$7</f>
        <v>Nationale-Nederlanden</v>
      </c>
      <c r="C18" s="102">
        <f>Specificatie!$V$8</f>
        <v>916</v>
      </c>
      <c r="D18" s="141">
        <f>Specificatie!$V$10</f>
        <v>0.375</v>
      </c>
      <c r="E18" s="103">
        <f>SUMIF(Table3[Certificaat],$C15,Table3[Jaarpremie 2])</f>
        <v>20263.638750000002</v>
      </c>
      <c r="F18" s="103">
        <v>19532.03</v>
      </c>
      <c r="G18" s="105">
        <f t="shared" ref="G18:G20" si="0">E18-F18</f>
        <v>731.60875000000306</v>
      </c>
    </row>
    <row r="19" spans="2:7" x14ac:dyDescent="0.25">
      <c r="B19" s="104" t="str">
        <f>Specificatie!$W$7</f>
        <v>Allianz</v>
      </c>
      <c r="C19" s="102">
        <f>Specificatie!$W$8</f>
        <v>230159</v>
      </c>
      <c r="D19" s="141">
        <f>Specificatie!$W$10</f>
        <v>0.2</v>
      </c>
      <c r="E19" s="103">
        <f>SUMIF(Table3[Certificaat],$C15,Table3[Jaarpremie 3])</f>
        <v>12416.868</v>
      </c>
      <c r="F19" s="103">
        <v>11968.56</v>
      </c>
      <c r="G19" s="105">
        <f t="shared" si="0"/>
        <v>448.3080000000009</v>
      </c>
    </row>
    <row r="20" spans="2:7" x14ac:dyDescent="0.25">
      <c r="B20" s="104" t="str">
        <f>Specificatie!$X$7</f>
        <v>Zurich</v>
      </c>
      <c r="C20" s="102">
        <f>Specificatie!$X$8</f>
        <v>896</v>
      </c>
      <c r="D20" s="141">
        <f>Specificatie!$X$10</f>
        <v>0.125</v>
      </c>
      <c r="E20" s="103">
        <f>SUMIF(Table3[Certificaat],$C15,Table3[Jaarpremie 4])</f>
        <v>8622.8249999999989</v>
      </c>
      <c r="F20" s="103">
        <v>8311.5</v>
      </c>
      <c r="G20" s="105">
        <f t="shared" si="0"/>
        <v>311.32499999999891</v>
      </c>
    </row>
    <row r="21" spans="2:7" ht="15" x14ac:dyDescent="0.25">
      <c r="B21" s="142" t="s">
        <v>60</v>
      </c>
      <c r="C21" s="143"/>
      <c r="D21" s="145">
        <f>SUBTOTAL(109,Table1[Aandeel])</f>
        <v>1</v>
      </c>
      <c r="E21" s="146">
        <f>SUBTOTAL(109,Table1[Jaarpremie])</f>
        <v>59928.633750000008</v>
      </c>
      <c r="F21" s="146">
        <f>SUBTOTAL(109,Table1[Al geboekt met nota 6938396 d.d. 01-01-2024])</f>
        <v>57764.929999999993</v>
      </c>
      <c r="G21" s="146">
        <f>SUBTOTAL(109,Table1[Nog te boeken])</f>
        <v>2163.703750000006</v>
      </c>
    </row>
  </sheetData>
  <pageMargins left="0.25" right="0.25" top="0.75" bottom="0.75" header="0.3" footer="0.3"/>
  <pageSetup paperSize="9" orientation="landscape" horizontalDpi="1200" verticalDpi="1200" r:id="rId1"/>
  <headerFooter>
    <oddFooter>&amp;L&amp;F
Uniek nr e-ABS XXXXXXXXXXXXXXXXXXX</oddFooter>
  </headerFooter>
  <ignoredErrors>
    <ignoredError sqref="E17:E20" calculatedColumn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8F23-86BA-4A95-9878-170F65C7146E}">
  <dimension ref="A1:N30"/>
  <sheetViews>
    <sheetView showGridLines="0" topLeftCell="A15" zoomScaleNormal="100" workbookViewId="0">
      <selection activeCell="F12" sqref="F12"/>
    </sheetView>
  </sheetViews>
  <sheetFormatPr defaultColWidth="23.140625" defaultRowHeight="14.25" x14ac:dyDescent="0.25"/>
  <cols>
    <col min="1" max="1" width="2.85546875" style="4" customWidth="1"/>
    <col min="2" max="2" width="28" style="4" bestFit="1" customWidth="1"/>
    <col min="3" max="3" width="18.42578125" style="4" customWidth="1"/>
    <col min="4" max="4" width="17.28515625" style="4" bestFit="1" customWidth="1"/>
    <col min="5" max="5" width="18.140625" style="4" bestFit="1" customWidth="1"/>
    <col min="6" max="6" width="23.140625" style="4"/>
    <col min="7" max="7" width="18" style="4" customWidth="1"/>
    <col min="8" max="8" width="4.28515625" style="4" customWidth="1"/>
    <col min="9" max="9" width="26" style="4" bestFit="1" customWidth="1"/>
    <col min="10" max="16384" width="23.140625" style="4"/>
  </cols>
  <sheetData>
    <row r="1" spans="1:14" s="3" customFormat="1" x14ac:dyDescent="0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4" s="3" customFormat="1" x14ac:dyDescent="0.2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4" s="3" customFormat="1" x14ac:dyDescent="0.25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</row>
    <row r="4" spans="1:14" x14ac:dyDescent="0.25">
      <c r="B4" s="3"/>
      <c r="C4" s="3"/>
    </row>
    <row r="5" spans="1:14" x14ac:dyDescent="0.25">
      <c r="B5" s="3"/>
      <c r="C5" s="3"/>
    </row>
    <row r="6" spans="1:14" x14ac:dyDescent="0.25">
      <c r="B6" s="3"/>
      <c r="C6" s="3"/>
    </row>
    <row r="7" spans="1:14" x14ac:dyDescent="0.25">
      <c r="B7" s="3"/>
      <c r="C7" s="3"/>
    </row>
    <row r="8" spans="1:14" x14ac:dyDescent="0.25">
      <c r="B8" s="3"/>
      <c r="C8" s="3"/>
    </row>
    <row r="9" spans="1:14" x14ac:dyDescent="0.25">
      <c r="B9" s="3"/>
      <c r="C9" s="3"/>
    </row>
    <row r="10" spans="1:14" x14ac:dyDescent="0.25">
      <c r="B10" s="3"/>
      <c r="C10" s="3"/>
    </row>
    <row r="11" spans="1:14" x14ac:dyDescent="0.25">
      <c r="B11" s="5" t="s">
        <v>105</v>
      </c>
      <c r="C11" s="5" t="s">
        <v>106</v>
      </c>
      <c r="D11" s="35"/>
      <c r="E11" s="35"/>
      <c r="I11" s="5" t="s">
        <v>105</v>
      </c>
      <c r="J11" s="5" t="s">
        <v>106</v>
      </c>
    </row>
    <row r="12" spans="1:14" ht="15" x14ac:dyDescent="0.25">
      <c r="B12" s="36" t="s">
        <v>107</v>
      </c>
      <c r="C12" s="37">
        <f>Overzicht!$B$7</f>
        <v>45292</v>
      </c>
      <c r="I12" s="36" t="s">
        <v>107</v>
      </c>
      <c r="J12" s="37">
        <f>Overzicht!$B$7</f>
        <v>45292</v>
      </c>
    </row>
    <row r="13" spans="1:14" ht="15" x14ac:dyDescent="0.25">
      <c r="B13" s="36" t="s">
        <v>6</v>
      </c>
      <c r="C13" s="37">
        <f>Overzicht!$C$7</f>
        <v>45658</v>
      </c>
      <c r="I13" s="36" t="s">
        <v>6</v>
      </c>
      <c r="J13" s="37">
        <f>Overzicht!$C$7</f>
        <v>45658</v>
      </c>
    </row>
    <row r="14" spans="1:14" ht="15" x14ac:dyDescent="0.25">
      <c r="B14" s="36" t="s">
        <v>113</v>
      </c>
      <c r="C14" s="235">
        <v>0.03</v>
      </c>
      <c r="I14" s="36" t="s">
        <v>114</v>
      </c>
      <c r="J14" s="235">
        <v>0.05</v>
      </c>
    </row>
    <row r="15" spans="1:14" ht="15" x14ac:dyDescent="0.25">
      <c r="B15" s="233"/>
      <c r="C15" s="236"/>
    </row>
    <row r="16" spans="1:14" ht="15" x14ac:dyDescent="0.25">
      <c r="B16" s="233"/>
      <c r="C16" s="234"/>
    </row>
    <row r="18" spans="2:14" x14ac:dyDescent="0.25">
      <c r="B18" s="4" t="s">
        <v>18</v>
      </c>
      <c r="C18" s="4">
        <v>0</v>
      </c>
      <c r="I18" s="4" t="s">
        <v>18</v>
      </c>
      <c r="J18" s="4">
        <v>0</v>
      </c>
    </row>
    <row r="19" spans="2:14" ht="15" x14ac:dyDescent="0.25">
      <c r="B19" s="106" t="s">
        <v>108</v>
      </c>
      <c r="C19" s="107" t="s">
        <v>109</v>
      </c>
      <c r="D19" s="107" t="s">
        <v>110</v>
      </c>
      <c r="E19" s="107" t="s">
        <v>115</v>
      </c>
      <c r="F19" s="107" t="s">
        <v>111</v>
      </c>
      <c r="G19" s="108" t="s">
        <v>112</v>
      </c>
      <c r="I19" s="106" t="s">
        <v>108</v>
      </c>
      <c r="J19" s="107" t="s">
        <v>109</v>
      </c>
      <c r="K19" s="107" t="s">
        <v>110</v>
      </c>
      <c r="L19" s="107" t="s">
        <v>116</v>
      </c>
      <c r="M19" s="107" t="s">
        <v>111</v>
      </c>
      <c r="N19" s="108" t="s">
        <v>112</v>
      </c>
    </row>
    <row r="20" spans="2:14" x14ac:dyDescent="0.25">
      <c r="B20" s="241" t="str">
        <f>Specificatie!$U$7</f>
        <v xml:space="preserve">MS Amlin </v>
      </c>
      <c r="C20" s="242">
        <f>Specificatie!$U$8</f>
        <v>9</v>
      </c>
      <c r="D20" s="141">
        <f>Specificatie!$U$10</f>
        <v>0.3</v>
      </c>
      <c r="E20" s="243">
        <f>(SUMIF(Table3[Certificaat],$C18,Table3[Jaarpremie 1]))/2*(1+C14)</f>
        <v>9592.0305300000018</v>
      </c>
      <c r="F20" s="243">
        <v>0</v>
      </c>
      <c r="G20" s="244">
        <f t="shared" ref="G20:G29" si="0">E20-F20</f>
        <v>9592.0305300000018</v>
      </c>
      <c r="I20" s="241" t="str">
        <f>Specificatie!$U$7</f>
        <v xml:space="preserve">MS Amlin </v>
      </c>
      <c r="J20" s="242">
        <f>Specificatie!$U$8</f>
        <v>9</v>
      </c>
      <c r="K20" s="141">
        <f>Specificatie!$U$10</f>
        <v>0.3</v>
      </c>
      <c r="L20" s="243">
        <f>(SUMIF(Table3[Certificaat],$C18,Table3[Jaarpremie 1]))/4*(1+J14)</f>
        <v>4889.141775000001</v>
      </c>
      <c r="M20" s="243">
        <v>0</v>
      </c>
      <c r="N20" s="244">
        <f t="shared" ref="N20:N29" si="1">L20-M20</f>
        <v>4889.141775000001</v>
      </c>
    </row>
    <row r="21" spans="2:14" x14ac:dyDescent="0.25">
      <c r="B21" s="241" t="str">
        <f>Specificatie!$V$7</f>
        <v>Nationale-Nederlanden</v>
      </c>
      <c r="C21" s="242">
        <f>Specificatie!$V$8</f>
        <v>916</v>
      </c>
      <c r="D21" s="141">
        <f>Specificatie!$V$10</f>
        <v>0.375</v>
      </c>
      <c r="E21" s="243">
        <f>SUMIF(Table3[Certificaat],$C18,Table3[Jaarpremie 2])/2*(1+C14)</f>
        <v>10435.773956250001</v>
      </c>
      <c r="F21" s="243">
        <v>0</v>
      </c>
      <c r="G21" s="244">
        <f t="shared" si="0"/>
        <v>10435.773956250001</v>
      </c>
      <c r="I21" s="241" t="str">
        <f>Specificatie!$V$7</f>
        <v>Nationale-Nederlanden</v>
      </c>
      <c r="J21" s="242">
        <f>Specificatie!$V$8</f>
        <v>916</v>
      </c>
      <c r="K21" s="141">
        <f>Specificatie!$V$10</f>
        <v>0.375</v>
      </c>
      <c r="L21" s="243">
        <f>SUMIF(Table3[Certificaat],$C18,Table3[Jaarpremie 2])/4*(1+J14)</f>
        <v>5319.2051718750008</v>
      </c>
      <c r="M21" s="243">
        <v>0</v>
      </c>
      <c r="N21" s="244">
        <f t="shared" si="1"/>
        <v>5319.2051718750008</v>
      </c>
    </row>
    <row r="22" spans="2:14" x14ac:dyDescent="0.25">
      <c r="B22" s="241" t="str">
        <f>Specificatie!$W$7</f>
        <v>Allianz</v>
      </c>
      <c r="C22" s="242">
        <f>Specificatie!$W$8</f>
        <v>230159</v>
      </c>
      <c r="D22" s="141">
        <f>Specificatie!$W$10</f>
        <v>0.2</v>
      </c>
      <c r="E22" s="243">
        <f>SUMIF(Table3[Certificaat],$C18,Table3[Jaarpremie 3])/2*(1+C14)</f>
        <v>6394.6870200000003</v>
      </c>
      <c r="F22" s="243">
        <v>0</v>
      </c>
      <c r="G22" s="244">
        <f t="shared" si="0"/>
        <v>6394.6870200000003</v>
      </c>
      <c r="I22" s="241" t="str">
        <f>Specificatie!$W$7</f>
        <v>Allianz</v>
      </c>
      <c r="J22" s="242">
        <f>Specificatie!$W$8</f>
        <v>230159</v>
      </c>
      <c r="K22" s="141">
        <f>Specificatie!$W$10</f>
        <v>0.2</v>
      </c>
      <c r="L22" s="243">
        <f>SUMIF(Table3[Certificaat],$C18,Table3[Jaarpremie 3])/4*(1+J14)</f>
        <v>3259.42785</v>
      </c>
      <c r="M22" s="243">
        <v>0</v>
      </c>
      <c r="N22" s="244">
        <f t="shared" si="1"/>
        <v>3259.42785</v>
      </c>
    </row>
    <row r="23" spans="2:14" x14ac:dyDescent="0.25">
      <c r="B23" s="241" t="str">
        <f>Specificatie!$X$7</f>
        <v>Zurich</v>
      </c>
      <c r="C23" s="242">
        <f>Specificatie!$X$8</f>
        <v>896</v>
      </c>
      <c r="D23" s="141">
        <f>Specificatie!$X$10</f>
        <v>0.125</v>
      </c>
      <c r="E23" s="243">
        <f>SUMIF(Table3[Certificaat],$C18,Table3[Jaarpremie 4])/2*(1+C14)</f>
        <v>4440.7548749999996</v>
      </c>
      <c r="F23" s="243">
        <v>0</v>
      </c>
      <c r="G23" s="244">
        <f t="shared" si="0"/>
        <v>4440.7548749999996</v>
      </c>
      <c r="I23" s="241" t="str">
        <f>Specificatie!$X$7</f>
        <v>Zurich</v>
      </c>
      <c r="J23" s="242">
        <f>Specificatie!$X$8</f>
        <v>896</v>
      </c>
      <c r="K23" s="141">
        <f>Specificatie!$X$10</f>
        <v>0.125</v>
      </c>
      <c r="L23" s="243">
        <f>SUMIF(Table3[Certificaat],$C18,Table3[Jaarpremie 4])/4*(1+J14)</f>
        <v>2263.4915624999999</v>
      </c>
      <c r="M23" s="243">
        <v>0</v>
      </c>
      <c r="N23" s="244">
        <f t="shared" si="1"/>
        <v>2263.4915624999999</v>
      </c>
    </row>
    <row r="24" spans="2:14" x14ac:dyDescent="0.25">
      <c r="B24" s="241" t="e">
        <f>Specificatie!#REF!</f>
        <v>#REF!</v>
      </c>
      <c r="C24" s="242" t="e">
        <f>Specificatie!#REF!</f>
        <v>#REF!</v>
      </c>
      <c r="D24" s="141" t="e">
        <f>Specificatie!#REF!</f>
        <v>#REF!</v>
      </c>
      <c r="E24" s="243" t="e">
        <f>SUMIF(Table3[Certificaat],$C18,#REF!)/2*(1+C14)</f>
        <v>#REF!</v>
      </c>
      <c r="F24" s="243">
        <v>0</v>
      </c>
      <c r="G24" s="244" t="e">
        <f t="shared" si="0"/>
        <v>#REF!</v>
      </c>
      <c r="I24" s="241" t="e">
        <f>Specificatie!#REF!</f>
        <v>#REF!</v>
      </c>
      <c r="J24" s="242" t="e">
        <f>Specificatie!#REF!</f>
        <v>#REF!</v>
      </c>
      <c r="K24" s="141" t="e">
        <f>Specificatie!#REF!</f>
        <v>#REF!</v>
      </c>
      <c r="L24" s="243" t="e">
        <f>SUMIF(Table3[Certificaat],$C18,#REF!)/4*(1+J14)</f>
        <v>#REF!</v>
      </c>
      <c r="M24" s="243">
        <v>0</v>
      </c>
      <c r="N24" s="244" t="e">
        <f t="shared" si="1"/>
        <v>#REF!</v>
      </c>
    </row>
    <row r="25" spans="2:14" x14ac:dyDescent="0.25">
      <c r="B25" s="241" t="e">
        <f>Specificatie!#REF!</f>
        <v>#REF!</v>
      </c>
      <c r="C25" s="242" t="e">
        <f>Specificatie!#REF!</f>
        <v>#REF!</v>
      </c>
      <c r="D25" s="141" t="e">
        <f>Specificatie!#REF!</f>
        <v>#REF!</v>
      </c>
      <c r="E25" s="243" t="e">
        <f>SUMIF(Table3[Certificaat],$C18,#REF!)/2*(1+C14)</f>
        <v>#REF!</v>
      </c>
      <c r="F25" s="243">
        <v>0</v>
      </c>
      <c r="G25" s="244" t="e">
        <f t="shared" si="0"/>
        <v>#REF!</v>
      </c>
      <c r="I25" s="241" t="e">
        <f>Specificatie!#REF!</f>
        <v>#REF!</v>
      </c>
      <c r="J25" s="242" t="e">
        <f>Specificatie!#REF!</f>
        <v>#REF!</v>
      </c>
      <c r="K25" s="141" t="e">
        <f>Specificatie!#REF!</f>
        <v>#REF!</v>
      </c>
      <c r="L25" s="243" t="e">
        <f>SUMIF(Table3[Certificaat],$C18,#REF!)/4*(1+J14)</f>
        <v>#REF!</v>
      </c>
      <c r="M25" s="243">
        <v>0</v>
      </c>
      <c r="N25" s="244" t="e">
        <f t="shared" si="1"/>
        <v>#REF!</v>
      </c>
    </row>
    <row r="26" spans="2:14" x14ac:dyDescent="0.25">
      <c r="B26" s="241" t="e">
        <f>Specificatie!#REF!</f>
        <v>#REF!</v>
      </c>
      <c r="C26" s="242" t="e">
        <f>Specificatie!#REF!</f>
        <v>#REF!</v>
      </c>
      <c r="D26" s="141" t="e">
        <f>Specificatie!#REF!</f>
        <v>#REF!</v>
      </c>
      <c r="E26" s="243" t="e">
        <f>SUMIF(Table3[Certificaat],$C18,#REF!)/2*(1+C14)</f>
        <v>#REF!</v>
      </c>
      <c r="F26" s="243">
        <v>0</v>
      </c>
      <c r="G26" s="244" t="e">
        <f t="shared" si="0"/>
        <v>#REF!</v>
      </c>
      <c r="I26" s="241" t="e">
        <f>Specificatie!#REF!</f>
        <v>#REF!</v>
      </c>
      <c r="J26" s="242" t="e">
        <f>Specificatie!#REF!</f>
        <v>#REF!</v>
      </c>
      <c r="K26" s="141" t="e">
        <f>Specificatie!#REF!</f>
        <v>#REF!</v>
      </c>
      <c r="L26" s="243" t="e">
        <f>SUMIF(Table3[Certificaat],$C18,#REF!)/4*(1+J14)</f>
        <v>#REF!</v>
      </c>
      <c r="M26" s="243">
        <v>0</v>
      </c>
      <c r="N26" s="244" t="e">
        <f t="shared" si="1"/>
        <v>#REF!</v>
      </c>
    </row>
    <row r="27" spans="2:14" x14ac:dyDescent="0.25">
      <c r="B27" s="241" t="e">
        <f>Specificatie!#REF!</f>
        <v>#REF!</v>
      </c>
      <c r="C27" s="242" t="e">
        <f>Specificatie!#REF!</f>
        <v>#REF!</v>
      </c>
      <c r="D27" s="141" t="e">
        <f>Specificatie!#REF!</f>
        <v>#REF!</v>
      </c>
      <c r="E27" s="243" t="e">
        <f>SUMIF(Table3[Certificaat],$C18,#REF!)/2*(1+C14)</f>
        <v>#REF!</v>
      </c>
      <c r="F27" s="243">
        <v>0</v>
      </c>
      <c r="G27" s="244" t="e">
        <f t="shared" si="0"/>
        <v>#REF!</v>
      </c>
      <c r="I27" s="241" t="e">
        <f>Specificatie!#REF!</f>
        <v>#REF!</v>
      </c>
      <c r="J27" s="242" t="e">
        <f>Specificatie!#REF!</f>
        <v>#REF!</v>
      </c>
      <c r="K27" s="141" t="e">
        <f>Specificatie!#REF!</f>
        <v>#REF!</v>
      </c>
      <c r="L27" s="243" t="e">
        <f>SUMIF(Table3[Certificaat],$C18,#REF!)/4*(1+J14)</f>
        <v>#REF!</v>
      </c>
      <c r="M27" s="243">
        <v>0</v>
      </c>
      <c r="N27" s="244" t="e">
        <f t="shared" si="1"/>
        <v>#REF!</v>
      </c>
    </row>
    <row r="28" spans="2:14" x14ac:dyDescent="0.25">
      <c r="B28" s="241" t="e">
        <f>Specificatie!#REF!</f>
        <v>#REF!</v>
      </c>
      <c r="C28" s="242" t="e">
        <f>Specificatie!#REF!</f>
        <v>#REF!</v>
      </c>
      <c r="D28" s="141" t="e">
        <f>Specificatie!#REF!</f>
        <v>#REF!</v>
      </c>
      <c r="E28" s="243" t="e">
        <f>SUMIF(Table3[Certificaat],$C18,#REF!)/2*(1+C14)</f>
        <v>#REF!</v>
      </c>
      <c r="F28" s="243">
        <v>0</v>
      </c>
      <c r="G28" s="244" t="e">
        <f t="shared" si="0"/>
        <v>#REF!</v>
      </c>
      <c r="I28" s="241" t="e">
        <f>Specificatie!#REF!</f>
        <v>#REF!</v>
      </c>
      <c r="J28" s="242" t="e">
        <f>Specificatie!#REF!</f>
        <v>#REF!</v>
      </c>
      <c r="K28" s="141" t="e">
        <f>Specificatie!#REF!</f>
        <v>#REF!</v>
      </c>
      <c r="L28" s="243" t="e">
        <f>SUMIF(Table3[Certificaat],$C18,#REF!)/4*(1+J14)</f>
        <v>#REF!</v>
      </c>
      <c r="M28" s="243">
        <v>0</v>
      </c>
      <c r="N28" s="244" t="e">
        <f t="shared" si="1"/>
        <v>#REF!</v>
      </c>
    </row>
    <row r="29" spans="2:14" x14ac:dyDescent="0.25">
      <c r="B29" s="241" t="e">
        <f>Specificatie!#REF!</f>
        <v>#REF!</v>
      </c>
      <c r="C29" s="242" t="e">
        <f>Specificatie!#REF!</f>
        <v>#REF!</v>
      </c>
      <c r="D29" s="141" t="e">
        <f>Specificatie!#REF!</f>
        <v>#REF!</v>
      </c>
      <c r="E29" s="243" t="e">
        <f>SUMIF(Table3[Certificaat],$C18,#REF!)/2*(1+C14)</f>
        <v>#REF!</v>
      </c>
      <c r="F29" s="243">
        <v>0</v>
      </c>
      <c r="G29" s="244" t="e">
        <f t="shared" si="0"/>
        <v>#REF!</v>
      </c>
      <c r="I29" s="241" t="e">
        <f>Specificatie!#REF!</f>
        <v>#REF!</v>
      </c>
      <c r="J29" s="242" t="e">
        <f>Specificatie!#REF!</f>
        <v>#REF!</v>
      </c>
      <c r="K29" s="141" t="e">
        <f>Specificatie!#REF!</f>
        <v>#REF!</v>
      </c>
      <c r="L29" s="243" t="e">
        <f>SUMIF(Table3[Certificaat],$C18,#REF!)/4*(1+J14)</f>
        <v>#REF!</v>
      </c>
      <c r="M29" s="243">
        <v>0</v>
      </c>
      <c r="N29" s="244" t="e">
        <f t="shared" si="1"/>
        <v>#REF!</v>
      </c>
    </row>
    <row r="30" spans="2:14" ht="15" x14ac:dyDescent="0.25">
      <c r="B30" s="245" t="s">
        <v>60</v>
      </c>
      <c r="C30" s="246"/>
      <c r="D30" s="145" t="e">
        <f>SUBTOTAL(109,Table16[Aandeel])</f>
        <v>#REF!</v>
      </c>
      <c r="E30" s="247" t="e">
        <f>SUBTOTAL(109,Table16[Halfjaarpremie])</f>
        <v>#REF!</v>
      </c>
      <c r="F30" s="247">
        <f>SUBTOTAL(109,Table16[Al geboekt met nota])</f>
        <v>0</v>
      </c>
      <c r="G30" s="247" t="e">
        <f>SUBTOTAL(109,Table16[Nog te boeken])</f>
        <v>#REF!</v>
      </c>
      <c r="I30" s="245" t="s">
        <v>60</v>
      </c>
      <c r="J30" s="246"/>
      <c r="K30" s="145" t="e">
        <f>SUBTOTAL(109,Table168[Aandeel])</f>
        <v>#REF!</v>
      </c>
      <c r="L30" s="247" t="e">
        <f>SUBTOTAL(109,Table168[Kwartaalpremie])</f>
        <v>#REF!</v>
      </c>
      <c r="M30" s="247">
        <f>SUBTOTAL(109,Table168[Al geboekt met nota])</f>
        <v>0</v>
      </c>
      <c r="N30" s="247" t="e">
        <f>SUBTOTAL(109,Table168[Nog te boeken])</f>
        <v>#REF!</v>
      </c>
    </row>
  </sheetData>
  <pageMargins left="0.25" right="0.25" top="0.75" bottom="0.75" header="0.3" footer="0.3"/>
  <pageSetup paperSize="9" fitToWidth="2" fitToHeight="0" orientation="landscape" horizontalDpi="1200" verticalDpi="1200" r:id="rId1"/>
  <headerFooter>
    <oddFooter>&amp;L&amp;F
Uniek nr e-ABS XXXXXXXXXXXXXXXXXXX</oddFooter>
  </headerFooter>
  <ignoredErrors>
    <ignoredError sqref="E20:E29 L20:L29" calculatedColumn="1"/>
  </ignoredError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6BBD-BDCB-4C13-829A-532461D6730A}">
  <sheetPr codeName="Sheet6"/>
  <dimension ref="A1:G21"/>
  <sheetViews>
    <sheetView showGridLines="0" topLeftCell="A8" zoomScaleNormal="100" workbookViewId="0">
      <selection activeCell="D23" sqref="D23"/>
    </sheetView>
  </sheetViews>
  <sheetFormatPr defaultColWidth="23.140625" defaultRowHeight="14.25" x14ac:dyDescent="0.25"/>
  <cols>
    <col min="1" max="1" width="2.85546875" style="4" customWidth="1"/>
    <col min="2" max="2" width="28" style="4" bestFit="1" customWidth="1"/>
    <col min="3" max="3" width="18.42578125" style="4" customWidth="1"/>
    <col min="4" max="4" width="17.28515625" style="4" bestFit="1" customWidth="1"/>
    <col min="5" max="5" width="21.7109375" style="4" bestFit="1" customWidth="1"/>
    <col min="6" max="6" width="23.140625" style="4" customWidth="1"/>
    <col min="7" max="7" width="18" style="4" customWidth="1"/>
    <col min="8" max="16384" width="23.140625" style="4"/>
  </cols>
  <sheetData>
    <row r="1" spans="1:7" s="3" customFormat="1" x14ac:dyDescent="0.25">
      <c r="A1" s="232"/>
      <c r="B1" s="232"/>
      <c r="C1" s="232"/>
      <c r="D1" s="232"/>
      <c r="E1" s="232"/>
      <c r="F1" s="232"/>
      <c r="G1" s="232"/>
    </row>
    <row r="2" spans="1:7" s="3" customFormat="1" x14ac:dyDescent="0.25">
      <c r="A2" s="232"/>
      <c r="B2" s="232"/>
      <c r="C2" s="232"/>
      <c r="D2" s="232"/>
      <c r="E2" s="232"/>
      <c r="F2" s="232"/>
      <c r="G2" s="232"/>
    </row>
    <row r="3" spans="1:7" s="3" customFormat="1" x14ac:dyDescent="0.25">
      <c r="A3" s="232"/>
      <c r="B3" s="232"/>
      <c r="C3" s="232"/>
      <c r="D3" s="232"/>
      <c r="E3" s="232"/>
      <c r="F3" s="232"/>
      <c r="G3" s="232"/>
    </row>
    <row r="4" spans="1:7" x14ac:dyDescent="0.25">
      <c r="B4" s="3"/>
      <c r="C4" s="3"/>
    </row>
    <row r="5" spans="1:7" x14ac:dyDescent="0.25">
      <c r="B5" s="3"/>
      <c r="C5" s="3"/>
    </row>
    <row r="6" spans="1:7" x14ac:dyDescent="0.25">
      <c r="B6" s="3"/>
      <c r="C6" s="3"/>
    </row>
    <row r="7" spans="1:7" x14ac:dyDescent="0.25">
      <c r="B7" s="3"/>
      <c r="C7" s="3"/>
    </row>
    <row r="8" spans="1:7" x14ac:dyDescent="0.25">
      <c r="B8" s="3"/>
      <c r="C8" s="3"/>
    </row>
    <row r="9" spans="1:7" x14ac:dyDescent="0.25">
      <c r="B9" s="3"/>
      <c r="C9" s="3"/>
    </row>
    <row r="10" spans="1:7" x14ac:dyDescent="0.25">
      <c r="B10" s="3"/>
      <c r="C10" s="3"/>
    </row>
    <row r="11" spans="1:7" x14ac:dyDescent="0.25">
      <c r="B11" s="5" t="s">
        <v>105</v>
      </c>
      <c r="C11" s="5" t="s">
        <v>106</v>
      </c>
      <c r="D11" s="35"/>
      <c r="E11" s="35"/>
    </row>
    <row r="12" spans="1:7" ht="15" x14ac:dyDescent="0.25">
      <c r="B12" s="36" t="s">
        <v>5</v>
      </c>
      <c r="C12" s="37">
        <v>44562</v>
      </c>
    </row>
    <row r="13" spans="1:7" ht="15" x14ac:dyDescent="0.25">
      <c r="B13" s="36" t="s">
        <v>6</v>
      </c>
      <c r="C13" s="37">
        <v>44927</v>
      </c>
    </row>
    <row r="15" spans="1:7" x14ac:dyDescent="0.25">
      <c r="B15" s="4" t="s">
        <v>18</v>
      </c>
      <c r="C15" s="4">
        <v>0</v>
      </c>
    </row>
    <row r="16" spans="1:7" ht="15" x14ac:dyDescent="0.25">
      <c r="B16" s="106" t="s">
        <v>108</v>
      </c>
      <c r="C16" s="107" t="s">
        <v>109</v>
      </c>
      <c r="D16" s="107" t="s">
        <v>110</v>
      </c>
      <c r="E16" s="108" t="s">
        <v>117</v>
      </c>
    </row>
    <row r="17" spans="2:5" x14ac:dyDescent="0.25">
      <c r="B17" s="104" t="str">
        <f>Specificatie!$U$7</f>
        <v xml:space="preserve">MS Amlin </v>
      </c>
      <c r="C17" s="102">
        <f>Specificatie!$U$8</f>
        <v>9</v>
      </c>
      <c r="D17" s="141">
        <f>Specificatie!$U$10</f>
        <v>0.3</v>
      </c>
      <c r="E17" s="105">
        <f>SUMIFS(Table4[Verzekeraar 12],Table4[Mutatiedatum],$C12,Table4[Certificaat],$C15)</f>
        <v>0</v>
      </c>
    </row>
    <row r="18" spans="2:5" x14ac:dyDescent="0.25">
      <c r="B18" s="104" t="str">
        <f>Specificatie!$V$7</f>
        <v>Nationale-Nederlanden</v>
      </c>
      <c r="C18" s="102">
        <f>Specificatie!$V$8</f>
        <v>916</v>
      </c>
      <c r="D18" s="141">
        <f>Specificatie!$V$10</f>
        <v>0.375</v>
      </c>
      <c r="E18" s="105">
        <f>SUMIFS(Table4[Verzekeraar 13],Table4[Mutatiedatum],$C12,Table4[Certificaat],$C15)</f>
        <v>0</v>
      </c>
    </row>
    <row r="19" spans="2:5" x14ac:dyDescent="0.25">
      <c r="B19" s="104" t="str">
        <f>Specificatie!$W$7</f>
        <v>Allianz</v>
      </c>
      <c r="C19" s="102">
        <f>Specificatie!$W$8</f>
        <v>230159</v>
      </c>
      <c r="D19" s="141">
        <f>Specificatie!$W$10</f>
        <v>0.2</v>
      </c>
      <c r="E19" s="105">
        <f>SUMIFS(Table4[Verzekeraar 14],Table4[Mutatiedatum],$C12,Table4[Certificaat],$C15)</f>
        <v>0</v>
      </c>
    </row>
    <row r="20" spans="2:5" x14ac:dyDescent="0.25">
      <c r="B20" s="104" t="str">
        <f>Specificatie!$X$7</f>
        <v>Zurich</v>
      </c>
      <c r="C20" s="102">
        <f>Specificatie!$X$8</f>
        <v>896</v>
      </c>
      <c r="D20" s="141">
        <f>Specificatie!$X$10</f>
        <v>0.125</v>
      </c>
      <c r="E20" s="105">
        <f>SUMIFS(Table4[Verzekeraar 15],Table4[Mutatiedatum],$C12,Table4[Certificaat],$C15)</f>
        <v>0</v>
      </c>
    </row>
    <row r="21" spans="2:5" ht="15" x14ac:dyDescent="0.25">
      <c r="B21" s="142" t="s">
        <v>60</v>
      </c>
      <c r="C21" s="143"/>
      <c r="D21" s="145">
        <f>SUBTOTAL(109,Table2[Aandeel])</f>
        <v>1</v>
      </c>
      <c r="E21" s="144">
        <f>SUBTOTAL(109,Table2[Boeking/restitutie])</f>
        <v>0</v>
      </c>
    </row>
  </sheetData>
  <pageMargins left="0.25" right="0.25" top="0.75" bottom="0.75" header="0.3" footer="0.3"/>
  <pageSetup paperSize="9" orientation="landscape" horizontalDpi="1200" verticalDpi="1200" r:id="rId1"/>
  <headerFooter>
    <oddFooter>&amp;L&amp;F
Uniek nr e-ABS XXXXXXXXXXXXXXXXXXX</oddFooter>
  </headerFooter>
  <ignoredErrors>
    <ignoredError sqref="E18:E20" calculatedColumn="1"/>
  </ignoredError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A4A44-A812-4F49-957D-CE376EF762B5}">
  <sheetPr codeName="Sheet7"/>
  <dimension ref="A1:D16"/>
  <sheetViews>
    <sheetView showGridLines="0" workbookViewId="0">
      <selection activeCell="C12" sqref="C12"/>
    </sheetView>
  </sheetViews>
  <sheetFormatPr defaultRowHeight="15" x14ac:dyDescent="0.25"/>
  <cols>
    <col min="1" max="1" width="30.28515625" customWidth="1"/>
    <col min="2" max="2" width="20.28515625" bestFit="1" customWidth="1"/>
  </cols>
  <sheetData>
    <row r="1" spans="1:4" x14ac:dyDescent="0.25">
      <c r="A1" s="1" t="s">
        <v>118</v>
      </c>
      <c r="B1" s="1" t="s">
        <v>24</v>
      </c>
      <c r="C1" s="1" t="s">
        <v>119</v>
      </c>
      <c r="D1" s="1" t="s">
        <v>120</v>
      </c>
    </row>
    <row r="2" spans="1:4" x14ac:dyDescent="0.25">
      <c r="A2" s="34" t="s">
        <v>11</v>
      </c>
      <c r="B2" s="34" t="s">
        <v>11</v>
      </c>
      <c r="C2" t="s">
        <v>121</v>
      </c>
      <c r="D2" s="34" t="s">
        <v>11</v>
      </c>
    </row>
    <row r="3" spans="1:4" x14ac:dyDescent="0.25">
      <c r="A3" t="s">
        <v>122</v>
      </c>
      <c r="B3" t="s">
        <v>123</v>
      </c>
      <c r="C3" t="s">
        <v>104</v>
      </c>
      <c r="D3" t="s">
        <v>121</v>
      </c>
    </row>
    <row r="4" spans="1:4" x14ac:dyDescent="0.25">
      <c r="A4" t="s">
        <v>124</v>
      </c>
      <c r="B4" t="s">
        <v>125</v>
      </c>
      <c r="D4" t="s">
        <v>104</v>
      </c>
    </row>
    <row r="5" spans="1:4" x14ac:dyDescent="0.25">
      <c r="A5" t="s">
        <v>126</v>
      </c>
      <c r="B5" t="s">
        <v>127</v>
      </c>
    </row>
    <row r="6" spans="1:4" x14ac:dyDescent="0.25">
      <c r="A6" t="s">
        <v>128</v>
      </c>
      <c r="B6" t="s">
        <v>129</v>
      </c>
    </row>
    <row r="7" spans="1:4" x14ac:dyDescent="0.25">
      <c r="A7" t="s">
        <v>130</v>
      </c>
    </row>
    <row r="8" spans="1:4" x14ac:dyDescent="0.25">
      <c r="A8" t="s">
        <v>131</v>
      </c>
    </row>
    <row r="9" spans="1:4" x14ac:dyDescent="0.25">
      <c r="A9" t="s">
        <v>132</v>
      </c>
    </row>
    <row r="10" spans="1:4" x14ac:dyDescent="0.25">
      <c r="A10" t="s">
        <v>133</v>
      </c>
    </row>
    <row r="11" spans="1:4" x14ac:dyDescent="0.25">
      <c r="A11" t="s">
        <v>134</v>
      </c>
    </row>
    <row r="12" spans="1:4" x14ac:dyDescent="0.25">
      <c r="A12" t="s">
        <v>135</v>
      </c>
    </row>
    <row r="13" spans="1:4" x14ac:dyDescent="0.25">
      <c r="A13" t="s">
        <v>136</v>
      </c>
    </row>
    <row r="14" spans="1:4" x14ac:dyDescent="0.25">
      <c r="A14" t="s">
        <v>137</v>
      </c>
    </row>
    <row r="15" spans="1:4" x14ac:dyDescent="0.25">
      <c r="A15" t="s">
        <v>138</v>
      </c>
    </row>
    <row r="16" spans="1:4" x14ac:dyDescent="0.25">
      <c r="A16" t="s">
        <v>139</v>
      </c>
    </row>
  </sheetData>
  <sortState xmlns:xlrd2="http://schemas.microsoft.com/office/spreadsheetml/2017/richdata2" ref="A3:A17">
    <sortCondition ref="A3:A17"/>
  </sortState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titus xmlns="http://schemas.titus.com/TitusProperties/">
  <TitusGUID xmlns="">a96d6b82-8cab-477b-8221-fd98fa00c047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04d66-90c6-4335-b1c9-5b3984399988">
      <Terms xmlns="http://schemas.microsoft.com/office/infopath/2007/PartnerControls"/>
    </lcf76f155ced4ddcb4097134ff3c332f>
    <TaxCatchAll xmlns="41d8d177-be5a-477d-be00-e01547a293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Create a new document." ma:contentTypeScope="" ma:versionID="e0ff0fec7fafa95136ba1e7a5d245ade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0bf139f20d98ee3fefa08b4ab3bdb790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60EFD-BAD1-45BA-A5A7-E63F0EBBA27E}">
  <ds:schemaRefs>
    <ds:schemaRef ds:uri="http://schemas.titus.com/TitusProperties/"/>
    <ds:schemaRef ds:uri=""/>
  </ds:schemaRefs>
</ds:datastoreItem>
</file>

<file path=customXml/itemProps2.xml><?xml version="1.0" encoding="utf-8"?>
<ds:datastoreItem xmlns:ds="http://schemas.openxmlformats.org/officeDocument/2006/customXml" ds:itemID="{7A3C7FDF-D4C7-40F7-8F63-C8D7D6EC81B0}">
  <ds:schemaRefs>
    <ds:schemaRef ds:uri="http://schemas.microsoft.com/office/2006/metadata/properties"/>
    <ds:schemaRef ds:uri="http://schemas.microsoft.com/office/infopath/2007/PartnerControls"/>
    <ds:schemaRef ds:uri="38304d66-90c6-4335-b1c9-5b3984399988"/>
    <ds:schemaRef ds:uri="41d8d177-be5a-477d-be00-e01547a293a3"/>
  </ds:schemaRefs>
</ds:datastoreItem>
</file>

<file path=customXml/itemProps3.xml><?xml version="1.0" encoding="utf-8"?>
<ds:datastoreItem xmlns:ds="http://schemas.openxmlformats.org/officeDocument/2006/customXml" ds:itemID="{54E56B9C-DAB9-4075-8DE6-12EF5B4A86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FFE8C2-F124-4030-8699-1ACED8FF7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Overzicht</vt:lpstr>
      <vt:lpstr>Specificatie</vt:lpstr>
      <vt:lpstr>Taxaties</vt:lpstr>
      <vt:lpstr>Mutaties</vt:lpstr>
      <vt:lpstr>Verrekening Jaarpremie</vt:lpstr>
      <vt:lpstr>Periodepremies</vt:lpstr>
      <vt:lpstr>Verrekening Pro Rata-CAD</vt:lpstr>
      <vt:lpstr>Data</vt:lpstr>
      <vt:lpstr>Bouwaard</vt:lpstr>
      <vt:lpstr>CAD</vt:lpstr>
      <vt:lpstr>Interest</vt:lpstr>
      <vt:lpstr>Specificatie!Print_Area</vt:lpstr>
      <vt:lpstr>Taxatie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van Doornewaard</dc:creator>
  <cp:keywords/>
  <dc:description/>
  <cp:lastModifiedBy>Eline Jongste</cp:lastModifiedBy>
  <cp:revision/>
  <cp:lastPrinted>2023-12-14T15:14:09Z</cp:lastPrinted>
  <dcterms:created xsi:type="dcterms:W3CDTF">2019-07-21T11:45:44Z</dcterms:created>
  <dcterms:modified xsi:type="dcterms:W3CDTF">2024-09-17T18:01:43Z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0x010100072362D23840384AA44F195D95F9E0FB</vt:lpwstr>
  </property>
  <property fmtid="{D5CDD505-2E9C-101B-9397-08002B2CF9AE}" pid="3" name="TitusGUID">
    <vt:lpwstr>c75989d9-6a58-4b80-bca6-a2e08191187c</vt:lpwstr>
  </property>
  <property fmtid="{D5CDD505-2E9C-101B-9397-08002B2CF9AE}" pid="4" name="AonClassification">
    <vt:lpwstr>ADC_class_200</vt:lpwstr>
  </property>
  <property fmtid="{D5CDD505-2E9C-101B-9397-08002B2CF9AE}" pid="5" name="MediaServiceImageTags">
    <vt:lpwstr/>
  </property>
  <property fmtid="{D5CDD505-2E9C-101B-9397-08002B2CF9AE}" pid="6" name="MSIP_Label_9043f10a-881e-4653-a55e-02ca2cc829dc_Enabled">
    <vt:lpwstr>true</vt:lpwstr>
  </property>
  <property fmtid="{D5CDD505-2E9C-101B-9397-08002B2CF9AE}" pid="7" name="MSIP_Label_9043f10a-881e-4653-a55e-02ca2cc829dc_SetDate">
    <vt:lpwstr>2024-09-17T18:00:34Z</vt:lpwstr>
  </property>
  <property fmtid="{D5CDD505-2E9C-101B-9397-08002B2CF9AE}" pid="8" name="MSIP_Label_9043f10a-881e-4653-a55e-02ca2cc829dc_Method">
    <vt:lpwstr>Standard</vt:lpwstr>
  </property>
  <property fmtid="{D5CDD505-2E9C-101B-9397-08002B2CF9AE}" pid="9" name="MSIP_Label_9043f10a-881e-4653-a55e-02ca2cc829dc_Name">
    <vt:lpwstr>ADC_class_200</vt:lpwstr>
  </property>
  <property fmtid="{D5CDD505-2E9C-101B-9397-08002B2CF9AE}" pid="10" name="MSIP_Label_9043f10a-881e-4653-a55e-02ca2cc829dc_SiteId">
    <vt:lpwstr>94cfddbc-0627-494a-ad7a-29aea3aea832</vt:lpwstr>
  </property>
  <property fmtid="{D5CDD505-2E9C-101B-9397-08002B2CF9AE}" pid="11" name="MSIP_Label_9043f10a-881e-4653-a55e-02ca2cc829dc_ActionId">
    <vt:lpwstr>211e5fa9-7c6b-41d0-ba4e-4ab44460fd4b</vt:lpwstr>
  </property>
  <property fmtid="{D5CDD505-2E9C-101B-9397-08002B2CF9AE}" pid="12" name="MSIP_Label_9043f10a-881e-4653-a55e-02ca2cc829dc_ContentBits">
    <vt:lpwstr>0</vt:lpwstr>
  </property>
</Properties>
</file>