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H\HBO\Amsterdamse Hogeschool voor de Kunsten St\EA\2025\"/>
    </mc:Choice>
  </mc:AlternateContent>
  <xr:revisionPtr revIDLastSave="0" documentId="13_ncr:1_{8E6EAEAB-2AED-44B9-837F-2D7BD3EA5F89}" xr6:coauthVersionLast="47" xr6:coauthVersionMax="47" xr10:uidLastSave="{00000000-0000-0000-0000-000000000000}"/>
  <bookViews>
    <workbookView xWindow="-120" yWindow="-120" windowWidth="25440" windowHeight="15270" activeTab="2" xr2:uid="{61735FB4-A4DE-42E1-9588-60CFD9B13F09}"/>
  </bookViews>
  <sheets>
    <sheet name="Overzicht" sheetId="5" r:id="rId1"/>
    <sheet name="Specificatie" sheetId="1" r:id="rId2"/>
    <sheet name="Taxaties" sheetId="8" r:id="rId3"/>
    <sheet name="Mutaties" sheetId="7" r:id="rId4"/>
    <sheet name="Verrekening Jaarpremie" sheetId="2" r:id="rId5"/>
    <sheet name="Verrekening Pro Rata-CAD" sheetId="3" r:id="rId6"/>
    <sheet name="Data" sheetId="4" state="hidden" r:id="rId7"/>
  </sheets>
  <definedNames>
    <definedName name="_xlnm._FilterDatabase" localSheetId="1" hidden="1">Specificatie!$A$1:$AF$34</definedName>
    <definedName name="_xlcn.WorksheetConnection_BIPARModuleversie6.2.xlsxTable31" hidden="1">Table3[]</definedName>
    <definedName name="Bouwaard">Data!$B$2:$B$6</definedName>
    <definedName name="CAD">Data!$C$2:$C$3</definedName>
    <definedName name="courtage">'Verrekening Jaarpremie'!#REF!</definedName>
    <definedName name="Interest">Data!$A$2:$A$18</definedName>
    <definedName name="_xlnm.Print_Area" localSheetId="1">Specificatie!$A$1:$AG$38</definedName>
    <definedName name="_xlnm.Print_Titles" localSheetId="1">Specificatie!$C:$C</definedName>
    <definedName name="Taxatie">Data!$D$2:$D$4</definedName>
  </definedNames>
  <calcPr calcId="191028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3" name="Table3" connection="WorksheetConnection_BIPAR Module versie 6.2.xlsx!Table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1" l="1"/>
  <c r="N12" i="1"/>
  <c r="N38" i="1" s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2" i="1"/>
  <c r="N33" i="1"/>
  <c r="N34" i="1"/>
  <c r="J5" i="1"/>
  <c r="Z35" i="7"/>
  <c r="Y35" i="7"/>
  <c r="X35" i="7"/>
  <c r="W35" i="7"/>
  <c r="V35" i="7"/>
  <c r="Z34" i="7"/>
  <c r="Y34" i="7"/>
  <c r="X34" i="7"/>
  <c r="W34" i="7"/>
  <c r="V34" i="7"/>
  <c r="R34" i="7" a="1"/>
  <c r="R34" i="7" s="1"/>
  <c r="Z33" i="7"/>
  <c r="Y33" i="7"/>
  <c r="X33" i="7"/>
  <c r="W33" i="7"/>
  <c r="V33" i="7"/>
  <c r="Q33" i="7"/>
  <c r="N35" i="7"/>
  <c r="T35" i="7" s="1"/>
  <c r="N34" i="7"/>
  <c r="T34" i="7" s="1"/>
  <c r="N33" i="7"/>
  <c r="T33" i="7" s="1"/>
  <c r="J33" i="7"/>
  <c r="K33" i="7" s="1"/>
  <c r="T35" i="1" s="1"/>
  <c r="R35" i="1" s="1"/>
  <c r="Q35" i="1" s="1"/>
  <c r="J34" i="7"/>
  <c r="K34" i="7" s="1"/>
  <c r="T36" i="1" s="1"/>
  <c r="R36" i="1" s="1"/>
  <c r="Q36" i="1" s="1"/>
  <c r="J35" i="7"/>
  <c r="K35" i="7" s="1"/>
  <c r="T37" i="1" s="1"/>
  <c r="R37" i="1" s="1"/>
  <c r="Q37" i="1" s="1"/>
  <c r="A25" i="7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" i="8"/>
  <c r="Q35" i="7" l="1"/>
  <c r="R33" i="7" a="1"/>
  <c r="R33" i="7" s="1"/>
  <c r="U33" i="7" s="1"/>
  <c r="S33" i="7" a="1"/>
  <c r="S33" i="7" s="1"/>
  <c r="Q34" i="7"/>
  <c r="S34" i="7" a="1"/>
  <c r="S34" i="7" s="1"/>
  <c r="U34" i="7" s="1"/>
  <c r="R35" i="7" a="1"/>
  <c r="R35" i="7" s="1"/>
  <c r="U35" i="7" s="1"/>
  <c r="S35" i="7" a="1"/>
  <c r="S35" i="7" s="1"/>
  <c r="AF35" i="1"/>
  <c r="AC35" i="1"/>
  <c r="AE35" i="1"/>
  <c r="AB35" i="1"/>
  <c r="AD35" i="1"/>
  <c r="AE36" i="1"/>
  <c r="AD36" i="1"/>
  <c r="AB36" i="1"/>
  <c r="AC36" i="1"/>
  <c r="AF36" i="1"/>
  <c r="AE37" i="1"/>
  <c r="AD37" i="1"/>
  <c r="AC37" i="1"/>
  <c r="AB37" i="1"/>
  <c r="AF37" i="1"/>
  <c r="E32" i="3"/>
  <c r="E40" i="3"/>
  <c r="E41" i="3"/>
  <c r="E42" i="3"/>
  <c r="E43" i="3"/>
  <c r="E39" i="3"/>
  <c r="C43" i="3"/>
  <c r="B43" i="3"/>
  <c r="A43" i="3"/>
  <c r="C42" i="3"/>
  <c r="B42" i="3"/>
  <c r="A42" i="3"/>
  <c r="C41" i="3"/>
  <c r="B41" i="3"/>
  <c r="A41" i="3"/>
  <c r="C40" i="3"/>
  <c r="B40" i="3"/>
  <c r="A40" i="3"/>
  <c r="C39" i="3"/>
  <c r="B39" i="3"/>
  <c r="A39" i="3"/>
  <c r="C31" i="3"/>
  <c r="B31" i="3"/>
  <c r="A31" i="3"/>
  <c r="C30" i="3"/>
  <c r="B30" i="3"/>
  <c r="A30" i="3"/>
  <c r="C29" i="3"/>
  <c r="B29" i="3"/>
  <c r="A29" i="3"/>
  <c r="C28" i="3"/>
  <c r="B28" i="3"/>
  <c r="A28" i="3"/>
  <c r="C27" i="3"/>
  <c r="B27" i="3"/>
  <c r="A27" i="3"/>
  <c r="AG37" i="1" l="1"/>
  <c r="AG36" i="1"/>
  <c r="AG35" i="1"/>
  <c r="C32" i="3"/>
  <c r="C44" i="3"/>
  <c r="E44" i="3"/>
  <c r="E18" i="3"/>
  <c r="A10" i="7"/>
  <c r="A11" i="7"/>
  <c r="A12" i="7"/>
  <c r="C10" i="7"/>
  <c r="C11" i="7"/>
  <c r="C12" i="7"/>
  <c r="E10" i="7"/>
  <c r="E11" i="7"/>
  <c r="E12" i="7"/>
  <c r="N10" i="7"/>
  <c r="T10" i="7" s="1"/>
  <c r="N11" i="7"/>
  <c r="Q11" i="7" s="1"/>
  <c r="N12" i="7"/>
  <c r="S12" i="7" s="1" a="1"/>
  <c r="S12" i="7" s="1"/>
  <c r="V10" i="7"/>
  <c r="V11" i="7"/>
  <c r="V12" i="7"/>
  <c r="W10" i="7"/>
  <c r="W11" i="7"/>
  <c r="W12" i="7"/>
  <c r="X10" i="7"/>
  <c r="X11" i="7"/>
  <c r="X12" i="7"/>
  <c r="Y10" i="7"/>
  <c r="Y11" i="7"/>
  <c r="Y12" i="7"/>
  <c r="Z10" i="7"/>
  <c r="Z11" i="7"/>
  <c r="Z12" i="7"/>
  <c r="AA3" i="1"/>
  <c r="S11" i="7" l="1" a="1"/>
  <c r="S11" i="7" s="1"/>
  <c r="R11" i="7" a="1"/>
  <c r="R11" i="7" s="1"/>
  <c r="R12" i="7" a="1"/>
  <c r="R12" i="7" s="1"/>
  <c r="T12" i="7"/>
  <c r="T11" i="7"/>
  <c r="J10" i="7"/>
  <c r="K10" i="7" s="1"/>
  <c r="J11" i="7"/>
  <c r="K11" i="7" s="1"/>
  <c r="Q12" i="7"/>
  <c r="J12" i="7"/>
  <c r="K12" i="7" s="1"/>
  <c r="R10" i="7" a="1"/>
  <c r="R10" i="7" s="1"/>
  <c r="S10" i="7" a="1"/>
  <c r="S10" i="7" s="1"/>
  <c r="Q10" i="7"/>
  <c r="U11" i="7" l="1"/>
  <c r="U12" i="7"/>
  <c r="U10" i="7"/>
  <c r="U38" i="1" l="1"/>
  <c r="A24" i="7"/>
  <c r="C24" i="7"/>
  <c r="E24" i="7"/>
  <c r="J24" i="7" s="1"/>
  <c r="K24" i="7" s="1"/>
  <c r="N24" i="7"/>
  <c r="S24" i="7" s="1" a="1"/>
  <c r="S24" i="7" s="1"/>
  <c r="V24" i="7"/>
  <c r="W24" i="7"/>
  <c r="X24" i="7"/>
  <c r="Y24" i="7"/>
  <c r="Z24" i="7"/>
  <c r="A32" i="7"/>
  <c r="C32" i="7"/>
  <c r="E32" i="7"/>
  <c r="J32" i="7" s="1"/>
  <c r="K32" i="7" s="1"/>
  <c r="N32" i="7"/>
  <c r="T32" i="7" s="1"/>
  <c r="V32" i="7"/>
  <c r="W32" i="7"/>
  <c r="X32" i="7"/>
  <c r="Y32" i="7"/>
  <c r="Z32" i="7"/>
  <c r="A14" i="7"/>
  <c r="C14" i="7"/>
  <c r="E14" i="7"/>
  <c r="J14" i="7" s="1"/>
  <c r="K14" i="7" s="1"/>
  <c r="N14" i="7"/>
  <c r="S14" i="7" s="1" a="1"/>
  <c r="S14" i="7" s="1"/>
  <c r="V14" i="7"/>
  <c r="W14" i="7"/>
  <c r="X14" i="7"/>
  <c r="Y14" i="7"/>
  <c r="Z14" i="7"/>
  <c r="A13" i="7"/>
  <c r="C13" i="7"/>
  <c r="E13" i="7"/>
  <c r="J13" i="7" s="1"/>
  <c r="K13" i="7" s="1"/>
  <c r="N13" i="7"/>
  <c r="Q13" i="7" s="1"/>
  <c r="V13" i="7"/>
  <c r="W13" i="7"/>
  <c r="X13" i="7"/>
  <c r="Y13" i="7"/>
  <c r="Z13" i="7"/>
  <c r="A21" i="7"/>
  <c r="C21" i="7"/>
  <c r="E21" i="7"/>
  <c r="J21" i="7" s="1"/>
  <c r="K21" i="7" s="1"/>
  <c r="N21" i="7"/>
  <c r="T21" i="7" s="1"/>
  <c r="V21" i="7"/>
  <c r="W21" i="7"/>
  <c r="X21" i="7"/>
  <c r="Y21" i="7"/>
  <c r="Z21" i="7"/>
  <c r="A9" i="7"/>
  <c r="C9" i="7"/>
  <c r="E9" i="7"/>
  <c r="J9" i="7" s="1"/>
  <c r="K9" i="7" s="1"/>
  <c r="N9" i="7"/>
  <c r="T9" i="7" s="1"/>
  <c r="V9" i="7"/>
  <c r="W9" i="7"/>
  <c r="X9" i="7"/>
  <c r="Y9" i="7"/>
  <c r="Z9" i="7"/>
  <c r="A15" i="7"/>
  <c r="C15" i="7"/>
  <c r="E15" i="7"/>
  <c r="J15" i="7" s="1"/>
  <c r="K15" i="7" s="1"/>
  <c r="T34" i="1" s="1"/>
  <c r="R34" i="1" s="1"/>
  <c r="N15" i="7"/>
  <c r="T15" i="7" s="1"/>
  <c r="V15" i="7"/>
  <c r="W15" i="7"/>
  <c r="X15" i="7"/>
  <c r="Y15" i="7"/>
  <c r="Z15" i="7"/>
  <c r="A20" i="7"/>
  <c r="C20" i="7"/>
  <c r="E20" i="7"/>
  <c r="J20" i="7" s="1"/>
  <c r="K20" i="7" s="1"/>
  <c r="N20" i="7"/>
  <c r="T20" i="7" s="1"/>
  <c r="V20" i="7"/>
  <c r="W20" i="7"/>
  <c r="X20" i="7"/>
  <c r="Y20" i="7"/>
  <c r="Z20" i="7"/>
  <c r="A19" i="7"/>
  <c r="C19" i="7"/>
  <c r="E19" i="7"/>
  <c r="J19" i="7" s="1"/>
  <c r="K19" i="7" s="1"/>
  <c r="N19" i="7"/>
  <c r="T19" i="7" s="1"/>
  <c r="V19" i="7"/>
  <c r="W19" i="7"/>
  <c r="X19" i="7"/>
  <c r="Y19" i="7"/>
  <c r="Z19" i="7"/>
  <c r="Q34" i="1" l="1"/>
  <c r="Q32" i="7"/>
  <c r="S32" i="7" a="1"/>
  <c r="S32" i="7" s="1"/>
  <c r="R32" i="7" a="1"/>
  <c r="R32" i="7" s="1"/>
  <c r="Q24" i="7"/>
  <c r="R24" i="7" a="1"/>
  <c r="R24" i="7" s="1"/>
  <c r="T24" i="7"/>
  <c r="R14" i="7" a="1"/>
  <c r="R14" i="7" s="1"/>
  <c r="Q14" i="7"/>
  <c r="S13" i="7" a="1"/>
  <c r="S13" i="7" s="1"/>
  <c r="R13" i="7" a="1"/>
  <c r="R13" i="7" s="1"/>
  <c r="T13" i="7"/>
  <c r="T14" i="7"/>
  <c r="S21" i="7" a="1"/>
  <c r="S21" i="7" s="1"/>
  <c r="R21" i="7" a="1"/>
  <c r="R21" i="7" s="1"/>
  <c r="Q21" i="7"/>
  <c r="S9" i="7" a="1"/>
  <c r="S9" i="7" s="1"/>
  <c r="Q9" i="7"/>
  <c r="S15" i="7" a="1"/>
  <c r="S15" i="7" s="1"/>
  <c r="Q15" i="7"/>
  <c r="R9" i="7" a="1"/>
  <c r="R9" i="7" s="1"/>
  <c r="R19" i="7" a="1"/>
  <c r="R19" i="7" s="1"/>
  <c r="R15" i="7" a="1"/>
  <c r="R15" i="7" s="1"/>
  <c r="S20" i="7" a="1"/>
  <c r="S20" i="7" s="1"/>
  <c r="Q20" i="7"/>
  <c r="S19" i="7" a="1"/>
  <c r="S19" i="7" s="1"/>
  <c r="R20" i="7" a="1"/>
  <c r="R20" i="7" s="1"/>
  <c r="Q19" i="7"/>
  <c r="U14" i="7" l="1"/>
  <c r="U32" i="7"/>
  <c r="U24" i="7"/>
  <c r="U20" i="7"/>
  <c r="U9" i="7"/>
  <c r="U19" i="7"/>
  <c r="U13" i="7"/>
  <c r="U21" i="7"/>
  <c r="U15" i="7"/>
  <c r="AB34" i="1" l="1"/>
  <c r="AC34" i="1"/>
  <c r="AD34" i="1"/>
  <c r="AE34" i="1"/>
  <c r="AF34" i="1"/>
  <c r="L5" i="1"/>
  <c r="J4" i="1"/>
  <c r="J3" i="1"/>
  <c r="J2" i="1"/>
  <c r="AG34" i="1" l="1"/>
  <c r="A17" i="3"/>
  <c r="W25" i="7"/>
  <c r="X25" i="7"/>
  <c r="Y25" i="7"/>
  <c r="Z25" i="7"/>
  <c r="W27" i="7"/>
  <c r="X27" i="7"/>
  <c r="Y27" i="7"/>
  <c r="Z27" i="7"/>
  <c r="W26" i="7"/>
  <c r="X26" i="7"/>
  <c r="Y26" i="7"/>
  <c r="Z26" i="7"/>
  <c r="W28" i="7"/>
  <c r="X28" i="7"/>
  <c r="Y28" i="7"/>
  <c r="Z28" i="7"/>
  <c r="W31" i="7"/>
  <c r="X31" i="7"/>
  <c r="Y31" i="7"/>
  <c r="Z31" i="7"/>
  <c r="W30" i="7"/>
  <c r="X30" i="7"/>
  <c r="Y30" i="7"/>
  <c r="Z30" i="7"/>
  <c r="W22" i="7"/>
  <c r="X22" i="7"/>
  <c r="Y22" i="7"/>
  <c r="Z22" i="7"/>
  <c r="W23" i="7"/>
  <c r="X23" i="7"/>
  <c r="Y23" i="7"/>
  <c r="Z23" i="7"/>
  <c r="W17" i="7"/>
  <c r="X17" i="7"/>
  <c r="Y17" i="7"/>
  <c r="Z17" i="7"/>
  <c r="W18" i="7"/>
  <c r="X18" i="7"/>
  <c r="Y18" i="7"/>
  <c r="Z18" i="7"/>
  <c r="W16" i="7"/>
  <c r="X16" i="7"/>
  <c r="Y16" i="7"/>
  <c r="Z16" i="7"/>
  <c r="Z29" i="7"/>
  <c r="Y29" i="7"/>
  <c r="X29" i="7"/>
  <c r="W29" i="7"/>
  <c r="V25" i="7"/>
  <c r="V27" i="7"/>
  <c r="V26" i="7"/>
  <c r="V28" i="7"/>
  <c r="V31" i="7"/>
  <c r="V30" i="7"/>
  <c r="V22" i="7"/>
  <c r="V23" i="7"/>
  <c r="V17" i="7"/>
  <c r="V18" i="7"/>
  <c r="V16" i="7"/>
  <c r="V29" i="7"/>
  <c r="E25" i="7"/>
  <c r="E27" i="7"/>
  <c r="E26" i="7"/>
  <c r="E28" i="7"/>
  <c r="E31" i="7"/>
  <c r="E30" i="7"/>
  <c r="E22" i="7"/>
  <c r="E23" i="7"/>
  <c r="E17" i="7"/>
  <c r="E18" i="7"/>
  <c r="E16" i="7"/>
  <c r="E29" i="7"/>
  <c r="C25" i="7"/>
  <c r="C27" i="7"/>
  <c r="C26" i="7"/>
  <c r="C28" i="7"/>
  <c r="C31" i="7"/>
  <c r="C30" i="7"/>
  <c r="C22" i="7"/>
  <c r="C23" i="7"/>
  <c r="C17" i="7"/>
  <c r="C18" i="7"/>
  <c r="C16" i="7"/>
  <c r="C29" i="7"/>
  <c r="A29" i="7"/>
  <c r="A27" i="7"/>
  <c r="A28" i="7"/>
  <c r="A31" i="7"/>
  <c r="A30" i="7"/>
  <c r="A22" i="7"/>
  <c r="A23" i="7"/>
  <c r="A17" i="7"/>
  <c r="A18" i="7"/>
  <c r="A16" i="7"/>
  <c r="A26" i="7"/>
  <c r="T14" i="1"/>
  <c r="C17" i="2"/>
  <c r="C16" i="2"/>
  <c r="C15" i="2"/>
  <c r="C14" i="2"/>
  <c r="C13" i="2"/>
  <c r="B17" i="2"/>
  <c r="B16" i="2"/>
  <c r="B15" i="2"/>
  <c r="B14" i="2"/>
  <c r="B13" i="2"/>
  <c r="A17" i="2"/>
  <c r="A16" i="2"/>
  <c r="A15" i="2"/>
  <c r="A14" i="2"/>
  <c r="A13" i="2"/>
  <c r="C17" i="3" l="1"/>
  <c r="C16" i="3"/>
  <c r="C15" i="3"/>
  <c r="C14" i="3"/>
  <c r="C13" i="3"/>
  <c r="B13" i="3"/>
  <c r="B14" i="3"/>
  <c r="B15" i="3"/>
  <c r="B16" i="3"/>
  <c r="B17" i="3"/>
  <c r="A16" i="3"/>
  <c r="A15" i="3"/>
  <c r="A14" i="3"/>
  <c r="A13" i="3"/>
  <c r="P38" i="1"/>
  <c r="E18" i="2"/>
  <c r="I36" i="7"/>
  <c r="H36" i="7"/>
  <c r="G36" i="7"/>
  <c r="F36" i="7"/>
  <c r="N31" i="7"/>
  <c r="T31" i="7" s="1"/>
  <c r="AB6" i="7"/>
  <c r="AC6" i="7"/>
  <c r="AD6" i="7"/>
  <c r="AE6" i="7"/>
  <c r="AA6" i="7"/>
  <c r="W6" i="7"/>
  <c r="X6" i="7"/>
  <c r="Y6" i="7"/>
  <c r="Z6" i="7"/>
  <c r="V6" i="7"/>
  <c r="V7" i="7"/>
  <c r="W7" i="7"/>
  <c r="X7" i="7"/>
  <c r="Y7" i="7"/>
  <c r="Z7" i="7"/>
  <c r="AA35" i="7" l="1"/>
  <c r="AA33" i="7"/>
  <c r="AA34" i="7"/>
  <c r="AE34" i="7"/>
  <c r="AE35" i="7"/>
  <c r="AE33" i="7"/>
  <c r="AD35" i="7"/>
  <c r="AD34" i="7"/>
  <c r="AD33" i="7"/>
  <c r="AC35" i="7"/>
  <c r="AC33" i="7"/>
  <c r="AC34" i="7"/>
  <c r="AB35" i="7"/>
  <c r="AB33" i="7"/>
  <c r="AB34" i="7"/>
  <c r="AA11" i="7"/>
  <c r="AA12" i="7"/>
  <c r="AA10" i="7"/>
  <c r="AE12" i="7"/>
  <c r="AE11" i="7"/>
  <c r="AE10" i="7"/>
  <c r="AB11" i="7"/>
  <c r="AB12" i="7"/>
  <c r="AB10" i="7"/>
  <c r="AD11" i="7"/>
  <c r="AD12" i="7"/>
  <c r="AD10" i="7"/>
  <c r="AC11" i="7"/>
  <c r="AC12" i="7"/>
  <c r="AC10" i="7"/>
  <c r="AC32" i="7"/>
  <c r="AC24" i="7"/>
  <c r="AB32" i="7"/>
  <c r="AB24" i="7"/>
  <c r="AA32" i="7"/>
  <c r="AA24" i="7"/>
  <c r="AE32" i="7"/>
  <c r="AE24" i="7"/>
  <c r="AD32" i="7"/>
  <c r="AD24" i="7"/>
  <c r="AC13" i="7"/>
  <c r="AC14" i="7"/>
  <c r="AB13" i="7"/>
  <c r="AB14" i="7"/>
  <c r="AA13" i="7"/>
  <c r="AA14" i="7"/>
  <c r="AE13" i="7"/>
  <c r="AE14" i="7"/>
  <c r="AD13" i="7"/>
  <c r="AD14" i="7"/>
  <c r="AE21" i="7"/>
  <c r="AC21" i="7"/>
  <c r="AB21" i="7"/>
  <c r="AA21" i="7"/>
  <c r="AD21" i="7"/>
  <c r="AA15" i="7"/>
  <c r="AA9" i="7"/>
  <c r="AB15" i="7"/>
  <c r="AB9" i="7"/>
  <c r="AC15" i="7"/>
  <c r="AC9" i="7"/>
  <c r="AE15" i="7"/>
  <c r="AE9" i="7"/>
  <c r="AD15" i="7"/>
  <c r="AD9" i="7"/>
  <c r="AB20" i="7"/>
  <c r="AC20" i="7"/>
  <c r="AA20" i="7"/>
  <c r="AE20" i="7"/>
  <c r="AD20" i="7"/>
  <c r="AC19" i="7"/>
  <c r="AB19" i="7"/>
  <c r="AA19" i="7"/>
  <c r="AE19" i="7"/>
  <c r="AD19" i="7"/>
  <c r="S31" i="7" a="1"/>
  <c r="S31" i="7" s="1"/>
  <c r="R31" i="7" a="1"/>
  <c r="R31" i="7" s="1"/>
  <c r="Q31" i="7"/>
  <c r="B9" i="2"/>
  <c r="B8" i="2"/>
  <c r="A4" i="7"/>
  <c r="A3" i="7"/>
  <c r="A2" i="7"/>
  <c r="A4" i="3"/>
  <c r="A3" i="3"/>
  <c r="A2" i="3"/>
  <c r="A4" i="2"/>
  <c r="A2" i="2"/>
  <c r="A3" i="2"/>
  <c r="B4" i="7"/>
  <c r="B3" i="7"/>
  <c r="B2" i="7"/>
  <c r="N16" i="7"/>
  <c r="R16" i="7" s="1" a="1"/>
  <c r="R16" i="7" s="1"/>
  <c r="N18" i="7"/>
  <c r="R18" i="7" s="1" a="1"/>
  <c r="R18" i="7" s="1"/>
  <c r="N17" i="7"/>
  <c r="R17" i="7" s="1" a="1"/>
  <c r="R17" i="7" s="1"/>
  <c r="N23" i="7"/>
  <c r="R23" i="7" s="1" a="1"/>
  <c r="R23" i="7" s="1"/>
  <c r="N22" i="7"/>
  <c r="N30" i="7"/>
  <c r="N28" i="7"/>
  <c r="R28" i="7" s="1" a="1"/>
  <c r="R28" i="7" s="1"/>
  <c r="N26" i="7"/>
  <c r="R26" i="7" s="1" a="1"/>
  <c r="R26" i="7" s="1"/>
  <c r="N27" i="7"/>
  <c r="R27" i="7" s="1" a="1"/>
  <c r="R27" i="7" s="1"/>
  <c r="N25" i="7"/>
  <c r="N29" i="7"/>
  <c r="AB7" i="1"/>
  <c r="AC7" i="1"/>
  <c r="AD7" i="1"/>
  <c r="AE7" i="1"/>
  <c r="AF7" i="1"/>
  <c r="AB8" i="1"/>
  <c r="AC8" i="1"/>
  <c r="AD8" i="1"/>
  <c r="AE8" i="1"/>
  <c r="AF8" i="1"/>
  <c r="AF35" i="7" l="1"/>
  <c r="AG35" i="7" s="1" a="1"/>
  <c r="AG35" i="7" s="1"/>
  <c r="AF34" i="7"/>
  <c r="AG34" i="7" s="1" a="1"/>
  <c r="AG34" i="7" s="1"/>
  <c r="AF33" i="7"/>
  <c r="AG33" i="7" s="1" a="1"/>
  <c r="AG33" i="7" s="1"/>
  <c r="AF10" i="7"/>
  <c r="AG10" i="7" s="1" a="1"/>
  <c r="AG10" i="7" s="1"/>
  <c r="AF12" i="7"/>
  <c r="AG12" i="7" s="1" a="1"/>
  <c r="AG12" i="7" s="1"/>
  <c r="AF11" i="7"/>
  <c r="AG11" i="7" s="1" a="1"/>
  <c r="AG11" i="7" s="1"/>
  <c r="AF32" i="7"/>
  <c r="AG32" i="7" s="1" a="1"/>
  <c r="AG32" i="7" s="1"/>
  <c r="AF24" i="7"/>
  <c r="AG24" i="7" s="1" a="1"/>
  <c r="AG24" i="7" s="1"/>
  <c r="AF9" i="7"/>
  <c r="AG9" i="7" s="1" a="1"/>
  <c r="AG9" i="7" s="1"/>
  <c r="AF15" i="7"/>
  <c r="AG15" i="7" s="1" a="1"/>
  <c r="AG15" i="7" s="1"/>
  <c r="AF13" i="7"/>
  <c r="AG13" i="7" s="1" a="1"/>
  <c r="AG13" i="7" s="1"/>
  <c r="AF14" i="7"/>
  <c r="AG14" i="7" s="1" a="1"/>
  <c r="AG14" i="7" s="1"/>
  <c r="AF19" i="7"/>
  <c r="AG19" i="7" s="1" a="1"/>
  <c r="AG19" i="7" s="1"/>
  <c r="AF21" i="7"/>
  <c r="AG21" i="7" s="1" a="1"/>
  <c r="AG21" i="7" s="1"/>
  <c r="AF20" i="7"/>
  <c r="AG20" i="7" s="1" a="1"/>
  <c r="AG20" i="7" s="1"/>
  <c r="U31" i="7"/>
  <c r="AC31" i="7" s="1"/>
  <c r="C18" i="3"/>
  <c r="C18" i="2"/>
  <c r="J30" i="7"/>
  <c r="K30" i="7" s="1"/>
  <c r="T19" i="1" s="1"/>
  <c r="R19" i="1" s="1"/>
  <c r="J22" i="7"/>
  <c r="K22" i="7" s="1"/>
  <c r="J23" i="7"/>
  <c r="K23" i="7" s="1"/>
  <c r="T16" i="1" s="1"/>
  <c r="J25" i="7"/>
  <c r="K25" i="7" s="1"/>
  <c r="T11" i="1" s="1"/>
  <c r="J17" i="7"/>
  <c r="K17" i="7" s="1"/>
  <c r="J27" i="7"/>
  <c r="K27" i="7" s="1"/>
  <c r="T15" i="1" s="1"/>
  <c r="J18" i="7"/>
  <c r="K18" i="7" s="1"/>
  <c r="J31" i="7"/>
  <c r="K31" i="7" s="1"/>
  <c r="J26" i="7"/>
  <c r="K26" i="7" s="1"/>
  <c r="J16" i="7"/>
  <c r="K16" i="7" s="1"/>
  <c r="T18" i="1" s="1"/>
  <c r="R18" i="1" s="1"/>
  <c r="J28" i="7"/>
  <c r="K28" i="7" s="1"/>
  <c r="T17" i="1" s="1"/>
  <c r="Q30" i="7"/>
  <c r="R30" i="7" a="1"/>
  <c r="R30" i="7" s="1"/>
  <c r="Q22" i="7"/>
  <c r="R22" i="7" a="1"/>
  <c r="R22" i="7" s="1"/>
  <c r="Q29" i="7"/>
  <c r="R29" i="7" a="1"/>
  <c r="R29" i="7" s="1"/>
  <c r="Q25" i="7"/>
  <c r="R25" i="7" a="1"/>
  <c r="R25" i="7" s="1"/>
  <c r="T16" i="7"/>
  <c r="T23" i="7"/>
  <c r="T22" i="7"/>
  <c r="T18" i="7"/>
  <c r="T30" i="7"/>
  <c r="T29" i="7"/>
  <c r="T17" i="7"/>
  <c r="T28" i="7"/>
  <c r="T26" i="7"/>
  <c r="T27" i="7"/>
  <c r="T25" i="7"/>
  <c r="S29" i="7" a="1"/>
  <c r="S29" i="7" s="1"/>
  <c r="S28" i="7" a="1"/>
  <c r="S28" i="7" s="1"/>
  <c r="S18" i="7" a="1"/>
  <c r="S18" i="7" s="1"/>
  <c r="S22" i="7" a="1"/>
  <c r="S22" i="7" s="1"/>
  <c r="S26" i="7" a="1"/>
  <c r="S26" i="7" s="1"/>
  <c r="S27" i="7" a="1"/>
  <c r="S27" i="7" s="1"/>
  <c r="S17" i="7" a="1"/>
  <c r="S17" i="7" s="1"/>
  <c r="S30" i="7" a="1"/>
  <c r="S30" i="7" s="1"/>
  <c r="S25" i="7" a="1"/>
  <c r="S25" i="7" s="1"/>
  <c r="S16" i="7" a="1"/>
  <c r="S16" i="7" s="1"/>
  <c r="S23" i="7" a="1"/>
  <c r="S23" i="7" s="1"/>
  <c r="Q17" i="7"/>
  <c r="Q28" i="7"/>
  <c r="Q23" i="7"/>
  <c r="Q26" i="7"/>
  <c r="Q16" i="7"/>
  <c r="Q27" i="7"/>
  <c r="Q18" i="7"/>
  <c r="Q18" i="1" l="1"/>
  <c r="Q19" i="1"/>
  <c r="AB31" i="7"/>
  <c r="AA31" i="7"/>
  <c r="AD31" i="7"/>
  <c r="AE31" i="7"/>
  <c r="AC18" i="1"/>
  <c r="AB19" i="1"/>
  <c r="AF19" i="1"/>
  <c r="AC19" i="1"/>
  <c r="AD19" i="1"/>
  <c r="T13" i="1"/>
  <c r="R13" i="1" s="1"/>
  <c r="T12" i="1"/>
  <c r="R12" i="1" s="1"/>
  <c r="T36" i="7"/>
  <c r="R36" i="7"/>
  <c r="S36" i="7"/>
  <c r="Q36" i="7"/>
  <c r="J29" i="7"/>
  <c r="J36" i="7" s="1"/>
  <c r="E36" i="7"/>
  <c r="U28" i="7"/>
  <c r="U17" i="7"/>
  <c r="AC17" i="7" s="1"/>
  <c r="U16" i="7"/>
  <c r="AB16" i="7" s="1"/>
  <c r="U23" i="7"/>
  <c r="U22" i="7"/>
  <c r="U29" i="7"/>
  <c r="U26" i="7"/>
  <c r="U18" i="7"/>
  <c r="U30" i="7"/>
  <c r="U27" i="7"/>
  <c r="U25" i="7"/>
  <c r="AA25" i="7" s="1"/>
  <c r="AB18" i="1" l="1"/>
  <c r="AG18" i="1" s="1"/>
  <c r="AF18" i="1"/>
  <c r="AE18" i="1"/>
  <c r="AD18" i="1"/>
  <c r="AE19" i="1"/>
  <c r="AG19" i="1" s="1"/>
  <c r="Q12" i="1"/>
  <c r="Q13" i="1"/>
  <c r="AD13" i="1" s="1"/>
  <c r="AF31" i="7"/>
  <c r="AG31" i="7" s="1" a="1"/>
  <c r="AG31" i="7" s="1"/>
  <c r="AD12" i="1"/>
  <c r="AE12" i="1"/>
  <c r="AF12" i="1"/>
  <c r="AB13" i="1"/>
  <c r="AC13" i="1"/>
  <c r="U36" i="7"/>
  <c r="AA28" i="7"/>
  <c r="AC28" i="7"/>
  <c r="AD28" i="7"/>
  <c r="AE28" i="7"/>
  <c r="AB28" i="7"/>
  <c r="AE17" i="7"/>
  <c r="AD17" i="7"/>
  <c r="AB17" i="7"/>
  <c r="AA17" i="7"/>
  <c r="AD16" i="7"/>
  <c r="AA16" i="7"/>
  <c r="AE16" i="7"/>
  <c r="AC16" i="7"/>
  <c r="AB27" i="7"/>
  <c r="AD27" i="7"/>
  <c r="AC27" i="7"/>
  <c r="AE27" i="7"/>
  <c r="AA27" i="7"/>
  <c r="AC26" i="7"/>
  <c r="AE26" i="7"/>
  <c r="AD26" i="7"/>
  <c r="AB26" i="7"/>
  <c r="AA26" i="7"/>
  <c r="AA22" i="7"/>
  <c r="AD22" i="7"/>
  <c r="AC22" i="7"/>
  <c r="AB22" i="7"/>
  <c r="AE22" i="7"/>
  <c r="AA23" i="7"/>
  <c r="AD23" i="7"/>
  <c r="AC23" i="7"/>
  <c r="AB23" i="7"/>
  <c r="AE23" i="7"/>
  <c r="AC25" i="7"/>
  <c r="AD25" i="7"/>
  <c r="AB25" i="7"/>
  <c r="AE25" i="7"/>
  <c r="AC18" i="7"/>
  <c r="AB18" i="7"/>
  <c r="AD18" i="7"/>
  <c r="AA18" i="7"/>
  <c r="AE18" i="7"/>
  <c r="AB30" i="7"/>
  <c r="D28" i="3" s="1"/>
  <c r="F28" i="3" s="1"/>
  <c r="AD30" i="7"/>
  <c r="AE30" i="7"/>
  <c r="D31" i="3" s="1"/>
  <c r="F31" i="3" s="1"/>
  <c r="AC30" i="7"/>
  <c r="D29" i="3" s="1"/>
  <c r="F29" i="3" s="1"/>
  <c r="AA30" i="7"/>
  <c r="D27" i="3" s="1"/>
  <c r="AB12" i="1" l="1"/>
  <c r="AE13" i="1"/>
  <c r="AF13" i="1"/>
  <c r="AC12" i="1"/>
  <c r="AG12" i="1" s="1"/>
  <c r="D30" i="3"/>
  <c r="F30" i="3" s="1"/>
  <c r="F27" i="3"/>
  <c r="AG13" i="1"/>
  <c r="AF26" i="7"/>
  <c r="AG26" i="7" s="1" a="1"/>
  <c r="AG26" i="7" s="1"/>
  <c r="AF28" i="7"/>
  <c r="AG28" i="7" s="1" a="1"/>
  <c r="AG28" i="7" s="1"/>
  <c r="AF22" i="7"/>
  <c r="AG22" i="7" s="1" a="1"/>
  <c r="AG22" i="7" s="1"/>
  <c r="AF25" i="7"/>
  <c r="AG25" i="7" s="1" a="1"/>
  <c r="AG25" i="7" s="1"/>
  <c r="AF23" i="7"/>
  <c r="AG23" i="7" s="1" a="1"/>
  <c r="AG23" i="7" s="1"/>
  <c r="AF30" i="7"/>
  <c r="AG30" i="7" s="1" a="1"/>
  <c r="AG30" i="7" s="1"/>
  <c r="AF16" i="7"/>
  <c r="AG16" i="7" s="1" a="1"/>
  <c r="AG16" i="7" s="1"/>
  <c r="AF18" i="7"/>
  <c r="AG18" i="7" s="1" a="1"/>
  <c r="AG18" i="7" s="1"/>
  <c r="AF27" i="7"/>
  <c r="AG27" i="7" s="1" a="1"/>
  <c r="AG27" i="7" s="1"/>
  <c r="AF17" i="7"/>
  <c r="AG17" i="7" s="1" a="1"/>
  <c r="AG17" i="7" s="1"/>
  <c r="AB29" i="7"/>
  <c r="AC29" i="7"/>
  <c r="AD29" i="7"/>
  <c r="AA29" i="7"/>
  <c r="R14" i="1"/>
  <c r="R17" i="1"/>
  <c r="R16" i="1"/>
  <c r="R15" i="1"/>
  <c r="AE29" i="7"/>
  <c r="Q17" i="1" l="1"/>
  <c r="Q14" i="1"/>
  <c r="Q15" i="1"/>
  <c r="Q16" i="1"/>
  <c r="D32" i="3"/>
  <c r="F32" i="3"/>
  <c r="AD15" i="1"/>
  <c r="AE15" i="1"/>
  <c r="AF15" i="1"/>
  <c r="AE17" i="1"/>
  <c r="AF17" i="1"/>
  <c r="AB14" i="1"/>
  <c r="AD14" i="1"/>
  <c r="AF14" i="1"/>
  <c r="D17" i="3"/>
  <c r="D16" i="3"/>
  <c r="D15" i="3"/>
  <c r="D14" i="3"/>
  <c r="D13" i="3"/>
  <c r="D39" i="3" s="1"/>
  <c r="AA36" i="7"/>
  <c r="AE36" i="7"/>
  <c r="AD36" i="7"/>
  <c r="AC36" i="7"/>
  <c r="AB36" i="7"/>
  <c r="AF29" i="7"/>
  <c r="AF36" i="7" s="1"/>
  <c r="AD17" i="1" l="1"/>
  <c r="AC17" i="1"/>
  <c r="AB17" i="1"/>
  <c r="AC16" i="1"/>
  <c r="AE14" i="1"/>
  <c r="AG14" i="1" s="1"/>
  <c r="AB15" i="1"/>
  <c r="AG15" i="1" s="1"/>
  <c r="AB16" i="1"/>
  <c r="AC14" i="1"/>
  <c r="AF16" i="1"/>
  <c r="AC15" i="1"/>
  <c r="AE16" i="1"/>
  <c r="AD16" i="1"/>
  <c r="F15" i="3"/>
  <c r="D41" i="3"/>
  <c r="F41" i="3" s="1"/>
  <c r="F16" i="3"/>
  <c r="D42" i="3"/>
  <c r="F42" i="3" s="1"/>
  <c r="F17" i="3"/>
  <c r="D43" i="3"/>
  <c r="F43" i="3" s="1"/>
  <c r="F14" i="3"/>
  <c r="D40" i="3"/>
  <c r="F40" i="3" s="1"/>
  <c r="F39" i="3"/>
  <c r="D18" i="3"/>
  <c r="F13" i="3"/>
  <c r="K29" i="7"/>
  <c r="AG29" i="7" a="1"/>
  <c r="AG29" i="7" s="1"/>
  <c r="AG17" i="1"/>
  <c r="AG16" i="1" l="1"/>
  <c r="F18" i="3"/>
  <c r="F44" i="3"/>
  <c r="D44" i="3"/>
  <c r="T28" i="1"/>
  <c r="R28" i="1" s="1"/>
  <c r="T30" i="1"/>
  <c r="R30" i="1" s="1"/>
  <c r="T33" i="1"/>
  <c r="R33" i="1" s="1"/>
  <c r="T29" i="1"/>
  <c r="R29" i="1" s="1"/>
  <c r="T31" i="1"/>
  <c r="R31" i="1" s="1"/>
  <c r="T27" i="1"/>
  <c r="R27" i="1" s="1"/>
  <c r="T26" i="1"/>
  <c r="R26" i="1" s="1"/>
  <c r="T24" i="1"/>
  <c r="R24" i="1" s="1"/>
  <c r="T25" i="1"/>
  <c r="R25" i="1" s="1"/>
  <c r="T32" i="1"/>
  <c r="R32" i="1" s="1"/>
  <c r="T22" i="1"/>
  <c r="R22" i="1" s="1"/>
  <c r="T21" i="1"/>
  <c r="R21" i="1" s="1"/>
  <c r="T23" i="1"/>
  <c r="R23" i="1" s="1"/>
  <c r="T20" i="1"/>
  <c r="R20" i="1" s="1"/>
  <c r="R11" i="1"/>
  <c r="K36" i="7"/>
  <c r="Q23" i="1" l="1"/>
  <c r="Q31" i="1"/>
  <c r="Q21" i="1"/>
  <c r="Q29" i="1"/>
  <c r="Q33" i="1"/>
  <c r="Q25" i="1"/>
  <c r="AB25" i="1" s="1"/>
  <c r="Q28" i="1"/>
  <c r="Q22" i="1"/>
  <c r="Q30" i="1"/>
  <c r="Q24" i="1"/>
  <c r="Q32" i="1"/>
  <c r="Q11" i="1"/>
  <c r="AB11" i="1" s="1"/>
  <c r="Q26" i="1"/>
  <c r="Q27" i="1"/>
  <c r="Q20" i="1"/>
  <c r="T38" i="1"/>
  <c r="AB31" i="1"/>
  <c r="AE31" i="1"/>
  <c r="AC31" i="1"/>
  <c r="AD31" i="1"/>
  <c r="AE33" i="1"/>
  <c r="AC33" i="1"/>
  <c r="AD33" i="1"/>
  <c r="AF32" i="1"/>
  <c r="AD24" i="1"/>
  <c r="AB24" i="1"/>
  <c r="AC24" i="1"/>
  <c r="AE24" i="1"/>
  <c r="AF24" i="1"/>
  <c r="AE26" i="1"/>
  <c r="AD26" i="1"/>
  <c r="AC26" i="1"/>
  <c r="AB26" i="1"/>
  <c r="AF26" i="1"/>
  <c r="AB21" i="1"/>
  <c r="AC21" i="1"/>
  <c r="AC29" i="1"/>
  <c r="AE29" i="1"/>
  <c r="AF29" i="1"/>
  <c r="AD29" i="1"/>
  <c r="AD22" i="1"/>
  <c r="AE23" i="1"/>
  <c r="AC25" i="1"/>
  <c r="AD25" i="1"/>
  <c r="AE25" i="1"/>
  <c r="AD11" i="1"/>
  <c r="AE11" i="1"/>
  <c r="AF11" i="1"/>
  <c r="R38" i="1"/>
  <c r="AB30" i="1" l="1"/>
  <c r="AG30" i="1" s="1"/>
  <c r="AB33" i="1"/>
  <c r="AF33" i="1"/>
  <c r="AC30" i="1"/>
  <c r="AD23" i="1"/>
  <c r="AE30" i="1"/>
  <c r="AB23" i="1"/>
  <c r="AF30" i="1"/>
  <c r="AC23" i="1"/>
  <c r="AG23" i="1" s="1"/>
  <c r="AD30" i="1"/>
  <c r="AF23" i="1"/>
  <c r="AE22" i="1"/>
  <c r="AB27" i="1"/>
  <c r="AG27" i="1" s="1"/>
  <c r="AF22" i="1"/>
  <c r="AB22" i="1"/>
  <c r="AE27" i="1"/>
  <c r="AC11" i="1"/>
  <c r="AG11" i="1" s="1"/>
  <c r="AB29" i="1"/>
  <c r="AC22" i="1"/>
  <c r="AB28" i="1"/>
  <c r="AF27" i="1"/>
  <c r="AF28" i="1"/>
  <c r="AC27" i="1"/>
  <c r="AC32" i="1"/>
  <c r="AF21" i="1"/>
  <c r="AC20" i="1"/>
  <c r="AF25" i="1"/>
  <c r="AG25" i="1" s="1"/>
  <c r="AD28" i="1"/>
  <c r="AD27" i="1"/>
  <c r="AF31" i="1"/>
  <c r="AG31" i="1" s="1"/>
  <c r="AE28" i="1"/>
  <c r="AG28" i="1" s="1"/>
  <c r="AE21" i="1"/>
  <c r="AG21" i="1" s="1"/>
  <c r="AD21" i="1"/>
  <c r="AB32" i="1"/>
  <c r="AE32" i="1"/>
  <c r="AC28" i="1"/>
  <c r="AD32" i="1"/>
  <c r="AG26" i="1"/>
  <c r="AG24" i="1"/>
  <c r="AG29" i="1"/>
  <c r="AG33" i="1"/>
  <c r="AG22" i="1"/>
  <c r="AE20" i="1"/>
  <c r="D16" i="2" s="1"/>
  <c r="AB20" i="1"/>
  <c r="AF20" i="1"/>
  <c r="AD20" i="1"/>
  <c r="Q38" i="1"/>
  <c r="D14" i="2" l="1"/>
  <c r="D15" i="2"/>
  <c r="AG32" i="1"/>
  <c r="D17" i="2"/>
  <c r="D13" i="2"/>
  <c r="D18" i="2" s="1"/>
  <c r="AG20" i="1"/>
  <c r="AF38" i="1"/>
  <c r="AE38" i="1"/>
  <c r="AC38" i="1"/>
  <c r="AB38" i="1"/>
  <c r="AD38" i="1"/>
  <c r="AG38" i="1" l="1"/>
  <c r="F14" i="2"/>
  <c r="F15" i="2"/>
  <c r="F16" i="2"/>
  <c r="F17" i="2"/>
  <c r="F13" i="2" l="1"/>
  <c r="F1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94AD82-1CCC-4272-9C90-6885E1568426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3D965654-08E2-41BF-86A8-D2F494745BAB}" name="WorksheetConnection_BIPAR Module versie 6.2.xlsx!Table3" type="102" refreshedVersion="8" minRefreshableVersion="5">
    <extLst>
      <ext xmlns:x15="http://schemas.microsoft.com/office/spreadsheetml/2010/11/main" uri="{DE250136-89BD-433C-8126-D09CA5730AF9}">
        <x15:connection id="Table3" autoDelete="1">
          <x15:rangePr sourceName="_xlcn.WorksheetConnection_BIPARModuleversie6.2.xlsxTable3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<sst xmlns="http://schemas.openxmlformats.org/spreadsheetml/2006/main" count="579" uniqueCount="209">
  <si>
    <t>Totaaloverzicht</t>
  </si>
  <si>
    <t>Polisnummer</t>
  </si>
  <si>
    <t>Verzekeringsnemer</t>
  </si>
  <si>
    <t>VNAB-nummer</t>
  </si>
  <si>
    <t>Van</t>
  </si>
  <si>
    <t>Tot</t>
  </si>
  <si>
    <t>Periode</t>
  </si>
  <si>
    <t>Verzekerde waarde</t>
  </si>
  <si>
    <t>Jaarpremie</t>
  </si>
  <si>
    <t>Specificatie</t>
  </si>
  <si>
    <t>Mutaties</t>
  </si>
  <si>
    <t>Situatie voorgaande polis</t>
  </si>
  <si>
    <t>TOTAAL AANDEEL</t>
  </si>
  <si>
    <t>VERZEKERAARS:</t>
  </si>
  <si>
    <t>Verzekerde</t>
  </si>
  <si>
    <t>Certificaat</t>
  </si>
  <si>
    <t>Sub</t>
  </si>
  <si>
    <t>Verzekerde interest</t>
  </si>
  <si>
    <t>Bestemming</t>
  </si>
  <si>
    <t>Omschrijving</t>
  </si>
  <si>
    <t>Schadevergoedingstermijn</t>
  </si>
  <si>
    <t>Bouwaard</t>
  </si>
  <si>
    <t>Getaxeerd?</t>
  </si>
  <si>
    <t>Adres</t>
  </si>
  <si>
    <t>Postcode</t>
  </si>
  <si>
    <t>Plaats</t>
  </si>
  <si>
    <t>Land</t>
  </si>
  <si>
    <t>Vorkbedrag</t>
  </si>
  <si>
    <t>Premiegrondslag</t>
  </si>
  <si>
    <t>Index nieuw</t>
  </si>
  <si>
    <t>Verz. Waarde Oud:</t>
  </si>
  <si>
    <t>Index oud</t>
  </si>
  <si>
    <t>Verzekeraar 1</t>
  </si>
  <si>
    <t>Verzekeraar 2</t>
  </si>
  <si>
    <t>Verzekeraar 3</t>
  </si>
  <si>
    <t>Verzekeraar 4</t>
  </si>
  <si>
    <t>Verzekeraar 5</t>
  </si>
  <si>
    <t>Totale jaarpremie:</t>
  </si>
  <si>
    <t>Ja/Nee</t>
  </si>
  <si>
    <t>inclusief mutaties</t>
  </si>
  <si>
    <t>Aandeel:</t>
  </si>
  <si>
    <t>Getaxeerd</t>
  </si>
  <si>
    <t>Promillage 1</t>
  </si>
  <si>
    <t>Promillage 2</t>
  </si>
  <si>
    <t>Promillage 3</t>
  </si>
  <si>
    <t>Promillage 4</t>
  </si>
  <si>
    <t>Promillage 5</t>
  </si>
  <si>
    <t>Jaarpremie 1</t>
  </si>
  <si>
    <t>Jaarpremie 2</t>
  </si>
  <si>
    <t>Jaarpremie 3</t>
  </si>
  <si>
    <t>Jaarpremie 4</t>
  </si>
  <si>
    <t>Jaarpremie 5</t>
  </si>
  <si>
    <t>-</t>
  </si>
  <si>
    <t>Total</t>
  </si>
  <si>
    <t>Hide</t>
  </si>
  <si>
    <t>Getaxeerde objecten</t>
  </si>
  <si>
    <t>Soort interest</t>
  </si>
  <si>
    <t>Taxateur</t>
  </si>
  <si>
    <t>Taxatiedatum</t>
  </si>
  <si>
    <t>Rapportnummer</t>
  </si>
  <si>
    <t>Vervalt op</t>
  </si>
  <si>
    <t>Mutatielijst</t>
  </si>
  <si>
    <t>Klant</t>
  </si>
  <si>
    <t>Omschrijving mutatie:</t>
  </si>
  <si>
    <t>Verzekerd bedrag</t>
  </si>
  <si>
    <t>Mutatiedatum</t>
  </si>
  <si>
    <t>Vervaldatum</t>
  </si>
  <si>
    <t>Dagen</t>
  </si>
  <si>
    <t>Dagen per jaar</t>
  </si>
  <si>
    <t>Sprake van CAD?</t>
  </si>
  <si>
    <t>Verrekeningen</t>
  </si>
  <si>
    <t>Aandelen</t>
  </si>
  <si>
    <t>Premieverrekening</t>
  </si>
  <si>
    <t>Totaal</t>
  </si>
  <si>
    <t>Omschrijving mutatie</t>
  </si>
  <si>
    <t>Subnummer</t>
  </si>
  <si>
    <t>Oud</t>
  </si>
  <si>
    <t>Investering Nieuw</t>
  </si>
  <si>
    <t>Investering bestaand</t>
  </si>
  <si>
    <t>Verlaging</t>
  </si>
  <si>
    <t>Afvoer</t>
  </si>
  <si>
    <t>Inclusief mutatie</t>
  </si>
  <si>
    <t>Som mutaties</t>
  </si>
  <si>
    <t>Investering nieuw2</t>
  </si>
  <si>
    <t>Investering bestaand2</t>
  </si>
  <si>
    <t>Verlaging2</t>
  </si>
  <si>
    <t>Afvoer2</t>
  </si>
  <si>
    <t>Verzekeraar 12</t>
  </si>
  <si>
    <t>Verzekeraar 23</t>
  </si>
  <si>
    <t>Verzekeraar 34</t>
  </si>
  <si>
    <t>Verzekeraar 45</t>
  </si>
  <si>
    <t>Verzekeraar 56</t>
  </si>
  <si>
    <t>Totaal2</t>
  </si>
  <si>
    <t>Boeking</t>
  </si>
  <si>
    <t>Nee</t>
  </si>
  <si>
    <t>Verrekening Jaarpremie</t>
  </si>
  <si>
    <t xml:space="preserve">Termijn: </t>
  </si>
  <si>
    <t>Datum</t>
  </si>
  <si>
    <t xml:space="preserve">Van </t>
  </si>
  <si>
    <t>Verzekeraar</t>
  </si>
  <si>
    <t>Relatienummer</t>
  </si>
  <si>
    <t>Aandeel</t>
  </si>
  <si>
    <t>Nog te boeken</t>
  </si>
  <si>
    <t>Verrekening Mutaties</t>
  </si>
  <si>
    <t>Boeking/restitutie</t>
  </si>
  <si>
    <t>Interest</t>
  </si>
  <si>
    <t>CAD</t>
  </si>
  <si>
    <t>Taxatie</t>
  </si>
  <si>
    <t>Ja</t>
  </si>
  <si>
    <t>Bedrijfsschade</t>
  </si>
  <si>
    <t>Hout, harde dekking</t>
  </si>
  <si>
    <t>Bedrijfsuitrusting</t>
  </si>
  <si>
    <t>Hout, rieten dekking</t>
  </si>
  <si>
    <t>Bedrijfsuitrusting (ongetaxeerd)</t>
  </si>
  <si>
    <t>Steen, harde dekking</t>
  </si>
  <si>
    <t>Bijzondere kosten</t>
  </si>
  <si>
    <t>Steen, rieten dekking</t>
  </si>
  <si>
    <t>Exploitatiekosten</t>
  </si>
  <si>
    <t>Extra kosten</t>
  </si>
  <si>
    <t>Gebouwen</t>
  </si>
  <si>
    <t>Gebouwen (ongetaxeerd)</t>
  </si>
  <si>
    <t>Goederen</t>
  </si>
  <si>
    <t>Goederen van derden</t>
  </si>
  <si>
    <t>Huurdersbelang</t>
  </si>
  <si>
    <t>Huurderving</t>
  </si>
  <si>
    <t>Opruimingskosten</t>
  </si>
  <si>
    <t>Overig</t>
  </si>
  <si>
    <t>Reconstructiekosten</t>
  </si>
  <si>
    <t>Woningverbetering</t>
  </si>
  <si>
    <t>B0100010124-0</t>
  </si>
  <si>
    <t>Amsterdamse Hogeschool vd Kunsten</t>
  </si>
  <si>
    <t>Amsterdam</t>
  </si>
  <si>
    <t>Veerhaven Assuradeuren</t>
  </si>
  <si>
    <t>ERGO Versicherung AG</t>
  </si>
  <si>
    <t>Nationale Nederlanden</t>
  </si>
  <si>
    <t>Allianz Nederland</t>
  </si>
  <si>
    <t>XL Insurance SE</t>
  </si>
  <si>
    <t xml:space="preserve">Oosterdokskade 151  </t>
  </si>
  <si>
    <t>Markenplein 1</t>
  </si>
  <si>
    <t>Hortusplantsoen 1-3</t>
  </si>
  <si>
    <t>Agamemnonstraat 44</t>
  </si>
  <si>
    <t>Jodenbreestraat 3</t>
  </si>
  <si>
    <t>Waterlooplein 73</t>
  </si>
  <si>
    <t>Overhoeksplein 2</t>
  </si>
  <si>
    <t>Kattenburgerstraat 7</t>
  </si>
  <si>
    <t>Atlantisplein 1</t>
  </si>
  <si>
    <t>BreitnerAcademie</t>
  </si>
  <si>
    <t>Diverse locaties</t>
  </si>
  <si>
    <t>Computerapparatuur</t>
  </si>
  <si>
    <t>Apresa</t>
  </si>
  <si>
    <t>242798-02-0</t>
  </si>
  <si>
    <t>4071975-13</t>
  </si>
  <si>
    <t>Lengkeek</t>
  </si>
  <si>
    <t>4071975-12</t>
  </si>
  <si>
    <t>4071975-11</t>
  </si>
  <si>
    <t>4071975-10</t>
  </si>
  <si>
    <t>4071975-9</t>
  </si>
  <si>
    <t>4071975-8</t>
  </si>
  <si>
    <t>4071975-7</t>
  </si>
  <si>
    <t>4071975-6</t>
  </si>
  <si>
    <t>4071975-5</t>
  </si>
  <si>
    <t>4071975-3</t>
  </si>
  <si>
    <t>4071975-2</t>
  </si>
  <si>
    <t>4071975-1</t>
  </si>
  <si>
    <t>4171975-4</t>
  </si>
  <si>
    <t>Behorende bij</t>
  </si>
  <si>
    <t>Vervangende polis 5</t>
  </si>
  <si>
    <t>Rijlabels</t>
  </si>
  <si>
    <t>Eindtotaal</t>
  </si>
  <si>
    <t>Reeds geboekt</t>
  </si>
  <si>
    <t>1076 LW</t>
  </si>
  <si>
    <t>1018 TZ</t>
  </si>
  <si>
    <t>1011 PG</t>
  </si>
  <si>
    <t>1011 DL</t>
  </si>
  <si>
    <t>1031 KS</t>
  </si>
  <si>
    <t>1011 NG</t>
  </si>
  <si>
    <t>1011 MV</t>
  </si>
  <si>
    <t>1093 NE</t>
  </si>
  <si>
    <t>Distelweg 80 F-G</t>
  </si>
  <si>
    <t>1031 HH</t>
  </si>
  <si>
    <t>1017 JA</t>
  </si>
  <si>
    <t>1011 PB</t>
  </si>
  <si>
    <t>Al geboekt met nota 6807390 d.d. 29-03-2023</t>
  </si>
  <si>
    <t>Totaal te boeken premie</t>
  </si>
  <si>
    <t>Nederland</t>
  </si>
  <si>
    <t>Kunst, antiek en kostbaarheden</t>
  </si>
  <si>
    <t>Aanhangsel 6.1</t>
  </si>
  <si>
    <t>Verhoging verzekerd bedrag op gebouwen in verband met hertaxatie</t>
  </si>
  <si>
    <t>Verhoging verzekerd bedrag op bedrijfsuitrusting in verband met hertaxatie</t>
  </si>
  <si>
    <t>Verlaging verzekerd bedrag op bedrijfsuitrusting in verband met hertaxatie</t>
  </si>
  <si>
    <t>Bijverzekering bedrijfsuitrusting conform hertaxatierapport</t>
  </si>
  <si>
    <t>Bijverzekering huurdersbelang conform hertaxatierapport</t>
  </si>
  <si>
    <t>Bijverzekering bedrijfsuitrusting (kunst, antiek en kostbaarheden) conform hertaxatierapport</t>
  </si>
  <si>
    <t>4079638-1</t>
  </si>
  <si>
    <t>Waterlooplein 211-219/Nieuwe Amstelstraat 2-4</t>
  </si>
  <si>
    <t>4079636-6</t>
  </si>
  <si>
    <t>4079638-7</t>
  </si>
  <si>
    <t>4079638-3</t>
  </si>
  <si>
    <t>4079638-2</t>
  </si>
  <si>
    <t>4079638-5</t>
  </si>
  <si>
    <t>156 weken</t>
  </si>
  <si>
    <t>zijnde het maximum bedrag per gebeurtenis als premier risque gedurende een maximum termijn van schadevergoeding van 156 weken tot dekking van bijzondere kosten (als omschreven in clausule Bijzondere kosten BM021-016).</t>
  </si>
  <si>
    <t>zijnde het maximum bedrag per gebeurtenis als premier risque gedurende een maximum termijn van schadevergoeding van 156 weken tot dekking van reconstructiekosten (als omschreven in clausule Reconstructiekostendekking BM031-013/2).</t>
  </si>
  <si>
    <t>zijnde het maximum bedrag per gebeurtenis als premier risque gedurende een maximum termijn van schadevergoeding van 156 weken tot dekking van exploitatiekosten conform clausule B 051-028/2 verzekering van exploitatiekosten.</t>
  </si>
  <si>
    <t>Index Q1 2024</t>
  </si>
  <si>
    <t>Verzekerde Waarde2</t>
  </si>
  <si>
    <t>Monument</t>
  </si>
  <si>
    <t>Monument Eigenarenbelang</t>
  </si>
  <si>
    <t>Monument Theater en Dans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</si>
</sst>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0"/>
    <numFmt numFmtId="165" formatCode="0.000\ \‰"/>
    <numFmt numFmtId="166" formatCode="_-* #,##0.00_-;\-* #,##0.00_-;_-* &quot;-&quot;??_-;_-@_-"/>
    <numFmt numFmtId="167" formatCode="_-[$€-2]* #,##0.00_-;\-[$€-2]* #,##0.00_-;_-[$€-2]* &quot;-&quot;??_-"/>
    <numFmt numFmtId="168" formatCode="0.0%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Century"/>
      <family val="1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Verdana Pro Cond"/>
      <family val="2"/>
    </font>
    <font>
      <sz val="11"/>
      <color theme="1"/>
      <name val="Verdana Pro Cond"/>
      <family val="2"/>
    </font>
    <font>
      <sz val="10"/>
      <name val="Arial"/>
      <family val="2"/>
    </font>
    <font>
      <b/>
      <i/>
      <sz val="10"/>
      <color theme="1"/>
      <name val="Verdana Pro Cond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Verdana Pro Cond"/>
      <family val="2"/>
    </font>
    <font>
      <sz val="10"/>
      <color theme="1"/>
      <name val="Verdana Pro Cond"/>
      <family val="2"/>
    </font>
    <font>
      <i/>
      <sz val="12"/>
      <color theme="1"/>
      <name val="Verdana Pro Cond"/>
      <family val="2"/>
    </font>
    <font>
      <i/>
      <sz val="11"/>
      <color theme="1"/>
      <name val="Verdana Pro Cond"/>
      <family val="2"/>
    </font>
    <font>
      <sz val="11"/>
      <color rgb="FFFF0000"/>
      <name val="Calibri"/>
      <family val="2"/>
      <scheme val="minor"/>
    </font>
    <font>
      <sz val="10"/>
      <name val="Verdana Pro Cond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Century"/>
      <family val="1"/>
    </font>
    <font>
      <sz val="10"/>
      <color rgb="FFFF0000"/>
      <name val="Verdana Pro Cond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11" fillId="0" borderId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6">
    <xf numFmtId="0" fontId="0" fillId="0" borderId="0" xfId="0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44" fontId="8" fillId="0" borderId="0" xfId="0" applyNumberFormat="1" applyFont="1" applyAlignment="1">
      <alignment vertical="top"/>
    </xf>
    <xf numFmtId="0" fontId="9" fillId="7" borderId="11" xfId="0" applyFont="1" applyFill="1" applyBorder="1"/>
    <xf numFmtId="0" fontId="10" fillId="7" borderId="12" xfId="0" applyFont="1" applyFill="1" applyBorder="1"/>
    <xf numFmtId="0" fontId="10" fillId="7" borderId="13" xfId="0" applyFont="1" applyFill="1" applyBorder="1"/>
    <xf numFmtId="0" fontId="10" fillId="7" borderId="9" xfId="0" applyFont="1" applyFill="1" applyBorder="1"/>
    <xf numFmtId="0" fontId="10" fillId="7" borderId="10" xfId="0" applyFont="1" applyFill="1" applyBorder="1"/>
    <xf numFmtId="0" fontId="10" fillId="7" borderId="9" xfId="0" applyFont="1" applyFill="1" applyBorder="1" applyAlignment="1">
      <alignment horizontal="left" vertical="top"/>
    </xf>
    <xf numFmtId="0" fontId="14" fillId="2" borderId="0" xfId="0" applyFont="1" applyFill="1" applyAlignment="1">
      <alignment vertical="top"/>
    </xf>
    <xf numFmtId="0" fontId="14" fillId="2" borderId="10" xfId="0" applyFont="1" applyFill="1" applyBorder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4" borderId="3" xfId="0" applyFont="1" applyFill="1" applyBorder="1" applyAlignment="1">
      <alignment vertical="top"/>
    </xf>
    <xf numFmtId="0" fontId="12" fillId="4" borderId="3" xfId="0" applyFont="1" applyFill="1" applyBorder="1" applyAlignment="1">
      <alignment vertical="top" wrapText="1"/>
    </xf>
    <xf numFmtId="0" fontId="12" fillId="3" borderId="18" xfId="0" applyFont="1" applyFill="1" applyBorder="1" applyAlignment="1">
      <alignment vertical="top"/>
    </xf>
    <xf numFmtId="0" fontId="12" fillId="7" borderId="3" xfId="0" applyFont="1" applyFill="1" applyBorder="1" applyAlignment="1">
      <alignment horizontal="center" vertical="top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top"/>
    </xf>
    <xf numFmtId="0" fontId="14" fillId="2" borderId="9" xfId="0" applyFont="1" applyFill="1" applyBorder="1"/>
    <xf numFmtId="0" fontId="14" fillId="2" borderId="0" xfId="0" applyFont="1" applyFill="1"/>
    <xf numFmtId="0" fontId="14" fillId="2" borderId="11" xfId="0" applyFont="1" applyFill="1" applyBorder="1"/>
    <xf numFmtId="0" fontId="14" fillId="2" borderId="12" xfId="0" applyFont="1" applyFill="1" applyBorder="1"/>
    <xf numFmtId="0" fontId="14" fillId="2" borderId="12" xfId="0" applyFont="1" applyFill="1" applyBorder="1" applyAlignment="1">
      <alignment vertical="top"/>
    </xf>
    <xf numFmtId="0" fontId="14" fillId="2" borderId="13" xfId="0" applyFont="1" applyFill="1" applyBorder="1" applyAlignment="1">
      <alignment vertical="top"/>
    </xf>
    <xf numFmtId="0" fontId="14" fillId="2" borderId="11" xfId="0" applyFont="1" applyFill="1" applyBorder="1" applyAlignment="1">
      <alignment vertical="top"/>
    </xf>
    <xf numFmtId="0" fontId="12" fillId="3" borderId="9" xfId="0" applyFont="1" applyFill="1" applyBorder="1" applyAlignment="1">
      <alignment vertical="top"/>
    </xf>
    <xf numFmtId="0" fontId="14" fillId="2" borderId="9" xfId="0" applyFont="1" applyFill="1" applyBorder="1" applyAlignment="1">
      <alignment horizontal="center" vertical="top"/>
    </xf>
    <xf numFmtId="0" fontId="14" fillId="2" borderId="0" xfId="0" applyFont="1" applyFill="1" applyAlignment="1">
      <alignment horizontal="center" vertical="top"/>
    </xf>
    <xf numFmtId="0" fontId="12" fillId="7" borderId="17" xfId="0" applyFont="1" applyFill="1" applyBorder="1" applyAlignment="1">
      <alignment horizontal="center" vertical="top"/>
    </xf>
    <xf numFmtId="0" fontId="12" fillId="7" borderId="18" xfId="0" applyFont="1" applyFill="1" applyBorder="1" applyAlignment="1">
      <alignment vertical="top"/>
    </xf>
    <xf numFmtId="0" fontId="0" fillId="0" borderId="0" xfId="0" quotePrefix="1"/>
    <xf numFmtId="14" fontId="3" fillId="0" borderId="0" xfId="0" applyNumberFormat="1" applyFont="1" applyAlignment="1">
      <alignment vertical="top"/>
    </xf>
    <xf numFmtId="0" fontId="7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vertical="top"/>
    </xf>
    <xf numFmtId="0" fontId="17" fillId="7" borderId="0" xfId="0" applyFont="1" applyFill="1" applyAlignment="1">
      <alignment horizontal="left" vertical="top"/>
    </xf>
    <xf numFmtId="0" fontId="17" fillId="7" borderId="10" xfId="0" applyFont="1" applyFill="1" applyBorder="1" applyAlignment="1">
      <alignment horizontal="left" vertical="top"/>
    </xf>
    <xf numFmtId="14" fontId="10" fillId="7" borderId="0" xfId="0" applyNumberFormat="1" applyFont="1" applyFill="1" applyAlignment="1">
      <alignment horizontal="left" vertical="top"/>
    </xf>
    <xf numFmtId="14" fontId="10" fillId="7" borderId="10" xfId="0" applyNumberFormat="1" applyFont="1" applyFill="1" applyBorder="1" applyAlignment="1">
      <alignment horizontal="left" vertical="top"/>
    </xf>
    <xf numFmtId="44" fontId="0" fillId="0" borderId="0" xfId="0" applyNumberFormat="1"/>
    <xf numFmtId="0" fontId="12" fillId="6" borderId="17" xfId="0" applyFont="1" applyFill="1" applyBorder="1" applyAlignment="1" applyProtection="1">
      <alignment horizontal="center" vertical="top"/>
      <protection locked="0"/>
    </xf>
    <xf numFmtId="0" fontId="12" fillId="6" borderId="3" xfId="0" applyFont="1" applyFill="1" applyBorder="1" applyAlignment="1" applyProtection="1">
      <alignment horizontal="center" vertical="top"/>
      <protection locked="0"/>
    </xf>
    <xf numFmtId="0" fontId="12" fillId="4" borderId="17" xfId="0" applyFont="1" applyFill="1" applyBorder="1" applyAlignment="1" applyProtection="1">
      <alignment vertical="top"/>
      <protection locked="0"/>
    </xf>
    <xf numFmtId="0" fontId="14" fillId="2" borderId="9" xfId="0" applyFont="1" applyFill="1" applyBorder="1" applyAlignment="1" applyProtection="1">
      <alignment vertical="top"/>
      <protection locked="0"/>
    </xf>
    <xf numFmtId="0" fontId="12" fillId="4" borderId="25" xfId="0" applyFont="1" applyFill="1" applyBorder="1" applyAlignment="1" applyProtection="1">
      <alignment vertical="top"/>
      <protection locked="0"/>
    </xf>
    <xf numFmtId="0" fontId="9" fillId="7" borderId="11" xfId="0" applyFont="1" applyFill="1" applyBorder="1" applyAlignment="1">
      <alignment horizontal="left" vertical="top"/>
    </xf>
    <xf numFmtId="0" fontId="9" fillId="7" borderId="12" xfId="0" applyFont="1" applyFill="1" applyBorder="1" applyAlignment="1">
      <alignment horizontal="left" vertical="top"/>
    </xf>
    <xf numFmtId="0" fontId="10" fillId="7" borderId="12" xfId="0" applyFont="1" applyFill="1" applyBorder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9" fillId="9" borderId="31" xfId="0" applyFont="1" applyFill="1" applyBorder="1" applyAlignment="1">
      <alignment horizontal="left" vertical="top"/>
    </xf>
    <xf numFmtId="0" fontId="12" fillId="8" borderId="32" xfId="5" applyFont="1" applyFill="1" applyBorder="1" applyAlignment="1">
      <alignment horizontal="left" vertical="top"/>
    </xf>
    <xf numFmtId="0" fontId="6" fillId="9" borderId="32" xfId="0" applyFont="1" applyFill="1" applyBorder="1" applyAlignment="1">
      <alignment horizontal="left" vertical="top"/>
    </xf>
    <xf numFmtId="0" fontId="9" fillId="5" borderId="19" xfId="0" applyFont="1" applyFill="1" applyBorder="1" applyAlignment="1">
      <alignment horizontal="left" vertical="top"/>
    </xf>
    <xf numFmtId="0" fontId="12" fillId="5" borderId="4" xfId="5" applyFont="1" applyFill="1" applyBorder="1" applyAlignment="1">
      <alignment horizontal="left" vertical="top"/>
    </xf>
    <xf numFmtId="0" fontId="9" fillId="5" borderId="4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horizontal="left" vertical="top"/>
    </xf>
    <xf numFmtId="0" fontId="6" fillId="5" borderId="4" xfId="0" applyFont="1" applyFill="1" applyBorder="1" applyAlignment="1">
      <alignment horizontal="center" vertical="top"/>
    </xf>
    <xf numFmtId="0" fontId="6" fillId="5" borderId="23" xfId="0" applyFont="1" applyFill="1" applyBorder="1" applyAlignment="1">
      <alignment horizontal="center" vertical="top"/>
    </xf>
    <xf numFmtId="0" fontId="6" fillId="5" borderId="19" xfId="0" applyFont="1" applyFill="1" applyBorder="1" applyAlignment="1">
      <alignment horizontal="center" vertical="top"/>
    </xf>
    <xf numFmtId="0" fontId="6" fillId="5" borderId="20" xfId="0" applyFont="1" applyFill="1" applyBorder="1" applyAlignment="1">
      <alignment horizontal="center" vertical="top"/>
    </xf>
    <xf numFmtId="0" fontId="6" fillId="5" borderId="26" xfId="0" applyFont="1" applyFill="1" applyBorder="1" applyAlignment="1">
      <alignment horizontal="center" vertical="top"/>
    </xf>
    <xf numFmtId="0" fontId="0" fillId="5" borderId="7" xfId="0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0" fontId="6" fillId="5" borderId="5" xfId="0" applyFont="1" applyFill="1" applyBorder="1" applyAlignment="1">
      <alignment horizontal="left" vertical="top"/>
    </xf>
    <xf numFmtId="10" fontId="0" fillId="5" borderId="7" xfId="0" applyNumberFormat="1" applyFill="1" applyBorder="1" applyAlignment="1">
      <alignment horizontal="center" vertical="top"/>
    </xf>
    <xf numFmtId="10" fontId="0" fillId="5" borderId="1" xfId="0" applyNumberFormat="1" applyFill="1" applyBorder="1" applyAlignment="1">
      <alignment horizontal="center" vertical="top"/>
    </xf>
    <xf numFmtId="0" fontId="0" fillId="5" borderId="6" xfId="0" applyFill="1" applyBorder="1" applyAlignment="1">
      <alignment horizontal="left" vertical="top"/>
    </xf>
    <xf numFmtId="0" fontId="0" fillId="5" borderId="8" xfId="0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0" fillId="0" borderId="2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6" fillId="0" borderId="22" xfId="0" applyFont="1" applyBorder="1" applyAlignment="1">
      <alignment horizontal="left" vertical="top"/>
    </xf>
    <xf numFmtId="0" fontId="0" fillId="0" borderId="9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8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44" fontId="0" fillId="0" borderId="28" xfId="0" applyNumberFormat="1" applyBorder="1" applyAlignment="1">
      <alignment horizontal="left" vertical="top"/>
    </xf>
    <xf numFmtId="0" fontId="1" fillId="0" borderId="28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44" fontId="0" fillId="0" borderId="29" xfId="0" applyNumberForma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2" fillId="7" borderId="34" xfId="0" applyFont="1" applyFill="1" applyBorder="1" applyAlignment="1">
      <alignment horizontal="center" vertical="top"/>
    </xf>
    <xf numFmtId="0" fontId="12" fillId="7" borderId="35" xfId="0" applyFont="1" applyFill="1" applyBorder="1" applyAlignment="1">
      <alignment horizontal="center" vertical="top"/>
    </xf>
    <xf numFmtId="0" fontId="12" fillId="7" borderId="30" xfId="0" applyFont="1" applyFill="1" applyBorder="1" applyAlignment="1">
      <alignment vertical="top"/>
    </xf>
    <xf numFmtId="0" fontId="14" fillId="2" borderId="13" xfId="0" applyFont="1" applyFill="1" applyBorder="1" applyAlignment="1">
      <alignment horizontal="center" vertical="top"/>
    </xf>
    <xf numFmtId="0" fontId="14" fillId="2" borderId="10" xfId="0" applyFont="1" applyFill="1" applyBorder="1" applyAlignment="1">
      <alignment horizontal="center" vertical="top"/>
    </xf>
    <xf numFmtId="0" fontId="16" fillId="2" borderId="9" xfId="0" applyFont="1" applyFill="1" applyBorder="1" applyAlignment="1">
      <alignment vertical="top"/>
    </xf>
    <xf numFmtId="0" fontId="14" fillId="2" borderId="33" xfId="0" applyFont="1" applyFill="1" applyBorder="1" applyAlignment="1">
      <alignment vertical="top"/>
    </xf>
    <xf numFmtId="0" fontId="14" fillId="2" borderId="36" xfId="0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44" fontId="8" fillId="0" borderId="1" xfId="2" applyFont="1" applyFill="1" applyBorder="1" applyAlignment="1">
      <alignment vertical="top"/>
    </xf>
    <xf numFmtId="0" fontId="8" fillId="0" borderId="6" xfId="0" applyFont="1" applyBorder="1" applyAlignment="1">
      <alignment vertical="top"/>
    </xf>
    <xf numFmtId="44" fontId="8" fillId="0" borderId="5" xfId="2" applyFont="1" applyFill="1" applyBorder="1" applyAlignment="1">
      <alignment vertical="top"/>
    </xf>
    <xf numFmtId="0" fontId="7" fillId="0" borderId="26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23" xfId="0" applyFont="1" applyBorder="1" applyAlignment="1">
      <alignment vertical="top"/>
    </xf>
    <xf numFmtId="0" fontId="15" fillId="4" borderId="17" xfId="0" applyFont="1" applyFill="1" applyBorder="1" applyAlignment="1" applyProtection="1">
      <alignment vertical="top"/>
      <protection locked="0"/>
    </xf>
    <xf numFmtId="0" fontId="15" fillId="4" borderId="25" xfId="0" applyFont="1" applyFill="1" applyBorder="1" applyAlignment="1" applyProtection="1">
      <alignment vertical="top"/>
      <protection locked="0"/>
    </xf>
    <xf numFmtId="0" fontId="15" fillId="4" borderId="3" xfId="0" applyFont="1" applyFill="1" applyBorder="1" applyAlignment="1">
      <alignment vertical="top"/>
    </xf>
    <xf numFmtId="0" fontId="15" fillId="4" borderId="3" xfId="0" applyFont="1" applyFill="1" applyBorder="1" applyAlignment="1">
      <alignment vertical="top" wrapText="1"/>
    </xf>
    <xf numFmtId="0" fontId="15" fillId="3" borderId="9" xfId="0" applyFont="1" applyFill="1" applyBorder="1" applyAlignment="1">
      <alignment vertical="top"/>
    </xf>
    <xf numFmtId="0" fontId="15" fillId="3" borderId="18" xfId="0" applyFont="1" applyFill="1" applyBorder="1" applyAlignment="1">
      <alignment vertical="top"/>
    </xf>
    <xf numFmtId="10" fontId="12" fillId="6" borderId="3" xfId="1" applyNumberFormat="1" applyFont="1" applyFill="1" applyBorder="1" applyAlignment="1" applyProtection="1">
      <alignment horizontal="center" vertical="top"/>
      <protection locked="0"/>
    </xf>
    <xf numFmtId="0" fontId="12" fillId="7" borderId="17" xfId="0" applyFont="1" applyFill="1" applyBorder="1" applyAlignment="1">
      <alignment vertical="top"/>
    </xf>
    <xf numFmtId="0" fontId="15" fillId="7" borderId="18" xfId="0" applyFont="1" applyFill="1" applyBorder="1" applyAlignment="1">
      <alignment vertical="top"/>
    </xf>
    <xf numFmtId="10" fontId="12" fillId="6" borderId="17" xfId="1" applyNumberFormat="1" applyFont="1" applyFill="1" applyBorder="1" applyAlignment="1" applyProtection="1">
      <alignment horizontal="center" vertical="top"/>
      <protection locked="0"/>
    </xf>
    <xf numFmtId="0" fontId="12" fillId="7" borderId="3" xfId="0" applyFont="1" applyFill="1" applyBorder="1" applyAlignment="1">
      <alignment vertical="top"/>
    </xf>
    <xf numFmtId="0" fontId="12" fillId="0" borderId="25" xfId="0" applyFont="1" applyBorder="1" applyAlignment="1" applyProtection="1">
      <alignment vertical="top"/>
      <protection locked="0"/>
    </xf>
    <xf numFmtId="0" fontId="12" fillId="0" borderId="3" xfId="0" applyFont="1" applyBorder="1" applyAlignment="1">
      <alignment vertical="top"/>
    </xf>
    <xf numFmtId="0" fontId="12" fillId="0" borderId="3" xfId="0" applyFont="1" applyBorder="1" applyAlignment="1">
      <alignment vertical="top" wrapText="1"/>
    </xf>
    <xf numFmtId="0" fontId="12" fillId="0" borderId="17" xfId="0" applyFont="1" applyBorder="1" applyAlignment="1">
      <alignment vertical="top"/>
    </xf>
    <xf numFmtId="0" fontId="12" fillId="0" borderId="18" xfId="0" applyFont="1" applyBorder="1" applyAlignment="1">
      <alignment vertical="top"/>
    </xf>
    <xf numFmtId="0" fontId="12" fillId="0" borderId="25" xfId="0" applyFont="1" applyBorder="1" applyAlignment="1">
      <alignment vertical="top"/>
    </xf>
    <xf numFmtId="0" fontId="15" fillId="0" borderId="9" xfId="0" applyFont="1" applyBorder="1" applyAlignment="1">
      <alignment vertical="top"/>
    </xf>
    <xf numFmtId="0" fontId="12" fillId="0" borderId="9" xfId="0" applyFont="1" applyBorder="1" applyAlignment="1">
      <alignment vertical="top"/>
    </xf>
    <xf numFmtId="10" fontId="12" fillId="0" borderId="25" xfId="1" applyNumberFormat="1" applyFont="1" applyFill="1" applyBorder="1" applyAlignment="1" applyProtection="1">
      <alignment horizontal="center" vertical="top"/>
      <protection locked="0"/>
    </xf>
    <xf numFmtId="0" fontId="12" fillId="2" borderId="13" xfId="0" applyFont="1" applyFill="1" applyBorder="1" applyAlignment="1">
      <alignment vertical="top"/>
    </xf>
    <xf numFmtId="0" fontId="12" fillId="2" borderId="10" xfId="0" applyFont="1" applyFill="1" applyBorder="1" applyAlignment="1">
      <alignment vertical="top"/>
    </xf>
    <xf numFmtId="10" fontId="14" fillId="2" borderId="10" xfId="0" applyNumberFormat="1" applyFont="1" applyFill="1" applyBorder="1" applyAlignment="1">
      <alignment vertical="top"/>
    </xf>
    <xf numFmtId="0" fontId="12" fillId="2" borderId="11" xfId="0" applyFont="1" applyFill="1" applyBorder="1" applyAlignment="1">
      <alignment vertical="top"/>
    </xf>
    <xf numFmtId="0" fontId="12" fillId="2" borderId="12" xfId="0" applyFont="1" applyFill="1" applyBorder="1" applyAlignment="1">
      <alignment vertical="top"/>
    </xf>
    <xf numFmtId="0" fontId="9" fillId="5" borderId="23" xfId="0" applyFont="1" applyFill="1" applyBorder="1" applyAlignment="1">
      <alignment horizontal="center" vertical="top"/>
    </xf>
    <xf numFmtId="0" fontId="10" fillId="5" borderId="5" xfId="0" applyFont="1" applyFill="1" applyBorder="1" applyAlignment="1">
      <alignment horizontal="left" vertical="top"/>
    </xf>
    <xf numFmtId="0" fontId="10" fillId="5" borderId="6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9" borderId="31" xfId="0" applyFont="1" applyFill="1" applyBorder="1" applyAlignment="1">
      <alignment horizontal="left" vertical="top"/>
    </xf>
    <xf numFmtId="0" fontId="6" fillId="9" borderId="27" xfId="0" applyFont="1" applyFill="1" applyBorder="1" applyAlignment="1">
      <alignment horizontal="left" vertical="top"/>
    </xf>
    <xf numFmtId="0" fontId="6" fillId="5" borderId="19" xfId="0" applyFont="1" applyFill="1" applyBorder="1" applyAlignment="1">
      <alignment horizontal="left" vertical="top"/>
    </xf>
    <xf numFmtId="0" fontId="6" fillId="5" borderId="20" xfId="0" applyFont="1" applyFill="1" applyBorder="1" applyAlignment="1">
      <alignment horizontal="left" vertical="top"/>
    </xf>
    <xf numFmtId="168" fontId="8" fillId="0" borderId="1" xfId="1" applyNumberFormat="1" applyFont="1" applyFill="1" applyBorder="1" applyAlignment="1">
      <alignment vertical="top"/>
    </xf>
    <xf numFmtId="0" fontId="7" fillId="0" borderId="24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168" fontId="7" fillId="0" borderId="2" xfId="0" applyNumberFormat="1" applyFont="1" applyBorder="1" applyAlignment="1">
      <alignment vertical="top"/>
    </xf>
    <xf numFmtId="44" fontId="7" fillId="0" borderId="2" xfId="0" applyNumberFormat="1" applyFont="1" applyBorder="1" applyAlignment="1">
      <alignment vertical="top"/>
    </xf>
    <xf numFmtId="0" fontId="12" fillId="4" borderId="0" xfId="0" applyFont="1" applyFill="1" applyAlignment="1">
      <alignment vertical="top"/>
    </xf>
    <xf numFmtId="0" fontId="15" fillId="4" borderId="0" xfId="0" applyFont="1" applyFill="1" applyAlignment="1">
      <alignment vertical="top"/>
    </xf>
    <xf numFmtId="0" fontId="12" fillId="4" borderId="35" xfId="0" applyFont="1" applyFill="1" applyBorder="1" applyAlignment="1">
      <alignment vertical="top"/>
    </xf>
    <xf numFmtId="0" fontId="12" fillId="10" borderId="17" xfId="0" applyFont="1" applyFill="1" applyBorder="1" applyAlignment="1">
      <alignment vertical="top"/>
    </xf>
    <xf numFmtId="0" fontId="12" fillId="10" borderId="18" xfId="0" applyFont="1" applyFill="1" applyBorder="1" applyAlignment="1">
      <alignment vertical="top"/>
    </xf>
    <xf numFmtId="0" fontId="12" fillId="10" borderId="25" xfId="0" applyFont="1" applyFill="1" applyBorder="1" applyAlignment="1">
      <alignment vertical="top"/>
    </xf>
    <xf numFmtId="0" fontId="15" fillId="10" borderId="17" xfId="0" applyFont="1" applyFill="1" applyBorder="1" applyAlignment="1">
      <alignment vertical="top"/>
    </xf>
    <xf numFmtId="0" fontId="15" fillId="10" borderId="18" xfId="0" applyFont="1" applyFill="1" applyBorder="1" applyAlignment="1">
      <alignment vertical="top"/>
    </xf>
    <xf numFmtId="0" fontId="15" fillId="10" borderId="25" xfId="0" applyFont="1" applyFill="1" applyBorder="1" applyAlignment="1">
      <alignment vertical="top"/>
    </xf>
    <xf numFmtId="0" fontId="15" fillId="0" borderId="1" xfId="0" applyFont="1" applyBorder="1" applyAlignment="1" applyProtection="1">
      <alignment vertical="top"/>
      <protection locked="0"/>
    </xf>
    <xf numFmtId="164" fontId="15" fillId="0" borderId="1" xfId="0" quotePrefix="1" applyNumberFormat="1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44" fontId="15" fillId="0" borderId="1" xfId="2" applyFont="1" applyFill="1" applyBorder="1" applyAlignment="1" applyProtection="1">
      <alignment vertical="top"/>
      <protection locked="0"/>
    </xf>
    <xf numFmtId="44" fontId="15" fillId="0" borderId="1" xfId="2" applyFont="1" applyFill="1" applyBorder="1" applyAlignment="1">
      <alignment vertical="top"/>
    </xf>
    <xf numFmtId="165" fontId="15" fillId="0" borderId="1" xfId="0" applyNumberFormat="1" applyFont="1" applyBorder="1" applyAlignment="1" applyProtection="1">
      <alignment horizontal="center" vertical="top"/>
      <protection locked="0"/>
    </xf>
    <xf numFmtId="164" fontId="0" fillId="0" borderId="0" xfId="0" applyNumberFormat="1"/>
    <xf numFmtId="14" fontId="0" fillId="0" borderId="0" xfId="0" applyNumberFormat="1"/>
    <xf numFmtId="0" fontId="10" fillId="0" borderId="21" xfId="0" applyFont="1" applyBorder="1" applyAlignment="1">
      <alignment horizontal="left" vertical="top"/>
    </xf>
    <xf numFmtId="164" fontId="15" fillId="0" borderId="0" xfId="0" applyNumberFormat="1" applyFont="1" applyAlignment="1">
      <alignment vertical="top"/>
    </xf>
    <xf numFmtId="164" fontId="15" fillId="0" borderId="0" xfId="0" applyNumberFormat="1" applyFont="1" applyAlignment="1">
      <alignment horizontal="center" vertical="top"/>
    </xf>
    <xf numFmtId="44" fontId="15" fillId="0" borderId="0" xfId="2" applyFont="1" applyFill="1" applyBorder="1" applyAlignment="1">
      <alignment vertical="top"/>
    </xf>
    <xf numFmtId="44" fontId="15" fillId="0" borderId="0" xfId="0" applyNumberFormat="1" applyFont="1" applyAlignment="1">
      <alignment vertical="top"/>
    </xf>
    <xf numFmtId="165" fontId="15" fillId="0" borderId="0" xfId="0" applyNumberFormat="1" applyFont="1" applyAlignment="1">
      <alignment horizontal="center" vertical="top"/>
    </xf>
    <xf numFmtId="14" fontId="14" fillId="2" borderId="0" xfId="0" applyNumberFormat="1" applyFont="1" applyFill="1"/>
    <xf numFmtId="14" fontId="14" fillId="2" borderId="0" xfId="0" applyNumberFormat="1" applyFont="1" applyFill="1" applyAlignment="1">
      <alignment vertical="top"/>
    </xf>
    <xf numFmtId="0" fontId="12" fillId="4" borderId="34" xfId="0" applyFont="1" applyFill="1" applyBorder="1" applyAlignment="1" applyProtection="1">
      <alignment vertical="top"/>
      <protection locked="0"/>
    </xf>
    <xf numFmtId="0" fontId="12" fillId="4" borderId="40" xfId="0" applyFont="1" applyFill="1" applyBorder="1" applyAlignment="1" applyProtection="1">
      <alignment vertical="top"/>
      <protection locked="0"/>
    </xf>
    <xf numFmtId="0" fontId="12" fillId="4" borderId="35" xfId="0" applyFont="1" applyFill="1" applyBorder="1" applyAlignment="1">
      <alignment vertical="top" wrapText="1"/>
    </xf>
    <xf numFmtId="0" fontId="12" fillId="4" borderId="12" xfId="0" applyFont="1" applyFill="1" applyBorder="1" applyAlignment="1">
      <alignment vertical="top"/>
    </xf>
    <xf numFmtId="0" fontId="12" fillId="10" borderId="34" xfId="0" applyFont="1" applyFill="1" applyBorder="1" applyAlignment="1">
      <alignment vertical="top"/>
    </xf>
    <xf numFmtId="0" fontId="12" fillId="10" borderId="30" xfId="0" applyFont="1" applyFill="1" applyBorder="1" applyAlignment="1">
      <alignment vertical="top"/>
    </xf>
    <xf numFmtId="0" fontId="12" fillId="10" borderId="40" xfId="0" applyFont="1" applyFill="1" applyBorder="1" applyAlignment="1">
      <alignment vertical="top"/>
    </xf>
    <xf numFmtId="0" fontId="12" fillId="3" borderId="11" xfId="0" applyFont="1" applyFill="1" applyBorder="1" applyAlignment="1">
      <alignment vertical="top"/>
    </xf>
    <xf numFmtId="0" fontId="12" fillId="3" borderId="30" xfId="0" applyFont="1" applyFill="1" applyBorder="1" applyAlignment="1">
      <alignment vertical="top"/>
    </xf>
    <xf numFmtId="0" fontId="12" fillId="6" borderId="34" xfId="0" applyFont="1" applyFill="1" applyBorder="1" applyAlignment="1" applyProtection="1">
      <alignment horizontal="center" vertical="top"/>
      <protection locked="0"/>
    </xf>
    <xf numFmtId="0" fontId="12" fillId="6" borderId="35" xfId="0" applyFont="1" applyFill="1" applyBorder="1" applyAlignment="1" applyProtection="1">
      <alignment horizontal="center" vertical="top"/>
      <protection locked="0"/>
    </xf>
    <xf numFmtId="0" fontId="12" fillId="0" borderId="17" xfId="0" applyFont="1" applyBorder="1" applyAlignment="1" applyProtection="1">
      <alignment vertical="top"/>
      <protection locked="0"/>
    </xf>
    <xf numFmtId="0" fontId="12" fillId="0" borderId="30" xfId="0" applyFont="1" applyBorder="1" applyAlignment="1">
      <alignment vertical="top"/>
    </xf>
    <xf numFmtId="164" fontId="15" fillId="0" borderId="7" xfId="0" applyNumberFormat="1" applyFont="1" applyBorder="1" applyAlignment="1" applyProtection="1">
      <alignment vertical="top"/>
      <protection locked="0"/>
    </xf>
    <xf numFmtId="0" fontId="15" fillId="0" borderId="41" xfId="0" applyFont="1" applyBorder="1" applyAlignment="1" applyProtection="1">
      <alignment vertical="top"/>
      <protection locked="0"/>
    </xf>
    <xf numFmtId="0" fontId="15" fillId="0" borderId="42" xfId="0" applyFont="1" applyBorder="1" applyAlignment="1" applyProtection="1">
      <alignment vertical="top"/>
      <protection locked="0"/>
    </xf>
    <xf numFmtId="0" fontId="15" fillId="0" borderId="43" xfId="0" applyFont="1" applyBorder="1" applyAlignment="1" applyProtection="1">
      <alignment horizontal="center" vertical="top"/>
      <protection locked="0"/>
    </xf>
    <xf numFmtId="0" fontId="15" fillId="0" borderId="43" xfId="0" applyFont="1" applyBorder="1" applyAlignment="1" applyProtection="1">
      <alignment vertical="top"/>
      <protection locked="0"/>
    </xf>
    <xf numFmtId="0" fontId="15" fillId="0" borderId="43" xfId="0" applyFont="1" applyBorder="1" applyAlignment="1" applyProtection="1">
      <alignment vertical="top" wrapText="1"/>
      <protection locked="0"/>
    </xf>
    <xf numFmtId="0" fontId="15" fillId="0" borderId="29" xfId="0" applyFont="1" applyBorder="1" applyAlignment="1" applyProtection="1">
      <alignment vertical="top"/>
      <protection locked="0"/>
    </xf>
    <xf numFmtId="44" fontId="15" fillId="0" borderId="41" xfId="0" applyNumberFormat="1" applyFont="1" applyBorder="1" applyAlignment="1" applyProtection="1">
      <alignment vertical="top"/>
      <protection locked="0"/>
    </xf>
    <xf numFmtId="0" fontId="15" fillId="0" borderId="16" xfId="0" applyFont="1" applyBorder="1" applyAlignment="1" applyProtection="1">
      <alignment vertical="top"/>
      <protection locked="0"/>
    </xf>
    <xf numFmtId="44" fontId="15" fillId="0" borderId="28" xfId="0" applyNumberFormat="1" applyFont="1" applyBorder="1" applyAlignment="1">
      <alignment vertical="top"/>
    </xf>
    <xf numFmtId="44" fontId="15" fillId="0" borderId="1" xfId="2" quotePrefix="1" applyFont="1" applyBorder="1" applyAlignment="1">
      <alignment vertical="top"/>
    </xf>
    <xf numFmtId="44" fontId="15" fillId="0" borderId="8" xfId="2" applyFont="1" applyBorder="1" applyAlignment="1">
      <alignment vertical="top"/>
    </xf>
    <xf numFmtId="44" fontId="15" fillId="0" borderId="41" xfId="0" applyNumberFormat="1" applyFont="1" applyBorder="1" applyAlignment="1">
      <alignment vertical="top"/>
    </xf>
    <xf numFmtId="44" fontId="15" fillId="0" borderId="37" xfId="0" applyNumberFormat="1" applyFont="1" applyBorder="1" applyAlignment="1">
      <alignment vertical="top"/>
    </xf>
    <xf numFmtId="49" fontId="19" fillId="0" borderId="1" xfId="10" applyNumberFormat="1" applyFont="1" applyFill="1" applyBorder="1" applyAlignment="1">
      <alignment vertical="center"/>
    </xf>
    <xf numFmtId="44" fontId="15" fillId="0" borderId="1" xfId="2" applyFont="1" applyFill="1" applyBorder="1" applyAlignment="1">
      <alignment horizontal="center" vertical="top"/>
    </xf>
    <xf numFmtId="0" fontId="15" fillId="0" borderId="1" xfId="0" applyNumberFormat="1" applyFont="1" applyBorder="1" applyAlignment="1" applyProtection="1">
      <alignment vertical="top"/>
      <protection locked="0"/>
    </xf>
    <xf numFmtId="164" fontId="15" fillId="0" borderId="1" xfId="0" quotePrefix="1" applyNumberFormat="1" applyFont="1" applyFill="1" applyBorder="1" applyAlignment="1" applyProtection="1">
      <alignment horizontal="center" vertical="top"/>
      <protection locked="0"/>
    </xf>
    <xf numFmtId="0" fontId="15" fillId="0" borderId="1" xfId="0" applyFont="1" applyFill="1" applyBorder="1" applyAlignment="1" applyProtection="1">
      <alignment vertical="top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44" fontId="15" fillId="0" borderId="1" xfId="0" applyNumberFormat="1" applyFont="1" applyFill="1" applyBorder="1" applyAlignment="1" applyProtection="1">
      <alignment vertical="top"/>
      <protection locked="0"/>
    </xf>
    <xf numFmtId="44" fontId="15" fillId="0" borderId="1" xfId="2" quotePrefix="1" applyFont="1" applyFill="1" applyBorder="1" applyAlignment="1">
      <alignment vertical="top"/>
    </xf>
    <xf numFmtId="0" fontId="10" fillId="7" borderId="0" xfId="0" applyFont="1" applyFill="1" applyAlignment="1">
      <alignment horizontal="left"/>
    </xf>
    <xf numFmtId="3" fontId="10" fillId="7" borderId="0" xfId="0" applyNumberFormat="1" applyFont="1" applyFill="1" applyAlignment="1">
      <alignment horizontal="left"/>
    </xf>
    <xf numFmtId="44" fontId="8" fillId="0" borderId="5" xfId="2" applyNumberFormat="1" applyFont="1" applyFill="1" applyBorder="1" applyAlignment="1">
      <alignment vertical="top"/>
    </xf>
    <xf numFmtId="44" fontId="8" fillId="0" borderId="23" xfId="2" applyNumberFormat="1" applyFont="1" applyFill="1" applyBorder="1" applyAlignment="1">
      <alignment vertical="top"/>
    </xf>
    <xf numFmtId="44" fontId="8" fillId="0" borderId="21" xfId="2" applyNumberFormat="1" applyFont="1" applyFill="1" applyBorder="1" applyAlignment="1">
      <alignment vertical="top"/>
    </xf>
    <xf numFmtId="0" fontId="7" fillId="0" borderId="4" xfId="0" applyFont="1" applyFill="1" applyBorder="1" applyAlignment="1">
      <alignment vertical="top"/>
    </xf>
    <xf numFmtId="44" fontId="7" fillId="0" borderId="1" xfId="0" applyNumberFormat="1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0" fillId="0" borderId="0" xfId="0" applyFill="1"/>
    <xf numFmtId="0" fontId="7" fillId="0" borderId="4" xfId="0" applyFont="1" applyBorder="1" applyAlignment="1">
      <alignment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ont="1" applyFill="1" applyBorder="1" applyAlignment="1" applyProtection="1">
      <alignment horizontal="left" vertical="top"/>
    </xf>
    <xf numFmtId="0" fontId="20" fillId="0" borderId="1" xfId="0" applyFont="1" applyFill="1" applyBorder="1" applyAlignment="1" applyProtection="1">
      <alignment horizontal="left" vertical="top"/>
    </xf>
    <xf numFmtId="0" fontId="0" fillId="0" borderId="7" xfId="0" applyFill="1" applyBorder="1" applyAlignment="1">
      <alignment horizontal="left" vertical="top"/>
    </xf>
    <xf numFmtId="164" fontId="0" fillId="0" borderId="5" xfId="0" applyNumberFormat="1" applyFill="1" applyBorder="1" applyAlignment="1">
      <alignment horizontal="left" vertical="top"/>
    </xf>
    <xf numFmtId="44" fontId="0" fillId="0" borderId="7" xfId="2" applyFont="1" applyFill="1" applyBorder="1" applyAlignment="1" applyProtection="1">
      <alignment horizontal="left" vertical="top"/>
    </xf>
    <xf numFmtId="44" fontId="0" fillId="0" borderId="1" xfId="2" applyFont="1" applyFill="1" applyBorder="1" applyAlignment="1" applyProtection="1">
      <alignment horizontal="left" vertical="top"/>
    </xf>
    <xf numFmtId="44" fontId="0" fillId="0" borderId="1" xfId="2" applyNumberFormat="1" applyFont="1" applyFill="1" applyBorder="1" applyAlignment="1" applyProtection="1">
      <alignment horizontal="left" vertical="top"/>
    </xf>
    <xf numFmtId="44" fontId="13" fillId="0" borderId="5" xfId="2" applyFont="1" applyFill="1" applyBorder="1" applyAlignment="1" applyProtection="1">
      <alignment horizontal="left" vertical="top"/>
    </xf>
    <xf numFmtId="14" fontId="0" fillId="0" borderId="7" xfId="0" applyNumberFormat="1" applyFill="1" applyBorder="1" applyAlignment="1">
      <alignment horizontal="left" vertical="top"/>
    </xf>
    <xf numFmtId="14" fontId="0" fillId="0" borderId="1" xfId="0" applyNumberFormat="1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0" borderId="8" xfId="0" applyFill="1" applyBorder="1" applyAlignment="1">
      <alignment horizontal="left" vertical="top"/>
    </xf>
    <xf numFmtId="44" fontId="0" fillId="0" borderId="7" xfId="0" applyNumberFormat="1" applyFill="1" applyBorder="1" applyAlignment="1">
      <alignment horizontal="left" vertical="top"/>
    </xf>
    <xf numFmtId="44" fontId="13" fillId="0" borderId="8" xfId="0" applyNumberFormat="1" applyFont="1" applyFill="1" applyBorder="1" applyAlignment="1">
      <alignment horizontal="left" vertical="top"/>
    </xf>
    <xf numFmtId="165" fontId="1" fillId="0" borderId="7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44" fontId="0" fillId="0" borderId="6" xfId="2" applyFont="1" applyFill="1" applyBorder="1" applyAlignment="1" applyProtection="1">
      <alignment horizontal="left" vertical="top"/>
    </xf>
    <xf numFmtId="0" fontId="0" fillId="0" borderId="7" xfId="0" applyFont="1" applyFill="1" applyBorder="1" applyAlignment="1" applyProtection="1">
      <alignment horizontal="left" vertical="top"/>
    </xf>
    <xf numFmtId="164" fontId="0" fillId="0" borderId="5" xfId="0" applyNumberFormat="1" applyFont="1" applyFill="1" applyBorder="1" applyAlignment="1" applyProtection="1">
      <alignment horizontal="left" vertical="top"/>
    </xf>
    <xf numFmtId="44" fontId="0" fillId="0" borderId="7" xfId="2" applyNumberFormat="1" applyFont="1" applyFill="1" applyBorder="1" applyAlignment="1" applyProtection="1">
      <alignment horizontal="left" vertical="top"/>
    </xf>
    <xf numFmtId="44" fontId="13" fillId="0" borderId="5" xfId="2" applyNumberFormat="1" applyFont="1" applyFill="1" applyBorder="1" applyAlignment="1" applyProtection="1">
      <alignment horizontal="left" vertical="top"/>
    </xf>
    <xf numFmtId="0" fontId="0" fillId="0" borderId="6" xfId="0" applyFont="1" applyFill="1" applyBorder="1" applyAlignment="1" applyProtection="1">
      <alignment horizontal="left" vertical="top"/>
    </xf>
    <xf numFmtId="44" fontId="0" fillId="0" borderId="7" xfId="0" applyNumberFormat="1" applyFont="1" applyFill="1" applyBorder="1" applyAlignment="1" applyProtection="1">
      <alignment horizontal="left" vertical="top"/>
    </xf>
    <xf numFmtId="44" fontId="13" fillId="0" borderId="8" xfId="0" applyNumberFormat="1" applyFont="1" applyFill="1" applyBorder="1" applyAlignment="1" applyProtection="1">
      <alignment horizontal="left" vertical="top"/>
    </xf>
    <xf numFmtId="165" fontId="1" fillId="0" borderId="7" xfId="0" applyNumberFormat="1" applyFont="1" applyFill="1" applyBorder="1" applyAlignment="1" applyProtection="1">
      <alignment horizontal="center" vertical="top"/>
    </xf>
    <xf numFmtId="165" fontId="1" fillId="0" borderId="1" xfId="0" applyNumberFormat="1" applyFont="1" applyFill="1" applyBorder="1" applyAlignment="1" applyProtection="1">
      <alignment horizontal="center" vertical="top"/>
    </xf>
    <xf numFmtId="44" fontId="0" fillId="0" borderId="6" xfId="2" applyNumberFormat="1" applyFont="1" applyFill="1" applyBorder="1" applyAlignment="1" applyProtection="1">
      <alignment horizontal="left" vertical="top"/>
    </xf>
    <xf numFmtId="0" fontId="0" fillId="0" borderId="8" xfId="0" applyFont="1" applyFill="1" applyBorder="1" applyAlignment="1" applyProtection="1">
      <alignment horizontal="left" vertical="top"/>
    </xf>
    <xf numFmtId="164" fontId="0" fillId="0" borderId="1" xfId="0" applyNumberFormat="1" applyFill="1" applyBorder="1" applyAlignment="1">
      <alignment horizontal="left" vertical="top"/>
    </xf>
    <xf numFmtId="164" fontId="0" fillId="0" borderId="1" xfId="0" applyNumberFormat="1" applyFont="1" applyFill="1" applyBorder="1" applyAlignment="1" applyProtection="1">
      <alignment horizontal="left" vertical="top"/>
    </xf>
    <xf numFmtId="44" fontId="13" fillId="0" borderId="8" xfId="2" applyFont="1" applyFill="1" applyBorder="1" applyAlignment="1" applyProtection="1">
      <alignment horizontal="left" vertical="top"/>
    </xf>
    <xf numFmtId="0" fontId="20" fillId="0" borderId="7" xfId="0" applyFont="1" applyFill="1" applyBorder="1" applyAlignment="1" applyProtection="1">
      <alignment horizontal="left" vertical="top"/>
    </xf>
    <xf numFmtId="0" fontId="20" fillId="0" borderId="1" xfId="0" applyFont="1" applyFill="1" applyBorder="1" applyAlignment="1">
      <alignment horizontal="left" vertical="top"/>
    </xf>
    <xf numFmtId="44" fontId="20" fillId="0" borderId="7" xfId="2" applyNumberFormat="1" applyFont="1" applyFill="1" applyBorder="1" applyAlignment="1" applyProtection="1">
      <alignment horizontal="left" vertical="top"/>
    </xf>
    <xf numFmtId="44" fontId="20" fillId="0" borderId="1" xfId="2" applyFont="1" applyFill="1" applyBorder="1" applyAlignment="1" applyProtection="1">
      <alignment horizontal="left" vertical="top"/>
    </xf>
    <xf numFmtId="44" fontId="20" fillId="0" borderId="1" xfId="2" applyNumberFormat="1" applyFont="1" applyFill="1" applyBorder="1" applyAlignment="1" applyProtection="1">
      <alignment horizontal="left" vertical="top"/>
    </xf>
    <xf numFmtId="14" fontId="20" fillId="0" borderId="7" xfId="0" applyNumberFormat="1" applyFont="1" applyFill="1" applyBorder="1" applyAlignment="1">
      <alignment horizontal="left" vertical="top"/>
    </xf>
    <xf numFmtId="14" fontId="20" fillId="0" borderId="1" xfId="0" applyNumberFormat="1" applyFont="1" applyFill="1" applyBorder="1" applyAlignment="1">
      <alignment horizontal="left" vertical="top"/>
    </xf>
    <xf numFmtId="0" fontId="20" fillId="0" borderId="8" xfId="0" applyFont="1" applyFill="1" applyBorder="1" applyAlignment="1">
      <alignment horizontal="left" vertical="top"/>
    </xf>
    <xf numFmtId="44" fontId="20" fillId="0" borderId="7" xfId="0" applyNumberFormat="1" applyFont="1" applyFill="1" applyBorder="1" applyAlignment="1" applyProtection="1">
      <alignment horizontal="left" vertical="top"/>
    </xf>
    <xf numFmtId="44" fontId="21" fillId="0" borderId="8" xfId="0" applyNumberFormat="1" applyFont="1" applyFill="1" applyBorder="1" applyAlignment="1" applyProtection="1">
      <alignment horizontal="left" vertical="top"/>
    </xf>
    <xf numFmtId="165" fontId="22" fillId="0" borderId="7" xfId="0" applyNumberFormat="1" applyFont="1" applyFill="1" applyBorder="1" applyAlignment="1" applyProtection="1">
      <alignment horizontal="center" vertical="top"/>
    </xf>
    <xf numFmtId="165" fontId="22" fillId="0" borderId="1" xfId="0" applyNumberFormat="1" applyFont="1" applyFill="1" applyBorder="1" applyAlignment="1" applyProtection="1">
      <alignment horizontal="center" vertical="top"/>
    </xf>
    <xf numFmtId="0" fontId="20" fillId="0" borderId="8" xfId="0" applyFont="1" applyFill="1" applyBorder="1" applyAlignment="1" applyProtection="1">
      <alignment horizontal="left" vertical="top"/>
    </xf>
    <xf numFmtId="44" fontId="21" fillId="0" borderId="5" xfId="2" applyNumberFormat="1" applyFont="1" applyFill="1" applyBorder="1" applyAlignment="1" applyProtection="1">
      <alignment horizontal="left" vertical="top"/>
    </xf>
    <xf numFmtId="0" fontId="20" fillId="0" borderId="6" xfId="0" applyFont="1" applyFill="1" applyBorder="1" applyAlignment="1" applyProtection="1">
      <alignment horizontal="left" vertical="top"/>
    </xf>
    <xf numFmtId="44" fontId="13" fillId="0" borderId="8" xfId="2" applyNumberFormat="1" applyFont="1" applyFill="1" applyBorder="1" applyAlignment="1" applyProtection="1">
      <alignment horizontal="left" vertical="top"/>
    </xf>
    <xf numFmtId="14" fontId="0" fillId="0" borderId="7" xfId="0" applyNumberFormat="1" applyFont="1" applyFill="1" applyBorder="1" applyAlignment="1" applyProtection="1">
      <alignment horizontal="left" vertical="top"/>
    </xf>
    <xf numFmtId="14" fontId="0" fillId="0" borderId="1" xfId="0" applyNumberFormat="1" applyFont="1" applyFill="1" applyBorder="1" applyAlignment="1" applyProtection="1">
      <alignment horizontal="left" vertical="top"/>
    </xf>
    <xf numFmtId="0" fontId="0" fillId="0" borderId="39" xfId="0" applyFont="1" applyFill="1" applyBorder="1" applyAlignment="1" applyProtection="1">
      <alignment horizontal="left" vertical="top"/>
    </xf>
    <xf numFmtId="0" fontId="0" fillId="0" borderId="38" xfId="0" applyFill="1" applyBorder="1" applyAlignment="1">
      <alignment horizontal="left" vertical="top"/>
    </xf>
    <xf numFmtId="0" fontId="0" fillId="0" borderId="14" xfId="0" applyFont="1" applyFill="1" applyBorder="1" applyAlignment="1" applyProtection="1">
      <alignment horizontal="left" vertical="top"/>
    </xf>
    <xf numFmtId="164" fontId="20" fillId="0" borderId="5" xfId="0" applyNumberFormat="1" applyFont="1" applyFill="1" applyBorder="1" applyAlignment="1" applyProtection="1">
      <alignment horizontal="left" vertical="top"/>
    </xf>
    <xf numFmtId="14" fontId="0" fillId="0" borderId="39" xfId="0" applyNumberFormat="1" applyFont="1" applyFill="1" applyBorder="1" applyAlignment="1" applyProtection="1">
      <alignment horizontal="left" vertical="top"/>
    </xf>
    <xf numFmtId="14" fontId="0" fillId="0" borderId="38" xfId="0" applyNumberFormat="1" applyFont="1" applyFill="1" applyBorder="1" applyAlignment="1" applyProtection="1">
      <alignment horizontal="left" vertical="top"/>
    </xf>
    <xf numFmtId="0" fontId="0" fillId="0" borderId="38" xfId="0" applyFont="1" applyFill="1" applyBorder="1" applyAlignment="1" applyProtection="1">
      <alignment horizontal="left" vertical="top"/>
    </xf>
    <xf numFmtId="44" fontId="20" fillId="0" borderId="6" xfId="2" applyNumberFormat="1" applyFont="1" applyFill="1" applyBorder="1" applyAlignment="1" applyProtection="1">
      <alignment horizontal="left" vertical="top"/>
    </xf>
    <xf numFmtId="0" fontId="19" fillId="0" borderId="1" xfId="0" applyFont="1" applyFill="1" applyBorder="1"/>
    <xf numFmtId="0" fontId="0" fillId="0" borderId="19" xfId="0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0" fontId="0" fillId="0" borderId="4" xfId="0" applyFill="1" applyBorder="1" applyAlignment="1">
      <alignment horizontal="left" vertical="top"/>
    </xf>
    <xf numFmtId="164" fontId="0" fillId="0" borderId="4" xfId="0" applyNumberFormat="1" applyFont="1" applyFill="1" applyBorder="1" applyAlignment="1" applyProtection="1">
      <alignment horizontal="left" vertical="top"/>
    </xf>
    <xf numFmtId="44" fontId="0" fillId="0" borderId="19" xfId="2" applyFont="1" applyFill="1" applyBorder="1" applyAlignment="1" applyProtection="1">
      <alignment horizontal="left" vertical="top"/>
    </xf>
    <xf numFmtId="44" fontId="0" fillId="0" borderId="4" xfId="2" applyFont="1" applyFill="1" applyBorder="1" applyAlignment="1" applyProtection="1">
      <alignment horizontal="left" vertical="top"/>
    </xf>
    <xf numFmtId="14" fontId="0" fillId="0" borderId="19" xfId="0" applyNumberFormat="1" applyFont="1" applyFill="1" applyBorder="1" applyAlignment="1" applyProtection="1">
      <alignment horizontal="left" vertical="top"/>
    </xf>
    <xf numFmtId="14" fontId="0" fillId="0" borderId="4" xfId="0" applyNumberFormat="1" applyFont="1" applyFill="1" applyBorder="1" applyAlignment="1" applyProtection="1">
      <alignment horizontal="left" vertical="top"/>
    </xf>
    <xf numFmtId="0" fontId="0" fillId="0" borderId="20" xfId="0" applyFont="1" applyFill="1" applyBorder="1" applyAlignment="1" applyProtection="1">
      <alignment horizontal="left" vertical="top"/>
    </xf>
    <xf numFmtId="0" fontId="0" fillId="0" borderId="37" xfId="0" applyBorder="1" applyAlignment="1">
      <alignment horizontal="left" vertical="top"/>
    </xf>
    <xf numFmtId="44" fontId="0" fillId="0" borderId="37" xfId="0" applyNumberFormat="1" applyBorder="1" applyAlignment="1">
      <alignment horizontal="left" vertical="top"/>
    </xf>
    <xf numFmtId="164" fontId="0" fillId="0" borderId="38" xfId="0" applyNumberFormat="1" applyFont="1" applyFill="1" applyBorder="1" applyAlignment="1" applyProtection="1">
      <alignment horizontal="left" vertical="top"/>
    </xf>
    <xf numFmtId="44" fontId="0" fillId="0" borderId="39" xfId="2" applyFont="1" applyFill="1" applyBorder="1" applyAlignment="1" applyProtection="1">
      <alignment horizontal="left" vertical="top"/>
    </xf>
    <xf numFmtId="44" fontId="0" fillId="0" borderId="38" xfId="2" applyFont="1" applyFill="1" applyBorder="1" applyAlignment="1" applyProtection="1">
      <alignment horizontal="left" vertical="top"/>
    </xf>
    <xf numFmtId="44" fontId="15" fillId="0" borderId="1" xfId="2" applyFont="1" applyBorder="1" applyAlignment="1" applyProtection="1">
      <alignment vertical="top"/>
      <protection locked="0"/>
    </xf>
    <xf numFmtId="15" fontId="12" fillId="4" borderId="0" xfId="0" applyNumberFormat="1" applyFont="1" applyFill="1" applyAlignment="1">
      <alignment vertical="top"/>
    </xf>
    <xf numFmtId="44" fontId="15" fillId="0" borderId="1" xfId="0" applyNumberFormat="1" applyFont="1" applyBorder="1" applyAlignment="1" applyProtection="1">
      <alignment vertical="top"/>
      <protection locked="0"/>
    </xf>
    <xf numFmtId="0" fontId="9" fillId="9" borderId="32" xfId="0" applyFont="1" applyFill="1" applyBorder="1" applyAlignment="1">
      <alignment horizontal="center" vertical="top"/>
    </xf>
    <xf numFmtId="0" fontId="6" fillId="9" borderId="31" xfId="0" applyFont="1" applyFill="1" applyBorder="1" applyAlignment="1">
      <alignment horizontal="center" vertical="top"/>
    </xf>
    <xf numFmtId="0" fontId="6" fillId="9" borderId="32" xfId="0" applyFont="1" applyFill="1" applyBorder="1" applyAlignment="1">
      <alignment horizontal="center" vertical="top"/>
    </xf>
    <xf numFmtId="0" fontId="6" fillId="9" borderId="27" xfId="0" applyFont="1" applyFill="1" applyBorder="1" applyAlignment="1">
      <alignment horizontal="center" vertical="top"/>
    </xf>
    <xf numFmtId="0" fontId="6" fillId="6" borderId="32" xfId="0" applyFont="1" applyFill="1" applyBorder="1" applyAlignment="1">
      <alignment horizontal="center" vertical="top"/>
    </xf>
    <xf numFmtId="0" fontId="6" fillId="10" borderId="32" xfId="0" applyFont="1" applyFill="1" applyBorder="1" applyAlignment="1">
      <alignment horizontal="center" vertical="top"/>
    </xf>
    <xf numFmtId="0" fontId="6" fillId="10" borderId="27" xfId="0" applyFont="1" applyFill="1" applyBorder="1" applyAlignment="1">
      <alignment horizontal="center" vertical="top"/>
    </xf>
    <xf numFmtId="164" fontId="23" fillId="0" borderId="7" xfId="0" applyNumberFormat="1" applyFont="1" applyBorder="1" applyAlignment="1" applyProtection="1">
      <alignment vertical="top"/>
      <protection locked="0"/>
    </xf>
    <xf numFmtId="0" fontId="23" fillId="0" borderId="1" xfId="0" applyFont="1" applyBorder="1" applyAlignment="1" applyProtection="1">
      <alignment vertical="top"/>
      <protection locked="0"/>
    </xf>
    <xf numFmtId="164" fontId="23" fillId="0" borderId="1" xfId="0" quotePrefix="1" applyNumberFormat="1" applyFont="1" applyBorder="1" applyAlignment="1" applyProtection="1">
      <alignment horizontal="center" vertical="top"/>
      <protection locked="0"/>
    </xf>
    <xf numFmtId="0" fontId="23" fillId="0" borderId="1" xfId="0" applyFont="1" applyBorder="1" applyAlignment="1" applyProtection="1">
      <alignment horizontal="center" vertical="top"/>
      <protection locked="0"/>
    </xf>
    <xf numFmtId="0" fontId="23" fillId="0" borderId="1" xfId="0" applyFont="1" applyBorder="1" applyAlignment="1" applyProtection="1">
      <alignment horizontal="center" vertical="top" wrapText="1"/>
      <protection locked="0"/>
    </xf>
    <xf numFmtId="0" fontId="23" fillId="0" borderId="1" xfId="0" applyFont="1" applyBorder="1" applyAlignment="1" applyProtection="1">
      <alignment vertical="top" wrapText="1"/>
      <protection locked="0"/>
    </xf>
    <xf numFmtId="0" fontId="23" fillId="0" borderId="1" xfId="0" applyFont="1" applyBorder="1" applyAlignment="1" applyProtection="1">
      <alignment horizontal="left" vertical="top"/>
      <protection locked="0"/>
    </xf>
    <xf numFmtId="44" fontId="23" fillId="0" borderId="1" xfId="2" applyFont="1" applyBorder="1" applyAlignment="1" applyProtection="1">
      <alignment vertical="top"/>
      <protection locked="0"/>
    </xf>
    <xf numFmtId="44" fontId="23" fillId="0" borderId="1" xfId="2" applyFont="1" applyFill="1" applyBorder="1" applyAlignment="1" applyProtection="1">
      <alignment vertical="top"/>
      <protection locked="0"/>
    </xf>
    <xf numFmtId="44" fontId="23" fillId="0" borderId="1" xfId="2" applyFont="1" applyFill="1" applyBorder="1" applyAlignment="1">
      <alignment vertical="top"/>
    </xf>
    <xf numFmtId="44" fontId="23" fillId="0" borderId="1" xfId="2" applyFont="1" applyFill="1" applyBorder="1" applyAlignment="1">
      <alignment horizontal="center" vertical="top"/>
    </xf>
    <xf numFmtId="44" fontId="23" fillId="0" borderId="1" xfId="0" applyNumberFormat="1" applyFont="1" applyFill="1" applyBorder="1" applyAlignment="1" applyProtection="1">
      <alignment vertical="top"/>
      <protection locked="0"/>
    </xf>
    <xf numFmtId="165" fontId="23" fillId="0" borderId="1" xfId="0" applyNumberFormat="1" applyFont="1" applyBorder="1" applyAlignment="1" applyProtection="1">
      <alignment horizontal="center" vertical="top"/>
      <protection locked="0"/>
    </xf>
    <xf numFmtId="44" fontId="23" fillId="0" borderId="1" xfId="2" quotePrefix="1" applyFont="1" applyBorder="1" applyAlignment="1">
      <alignment horizontal="center" vertical="top"/>
    </xf>
    <xf numFmtId="44" fontId="23" fillId="0" borderId="8" xfId="2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3" fillId="0" borderId="1" xfId="0" applyFont="1" applyFill="1" applyBorder="1" applyAlignment="1" applyProtection="1">
      <alignment vertical="top"/>
      <protection locked="0"/>
    </xf>
    <xf numFmtId="0" fontId="23" fillId="0" borderId="1" xfId="0" applyFont="1" applyFill="1" applyBorder="1" applyAlignment="1" applyProtection="1">
      <alignment vertical="top" wrapText="1"/>
      <protection locked="0"/>
    </xf>
    <xf numFmtId="44" fontId="23" fillId="0" borderId="1" xfId="2" quotePrefix="1" applyFont="1" applyFill="1" applyBorder="1" applyAlignment="1">
      <alignment vertical="top"/>
    </xf>
    <xf numFmtId="44" fontId="23" fillId="0" borderId="8" xfId="2" applyFont="1" applyBorder="1" applyAlignment="1">
      <alignment vertical="top"/>
    </xf>
    <xf numFmtId="44" fontId="15" fillId="0" borderId="29" xfId="0" applyNumberFormat="1" applyFont="1" applyBorder="1" applyAlignment="1" applyProtection="1">
      <alignment vertical="top"/>
      <protection locked="0"/>
    </xf>
  </cellXfs>
  <cellStyles count="11">
    <cellStyle name="Comma" xfId="10" builtinId="3"/>
    <cellStyle name="Comma 2" xfId="6" xr:uid="{0C31A5CA-2788-47F5-8595-86AF3D8D6340}"/>
    <cellStyle name="Currency" xfId="2" builtinId="4"/>
    <cellStyle name="Euro" xfId="7" xr:uid="{FA1A5A95-47BA-426C-8BF7-4A2E768BBCC7}"/>
    <cellStyle name="Normal" xfId="0" builtinId="0"/>
    <cellStyle name="Normal 2" xfId="3" xr:uid="{042D0CC4-8D3C-4DBD-B577-B57DA9BD067E}"/>
    <cellStyle name="Normal 3" xfId="5" xr:uid="{2CCB5DFE-C7B7-4BFF-AF96-2AC76775BF9A}"/>
    <cellStyle name="Normal 6" xfId="4" xr:uid="{C724D0DD-173B-44D7-8963-C379B248AB9A}"/>
    <cellStyle name="Percent" xfId="1" builtinId="5"/>
    <cellStyle name="Percent 2" xfId="8" xr:uid="{79192040-C87C-4346-9B53-9BACCE0E6A89}"/>
    <cellStyle name="Procent 2" xfId="9" xr:uid="{1489CFF9-A365-4C1F-8D3B-F1F5EF5090E9}"/>
  </cellStyles>
  <dxfs count="2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protection locked="1" hidden="0"/>
    </dxf>
    <dxf>
      <border outline="0">
        <left style="medium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4" formatCode="0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4" formatCode="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numFmt numFmtId="34" formatCode="_ &quot;€&quot;\ * #,##0.00_ ;_ &quot;€&quot;\ * \-#,##0.00_ ;_ &quot;€&quot;\ * &quot;-&quot;??_ ;_ @_ "/>
    </dxf>
  </dxfs>
  <tableStyles count="0" defaultTableStyle="TableStyleMedium2" defaultPivotStyle="PivotStyleLight16"/>
  <colors>
    <mruColors>
      <color rgb="FF00CCFF"/>
      <color rgb="FFCCFFFF"/>
      <color rgb="FFBB9DDB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Eline Jongste" refreshedDate="45545.423401388885" backgroundQuery="1" createdVersion="7" refreshedVersion="8" minRefreshableVersion="3" recordCount="0" supportSubquery="1" supportAdvancedDrill="1" xr:uid="{68A91284-7463-40FC-B611-A8F06F352F33}">
  <cacheSource type="external" connectionId="1"/>
  <cacheFields count="4">
    <cacheField name="[Measures].[Sum of Totale jaarpremie:]" caption="Sum of Totale jaarpremie:" numFmtId="0" hierarchy="36" level="32767"/>
    <cacheField name="[Table3].[Verzekerde].[Verzekerde]" caption="Verzekerde" numFmtId="0" level="1">
      <sharedItems count="1">
        <s v="Amsterdamse Hogeschool vd Kunsten"/>
      </sharedItems>
    </cacheField>
    <cacheField name="[Measures].[Sum of Verzekerde Waarde]" caption="Sum of Verzekerde Waarde" numFmtId="0" hierarchy="37" level="32767"/>
    <cacheField name="[Table3].[Verzekerde interest].[Verzekerde interest]" caption="Verzekerde interest" numFmtId="0" hierarchy="3" level="1">
      <sharedItems count="6">
        <s v="Bedrijfsuitrusting"/>
        <s v="Bijzondere kosten"/>
        <s v="Exploitatiekosten"/>
        <s v="Gebouwen"/>
        <s v="Huurdersbelang"/>
        <s v="Reconstructiekosten"/>
      </sharedItems>
    </cacheField>
  </cacheFields>
  <cacheHierarchies count="38">
    <cacheHierarchy uniqueName="[Table3].[Verzekerde]" caption="Verzekerde" attribute="1" defaultMemberUniqueName="[Table3].[Verzekerde].[All]" allUniqueName="[Table3].[Verzekerde].[All]" dimensionUniqueName="[Table3]" displayFolder="" count="2" memberValueDatatype="130" unbalanced="0">
      <fieldsUsage count="2">
        <fieldUsage x="-1"/>
        <fieldUsage x="1"/>
      </fieldsUsage>
    </cacheHierarchy>
    <cacheHierarchy uniqueName="[Table3].[Certificaat]" caption="Certificaat" attribute="1" defaultMemberUniqueName="[Table3].[Certificaat].[All]" allUniqueName="[Table3].[Certificaat].[All]" dimensionUniqueName="[Table3]" displayFolder="" count="0" memberValueDatatype="20" unbalanced="0"/>
    <cacheHierarchy uniqueName="[Table3].[Sub]" caption="Sub" attribute="1" defaultMemberUniqueName="[Table3].[Sub].[All]" allUniqueName="[Table3].[Sub].[All]" dimensionUniqueName="[Table3]" displayFolder="" count="0" memberValueDatatype="20" unbalanced="0"/>
    <cacheHierarchy uniqueName="[Table3].[Verzekerde interest]" caption="Verzekerde interest" attribute="1" defaultMemberUniqueName="[Table3].[Verzekerde interest].[All]" allUniqueName="[Table3].[Verzekerde interest].[All]" dimensionUniqueName="[Table3]" displayFolder="" count="2" memberValueDatatype="130" unbalanced="0">
      <fieldsUsage count="2">
        <fieldUsage x="-1"/>
        <fieldUsage x="3"/>
      </fieldsUsage>
    </cacheHierarchy>
    <cacheHierarchy uniqueName="[Table3].[Bestemming]" caption="Bestemming" attribute="1" defaultMemberUniqueName="[Table3].[Bestemming].[All]" allUniqueName="[Table3].[Bestemming].[All]" dimensionUniqueName="[Table3]" displayFolder="" count="0" memberValueDatatype="130" unbalanced="0"/>
    <cacheHierarchy uniqueName="[Table3].[Omschrijving]" caption="Omschrijving" attribute="1" defaultMemberUniqueName="[Table3].[Omschrijving].[All]" allUniqueName="[Table3].[Omschrijving].[All]" dimensionUniqueName="[Table3]" displayFolder="" count="0" memberValueDatatype="130" unbalanced="0"/>
    <cacheHierarchy uniqueName="[Table3].[Schadevergoedingstermijn]" caption="Schadevergoedingstermijn" attribute="1" defaultMemberUniqueName="[Table3].[Schadevergoedingstermijn].[All]" allUniqueName="[Table3].[Schadevergoedingstermijn].[All]" dimensionUniqueName="[Table3]" displayFolder="" count="0" memberValueDatatype="130" unbalanced="0"/>
    <cacheHierarchy uniqueName="[Table3].[Bouwaard]" caption="Bouwaard" attribute="1" defaultMemberUniqueName="[Table3].[Bouwaard].[All]" allUniqueName="[Table3].[Bouwaard].[All]" dimensionUniqueName="[Table3]" displayFolder="" count="0" memberValueDatatype="130" unbalanced="0"/>
    <cacheHierarchy uniqueName="[Table3].[Getaxeerd]" caption="Getaxeerd" attribute="1" defaultMemberUniqueName="[Table3].[Getaxeerd].[All]" allUniqueName="[Table3].[Getaxeerd].[All]" dimensionUniqueName="[Table3]" displayFolder="" count="0" memberValueDatatype="130" unbalanced="0"/>
    <cacheHierarchy uniqueName="[Table3].[Adres]" caption="Adres" attribute="1" defaultMemberUniqueName="[Table3].[Adres].[All]" allUniqueName="[Table3].[Adres].[All]" dimensionUniqueName="[Table3]" displayFolder="" count="0" memberValueDatatype="130" unbalanced="0"/>
    <cacheHierarchy uniqueName="[Table3].[Postcode]" caption="Postcode" attribute="1" defaultMemberUniqueName="[Table3].[Postcode].[All]" allUniqueName="[Table3].[Postcode].[All]" dimensionUniqueName="[Table3]" displayFolder="" count="0" memberValueDatatype="130" unbalanced="0"/>
    <cacheHierarchy uniqueName="[Table3].[Plaats]" caption="Plaats" attribute="1" defaultMemberUniqueName="[Table3].[Plaats].[All]" allUniqueName="[Table3].[Plaats].[All]" dimensionUniqueName="[Table3]" displayFolder="" count="0" memberValueDatatype="130" unbalanced="0"/>
    <cacheHierarchy uniqueName="[Table3].[Land]" caption="Land" attribute="1" defaultMemberUniqueName="[Table3].[Land].[All]" allUniqueName="[Table3].[Land].[All]" dimensionUniqueName="[Table3]" displayFolder="" count="0" memberValueDatatype="130" unbalanced="0"/>
    <cacheHierarchy uniqueName="[Table3].[Verzekerde waarde1]" caption="Verzekerde waarde1" attribute="1" defaultMemberUniqueName="[Table3].[Verzekerde waarde1].[All]" allUniqueName="[Table3].[Verzekerde waarde1].[All]" dimensionUniqueName="[Table3]" displayFolder="" count="0" memberValueDatatype="20" unbalanced="0"/>
    <cacheHierarchy uniqueName="[Table3].[Index Q1 2024]" caption="Index Q1 2024" attribute="1" defaultMemberUniqueName="[Table3].[Index Q1 2024].[All]" allUniqueName="[Table3].[Index Q1 2024].[All]" dimensionUniqueName="[Table3]" displayFolder="" count="0" memberValueDatatype="5" unbalanced="0"/>
    <cacheHierarchy uniqueName="[Table3].[Vorkbedrag]" caption="Vorkbedrag" attribute="1" defaultMemberUniqueName="[Table3].[Vorkbedrag].[All]" allUniqueName="[Table3].[Vorkbedrag].[All]" dimensionUniqueName="[Table3]" displayFolder="" count="0" memberValueDatatype="20" unbalanced="0"/>
    <cacheHierarchy uniqueName="[Table3].[Premiegrondslag]" caption="Premiegrondslag" attribute="1" defaultMemberUniqueName="[Table3].[Premiegrondslag].[All]" allUniqueName="[Table3].[Premiegrondslag].[All]" dimensionUniqueName="[Table3]" displayFolder="" count="0" memberValueDatatype="20" unbalanced="0"/>
    <cacheHierarchy uniqueName="[Table3].[Verzekerde Waarde2]" caption="Verzekerde Waarde2" attribute="1" defaultMemberUniqueName="[Table3].[Verzekerde Waarde2].[All]" allUniqueName="[Table3].[Verzekerde Waarde2].[All]" dimensionUniqueName="[Table3]" displayFolder="" count="0" memberValueDatatype="20" unbalanced="0"/>
    <cacheHierarchy uniqueName="[Table3].[Index nieuw]" caption="Index nieuw" attribute="1" defaultMemberUniqueName="[Table3].[Index nieuw].[All]" allUniqueName="[Table3].[Index nieuw].[All]" dimensionUniqueName="[Table3]" displayFolder="" count="0" memberValueDatatype="20" unbalanced="0"/>
    <cacheHierarchy uniqueName="[Table3].[Mutaties]" caption="Mutaties" attribute="1" defaultMemberUniqueName="[Table3].[Mutaties].[All]" allUniqueName="[Table3].[Mutaties].[All]" dimensionUniqueName="[Table3]" displayFolder="" count="0" memberValueDatatype="20" unbalanced="0"/>
    <cacheHierarchy uniqueName="[Table3].[Verz. Waarde Oud:]" caption="Verz. Waarde Oud:" attribute="1" defaultMemberUniqueName="[Table3].[Verz. Waarde Oud:].[All]" allUniqueName="[Table3].[Verz. Waarde Oud:].[All]" dimensionUniqueName="[Table3]" displayFolder="" count="0" memberValueDatatype="20" unbalanced="0"/>
    <cacheHierarchy uniqueName="[Table3].[Index oud]" caption="Index oud" attribute="1" defaultMemberUniqueName="[Table3].[Index oud].[All]" allUniqueName="[Table3].[Index oud].[All]" dimensionUniqueName="[Table3]" displayFolder="" count="0" memberValueDatatype="5" unbalanced="0"/>
    <cacheHierarchy uniqueName="[Table3].[Promillage 1]" caption="Promillage 1" attribute="1" defaultMemberUniqueName="[Table3].[Promillage 1].[All]" allUniqueName="[Table3].[Promillage 1].[All]" dimensionUniqueName="[Table3]" displayFolder="" count="0" memberValueDatatype="5" unbalanced="0"/>
    <cacheHierarchy uniqueName="[Table3].[Promillage 2]" caption="Promillage 2" attribute="1" defaultMemberUniqueName="[Table3].[Promillage 2].[All]" allUniqueName="[Table3].[Promillage 2].[All]" dimensionUniqueName="[Table3]" displayFolder="" count="0" memberValueDatatype="5" unbalanced="0"/>
    <cacheHierarchy uniqueName="[Table3].[Promillage 3]" caption="Promillage 3" attribute="1" defaultMemberUniqueName="[Table3].[Promillage 3].[All]" allUniqueName="[Table3].[Promillage 3].[All]" dimensionUniqueName="[Table3]" displayFolder="" count="0" memberValueDatatype="5" unbalanced="0"/>
    <cacheHierarchy uniqueName="[Table3].[Promillage 4]" caption="Promillage 4" attribute="1" defaultMemberUniqueName="[Table3].[Promillage 4].[All]" allUniqueName="[Table3].[Promillage 4].[All]" dimensionUniqueName="[Table3]" displayFolder="" count="0" memberValueDatatype="5" unbalanced="0"/>
    <cacheHierarchy uniqueName="[Table3].[Promillage 5]" caption="Promillage 5" attribute="1" defaultMemberUniqueName="[Table3].[Promillage 5].[All]" allUniqueName="[Table3].[Promillage 5].[All]" dimensionUniqueName="[Table3]" displayFolder="" count="0" memberValueDatatype="5" unbalanced="0"/>
    <cacheHierarchy uniqueName="[Table3].[Jaarpremie 1]" caption="Jaarpremie 1" attribute="1" defaultMemberUniqueName="[Table3].[Jaarpremie 1].[All]" allUniqueName="[Table3].[Jaarpremie 1].[All]" dimensionUniqueName="[Table3]" displayFolder="" count="0" memberValueDatatype="5" unbalanced="0"/>
    <cacheHierarchy uniqueName="[Table3].[Jaarpremie 2]" caption="Jaarpremie 2" attribute="1" defaultMemberUniqueName="[Table3].[Jaarpremie 2].[All]" allUniqueName="[Table3].[Jaarpremie 2].[All]" dimensionUniqueName="[Table3]" displayFolder="" count="0" memberValueDatatype="5" unbalanced="0"/>
    <cacheHierarchy uniqueName="[Table3].[Jaarpremie 3]" caption="Jaarpremie 3" attribute="1" defaultMemberUniqueName="[Table3].[Jaarpremie 3].[All]" allUniqueName="[Table3].[Jaarpremie 3].[All]" dimensionUniqueName="[Table3]" displayFolder="" count="0" memberValueDatatype="5" unbalanced="0"/>
    <cacheHierarchy uniqueName="[Table3].[Jaarpremie 4]" caption="Jaarpremie 4" attribute="1" defaultMemberUniqueName="[Table3].[Jaarpremie 4].[All]" allUniqueName="[Table3].[Jaarpremie 4].[All]" dimensionUniqueName="[Table3]" displayFolder="" count="0" memberValueDatatype="5" unbalanced="0"/>
    <cacheHierarchy uniqueName="[Table3].[Jaarpremie 5]" caption="Jaarpremie 5" attribute="1" defaultMemberUniqueName="[Table3].[Jaarpremie 5].[All]" allUniqueName="[Table3].[Jaarpremie 5].[All]" dimensionUniqueName="[Table3]" displayFolder="" count="0" memberValueDatatype="5" unbalanced="0"/>
    <cacheHierarchy uniqueName="[Table3].[Totale jaarpremie:]" caption="Totale jaarpremie:" attribute="1" defaultMemberUniqueName="[Table3].[Totale jaarpremie:].[All]" allUniqueName="[Table3].[Totale jaarpremie:].[All]" dimensionUniqueName="[Table3]" displayFolder="" count="0" memberValueDatatype="5" unbalanced="0"/>
    <cacheHierarchy uniqueName="[Table3].[Verzekerde Waarde]" caption="Verzekerde Waarde" attribute="1" defaultMemberUniqueName="[Table3].[Verzekerde Waarde].[All]" allUniqueName="[Table3].[Verzekerde Waarde].[All]" dimensionUniqueName="[Table3]" displayFolder="" count="0" memberValueDatatype="20" unbalanced="0"/>
    <cacheHierarchy uniqueName="[Measures].[__XL_Count Table3]" caption="__XL_Count Table3" measure="1" displayFolder="" measureGroup="Table3" count="0" hidden="1"/>
    <cacheHierarchy uniqueName="[Measures].[__No measures defined]" caption="__No measures defined" measure="1" displayFolder="" count="0" hidden="1"/>
    <cacheHierarchy uniqueName="[Measures].[Sum of Totale jaarpremie:]" caption="Sum of Totale jaarpremie:" measure="1" displayFolder="" measureGroup="Table3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32"/>
        </ext>
      </extLst>
    </cacheHierarchy>
    <cacheHierarchy uniqueName="[Measures].[Sum of Verzekerde Waarde]" caption="Sum of Verzekerde Waarde" measure="1" displayFolder="" measureGroup="Table3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3"/>
        </ext>
      </extLst>
    </cacheHierarchy>
  </cacheHierarchies>
  <kpis count="0"/>
  <dimensions count="2">
    <dimension measure="1" name="Measures" uniqueName="[Measures]" caption="Measures"/>
    <dimension name="Table3" uniqueName="[Table3]" caption="Table3"/>
  </dimensions>
  <measureGroups count="1">
    <measureGroup name="Table3" caption="Table3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AB6038-E477-453D-B22B-2B363E924718}" name="PivotTable3" cacheId="0" applyNumberFormats="0" applyBorderFormats="0" applyFontFormats="0" applyPatternFormats="0" applyAlignmentFormats="0" applyWidthHeightFormats="1" dataCaption="Values" grandTotalCaption="Eindtotaal" updatedVersion="8" minRefreshableVersion="3" useAutoFormatting="1" itemPrintTitles="1" createdVersion="7" indent="0" outline="1" outlineData="1" multipleFieldFilters="0" rowHeaderCaption="Rijlabels">
  <location ref="A10:C18" firstHeaderRow="0" firstDataRow="1" firstDataCol="1"/>
  <pivotFields count="4">
    <pivotField dataField="1" subtotalTop="0" showAll="0" defaultSubtotal="0"/>
    <pivotField axis="axisRow" allDrilled="1" subtotalTop="0" showAll="0" dataSourceSort="1" defaultSubtotal="0" defaultAttributeDrillState="1">
      <items count="1">
        <item x="0"/>
      </items>
    </pivotField>
    <pivotField dataField="1" subtotalTop="0" showAll="0" defaultSubtotal="0"/>
    <pivotField axis="axisRow" allDrilled="1" subtotalTop="0" showAll="0" defaultSubtotal="0" defaultAttributeDrillState="1">
      <items count="6">
        <item x="3"/>
        <item x="4"/>
        <item x="0"/>
        <item x="1"/>
        <item x="2"/>
        <item x="5"/>
      </items>
    </pivotField>
  </pivotFields>
  <rowFields count="2">
    <field x="1"/>
    <field x="3"/>
  </rowFields>
  <rowItems count="8">
    <i>
      <x/>
    </i>
    <i r="1">
      <x/>
    </i>
    <i r="1">
      <x v="1"/>
    </i>
    <i r="1">
      <x v="2"/>
    </i>
    <i r="1">
      <x v="3"/>
    </i>
    <i r="1">
      <x v="4"/>
    </i>
    <i r="1"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Verzekerde waarde" fld="2" baseField="0" baseItem="0"/>
    <dataField name="Jaarpremie" fld="0" baseField="1" baseItem="0"/>
  </dataFields>
  <formats count="1">
    <format dxfId="210">
      <pivotArea outline="0" collapsedLevelsAreSubtotals="1" fieldPosition="0"/>
    </format>
  </formats>
  <pivotHierarchies count="3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Jaarpremie"/>
    <pivotHierarchy dragToRow="0" dragToCol="0" dragToPage="0" dragToData="1" caption="Verzekerde waarde"/>
  </pivotHierarchies>
  <pivotTableStyleInfo name="PivotStyleLight16" showRowHeaders="1" showColHeaders="1" showRowStripes="0" showColStripes="0" showLastColumn="1"/>
  <rowHierarchiesUsage count="2">
    <rowHierarchyUsage hierarchyUsage="0"/>
    <rowHierarchyUsage hierarchyUsage="3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BIPAR Module versie 6.2.xlsx!Table3">
        <x15:activeTabTopLevelEntity name="[Table3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AF08A8D-44F3-42E9-86BB-A1C00B8314DE}" name="Table3" displayName="Table3" ref="A10:AG38" totalsRowCount="1" headerRowDxfId="209" dataDxfId="208" tableBorderDxfId="207">
  <autoFilter ref="A10:AG37" xr:uid="{6AF08A8D-44F3-42E9-86BB-A1C00B8314DE}"/>
  <tableColumns count="33">
    <tableColumn id="1" xr3:uid="{5DA535AD-6ED3-4B58-8975-8C5347AA9B78}" name="Verzekerde" totalsRowLabel="Total" dataDxfId="206" totalsRowDxfId="32"/>
    <tableColumn id="35" xr3:uid="{3D66882E-214F-4E51-B263-D2DDB4FF2D3B}" name="Certificaat" dataDxfId="205" totalsRowDxfId="31"/>
    <tableColumn id="3" xr3:uid="{46AEA6C0-3771-4B9F-84B0-D1E6E51ED86B}" name="Sub" dataDxfId="204" totalsRowDxfId="30"/>
    <tableColumn id="4" xr3:uid="{9A2B1A2F-6CEB-4F18-A492-54E11736E5C9}" name="Verzekerde interest" dataDxfId="203" totalsRowDxfId="29"/>
    <tableColumn id="5" xr3:uid="{9D760F86-9046-48BB-BD35-80C0CB1AAC94}" name="Bestemming" dataDxfId="202" totalsRowDxfId="28"/>
    <tableColumn id="6" xr3:uid="{AEF7AB71-63FB-4DF7-B373-C23684BDD59F}" name="Omschrijving" dataDxfId="201" totalsRowDxfId="27"/>
    <tableColumn id="2" xr3:uid="{C3F0919A-0C23-4F94-A553-C9326C2AE775}" name="Schadevergoedingstermijn" dataDxfId="200" totalsRowDxfId="26"/>
    <tableColumn id="7" xr3:uid="{80DF863E-C676-467C-9B7F-AEA9BF31EF53}" name="Bouwaard" dataDxfId="199" totalsRowDxfId="25"/>
    <tableColumn id="8" xr3:uid="{A5E447C2-3EF1-4784-8BC8-25520EDB2C61}" name="Getaxeerd" dataDxfId="198" totalsRowDxfId="24"/>
    <tableColumn id="11" xr3:uid="{C537EE58-8FE5-4DC9-B6BF-0D07D6D61AD7}" name="Adres" dataDxfId="197" totalsRowDxfId="23"/>
    <tableColumn id="12" xr3:uid="{339D09B0-2AF5-4303-A5A6-02DD7DB5395D}" name="Postcode" dataDxfId="196" totalsRowDxfId="22"/>
    <tableColumn id="13" xr3:uid="{2B053CF8-65C3-49C4-9661-3DB2CB0CC34A}" name="Plaats" dataDxfId="195" totalsRowDxfId="21"/>
    <tableColumn id="27" xr3:uid="{A0A1AC25-82A1-4637-B86F-C639D75A706C}" name="Land" dataDxfId="194" totalsRowDxfId="20"/>
    <tableColumn id="10" xr3:uid="{D508B1FC-7C06-466B-B17D-513A5721497A}" name="Verzekerde waarde" totalsRowFunction="sum" dataDxfId="193" totalsRowDxfId="19">
      <calculatedColumnFormula>ROUNDUP(Table3[[#This Row],[Verzekerde Waarde2]]/Table3[[#This Row],[Index nieuw]]*Table3[[#This Row],[Index Q1 2024]],-3)</calculatedColumnFormula>
    </tableColumn>
    <tableColumn id="9" xr3:uid="{2144659D-B277-4629-A786-BA6CFF7ED2EA}" name="Index Q1 2024" dataDxfId="192" totalsRowDxfId="18"/>
    <tableColumn id="14" xr3:uid="{6CE5D940-A92A-4A0C-8BD6-B0E3A0EE3390}" name="Vorkbedrag" totalsRowFunction="sum" dataDxfId="191" totalsRowDxfId="17" dataCellStyle="Currency"/>
    <tableColumn id="15" xr3:uid="{2658B486-6155-457E-A473-050992C9D06B}" name="Premiegrondslag" totalsRowFunction="sum" dataDxfId="190" totalsRowDxfId="16" dataCellStyle="Currency"/>
    <tableColumn id="16" xr3:uid="{25E13C69-EE0B-496F-B0A6-615909375448}" name="Verzekerde Waarde2" totalsRowFunction="sum" dataDxfId="189" totalsRowDxfId="15" dataCellStyle="Currency"/>
    <tableColumn id="17" xr3:uid="{04C7BDE1-9D3C-4EC4-ADBC-51DCF266AA22}" name="Index nieuw" dataDxfId="188" totalsRowDxfId="14"/>
    <tableColumn id="18" xr3:uid="{448DB753-00BC-43DE-A940-D7A40A6DC875}" name="Mutaties" totalsRowFunction="sum" dataDxfId="187" totalsRowDxfId="13" dataCellStyle="Currency">
      <calculatedColumnFormula>U11+SUMIF(Table4[Subnummer],Table3[[#This Row],[Sub]],Table4[Som mutaties])</calculatedColumnFormula>
    </tableColumn>
    <tableColumn id="19" xr3:uid="{E2C7CD13-246E-4279-9E08-71DF2DD4543D}" name="Verz. Waarde Oud:" totalsRowFunction="sum" dataDxfId="186" totalsRowDxfId="12"/>
    <tableColumn id="20" xr3:uid="{127805A0-511B-445D-9C56-BF76B0B74610}" name="Index oud" dataDxfId="185" totalsRowDxfId="11"/>
    <tableColumn id="21" xr3:uid="{9E8E3FFB-1F30-418F-8573-5B886C0C4A1F}" name="Promillage 1" dataDxfId="184" totalsRowDxfId="10"/>
    <tableColumn id="22" xr3:uid="{8603A943-6919-424F-AA64-09D0B00B1637}" name="Promillage 2" dataDxfId="183" totalsRowDxfId="9"/>
    <tableColumn id="23" xr3:uid="{B3FDDCAB-95DD-4422-90B4-D16392E83CFE}" name="Promillage 3" dataDxfId="182" totalsRowDxfId="8"/>
    <tableColumn id="24" xr3:uid="{E0E0922D-399F-4344-ABC1-D8393490FB58}" name="Promillage 4" dataDxfId="181" totalsRowDxfId="7"/>
    <tableColumn id="25" xr3:uid="{AEBAC7E1-7AFF-453B-A0F7-79582B979B6C}" name="Promillage 5" dataDxfId="180" totalsRowDxfId="6"/>
    <tableColumn id="28" xr3:uid="{1A25B7F7-2715-4C4B-9AB3-4D065A95A249}" name="Jaarpremie 1" totalsRowFunction="sum" dataDxfId="179" totalsRowDxfId="5" dataCellStyle="Currency">
      <calculatedColumnFormula>$Q11*W11/1000*W$9</calculatedColumnFormula>
    </tableColumn>
    <tableColumn id="29" xr3:uid="{7BFF8A05-9166-4E33-B090-CBC2474BDC39}" name="Jaarpremie 2" totalsRowFunction="sum" dataDxfId="178" totalsRowDxfId="4" dataCellStyle="Currency">
      <calculatedColumnFormula>$Q11*X11/1000*X$9</calculatedColumnFormula>
    </tableColumn>
    <tableColumn id="30" xr3:uid="{70BB8872-75D2-4706-8D8D-AF8CC45A1A92}" name="Jaarpremie 3" totalsRowFunction="sum" dataDxfId="177" totalsRowDxfId="3" dataCellStyle="Currency">
      <calculatedColumnFormula>$Q11*Y11/1000*Y$9</calculatedColumnFormula>
    </tableColumn>
    <tableColumn id="31" xr3:uid="{AFB89E9B-953B-403C-97C6-13FD9FA388DF}" name="Jaarpremie 4" totalsRowFunction="sum" dataDxfId="176" totalsRowDxfId="2" dataCellStyle="Currency">
      <calculatedColumnFormula>$Q11*Z11/1000*Z$9</calculatedColumnFormula>
    </tableColumn>
    <tableColumn id="32" xr3:uid="{0851747E-84AD-4471-84D6-B68BD9316CDA}" name="Jaarpremie 5" totalsRowFunction="sum" dataDxfId="175" totalsRowDxfId="1" dataCellStyle="Currency">
      <calculatedColumnFormula>$Q11*AA11/1000*AA$9</calculatedColumnFormula>
    </tableColumn>
    <tableColumn id="34" xr3:uid="{F40F7D86-622C-4D2F-8912-EADB1C2B80F4}" name="Totale jaarpremie:" totalsRowFunction="sum" dataDxfId="174" totalsRowDxfId="0" dataCellStyle="Currency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E8E302D-FAA8-4860-A74C-9E0E501060A6}" name="Table8" displayName="Table8" ref="A2:F26" totalsRowShown="0">
  <autoFilter ref="A2:F26" xr:uid="{8E8E302D-FAA8-4860-A74C-9E0E501060A6}"/>
  <sortState xmlns:xlrd2="http://schemas.microsoft.com/office/spreadsheetml/2017/richdata2" ref="A3:F26">
    <sortCondition ref="A2:A26"/>
  </sortState>
  <tableColumns count="6">
    <tableColumn id="1" xr3:uid="{425C3F9B-888C-41F2-B864-EC8453BCECCD}" name="Sub" dataDxfId="173"/>
    <tableColumn id="2" xr3:uid="{C808CC8C-B930-4060-8A04-348D8D6F41AE}" name="Soort interest" dataDxfId="172">
      <calculatedColumnFormula>IFERROR(_xlfn.XLOOKUP(Table8[[#This Row],[Sub]],Table3[Sub],Table3[Verzekerde interest]),"-")</calculatedColumnFormula>
    </tableColumn>
    <tableColumn id="3" xr3:uid="{32421018-A694-46BE-AEAB-E4E993B915A5}" name="Taxateur"/>
    <tableColumn id="4" xr3:uid="{7D8C23E6-A111-4604-BE71-E81D202A5BD4}" name="Taxatiedatum"/>
    <tableColumn id="5" xr3:uid="{551951F5-8AC9-4CCF-BECF-1E59AB37760E}" name="Rapportnummer" dataDxfId="171"/>
    <tableColumn id="6" xr3:uid="{9D13D5A9-22FF-40A4-9A6D-107489957FAC}" name="Vervalt op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009779-FE40-4487-BE84-03FE442C5B8A}" name="Table4" displayName="Table4" ref="A8:AG36" totalsRowCount="1" headerRowDxfId="170" dataDxfId="169" totalsRowDxfId="167" tableBorderDxfId="168" dataCellStyle="Currency">
  <autoFilter ref="A8:AG35" xr:uid="{07009779-FE40-4487-BE84-03FE442C5B8A}"/>
  <sortState xmlns:xlrd2="http://schemas.microsoft.com/office/spreadsheetml/2017/richdata2" ref="A9:AG32">
    <sortCondition ref="L8:L32"/>
  </sortState>
  <tableColumns count="33">
    <tableColumn id="1" xr3:uid="{E829BB11-9544-46D3-83B7-C7220D3E6274}" name="Klant" totalsRowLabel="Totaal" dataDxfId="166" totalsRowDxfId="165">
      <calculatedColumnFormula>IFERROR(_xlfn.XLOOKUP(D9,Specificatie!C:C,Specificatie!A:A),"-")</calculatedColumnFormula>
    </tableColumn>
    <tableColumn id="2" xr3:uid="{667AAFC8-65C7-42B2-919F-E6B1E47706EF}" name="Omschrijving mutatie" dataDxfId="164" totalsRowDxfId="163"/>
    <tableColumn id="35" xr3:uid="{4AEE5333-4894-4B06-8579-37FFCF2525CB}" name="Certificaat" dataDxfId="162" totalsRowDxfId="161">
      <calculatedColumnFormula>IFERROR(_xlfn.XLOOKUP(Table4[[#This Row],[Subnummer]],Table3[Sub],Table3[Certificaat]),"-")</calculatedColumnFormula>
    </tableColumn>
    <tableColumn id="3" xr3:uid="{CF592FF5-35F6-4356-9CD5-06E54941D0B1}" name="Subnummer" dataDxfId="160" totalsRowDxfId="159"/>
    <tableColumn id="4" xr3:uid="{64034314-8866-41BA-99E8-4FF01689406B}" name="Oud" totalsRowFunction="sum" dataDxfId="158" totalsRowDxfId="157" dataCellStyle="Currency">
      <calculatedColumnFormula>IFERROR(_xlfn.XLOOKUP(Table4[[#This Row],[Subnummer]],Table3[Sub],Table3[Verz. Waarde Oud:]),0)</calculatedColumnFormula>
    </tableColumn>
    <tableColumn id="5" xr3:uid="{620AEE7D-66A2-4F1D-A607-E56478BDE8EB}" name="Investering Nieuw" totalsRowFunction="sum" dataDxfId="156" totalsRowDxfId="155" dataCellStyle="Currency"/>
    <tableColumn id="6" xr3:uid="{DE0DE46B-0DDE-437C-8E25-36B068E01C2B}" name="Investering bestaand" totalsRowFunction="sum" dataDxfId="154" totalsRowDxfId="153" dataCellStyle="Currency"/>
    <tableColumn id="7" xr3:uid="{9B36F1F2-A439-4500-896A-6E8BF6F81E51}" name="Verlaging" totalsRowFunction="sum" dataDxfId="152" totalsRowDxfId="151" dataCellStyle="Currency"/>
    <tableColumn id="8" xr3:uid="{FF81AF7B-0259-4E66-B5D9-ECFA30432652}" name="Afvoer" totalsRowFunction="sum" dataDxfId="150" totalsRowDxfId="149" dataCellStyle="Currency"/>
    <tableColumn id="9" xr3:uid="{B6BD1092-5404-4869-8C59-FC9AA463ED6A}" name="Inclusief mutatie" totalsRowFunction="sum" dataDxfId="148" totalsRowDxfId="147" dataCellStyle="Currency">
      <calculatedColumnFormula>E9+F9+G9-H9-I9</calculatedColumnFormula>
    </tableColumn>
    <tableColumn id="10" xr3:uid="{BD8E3966-13F7-42D4-993C-92FE1C430FF3}" name="Som mutaties" totalsRowFunction="sum" dataDxfId="146" totalsRowDxfId="145" dataCellStyle="Currency">
      <calculatedColumnFormula>J9-E9</calculatedColumnFormula>
    </tableColumn>
    <tableColumn id="11" xr3:uid="{20DEF141-CD88-4342-A537-AFDFB517EFA9}" name="Mutatiedatum" dataDxfId="144" totalsRowDxfId="143"/>
    <tableColumn id="12" xr3:uid="{AFB3C57F-C39F-4FD8-8562-9140F30501DB}" name="Vervaldatum" dataDxfId="142" totalsRowDxfId="141"/>
    <tableColumn id="13" xr3:uid="{A6204F43-A2A4-49F5-A101-26FA0846855E}" name="Dagen" dataDxfId="140" totalsRowDxfId="139">
      <calculatedColumnFormula>M9-L9</calculatedColumnFormula>
    </tableColumn>
    <tableColumn id="14" xr3:uid="{AC67BCCF-5297-4253-8212-7F5222B981DA}" name="Dagen per jaar" dataDxfId="138" totalsRowDxfId="137"/>
    <tableColumn id="15" xr3:uid="{A023D2D9-17D1-4E91-B3E7-8153A91C72EF}" name="Sprake van CAD?" dataDxfId="136" totalsRowDxfId="135"/>
    <tableColumn id="16" xr3:uid="{34FCD074-1758-40AA-B151-374A81777B00}" name="Investering nieuw2" totalsRowFunction="sum" dataDxfId="134" totalsRowDxfId="133">
      <calculatedColumnFormula>F9*N9/O9</calculatedColumnFormula>
    </tableColumn>
    <tableColumn id="17" xr3:uid="{361D6950-84B1-4A04-B31D-B79182F444F0}" name="Investering bestaand2" totalsRowFunction="sum" dataDxfId="132" totalsRowDxfId="131" dataCellStyle="Currency">
      <calculatedColumnFormula array="1">_xlfn.IFS($P9="Nee",G9*$N9/$O9,$P9="Ja",G9*0.5)</calculatedColumnFormula>
    </tableColumn>
    <tableColumn id="18" xr3:uid="{B89A019B-B2E3-40D5-A639-F666B76F86C3}" name="Verlaging2" totalsRowFunction="sum" dataDxfId="130" totalsRowDxfId="129" dataCellStyle="Currency">
      <calculatedColumnFormula array="1">_xlfn.IFS($P9="Nee",-(H9*$N9/$O9),$P9="Ja",-(H9*0.5))</calculatedColumnFormula>
    </tableColumn>
    <tableColumn id="19" xr3:uid="{E4087D8E-E10F-4D15-919A-7A90DFB337AD}" name="Afvoer2" totalsRowFunction="sum" dataDxfId="128" totalsRowDxfId="127" dataCellStyle="Currency">
      <calculatedColumnFormula>-I9*N9/O9</calculatedColumnFormula>
    </tableColumn>
    <tableColumn id="20" xr3:uid="{3A456E59-DB29-45F8-81D9-9E1D98E2BAFE}" name="Totaal" totalsRowFunction="sum" dataDxfId="126" totalsRowDxfId="125">
      <calculatedColumnFormula>SUM(Q9:T9)</calculatedColumnFormula>
    </tableColumn>
    <tableColumn id="21" xr3:uid="{7985DB21-C10E-4622-89F3-C390A05E27FF}" name="Verzekeraar 1" dataDxfId="124" totalsRowDxfId="123">
      <calculatedColumnFormula>IFERROR(_xlfn.XLOOKUP(Table4[[#This Row],[Subnummer]],Table3[Sub],Table3[Promillage 1]),0)</calculatedColumnFormula>
    </tableColumn>
    <tableColumn id="22" xr3:uid="{05A8830E-ECFB-490D-83CC-9E0D537045D6}" name="Verzekeraar 2" dataDxfId="122" totalsRowDxfId="121">
      <calculatedColumnFormula>IFERROR(_xlfn.XLOOKUP(Table4[[#This Row],[Subnummer]],Table3[Sub],Table3[Promillage 2]),0)</calculatedColumnFormula>
    </tableColumn>
    <tableColumn id="23" xr3:uid="{2FFCB2FC-7E25-43DF-BC62-0857348CB470}" name="Verzekeraar 3" dataDxfId="120" totalsRowDxfId="119">
      <calculatedColumnFormula>IFERROR(_xlfn.XLOOKUP(Table4[[#This Row],[Subnummer]],Table3[Sub],Table3[Promillage 3]),0)</calculatedColumnFormula>
    </tableColumn>
    <tableColumn id="24" xr3:uid="{28E84FF0-4518-44A0-8D2D-C5F9DE199B45}" name="Verzekeraar 4" dataDxfId="118" totalsRowDxfId="117">
      <calculatedColumnFormula>IFERROR(_xlfn.XLOOKUP(Table4[[#This Row],[Subnummer]],Table3[Sub],Table3[Promillage 4]),0)</calculatedColumnFormula>
    </tableColumn>
    <tableColumn id="25" xr3:uid="{8D037CE0-4B03-4CB3-B8BC-834256A6993F}" name="Verzekeraar 5" dataDxfId="116" totalsRowDxfId="115">
      <calculatedColumnFormula>IFERROR(_xlfn.XLOOKUP(Table4[[#This Row],[Subnummer]],Table3[Sub],Table3[Promillage 5]),0)</calculatedColumnFormula>
    </tableColumn>
    <tableColumn id="27" xr3:uid="{0A88460A-2961-435D-8B9A-0BEE7B410665}" name="Verzekeraar 12" totalsRowFunction="sum" dataDxfId="114" totalsRowDxfId="113" dataCellStyle="Currency">
      <calculatedColumnFormula>$U9*V9/1000*V$7</calculatedColumnFormula>
    </tableColumn>
    <tableColumn id="28" xr3:uid="{4922E15F-6C50-4161-971E-F0C725675187}" name="Verzekeraar 23" totalsRowFunction="sum" dataDxfId="112" totalsRowDxfId="111" dataCellStyle="Currency">
      <calculatedColumnFormula>$U9*W9/1000*W$7</calculatedColumnFormula>
    </tableColumn>
    <tableColumn id="29" xr3:uid="{44CE37B2-6A08-41A4-AAA4-E5C016E56FB3}" name="Verzekeraar 34" totalsRowFunction="sum" dataDxfId="110" totalsRowDxfId="109" dataCellStyle="Currency">
      <calculatedColumnFormula>$U9*X9/1000*X$7</calculatedColumnFormula>
    </tableColumn>
    <tableColumn id="30" xr3:uid="{142651A9-E231-44F4-9914-7C2A2ADC1DC5}" name="Verzekeraar 45" totalsRowFunction="sum" dataDxfId="108" totalsRowDxfId="107" dataCellStyle="Currency">
      <calculatedColumnFormula>$U9*Y9/1000*Y$7</calculatedColumnFormula>
    </tableColumn>
    <tableColumn id="31" xr3:uid="{DAB9E7ED-07E1-4A01-BAAE-5A4FBAAA378C}" name="Verzekeraar 56" totalsRowFunction="sum" dataDxfId="106" totalsRowDxfId="105" dataCellStyle="Currency">
      <calculatedColumnFormula>$U9*Z9/1000*Z$7</calculatedColumnFormula>
    </tableColumn>
    <tableColumn id="33" xr3:uid="{CD88B151-89E6-41D2-8A73-08D6256ACBAF}" name="Totaal2" totalsRowFunction="sum" dataDxfId="104" totalsRowDxfId="103" dataCellStyle="Currency">
      <calculatedColumnFormula>SUM(AA9:AE9)</calculatedColumnFormula>
    </tableColumn>
    <tableColumn id="34" xr3:uid="{E305A1B7-216A-4818-A0F4-60DA1A3E3DCB}" name="Boeking" dataDxfId="102" totalsRowDxfId="101">
      <calculatedColumnFormula array="1">_xlfn.IFS(AF9=0,"Nihil",AF9&gt;0,"Suppletie",AF9&lt;0,"Restitutie")</calculatedColumnFormula>
    </tableColumn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AA2467-2CCA-4AC8-98AF-8599DE482937}" name="Table1" displayName="Table1" ref="A12:F18" totalsRowCount="1" headerRowDxfId="100" totalsRowDxfId="97" headerRowBorderDxfId="99" tableBorderDxfId="98" totalsRowBorderDxfId="96">
  <autoFilter ref="A12:F17" xr:uid="{9AAA2467-2CCA-4AC8-98AF-8599DE482937}"/>
  <tableColumns count="6">
    <tableColumn id="1" xr3:uid="{6686A93B-508A-4DCB-AAE3-4A9321E67559}" name="Verzekeraar" totalsRowLabel="Total" dataDxfId="95" totalsRowDxfId="94"/>
    <tableColumn id="2" xr3:uid="{97D40347-3AE7-4F1C-A7E9-4053C5E0ECFD}" name="Relatienummer" dataDxfId="93" totalsRowDxfId="92"/>
    <tableColumn id="3" xr3:uid="{E1D84ECA-B8DF-442A-9ED1-7EC144A6C221}" name="Aandeel" totalsRowFunction="sum" dataDxfId="91" totalsRowDxfId="90"/>
    <tableColumn id="4" xr3:uid="{9AE70F38-5F7F-4A1E-ADE9-B1F86CFFDB82}" name="Jaarpremie" totalsRowFunction="sum" dataDxfId="89" totalsRowDxfId="88" dataCellStyle="Currency">
      <calculatedColumnFormula>SUMIF(Table3[Certificaat],$B$11,Table3[Jaarpremie 3])</calculatedColumnFormula>
    </tableColumn>
    <tableColumn id="5" xr3:uid="{C8DC530D-196F-4F06-AA42-3AEF531238CD}" name="Al geboekt met nota 6807390 d.d. 29-03-2023" totalsRowFunction="sum" dataDxfId="87" totalsRowDxfId="86" dataCellStyle="Currency"/>
    <tableColumn id="6" xr3:uid="{48EDC8E9-7E64-461B-9FAC-FB0E9553B711}" name="Nog te boeken" totalsRowFunction="sum" dataDxfId="85" totalsRowDxfId="84" dataCellStyle="Currency"/>
  </tableColumns>
  <tableStyleInfo name="TableStyleMedium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E40922-C02C-4F7D-92D7-106DDAF09DB4}" name="Table2" displayName="Table2" ref="A12:F18" totalsRowCount="1" headerRowDxfId="83" totalsRowDxfId="80" headerRowBorderDxfId="82" tableBorderDxfId="81" totalsRowBorderDxfId="79">
  <autoFilter ref="A12:F17" xr:uid="{A6E40922-C02C-4F7D-92D7-106DDAF09DB4}"/>
  <tableColumns count="6">
    <tableColumn id="1" xr3:uid="{1C2BDB45-46C6-4EEA-9AF3-34A4B3E43C0D}" name="Verzekeraar" totalsRowLabel="Total" dataDxfId="78" totalsRowDxfId="77"/>
    <tableColumn id="2" xr3:uid="{C9624625-27B1-4242-B58D-CD75E5449BFE}" name="Relatienummer" dataDxfId="76" totalsRowDxfId="75"/>
    <tableColumn id="3" xr3:uid="{A5E01D99-FB8F-4A17-8650-9A8A9486AAD1}" name="Aandeel" totalsRowFunction="sum" dataDxfId="74" totalsRowDxfId="73"/>
    <tableColumn id="4" xr3:uid="{A79BE9DE-9508-4B1D-BC2C-3FF3652F5C55}" name="Boeking/restitutie" totalsRowFunction="sum" dataDxfId="72" totalsRowDxfId="71" dataCellStyle="Currency">
      <calculatedColumnFormula>SUMIFS(Table4[Verzekeraar 12],Table4[Mutatiedatum],$B8,Table4[Certificaat],$B11)</calculatedColumnFormula>
    </tableColumn>
    <tableColumn id="6" xr3:uid="{246ED3BA-11BB-4EF2-8C57-047AFB1F5EE9}" name="Reeds geboekt" totalsRowFunction="sum" dataDxfId="70" totalsRowDxfId="69" dataCellStyle="Currency"/>
    <tableColumn id="7" xr3:uid="{3B3B4331-40EC-4B1E-ADDB-BC71FE1CF73E}" name="Nog te boeken" totalsRowFunction="sum" dataDxfId="68" totalsRowDxfId="67" dataCellStyle="Currency">
      <calculatedColumnFormula>Table2[[#This Row],[Boeking/restitutie]]-Table2[[#This Row],[Reeds geboekt]]</calculatedColumnFormula>
    </tableColumn>
  </tableColumns>
  <tableStyleInfo name="TableStyleMedium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AE715B5-9B19-409A-A820-B7611A4CF8B9}" name="Table26" displayName="Table26" ref="A26:F32" totalsRowCount="1" headerRowDxfId="66" totalsRowDxfId="63" headerRowBorderDxfId="65" tableBorderDxfId="64" totalsRowBorderDxfId="62">
  <autoFilter ref="A26:F31" xr:uid="{FAE715B5-9B19-409A-A820-B7611A4CF8B9}"/>
  <tableColumns count="6">
    <tableColumn id="1" xr3:uid="{0A2723C9-7D75-4B16-83AA-55AB9D7F9BE0}" name="Verzekeraar" totalsRowLabel="Total" dataDxfId="61" totalsRowDxfId="60"/>
    <tableColumn id="2" xr3:uid="{E035155E-9A11-4EA2-B4A0-418F51BB35D0}" name="Relatienummer" dataDxfId="59" totalsRowDxfId="58"/>
    <tableColumn id="3" xr3:uid="{E2AF1DB0-5E94-4E4C-9653-B74C9D0C77B6}" name="Aandeel" totalsRowFunction="sum" dataDxfId="57" totalsRowDxfId="56"/>
    <tableColumn id="4" xr3:uid="{8BD7A6B7-29E3-4101-A8EA-3746D0D3D560}" name="Boeking/restitutie" totalsRowFunction="sum" dataDxfId="55" totalsRowDxfId="54" dataCellStyle="Currency">
      <calculatedColumnFormula>SUMIFS(Table4[Verzekeraar 12],Table4[Mutatiedatum],$B22,Table4[Certificaat],$B25)</calculatedColumnFormula>
    </tableColumn>
    <tableColumn id="6" xr3:uid="{4F595426-CB8C-4540-9023-52DBDA6D0CFA}" name="Reeds geboekt" totalsRowFunction="sum" dataDxfId="53" totalsRowDxfId="52" dataCellStyle="Currency"/>
    <tableColumn id="7" xr3:uid="{D13288E1-6BFB-4672-817F-FB6E803DC013}" name="Nog te boeken" totalsRowFunction="sum" dataDxfId="51" totalsRowDxfId="50" dataCellStyle="Currency">
      <calculatedColumnFormula>Table26[[#This Row],[Boeking/restitutie]]-Table26[[#This Row],[Reeds geboekt]]</calculatedColumnFormula>
    </tableColumn>
  </tableColumns>
  <tableStyleInfo name="TableStyleMedium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5899D92-9551-4D2A-B059-6EA83B6945A7}" name="Table267" displayName="Table267" ref="A38:F44" totalsRowCount="1" headerRowDxfId="49" totalsRowDxfId="46" headerRowBorderDxfId="48" tableBorderDxfId="47" totalsRowBorderDxfId="45">
  <autoFilter ref="A38:F43" xr:uid="{05899D92-9551-4D2A-B059-6EA83B6945A7}"/>
  <tableColumns count="6">
    <tableColumn id="1" xr3:uid="{00226DFA-5C58-4F2E-B7D8-DAC9251F4C3F}" name="Verzekeraar" totalsRowLabel="Total" dataDxfId="44" totalsRowDxfId="43"/>
    <tableColumn id="2" xr3:uid="{4B1C78FD-0986-493B-A057-3B9BBCE0B3E9}" name="Relatienummer" dataDxfId="42" totalsRowDxfId="41"/>
    <tableColumn id="3" xr3:uid="{B9A44101-EEBF-4A46-8183-4427C38D1773}" name="Aandeel" totalsRowFunction="sum" dataDxfId="40" totalsRowDxfId="39"/>
    <tableColumn id="4" xr3:uid="{C007F83B-4E8E-418A-8811-EA852ADF9C33}" name="Boeking/restitutie" totalsRowFunction="sum" dataDxfId="38" totalsRowDxfId="37" dataCellStyle="Currency">
      <calculatedColumnFormula>D13+D27</calculatedColumnFormula>
    </tableColumn>
    <tableColumn id="6" xr3:uid="{81B91757-73A3-4E66-AC3B-A62B182C54BA}" name="Reeds geboekt" totalsRowFunction="sum" dataDxfId="36" totalsRowDxfId="35" dataCellStyle="Currency">
      <calculatedColumnFormula>E13+E27</calculatedColumnFormula>
    </tableColumn>
    <tableColumn id="7" xr3:uid="{DB3EE2F3-D603-4FB5-8529-DACA6B37EA12}" name="Nog te boeken" totalsRowFunction="sum" dataDxfId="34" totalsRowDxfId="33" dataCellStyle="Currency">
      <calculatedColumnFormula>Table267[[#This Row],[Boeking/restitutie]]-Table267[[#This Row],[Reeds geboekt]]</calculatedColumnFormula>
    </tableColumn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0625-246A-43CC-89A4-DCF9BF06B965}">
  <dimension ref="A1:J18"/>
  <sheetViews>
    <sheetView workbookViewId="0">
      <selection activeCell="B12" sqref="B12"/>
    </sheetView>
  </sheetViews>
  <sheetFormatPr defaultRowHeight="15" x14ac:dyDescent="0.25"/>
  <cols>
    <col min="1" max="1" width="37" bestFit="1" customWidth="1"/>
    <col min="2" max="2" width="18.5703125" bestFit="1" customWidth="1"/>
    <col min="3" max="3" width="12.42578125" bestFit="1" customWidth="1"/>
    <col min="4" max="4" width="24.42578125" bestFit="1" customWidth="1"/>
    <col min="5" max="5" width="23.42578125" bestFit="1" customWidth="1"/>
    <col min="6" max="18" width="16" customWidth="1"/>
  </cols>
  <sheetData>
    <row r="1" spans="1:10" x14ac:dyDescent="0.25">
      <c r="A1" s="7" t="s">
        <v>0</v>
      </c>
      <c r="B1" s="8"/>
      <c r="C1" s="9"/>
      <c r="D1" s="2"/>
      <c r="E1" s="2"/>
      <c r="F1" s="2"/>
      <c r="G1" s="2"/>
      <c r="H1" s="2"/>
      <c r="I1" s="2"/>
      <c r="J1" s="2"/>
    </row>
    <row r="2" spans="1:10" x14ac:dyDescent="0.25">
      <c r="A2" s="10" t="s">
        <v>1</v>
      </c>
      <c r="B2" s="211" t="s">
        <v>129</v>
      </c>
      <c r="C2" s="11"/>
      <c r="D2" s="2"/>
      <c r="E2" s="2"/>
      <c r="F2" s="2"/>
      <c r="G2" s="2"/>
      <c r="H2" s="2"/>
      <c r="I2" s="2"/>
      <c r="J2" s="2"/>
    </row>
    <row r="3" spans="1:10" x14ac:dyDescent="0.25">
      <c r="A3" s="10" t="s">
        <v>2</v>
      </c>
      <c r="B3" s="211" t="s">
        <v>130</v>
      </c>
      <c r="C3" s="11"/>
      <c r="D3" s="2"/>
      <c r="E3" s="2"/>
      <c r="F3" s="2"/>
      <c r="G3" s="2"/>
      <c r="H3" s="2"/>
      <c r="I3" s="2"/>
      <c r="J3" s="2"/>
    </row>
    <row r="4" spans="1:10" x14ac:dyDescent="0.25">
      <c r="A4" s="10" t="s">
        <v>3</v>
      </c>
      <c r="B4" s="212">
        <v>542716609</v>
      </c>
      <c r="C4" s="11"/>
      <c r="D4" s="2"/>
      <c r="E4" s="2"/>
      <c r="F4" s="2"/>
      <c r="G4" s="2"/>
      <c r="H4" s="2"/>
      <c r="I4" s="2"/>
      <c r="J4" s="2"/>
    </row>
    <row r="5" spans="1:10" x14ac:dyDescent="0.25">
      <c r="A5" s="10" t="s">
        <v>165</v>
      </c>
      <c r="B5" s="211" t="s">
        <v>186</v>
      </c>
      <c r="C5" s="11"/>
      <c r="D5" s="2"/>
      <c r="E5" s="2"/>
      <c r="F5" s="2"/>
      <c r="G5" s="2"/>
      <c r="H5" s="2"/>
      <c r="I5" s="2"/>
      <c r="J5" s="2"/>
    </row>
    <row r="6" spans="1:10" x14ac:dyDescent="0.25">
      <c r="A6" s="12"/>
      <c r="B6" s="40" t="s">
        <v>4</v>
      </c>
      <c r="C6" s="41" t="s">
        <v>5</v>
      </c>
      <c r="D6" s="2"/>
      <c r="E6" s="2"/>
      <c r="F6" s="2"/>
      <c r="G6" s="2"/>
      <c r="H6" s="2"/>
      <c r="I6" s="2"/>
      <c r="J6" s="2"/>
    </row>
    <row r="7" spans="1:10" x14ac:dyDescent="0.25">
      <c r="A7" s="12" t="s">
        <v>6</v>
      </c>
      <c r="B7" s="42">
        <v>45292</v>
      </c>
      <c r="C7" s="43">
        <v>45658</v>
      </c>
      <c r="D7" s="2"/>
      <c r="E7" s="2"/>
      <c r="F7" s="2"/>
      <c r="G7" s="2"/>
      <c r="H7" s="2"/>
      <c r="I7" s="2"/>
      <c r="J7" s="2"/>
    </row>
    <row r="10" spans="1:10" x14ac:dyDescent="0.25">
      <c r="A10" s="95" t="s">
        <v>167</v>
      </c>
      <c r="B10" t="s">
        <v>7</v>
      </c>
      <c r="C10" t="s">
        <v>8</v>
      </c>
    </row>
    <row r="11" spans="1:10" x14ac:dyDescent="0.25">
      <c r="A11" s="96" t="s">
        <v>130</v>
      </c>
      <c r="B11" s="44"/>
      <c r="C11" s="44"/>
    </row>
    <row r="12" spans="1:10" x14ac:dyDescent="0.25">
      <c r="A12" s="97" t="s">
        <v>119</v>
      </c>
      <c r="B12" s="44">
        <v>0</v>
      </c>
      <c r="C12" s="44">
        <v>159757.79940000002</v>
      </c>
    </row>
    <row r="13" spans="1:10" x14ac:dyDescent="0.25">
      <c r="A13" s="97" t="s">
        <v>123</v>
      </c>
      <c r="B13" s="44">
        <v>0</v>
      </c>
      <c r="C13" s="44">
        <v>533.74800000000005</v>
      </c>
    </row>
    <row r="14" spans="1:10" x14ac:dyDescent="0.25">
      <c r="A14" s="97" t="s">
        <v>111</v>
      </c>
      <c r="B14" s="44">
        <v>0</v>
      </c>
      <c r="C14" s="44">
        <v>34717.744004999993</v>
      </c>
    </row>
    <row r="15" spans="1:10" x14ac:dyDescent="0.25">
      <c r="A15" s="97" t="s">
        <v>115</v>
      </c>
      <c r="B15" s="44">
        <v>0</v>
      </c>
      <c r="C15" s="44">
        <v>0</v>
      </c>
    </row>
    <row r="16" spans="1:10" x14ac:dyDescent="0.25">
      <c r="A16" s="97" t="s">
        <v>117</v>
      </c>
      <c r="B16" s="44">
        <v>0</v>
      </c>
      <c r="C16" s="44">
        <v>0</v>
      </c>
    </row>
    <row r="17" spans="1:3" x14ac:dyDescent="0.25">
      <c r="A17" s="97" t="s">
        <v>127</v>
      </c>
      <c r="B17" s="44">
        <v>0</v>
      </c>
      <c r="C17" s="44">
        <v>0</v>
      </c>
    </row>
    <row r="18" spans="1:3" x14ac:dyDescent="0.25">
      <c r="A18" s="96" t="s">
        <v>168</v>
      </c>
      <c r="B18" s="44">
        <v>0</v>
      </c>
      <c r="C18" s="44">
        <v>195009.29140500005</v>
      </c>
    </row>
  </sheetData>
  <sheetProtection pivotTables="0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2"/>
  <headerFooter>
    <oddFooter>&amp;L&amp;F
Uniek nr e-ABS XXXXXXXXXXXXXXXXXXX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B097-44BC-46C9-9D12-97A11A00B2C3}">
  <sheetPr>
    <pageSetUpPr fitToPage="1"/>
  </sheetPr>
  <dimension ref="A1:AG41"/>
  <sheetViews>
    <sheetView showGridLines="0" topLeftCell="A6" zoomScaleNormal="100" workbookViewId="0">
      <selection activeCell="D26" sqref="D26"/>
    </sheetView>
  </sheetViews>
  <sheetFormatPr defaultColWidth="16" defaultRowHeight="12.75" x14ac:dyDescent="0.25"/>
  <cols>
    <col min="1" max="1" width="34" style="16" customWidth="1"/>
    <col min="2" max="2" width="12.5703125" style="16" customWidth="1"/>
    <col min="3" max="3" width="7.5703125" style="22" bestFit="1" customWidth="1"/>
    <col min="4" max="4" width="21.42578125" style="22" bestFit="1" customWidth="1"/>
    <col min="5" max="5" width="18.7109375" style="22" customWidth="1"/>
    <col min="6" max="6" width="33.42578125" style="22" customWidth="1"/>
    <col min="7" max="7" width="28.42578125" style="22" customWidth="1"/>
    <col min="8" max="8" width="18.7109375" style="22" customWidth="1"/>
    <col min="9" max="9" width="13.28515625" style="22" customWidth="1"/>
    <col min="10" max="10" width="43.5703125" style="16" bestFit="1" customWidth="1"/>
    <col min="11" max="15" width="18.7109375" style="16" customWidth="1"/>
    <col min="16" max="16" width="15.28515625" style="16" customWidth="1"/>
    <col min="17" max="17" width="20.85546875" style="16" customWidth="1"/>
    <col min="18" max="18" width="23.7109375" style="16" customWidth="1"/>
    <col min="19" max="19" width="16" style="16" customWidth="1"/>
    <col min="20" max="20" width="18.42578125" style="16" customWidth="1"/>
    <col min="21" max="21" width="19" style="16" customWidth="1"/>
    <col min="22" max="22" width="13.85546875" style="23" customWidth="1"/>
    <col min="23" max="24" width="17" style="23" bestFit="1" customWidth="1"/>
    <col min="25" max="25" width="20.5703125" style="23" bestFit="1" customWidth="1"/>
    <col min="26" max="26" width="21.140625" style="23" bestFit="1" customWidth="1"/>
    <col min="27" max="27" width="22.7109375" style="16" bestFit="1" customWidth="1"/>
    <col min="28" max="28" width="16.28515625" style="16" bestFit="1" customWidth="1"/>
    <col min="29" max="29" width="16.7109375" style="16" bestFit="1" customWidth="1"/>
    <col min="30" max="30" width="20.5703125" style="16" bestFit="1" customWidth="1"/>
    <col min="31" max="31" width="21.140625" style="16" bestFit="1" customWidth="1"/>
    <col min="32" max="32" width="22.7109375" style="16" bestFit="1" customWidth="1"/>
    <col min="33" max="33" width="19.85546875" style="16" bestFit="1" customWidth="1"/>
    <col min="34" max="16384" width="16" style="16"/>
  </cols>
  <sheetData>
    <row r="1" spans="1:33" s="15" customFormat="1" ht="15.75" customHeight="1" x14ac:dyDescent="0.2">
      <c r="A1" s="26"/>
      <c r="B1" s="27"/>
      <c r="C1" s="27"/>
      <c r="D1" s="27" t="s">
        <v>9</v>
      </c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9"/>
      <c r="T1" s="104" t="s">
        <v>10</v>
      </c>
      <c r="U1" s="30" t="s">
        <v>11</v>
      </c>
      <c r="V1" s="101"/>
      <c r="W1" s="136"/>
      <c r="X1" s="137"/>
      <c r="Y1" s="137"/>
      <c r="Z1" s="137"/>
      <c r="AA1" s="133" t="s">
        <v>12</v>
      </c>
      <c r="AB1" s="28"/>
      <c r="AC1" s="28"/>
      <c r="AD1" s="28"/>
      <c r="AE1" s="28"/>
      <c r="AF1" s="28"/>
      <c r="AG1" s="29"/>
    </row>
    <row r="2" spans="1:33" s="15" customFormat="1" ht="15" x14ac:dyDescent="0.2">
      <c r="A2" s="24"/>
      <c r="B2" s="25"/>
      <c r="C2" s="13"/>
      <c r="D2" s="25" t="s">
        <v>1</v>
      </c>
      <c r="E2" s="13"/>
      <c r="F2" s="13"/>
      <c r="G2" s="13"/>
      <c r="H2" s="13"/>
      <c r="I2" s="13"/>
      <c r="J2" s="13" t="str">
        <f>Overzicht!B2</f>
        <v>B0100010124-0</v>
      </c>
      <c r="K2" s="13"/>
      <c r="L2" s="13"/>
      <c r="M2" s="13"/>
      <c r="N2" s="13"/>
      <c r="O2" s="13"/>
      <c r="P2" s="13"/>
      <c r="Q2" s="13"/>
      <c r="R2" s="13"/>
      <c r="S2" s="14"/>
      <c r="T2" s="105"/>
      <c r="U2" s="48" t="s">
        <v>166</v>
      </c>
      <c r="V2" s="102"/>
      <c r="W2" s="32"/>
      <c r="X2" s="33"/>
      <c r="Y2" s="33"/>
      <c r="Z2" s="33"/>
      <c r="AA2" s="134" t="s">
        <v>13</v>
      </c>
      <c r="AB2" s="13"/>
      <c r="AC2" s="13"/>
      <c r="AD2" s="13"/>
      <c r="AE2" s="13"/>
      <c r="AF2" s="13"/>
      <c r="AG2" s="14"/>
    </row>
    <row r="3" spans="1:33" s="15" customFormat="1" ht="15" x14ac:dyDescent="0.2">
      <c r="A3" s="24"/>
      <c r="B3" s="25"/>
      <c r="C3" s="13"/>
      <c r="D3" s="25" t="s">
        <v>2</v>
      </c>
      <c r="E3" s="13"/>
      <c r="F3" s="13"/>
      <c r="G3" s="13"/>
      <c r="H3" s="13"/>
      <c r="I3" s="13"/>
      <c r="J3" s="13" t="str">
        <f>Overzicht!B3</f>
        <v>Amsterdamse Hogeschool vd Kunsten</v>
      </c>
      <c r="K3" s="13"/>
      <c r="L3" s="13"/>
      <c r="M3" s="13"/>
      <c r="N3" s="13"/>
      <c r="O3" s="13"/>
      <c r="P3" s="13"/>
      <c r="Q3" s="13"/>
      <c r="R3" s="13"/>
      <c r="S3" s="14"/>
      <c r="T3" s="105"/>
      <c r="U3" s="103"/>
      <c r="V3" s="102"/>
      <c r="W3" s="32"/>
      <c r="X3" s="33"/>
      <c r="Y3" s="33"/>
      <c r="Z3" s="33"/>
      <c r="AA3" s="135">
        <f>SUM(V9:AA9)</f>
        <v>1</v>
      </c>
      <c r="AB3" s="13"/>
      <c r="AC3" s="13"/>
      <c r="AD3" s="13"/>
      <c r="AE3" s="13"/>
      <c r="AF3" s="13"/>
      <c r="AG3" s="14"/>
    </row>
    <row r="4" spans="1:33" s="15" customFormat="1" ht="15" x14ac:dyDescent="0.2">
      <c r="A4" s="24"/>
      <c r="B4" s="25"/>
      <c r="C4" s="13"/>
      <c r="D4" s="25" t="s">
        <v>3</v>
      </c>
      <c r="E4" s="13"/>
      <c r="F4" s="13"/>
      <c r="G4" s="13"/>
      <c r="H4" s="13"/>
      <c r="I4" s="13"/>
      <c r="J4" s="13">
        <f>Overzicht!B4</f>
        <v>542716609</v>
      </c>
      <c r="K4" s="13"/>
      <c r="L4" s="13"/>
      <c r="M4" s="13"/>
      <c r="N4" s="13"/>
      <c r="O4" s="13"/>
      <c r="P4" s="13"/>
      <c r="Q4" s="13"/>
      <c r="R4" s="13"/>
      <c r="S4" s="14"/>
      <c r="T4" s="105"/>
      <c r="U4" s="103"/>
      <c r="V4" s="102"/>
      <c r="W4" s="32"/>
      <c r="X4" s="33"/>
      <c r="Y4" s="33"/>
      <c r="Z4" s="33"/>
      <c r="AA4" s="14"/>
      <c r="AB4" s="13"/>
      <c r="AC4" s="13"/>
      <c r="AD4" s="13"/>
      <c r="AE4" s="13"/>
      <c r="AF4" s="13"/>
      <c r="AG4" s="14"/>
    </row>
    <row r="5" spans="1:33" s="15" customFormat="1" ht="15.75" thickBot="1" x14ac:dyDescent="0.25">
      <c r="A5" s="24"/>
      <c r="B5" s="174"/>
      <c r="C5" s="175"/>
      <c r="D5" s="174" t="s">
        <v>6</v>
      </c>
      <c r="E5" s="175"/>
      <c r="F5" s="175"/>
      <c r="G5" s="175"/>
      <c r="H5" s="175"/>
      <c r="I5" s="13"/>
      <c r="J5" s="175">
        <f>Overzicht!B7</f>
        <v>45292</v>
      </c>
      <c r="K5" s="175" t="s">
        <v>5</v>
      </c>
      <c r="L5" s="175">
        <f>Overzicht!C7</f>
        <v>45658</v>
      </c>
      <c r="M5" s="13"/>
      <c r="N5" s="13"/>
      <c r="O5" s="13"/>
      <c r="P5" s="13"/>
      <c r="Q5" s="13"/>
      <c r="R5" s="13"/>
      <c r="S5" s="14"/>
      <c r="T5" s="105"/>
      <c r="U5" s="103"/>
      <c r="V5" s="102"/>
      <c r="W5" s="32"/>
      <c r="X5" s="33"/>
      <c r="Y5" s="33"/>
      <c r="Z5" s="33"/>
      <c r="AA5" s="14"/>
      <c r="AB5" s="13"/>
      <c r="AC5" s="13"/>
      <c r="AD5" s="13"/>
      <c r="AE5" s="13"/>
      <c r="AF5" s="13"/>
      <c r="AG5" s="14"/>
    </row>
    <row r="6" spans="1:33" s="17" customFormat="1" x14ac:dyDescent="0.25">
      <c r="A6" s="176" t="s">
        <v>14</v>
      </c>
      <c r="B6" s="177" t="s">
        <v>15</v>
      </c>
      <c r="C6" s="153" t="s">
        <v>16</v>
      </c>
      <c r="D6" s="153" t="s">
        <v>17</v>
      </c>
      <c r="E6" s="153" t="s">
        <v>18</v>
      </c>
      <c r="F6" s="178" t="s">
        <v>19</v>
      </c>
      <c r="G6" s="178" t="s">
        <v>20</v>
      </c>
      <c r="H6" s="178" t="s">
        <v>21</v>
      </c>
      <c r="I6" s="178" t="s">
        <v>22</v>
      </c>
      <c r="J6" s="178" t="s">
        <v>23</v>
      </c>
      <c r="K6" s="153" t="s">
        <v>24</v>
      </c>
      <c r="L6" s="153" t="s">
        <v>25</v>
      </c>
      <c r="M6" s="179" t="s">
        <v>26</v>
      </c>
      <c r="N6" s="179" t="s">
        <v>7</v>
      </c>
      <c r="O6" s="179" t="s">
        <v>204</v>
      </c>
      <c r="P6" s="180" t="s">
        <v>27</v>
      </c>
      <c r="Q6" s="181" t="s">
        <v>28</v>
      </c>
      <c r="R6" s="182" t="s">
        <v>7</v>
      </c>
      <c r="S6" s="181" t="s">
        <v>29</v>
      </c>
      <c r="T6" s="183" t="s">
        <v>7</v>
      </c>
      <c r="U6" s="183" t="s">
        <v>30</v>
      </c>
      <c r="V6" s="184" t="s">
        <v>31</v>
      </c>
      <c r="W6" s="185" t="s">
        <v>136</v>
      </c>
      <c r="X6" s="186" t="s">
        <v>135</v>
      </c>
      <c r="Y6" s="186" t="s">
        <v>133</v>
      </c>
      <c r="Z6" s="186" t="s">
        <v>134</v>
      </c>
      <c r="AA6" s="186" t="s">
        <v>132</v>
      </c>
      <c r="AB6" s="98" t="s">
        <v>8</v>
      </c>
      <c r="AC6" s="99" t="s">
        <v>8</v>
      </c>
      <c r="AD6" s="99" t="s">
        <v>8</v>
      </c>
      <c r="AE6" s="99" t="s">
        <v>8</v>
      </c>
      <c r="AF6" s="99" t="s">
        <v>8</v>
      </c>
      <c r="AG6" s="100" t="s">
        <v>37</v>
      </c>
    </row>
    <row r="7" spans="1:33" s="17" customFormat="1" x14ac:dyDescent="0.25">
      <c r="A7" s="47"/>
      <c r="B7" s="49"/>
      <c r="C7" s="18"/>
      <c r="D7" s="18"/>
      <c r="E7" s="18"/>
      <c r="F7" s="19"/>
      <c r="G7" s="19"/>
      <c r="H7" s="19"/>
      <c r="I7" s="19" t="s">
        <v>38</v>
      </c>
      <c r="J7" s="19"/>
      <c r="K7" s="18"/>
      <c r="L7" s="18"/>
      <c r="M7" s="151"/>
      <c r="N7" s="296">
        <v>45292</v>
      </c>
      <c r="O7" s="151"/>
      <c r="P7" s="154"/>
      <c r="Q7" s="155"/>
      <c r="R7" s="156"/>
      <c r="S7" s="155"/>
      <c r="T7" s="31" t="s">
        <v>39</v>
      </c>
      <c r="U7" s="31"/>
      <c r="V7" s="20"/>
      <c r="W7" s="45">
        <v>118858</v>
      </c>
      <c r="X7" s="46">
        <v>230159</v>
      </c>
      <c r="Y7" s="46">
        <v>380267</v>
      </c>
      <c r="Z7" s="46">
        <v>916</v>
      </c>
      <c r="AA7" s="46">
        <v>413707</v>
      </c>
      <c r="AB7" s="34" t="str">
        <f t="shared" ref="AB7:AF8" si="0">W6</f>
        <v>XL Insurance SE</v>
      </c>
      <c r="AC7" s="21" t="str">
        <f t="shared" si="0"/>
        <v>Allianz Nederland</v>
      </c>
      <c r="AD7" s="21" t="str">
        <f t="shared" si="0"/>
        <v>ERGO Versicherung AG</v>
      </c>
      <c r="AE7" s="21" t="str">
        <f t="shared" si="0"/>
        <v>Nationale Nederlanden</v>
      </c>
      <c r="AF7" s="21" t="str">
        <f t="shared" si="0"/>
        <v>Veerhaven Assuradeuren</v>
      </c>
      <c r="AG7" s="35"/>
    </row>
    <row r="8" spans="1:33" s="17" customFormat="1" x14ac:dyDescent="0.25">
      <c r="A8" s="47"/>
      <c r="B8" s="49"/>
      <c r="C8" s="18"/>
      <c r="D8" s="18"/>
      <c r="E8" s="18"/>
      <c r="F8" s="19"/>
      <c r="G8" s="19"/>
      <c r="H8" s="19"/>
      <c r="I8" s="19"/>
      <c r="J8" s="19"/>
      <c r="K8" s="18"/>
      <c r="L8" s="18"/>
      <c r="M8" s="151"/>
      <c r="N8" s="151"/>
      <c r="O8" s="151"/>
      <c r="P8" s="154"/>
      <c r="Q8" s="155"/>
      <c r="R8" s="156"/>
      <c r="S8" s="155"/>
      <c r="T8" s="31"/>
      <c r="U8" s="31"/>
      <c r="V8" s="20"/>
      <c r="W8" s="45" t="s">
        <v>40</v>
      </c>
      <c r="X8" s="46" t="s">
        <v>40</v>
      </c>
      <c r="Y8" s="46" t="s">
        <v>40</v>
      </c>
      <c r="Z8" s="46" t="s">
        <v>40</v>
      </c>
      <c r="AA8" s="46" t="s">
        <v>40</v>
      </c>
      <c r="AB8" s="34">
        <f t="shared" si="0"/>
        <v>118858</v>
      </c>
      <c r="AC8" s="21">
        <f t="shared" si="0"/>
        <v>230159</v>
      </c>
      <c r="AD8" s="21">
        <f t="shared" si="0"/>
        <v>380267</v>
      </c>
      <c r="AE8" s="21">
        <f t="shared" si="0"/>
        <v>916</v>
      </c>
      <c r="AF8" s="21">
        <f t="shared" si="0"/>
        <v>413707</v>
      </c>
      <c r="AG8" s="35"/>
    </row>
    <row r="9" spans="1:33" ht="13.5" thickBot="1" x14ac:dyDescent="0.3">
      <c r="A9" s="113"/>
      <c r="B9" s="114"/>
      <c r="C9" s="115"/>
      <c r="D9" s="115"/>
      <c r="E9" s="115"/>
      <c r="F9" s="116"/>
      <c r="G9" s="116"/>
      <c r="H9" s="116"/>
      <c r="I9" s="116"/>
      <c r="J9" s="116"/>
      <c r="K9" s="115"/>
      <c r="L9" s="115"/>
      <c r="M9" s="152"/>
      <c r="N9" s="152"/>
      <c r="O9" s="152"/>
      <c r="P9" s="157"/>
      <c r="Q9" s="158"/>
      <c r="R9" s="159"/>
      <c r="S9" s="158"/>
      <c r="T9" s="117"/>
      <c r="U9" s="117"/>
      <c r="V9" s="118"/>
      <c r="W9" s="122">
        <v>0.4</v>
      </c>
      <c r="X9" s="119">
        <v>0.25</v>
      </c>
      <c r="Y9" s="119">
        <v>0.15</v>
      </c>
      <c r="Z9" s="119">
        <v>0.125</v>
      </c>
      <c r="AA9" s="119">
        <v>7.4999999999999997E-2</v>
      </c>
      <c r="AB9" s="120"/>
      <c r="AC9" s="123"/>
      <c r="AD9" s="123"/>
      <c r="AE9" s="123"/>
      <c r="AF9" s="123"/>
      <c r="AG9" s="121"/>
    </row>
    <row r="10" spans="1:33" x14ac:dyDescent="0.25">
      <c r="A10" s="187" t="s">
        <v>14</v>
      </c>
      <c r="B10" s="124" t="s">
        <v>15</v>
      </c>
      <c r="C10" s="125" t="s">
        <v>16</v>
      </c>
      <c r="D10" s="125" t="s">
        <v>17</v>
      </c>
      <c r="E10" s="125" t="s">
        <v>18</v>
      </c>
      <c r="F10" s="126" t="s">
        <v>19</v>
      </c>
      <c r="G10" s="126" t="s">
        <v>20</v>
      </c>
      <c r="H10" s="126" t="s">
        <v>21</v>
      </c>
      <c r="I10" s="126" t="s">
        <v>41</v>
      </c>
      <c r="J10" s="126" t="s">
        <v>23</v>
      </c>
      <c r="K10" s="125" t="s">
        <v>24</v>
      </c>
      <c r="L10" s="125" t="s">
        <v>25</v>
      </c>
      <c r="M10" s="17" t="s">
        <v>26</v>
      </c>
      <c r="N10" s="17" t="s">
        <v>7</v>
      </c>
      <c r="O10" s="17" t="s">
        <v>204</v>
      </c>
      <c r="P10" s="127" t="s">
        <v>27</v>
      </c>
      <c r="Q10" s="128" t="s">
        <v>28</v>
      </c>
      <c r="R10" s="129" t="s">
        <v>205</v>
      </c>
      <c r="S10" s="128" t="s">
        <v>29</v>
      </c>
      <c r="T10" s="130" t="s">
        <v>10</v>
      </c>
      <c r="U10" s="131" t="s">
        <v>30</v>
      </c>
      <c r="V10" s="128" t="s">
        <v>31</v>
      </c>
      <c r="W10" s="132" t="s">
        <v>42</v>
      </c>
      <c r="X10" s="132" t="s">
        <v>43</v>
      </c>
      <c r="Y10" s="132" t="s">
        <v>44</v>
      </c>
      <c r="Z10" s="132" t="s">
        <v>45</v>
      </c>
      <c r="AA10" s="132" t="s">
        <v>46</v>
      </c>
      <c r="AB10" s="127" t="s">
        <v>47</v>
      </c>
      <c r="AC10" s="127" t="s">
        <v>48</v>
      </c>
      <c r="AD10" s="127" t="s">
        <v>49</v>
      </c>
      <c r="AE10" s="127" t="s">
        <v>50</v>
      </c>
      <c r="AF10" s="127" t="s">
        <v>51</v>
      </c>
      <c r="AG10" s="188" t="s">
        <v>37</v>
      </c>
    </row>
    <row r="11" spans="1:33" x14ac:dyDescent="0.2">
      <c r="A11" s="189" t="s">
        <v>130</v>
      </c>
      <c r="B11" s="160">
        <v>0</v>
      </c>
      <c r="C11" s="161">
        <v>1</v>
      </c>
      <c r="D11" s="160" t="s">
        <v>119</v>
      </c>
      <c r="E11" s="160"/>
      <c r="F11" s="162" t="s">
        <v>206</v>
      </c>
      <c r="G11" s="162"/>
      <c r="H11" s="162" t="s">
        <v>52</v>
      </c>
      <c r="I11" s="162" t="s">
        <v>108</v>
      </c>
      <c r="J11" s="280" t="s">
        <v>194</v>
      </c>
      <c r="K11" s="160" t="s">
        <v>172</v>
      </c>
      <c r="L11" s="160" t="s">
        <v>131</v>
      </c>
      <c r="M11" s="160" t="s">
        <v>184</v>
      </c>
      <c r="N11" s="295">
        <f>ROUNDUP(Table3[[#This Row],[Verzekerde Waarde2]]/Table3[[#This Row],[Index nieuw]]*Table3[[#This Row],[Index Q1 2024]],-3)</f>
        <v>13215000</v>
      </c>
      <c r="O11" s="160">
        <v>128.4</v>
      </c>
      <c r="P11" s="163">
        <v>0</v>
      </c>
      <c r="Q11" s="164">
        <f>IF(P11=0,R11,(R11+P11)/2)</f>
        <v>12762000</v>
      </c>
      <c r="R11" s="164">
        <f t="shared" ref="R11:R17" si="1">IF(S11=V11,T11,ROUNDUP(T11/V11*S11,-3))</f>
        <v>12762000</v>
      </c>
      <c r="S11" s="160">
        <v>124</v>
      </c>
      <c r="T11" s="164">
        <f>U11+SUMIF(Table4[Subnummer],Table3[[#This Row],[Sub]],Table4[Som mutaties])</f>
        <v>12000000</v>
      </c>
      <c r="U11" s="209">
        <v>10898000</v>
      </c>
      <c r="V11" s="160">
        <v>116.6</v>
      </c>
      <c r="W11" s="165">
        <v>0.65</v>
      </c>
      <c r="X11" s="165">
        <v>0.7</v>
      </c>
      <c r="Y11" s="165">
        <v>0.747</v>
      </c>
      <c r="Z11" s="165">
        <v>0.75</v>
      </c>
      <c r="AA11" s="165">
        <v>0.82</v>
      </c>
      <c r="AB11" s="199">
        <f t="shared" ref="AB11:AB34" si="2">$Q11*W11/1000*W$9</f>
        <v>3318.12</v>
      </c>
      <c r="AC11" s="199">
        <f t="shared" ref="AC11:AC34" si="3">$Q11*X11/1000*X$9</f>
        <v>2233.35</v>
      </c>
      <c r="AD11" s="199">
        <f t="shared" ref="AD11:AD34" si="4">$Q11*Y11/1000*Y$9</f>
        <v>1429.9820999999999</v>
      </c>
      <c r="AE11" s="199">
        <f t="shared" ref="AE11:AE34" si="5">$Q11*Z11/1000*Z$9</f>
        <v>1196.4375</v>
      </c>
      <c r="AF11" s="199">
        <f t="shared" ref="AF11:AF34" si="6">$Q11*AA11/1000*AA$9</f>
        <v>784.86299999999994</v>
      </c>
      <c r="AG11" s="200">
        <f t="shared" ref="AG11:AG34" si="7">SUM(AB11:AF11)</f>
        <v>8962.7525999999998</v>
      </c>
    </row>
    <row r="12" spans="1:33" x14ac:dyDescent="0.2">
      <c r="A12" s="189" t="s">
        <v>130</v>
      </c>
      <c r="B12" s="160">
        <v>0</v>
      </c>
      <c r="C12" s="161">
        <v>2</v>
      </c>
      <c r="D12" s="160" t="s">
        <v>111</v>
      </c>
      <c r="E12" s="160"/>
      <c r="F12" s="162" t="s">
        <v>206</v>
      </c>
      <c r="G12" s="162"/>
      <c r="H12" s="162" t="s">
        <v>52</v>
      </c>
      <c r="I12" s="162" t="s">
        <v>108</v>
      </c>
      <c r="J12" s="280" t="s">
        <v>194</v>
      </c>
      <c r="K12" s="160" t="s">
        <v>172</v>
      </c>
      <c r="L12" s="160" t="s">
        <v>131</v>
      </c>
      <c r="M12" s="160" t="s">
        <v>184</v>
      </c>
      <c r="N12" s="295">
        <f>ROUNDUP(Table3[[#This Row],[Verzekerde Waarde2]]/Table3[[#This Row],[Index nieuw]]*Table3[[#This Row],[Index Q1 2024]],-3)</f>
        <v>1973000</v>
      </c>
      <c r="O12" s="160">
        <v>124.4</v>
      </c>
      <c r="P12" s="163">
        <v>0</v>
      </c>
      <c r="Q12" s="164">
        <f t="shared" ref="Q12" si="8">IF(P12=0,R12,(R12+P12)/2)</f>
        <v>1934000</v>
      </c>
      <c r="R12" s="164">
        <f t="shared" ref="R12" si="9">IF(S12=V12,T12,ROUNDUP(T12/V12*S12,-3))</f>
        <v>1934000</v>
      </c>
      <c r="S12" s="160">
        <v>122</v>
      </c>
      <c r="T12" s="164">
        <f>U12+SUMIF(Table4[Subnummer],Table3[[#This Row],[Sub]],Table4[Som mutaties])</f>
        <v>1770000</v>
      </c>
      <c r="U12" s="209">
        <v>1487000</v>
      </c>
      <c r="V12" s="160">
        <v>111.7</v>
      </c>
      <c r="W12" s="165">
        <v>0.65</v>
      </c>
      <c r="X12" s="165">
        <v>0.7</v>
      </c>
      <c r="Y12" s="165">
        <v>0.747</v>
      </c>
      <c r="Z12" s="165">
        <v>0.75</v>
      </c>
      <c r="AA12" s="165">
        <v>0.82</v>
      </c>
      <c r="AB12" s="199">
        <f t="shared" si="2"/>
        <v>502.84</v>
      </c>
      <c r="AC12" s="199">
        <f t="shared" si="3"/>
        <v>338.45</v>
      </c>
      <c r="AD12" s="199">
        <f t="shared" si="4"/>
        <v>216.7047</v>
      </c>
      <c r="AE12" s="199">
        <f t="shared" si="5"/>
        <v>181.3125</v>
      </c>
      <c r="AF12" s="199">
        <f t="shared" si="6"/>
        <v>118.941</v>
      </c>
      <c r="AG12" s="200">
        <f t="shared" si="7"/>
        <v>1358.2482</v>
      </c>
    </row>
    <row r="13" spans="1:33" x14ac:dyDescent="0.25">
      <c r="A13" s="189" t="s">
        <v>130</v>
      </c>
      <c r="B13" s="160">
        <v>0</v>
      </c>
      <c r="C13" s="161">
        <v>3</v>
      </c>
      <c r="D13" s="160" t="s">
        <v>119</v>
      </c>
      <c r="E13" s="160"/>
      <c r="F13" s="162"/>
      <c r="G13" s="162"/>
      <c r="H13" s="162" t="s">
        <v>52</v>
      </c>
      <c r="I13" s="162" t="s">
        <v>108</v>
      </c>
      <c r="J13" s="203" t="s">
        <v>137</v>
      </c>
      <c r="K13" s="160" t="s">
        <v>173</v>
      </c>
      <c r="L13" s="160" t="s">
        <v>131</v>
      </c>
      <c r="M13" s="160" t="s">
        <v>184</v>
      </c>
      <c r="N13" s="295">
        <f>ROUNDUP(Table3[[#This Row],[Verzekerde Waarde2]]/Table3[[#This Row],[Index nieuw]]*Table3[[#This Row],[Index Q1 2024]],-3)</f>
        <v>84463000</v>
      </c>
      <c r="O13" s="160">
        <v>128.4</v>
      </c>
      <c r="P13" s="163">
        <v>0</v>
      </c>
      <c r="Q13" s="164">
        <f t="shared" ref="Q13" si="10">IF(P13=0,R13,(R13+P13)/2)</f>
        <v>81568000</v>
      </c>
      <c r="R13" s="164">
        <f t="shared" ref="R13" si="11">IF(S13=V13,T13,ROUNDUP(T13/V13*S13,-3))</f>
        <v>81568000</v>
      </c>
      <c r="S13" s="160">
        <v>124</v>
      </c>
      <c r="T13" s="164">
        <f>U13+SUMIF(Table4[Subnummer],Table3[[#This Row],[Sub]],Table4[Som mutaties])</f>
        <v>76700000</v>
      </c>
      <c r="U13" s="209">
        <v>56098000</v>
      </c>
      <c r="V13" s="160">
        <v>116.6</v>
      </c>
      <c r="W13" s="165">
        <v>0.65</v>
      </c>
      <c r="X13" s="165">
        <v>0.7</v>
      </c>
      <c r="Y13" s="165">
        <v>0.747</v>
      </c>
      <c r="Z13" s="165">
        <v>0.75</v>
      </c>
      <c r="AA13" s="165">
        <v>0.82</v>
      </c>
      <c r="AB13" s="199">
        <f t="shared" si="2"/>
        <v>21207.68</v>
      </c>
      <c r="AC13" s="199">
        <f t="shared" si="3"/>
        <v>14274.4</v>
      </c>
      <c r="AD13" s="199">
        <f t="shared" si="4"/>
        <v>9139.6944000000003</v>
      </c>
      <c r="AE13" s="199">
        <f t="shared" si="5"/>
        <v>7647</v>
      </c>
      <c r="AF13" s="199">
        <f t="shared" si="6"/>
        <v>5016.4319999999998</v>
      </c>
      <c r="AG13" s="200">
        <f t="shared" si="7"/>
        <v>57285.206400000003</v>
      </c>
    </row>
    <row r="14" spans="1:33" x14ac:dyDescent="0.25">
      <c r="A14" s="189" t="s">
        <v>130</v>
      </c>
      <c r="B14" s="160">
        <v>0</v>
      </c>
      <c r="C14" s="161">
        <v>4</v>
      </c>
      <c r="D14" s="160" t="s">
        <v>111</v>
      </c>
      <c r="E14" s="160"/>
      <c r="F14" s="162"/>
      <c r="G14" s="162"/>
      <c r="H14" s="162" t="s">
        <v>52</v>
      </c>
      <c r="I14" s="162" t="s">
        <v>108</v>
      </c>
      <c r="J14" s="203" t="s">
        <v>137</v>
      </c>
      <c r="K14" s="160" t="s">
        <v>173</v>
      </c>
      <c r="L14" s="160" t="s">
        <v>131</v>
      </c>
      <c r="M14" s="160" t="s">
        <v>184</v>
      </c>
      <c r="N14" s="295">
        <f>ROUNDUP(Table3[[#This Row],[Verzekerde Waarde2]]/Table3[[#This Row],[Index nieuw]]*Table3[[#This Row],[Index Q1 2024]],-3)</f>
        <v>17597000</v>
      </c>
      <c r="O14" s="160">
        <v>124.4</v>
      </c>
      <c r="P14" s="163">
        <v>0</v>
      </c>
      <c r="Q14" s="164">
        <f t="shared" ref="Q14:Q17" si="12">IF(P14=0,R14,(R14+P14)/2)</f>
        <v>17257000</v>
      </c>
      <c r="R14" s="164">
        <f t="shared" si="1"/>
        <v>17257000</v>
      </c>
      <c r="S14" s="160">
        <v>122</v>
      </c>
      <c r="T14" s="164">
        <f>U14+SUMIF(Table4[Subnummer],Table3[[#This Row],[Sub]],Table4[Som mutaties])</f>
        <v>15800000</v>
      </c>
      <c r="U14" s="209">
        <v>13560000</v>
      </c>
      <c r="V14" s="160">
        <v>111.7</v>
      </c>
      <c r="W14" s="165">
        <v>0.65</v>
      </c>
      <c r="X14" s="165">
        <v>0.7</v>
      </c>
      <c r="Y14" s="165">
        <v>0.747</v>
      </c>
      <c r="Z14" s="165">
        <v>0.75</v>
      </c>
      <c r="AA14" s="165">
        <v>0.82</v>
      </c>
      <c r="AB14" s="199">
        <f t="shared" si="2"/>
        <v>4486.82</v>
      </c>
      <c r="AC14" s="199">
        <f t="shared" si="3"/>
        <v>3019.9749999999999</v>
      </c>
      <c r="AD14" s="199">
        <f t="shared" si="4"/>
        <v>1933.6468499999999</v>
      </c>
      <c r="AE14" s="199">
        <f t="shared" si="5"/>
        <v>1617.84375</v>
      </c>
      <c r="AF14" s="199">
        <f t="shared" si="6"/>
        <v>1061.3054999999999</v>
      </c>
      <c r="AG14" s="200">
        <f t="shared" si="7"/>
        <v>12119.5911</v>
      </c>
    </row>
    <row r="15" spans="1:33" x14ac:dyDescent="0.25">
      <c r="A15" s="189" t="s">
        <v>130</v>
      </c>
      <c r="B15" s="160">
        <v>0</v>
      </c>
      <c r="C15" s="161">
        <v>5</v>
      </c>
      <c r="D15" s="160" t="s">
        <v>119</v>
      </c>
      <c r="E15" s="160"/>
      <c r="F15" s="162"/>
      <c r="G15" s="162"/>
      <c r="H15" s="162" t="s">
        <v>52</v>
      </c>
      <c r="I15" s="162" t="s">
        <v>108</v>
      </c>
      <c r="J15" s="162" t="s">
        <v>138</v>
      </c>
      <c r="K15" s="160" t="s">
        <v>176</v>
      </c>
      <c r="L15" s="160" t="s">
        <v>131</v>
      </c>
      <c r="M15" s="160" t="s">
        <v>184</v>
      </c>
      <c r="N15" s="295">
        <f>ROUNDUP(Table3[[#This Row],[Verzekerde Waarde2]]/Table3[[#This Row],[Index nieuw]]*Table3[[#This Row],[Index Q1 2024]],-3)</f>
        <v>35074000</v>
      </c>
      <c r="O15" s="160">
        <v>128.4</v>
      </c>
      <c r="P15" s="163">
        <v>0</v>
      </c>
      <c r="Q15" s="164">
        <f t="shared" si="12"/>
        <v>33872000</v>
      </c>
      <c r="R15" s="164">
        <f t="shared" si="1"/>
        <v>33872000</v>
      </c>
      <c r="S15" s="160">
        <v>124</v>
      </c>
      <c r="T15" s="164">
        <f>U15+SUMIF(Table4[Subnummer],Table3[[#This Row],[Sub]],Table4[Som mutaties])</f>
        <v>31850000</v>
      </c>
      <c r="U15" s="209">
        <v>28052000</v>
      </c>
      <c r="V15" s="160">
        <v>116.6</v>
      </c>
      <c r="W15" s="165">
        <v>0.65</v>
      </c>
      <c r="X15" s="165">
        <v>0.7</v>
      </c>
      <c r="Y15" s="165">
        <v>0.747</v>
      </c>
      <c r="Z15" s="165">
        <v>0.75</v>
      </c>
      <c r="AA15" s="165">
        <v>0.82</v>
      </c>
      <c r="AB15" s="199">
        <f t="shared" si="2"/>
        <v>8806.7199999999993</v>
      </c>
      <c r="AC15" s="199">
        <f t="shared" si="3"/>
        <v>5927.6</v>
      </c>
      <c r="AD15" s="199">
        <f t="shared" si="4"/>
        <v>3795.3575999999994</v>
      </c>
      <c r="AE15" s="199">
        <f t="shared" si="5"/>
        <v>3175.5</v>
      </c>
      <c r="AF15" s="199">
        <f t="shared" si="6"/>
        <v>2083.1280000000002</v>
      </c>
      <c r="AG15" s="200">
        <f t="shared" si="7"/>
        <v>23788.3056</v>
      </c>
    </row>
    <row r="16" spans="1:33" x14ac:dyDescent="0.25">
      <c r="A16" s="189" t="s">
        <v>130</v>
      </c>
      <c r="B16" s="160">
        <v>0</v>
      </c>
      <c r="C16" s="161">
        <v>6</v>
      </c>
      <c r="D16" s="160" t="s">
        <v>111</v>
      </c>
      <c r="E16" s="160"/>
      <c r="F16" s="162"/>
      <c r="G16" s="162"/>
      <c r="H16" s="162" t="s">
        <v>52</v>
      </c>
      <c r="I16" s="162" t="s">
        <v>108</v>
      </c>
      <c r="J16" s="162" t="s">
        <v>138</v>
      </c>
      <c r="K16" s="160" t="s">
        <v>176</v>
      </c>
      <c r="L16" s="160" t="s">
        <v>131</v>
      </c>
      <c r="M16" s="160" t="s">
        <v>184</v>
      </c>
      <c r="N16" s="295">
        <f>ROUNDUP(Table3[[#This Row],[Verzekerde Waarde2]]/Table3[[#This Row],[Index nieuw]]*Table3[[#This Row],[Index Q1 2024]],-3)</f>
        <v>9913000</v>
      </c>
      <c r="O16" s="160">
        <v>124.4</v>
      </c>
      <c r="P16" s="163">
        <v>0</v>
      </c>
      <c r="Q16" s="164">
        <f t="shared" si="12"/>
        <v>9721000</v>
      </c>
      <c r="R16" s="164">
        <f t="shared" si="1"/>
        <v>9721000</v>
      </c>
      <c r="S16" s="160">
        <v>122</v>
      </c>
      <c r="T16" s="164">
        <f>U16+SUMIF(Table4[Subnummer],Table3[[#This Row],[Sub]],Table4[Som mutaties])</f>
        <v>8900000</v>
      </c>
      <c r="U16" s="209">
        <v>8808000</v>
      </c>
      <c r="V16" s="160">
        <v>111.7</v>
      </c>
      <c r="W16" s="165">
        <v>0.65</v>
      </c>
      <c r="X16" s="165">
        <v>0.7</v>
      </c>
      <c r="Y16" s="165">
        <v>0.747</v>
      </c>
      <c r="Z16" s="165">
        <v>0.75</v>
      </c>
      <c r="AA16" s="165">
        <v>0.82</v>
      </c>
      <c r="AB16" s="199">
        <f t="shared" si="2"/>
        <v>2527.46</v>
      </c>
      <c r="AC16" s="199">
        <f t="shared" si="3"/>
        <v>1701.175</v>
      </c>
      <c r="AD16" s="199">
        <f t="shared" si="4"/>
        <v>1089.2380499999999</v>
      </c>
      <c r="AE16" s="199">
        <f t="shared" si="5"/>
        <v>911.34375</v>
      </c>
      <c r="AF16" s="199">
        <f t="shared" si="6"/>
        <v>597.84149999999988</v>
      </c>
      <c r="AG16" s="200">
        <f t="shared" si="7"/>
        <v>6827.0582999999997</v>
      </c>
    </row>
    <row r="17" spans="1:33" x14ac:dyDescent="0.25">
      <c r="A17" s="189" t="s">
        <v>130</v>
      </c>
      <c r="B17" s="160">
        <v>0</v>
      </c>
      <c r="C17" s="161">
        <v>7</v>
      </c>
      <c r="D17" s="160" t="s">
        <v>119</v>
      </c>
      <c r="E17" s="160"/>
      <c r="F17" s="162" t="s">
        <v>206</v>
      </c>
      <c r="G17" s="162"/>
      <c r="H17" s="162" t="s">
        <v>52</v>
      </c>
      <c r="I17" s="162" t="s">
        <v>108</v>
      </c>
      <c r="J17" s="162" t="s">
        <v>139</v>
      </c>
      <c r="K17" s="160" t="s">
        <v>171</v>
      </c>
      <c r="L17" s="160" t="s">
        <v>131</v>
      </c>
      <c r="M17" s="160" t="s">
        <v>184</v>
      </c>
      <c r="N17" s="295">
        <f>ROUNDUP(Table3[[#This Row],[Verzekerde Waarde2]]/Table3[[#This Row],[Index nieuw]]*Table3[[#This Row],[Index Q1 2024]],-3)</f>
        <v>19107000</v>
      </c>
      <c r="O17" s="160">
        <v>128.4</v>
      </c>
      <c r="P17" s="163">
        <v>0</v>
      </c>
      <c r="Q17" s="164">
        <f t="shared" si="12"/>
        <v>18452000</v>
      </c>
      <c r="R17" s="164">
        <f t="shared" si="1"/>
        <v>18452000</v>
      </c>
      <c r="S17" s="160">
        <v>124</v>
      </c>
      <c r="T17" s="164">
        <f>U17+SUMIF(Table4[Subnummer],Table3[[#This Row],[Sub]],Table4[Som mutaties])</f>
        <v>17350000</v>
      </c>
      <c r="U17" s="209">
        <v>13908000</v>
      </c>
      <c r="V17" s="160">
        <v>116.6</v>
      </c>
      <c r="W17" s="165">
        <v>0.65</v>
      </c>
      <c r="X17" s="165">
        <v>0.7</v>
      </c>
      <c r="Y17" s="165">
        <v>0.747</v>
      </c>
      <c r="Z17" s="165">
        <v>0.75</v>
      </c>
      <c r="AA17" s="165">
        <v>0.82</v>
      </c>
      <c r="AB17" s="199">
        <f t="shared" si="2"/>
        <v>4797.5199999999995</v>
      </c>
      <c r="AC17" s="199">
        <f t="shared" si="3"/>
        <v>3229.1</v>
      </c>
      <c r="AD17" s="199">
        <f t="shared" si="4"/>
        <v>2067.5466000000001</v>
      </c>
      <c r="AE17" s="199">
        <f t="shared" si="5"/>
        <v>1729.875</v>
      </c>
      <c r="AF17" s="199">
        <f t="shared" si="6"/>
        <v>1134.798</v>
      </c>
      <c r="AG17" s="200">
        <f t="shared" si="7"/>
        <v>12958.839599999999</v>
      </c>
    </row>
    <row r="18" spans="1:33" x14ac:dyDescent="0.25">
      <c r="A18" s="189" t="s">
        <v>130</v>
      </c>
      <c r="B18" s="160">
        <v>0</v>
      </c>
      <c r="C18" s="161">
        <v>8</v>
      </c>
      <c r="D18" s="160" t="s">
        <v>111</v>
      </c>
      <c r="E18" s="160"/>
      <c r="F18" s="162" t="s">
        <v>206</v>
      </c>
      <c r="G18" s="162"/>
      <c r="H18" s="162" t="s">
        <v>52</v>
      </c>
      <c r="I18" s="162" t="s">
        <v>108</v>
      </c>
      <c r="J18" s="162" t="s">
        <v>139</v>
      </c>
      <c r="K18" s="160" t="s">
        <v>171</v>
      </c>
      <c r="L18" s="160" t="s">
        <v>131</v>
      </c>
      <c r="M18" s="160" t="s">
        <v>184</v>
      </c>
      <c r="N18" s="295">
        <f>ROUNDUP(Table3[[#This Row],[Verzekerde Waarde2]]/Table3[[#This Row],[Index nieuw]]*Table3[[#This Row],[Index Q1 2024]],-3)</f>
        <v>2563000</v>
      </c>
      <c r="O18" s="160">
        <v>124.4</v>
      </c>
      <c r="P18" s="163">
        <v>0</v>
      </c>
      <c r="Q18" s="164">
        <f t="shared" ref="Q18:Q34" si="13">IF(P18=0,R18,(R18+P18)/2)</f>
        <v>2513000</v>
      </c>
      <c r="R18" s="164">
        <f t="shared" ref="R18:R34" si="14">IF(S18=V18,T18,ROUNDUP(T18/V18*S18,-3))</f>
        <v>2513000</v>
      </c>
      <c r="S18" s="160">
        <v>122</v>
      </c>
      <c r="T18" s="164">
        <f>U18+SUMIF(Table4[Subnummer],Table3[[#This Row],[Sub]],Table4[Som mutaties])</f>
        <v>2300000</v>
      </c>
      <c r="U18" s="209">
        <v>1699000</v>
      </c>
      <c r="V18" s="160">
        <v>111.7</v>
      </c>
      <c r="W18" s="165">
        <v>0.65</v>
      </c>
      <c r="X18" s="165">
        <v>0.7</v>
      </c>
      <c r="Y18" s="165">
        <v>0.747</v>
      </c>
      <c r="Z18" s="165">
        <v>0.75</v>
      </c>
      <c r="AA18" s="165">
        <v>0.82</v>
      </c>
      <c r="AB18" s="199">
        <f t="shared" si="2"/>
        <v>653.38000000000011</v>
      </c>
      <c r="AC18" s="199">
        <f t="shared" si="3"/>
        <v>439.77499999999998</v>
      </c>
      <c r="AD18" s="199">
        <f t="shared" si="4"/>
        <v>281.58164999999997</v>
      </c>
      <c r="AE18" s="199">
        <f t="shared" si="5"/>
        <v>235.59375</v>
      </c>
      <c r="AF18" s="199">
        <f t="shared" si="6"/>
        <v>154.54949999999999</v>
      </c>
      <c r="AG18" s="200">
        <f t="shared" si="7"/>
        <v>1764.8799000000004</v>
      </c>
    </row>
    <row r="19" spans="1:33" s="320" customFormat="1" x14ac:dyDescent="0.25">
      <c r="A19" s="305" t="s">
        <v>130</v>
      </c>
      <c r="B19" s="306">
        <v>0</v>
      </c>
      <c r="C19" s="307">
        <v>9</v>
      </c>
      <c r="D19" s="306" t="s">
        <v>119</v>
      </c>
      <c r="E19" s="308"/>
      <c r="F19" s="309"/>
      <c r="G19" s="309"/>
      <c r="H19" s="310" t="s">
        <v>52</v>
      </c>
      <c r="I19" s="310" t="s">
        <v>108</v>
      </c>
      <c r="J19" s="310" t="s">
        <v>140</v>
      </c>
      <c r="K19" s="311" t="s">
        <v>170</v>
      </c>
      <c r="L19" s="306" t="s">
        <v>131</v>
      </c>
      <c r="M19" s="306" t="s">
        <v>184</v>
      </c>
      <c r="N19" s="312">
        <f>ROUNDUP(Table3[[#This Row],[Verzekerde Waarde2]]/Table3[[#This Row],[Index nieuw]]*Table3[[#This Row],[Index Q1 2024]],-3)</f>
        <v>5066000</v>
      </c>
      <c r="O19" s="306">
        <v>128.4</v>
      </c>
      <c r="P19" s="313">
        <v>0</v>
      </c>
      <c r="Q19" s="314">
        <f t="shared" si="13"/>
        <v>4892000</v>
      </c>
      <c r="R19" s="315">
        <f t="shared" si="14"/>
        <v>4892000</v>
      </c>
      <c r="S19" s="306">
        <v>124</v>
      </c>
      <c r="T19" s="315">
        <f>U19+SUMIF(Table4[Subnummer],Table3[[#This Row],[Sub]],Table4[Som mutaties])</f>
        <v>4600000</v>
      </c>
      <c r="U19" s="316">
        <v>3889000</v>
      </c>
      <c r="V19" s="306">
        <v>116.6</v>
      </c>
      <c r="W19" s="317">
        <v>0.65</v>
      </c>
      <c r="X19" s="317">
        <v>0.7</v>
      </c>
      <c r="Y19" s="317">
        <v>0.747</v>
      </c>
      <c r="Z19" s="317">
        <v>0.75</v>
      </c>
      <c r="AA19" s="317">
        <v>0.82</v>
      </c>
      <c r="AB19" s="318">
        <f t="shared" si="2"/>
        <v>1271.92</v>
      </c>
      <c r="AC19" s="318">
        <f t="shared" si="3"/>
        <v>856.1</v>
      </c>
      <c r="AD19" s="318">
        <f t="shared" si="4"/>
        <v>548.14859999999999</v>
      </c>
      <c r="AE19" s="318">
        <f t="shared" si="5"/>
        <v>458.625</v>
      </c>
      <c r="AF19" s="318">
        <f t="shared" si="6"/>
        <v>300.85799999999995</v>
      </c>
      <c r="AG19" s="319">
        <f t="shared" si="7"/>
        <v>3435.6516000000001</v>
      </c>
    </row>
    <row r="20" spans="1:33" s="320" customFormat="1" x14ac:dyDescent="0.25">
      <c r="A20" s="305" t="s">
        <v>130</v>
      </c>
      <c r="B20" s="306">
        <v>0</v>
      </c>
      <c r="C20" s="307">
        <v>10</v>
      </c>
      <c r="D20" s="321" t="s">
        <v>111</v>
      </c>
      <c r="E20" s="321"/>
      <c r="F20" s="322"/>
      <c r="G20" s="310"/>
      <c r="H20" s="310" t="s">
        <v>52</v>
      </c>
      <c r="I20" s="310" t="s">
        <v>108</v>
      </c>
      <c r="J20" s="322" t="s">
        <v>140</v>
      </c>
      <c r="K20" s="311" t="s">
        <v>170</v>
      </c>
      <c r="L20" s="306" t="s">
        <v>131</v>
      </c>
      <c r="M20" s="306" t="s">
        <v>184</v>
      </c>
      <c r="N20" s="312">
        <f>ROUNDUP(Table3[[#This Row],[Verzekerde Waarde2]]/Table3[[#This Row],[Index nieuw]]*Table3[[#This Row],[Index Q1 2024]],-3)</f>
        <v>257000</v>
      </c>
      <c r="O20" s="306">
        <v>124.4</v>
      </c>
      <c r="P20" s="313">
        <v>0</v>
      </c>
      <c r="Q20" s="314">
        <f t="shared" si="13"/>
        <v>252000</v>
      </c>
      <c r="R20" s="314">
        <f>IF(S20=V20,T20,ROUNDUP(T20/V20*S20,-3))</f>
        <v>252000</v>
      </c>
      <c r="S20" s="306">
        <v>122</v>
      </c>
      <c r="T20" s="314">
        <f>U20+SUMIF(Table4[Subnummer],Table3[[#This Row],[Sub]],Table4[Som mutaties])</f>
        <v>230000</v>
      </c>
      <c r="U20" s="316">
        <v>257000</v>
      </c>
      <c r="V20" s="306">
        <v>111.7</v>
      </c>
      <c r="W20" s="317">
        <v>0.65</v>
      </c>
      <c r="X20" s="317">
        <v>0.7</v>
      </c>
      <c r="Y20" s="317">
        <v>0.747</v>
      </c>
      <c r="Z20" s="317">
        <v>0.75</v>
      </c>
      <c r="AA20" s="317">
        <v>0.82</v>
      </c>
      <c r="AB20" s="323">
        <f t="shared" si="2"/>
        <v>65.52000000000001</v>
      </c>
      <c r="AC20" s="323">
        <f t="shared" si="3"/>
        <v>44.1</v>
      </c>
      <c r="AD20" s="323">
        <f t="shared" si="4"/>
        <v>28.236599999999999</v>
      </c>
      <c r="AE20" s="323">
        <f t="shared" si="5"/>
        <v>23.625</v>
      </c>
      <c r="AF20" s="323">
        <f t="shared" si="6"/>
        <v>15.497999999999998</v>
      </c>
      <c r="AG20" s="324">
        <f t="shared" si="7"/>
        <v>176.9796</v>
      </c>
    </row>
    <row r="21" spans="1:33" s="23" customFormat="1" x14ac:dyDescent="0.25">
      <c r="A21" s="189" t="s">
        <v>130</v>
      </c>
      <c r="B21" s="160">
        <v>0</v>
      </c>
      <c r="C21" s="161">
        <v>11</v>
      </c>
      <c r="D21" s="207" t="s">
        <v>119</v>
      </c>
      <c r="E21" s="207"/>
      <c r="F21" s="208"/>
      <c r="G21" s="162"/>
      <c r="H21" s="162" t="s">
        <v>52</v>
      </c>
      <c r="I21" s="162" t="s">
        <v>108</v>
      </c>
      <c r="J21" s="208" t="s">
        <v>141</v>
      </c>
      <c r="K21" s="207" t="s">
        <v>175</v>
      </c>
      <c r="L21" s="160" t="s">
        <v>131</v>
      </c>
      <c r="M21" s="160" t="s">
        <v>184</v>
      </c>
      <c r="N21" s="295">
        <f>ROUNDUP(Table3[[#This Row],[Verzekerde Waarde2]]/Table3[[#This Row],[Index nieuw]]*Table3[[#This Row],[Index Q1 2024]],-3)</f>
        <v>57814000</v>
      </c>
      <c r="O21" s="160">
        <v>128.4</v>
      </c>
      <c r="P21" s="163">
        <v>0</v>
      </c>
      <c r="Q21" s="164">
        <f t="shared" si="13"/>
        <v>55832000</v>
      </c>
      <c r="R21" s="164">
        <f t="shared" si="14"/>
        <v>55832000</v>
      </c>
      <c r="S21" s="160">
        <v>124</v>
      </c>
      <c r="T21" s="164">
        <f>U21+SUMIF(Table4[Subnummer],Table3[[#This Row],[Sub]],Table4[Som mutaties])</f>
        <v>52500000</v>
      </c>
      <c r="U21" s="209">
        <v>40756000</v>
      </c>
      <c r="V21" s="160">
        <v>116.6</v>
      </c>
      <c r="W21" s="165">
        <v>0.65</v>
      </c>
      <c r="X21" s="165">
        <v>0.7</v>
      </c>
      <c r="Y21" s="165">
        <v>0.747</v>
      </c>
      <c r="Z21" s="165">
        <v>0.75</v>
      </c>
      <c r="AA21" s="165">
        <v>0.82</v>
      </c>
      <c r="AB21" s="210">
        <f t="shared" si="2"/>
        <v>14516.320000000002</v>
      </c>
      <c r="AC21" s="210">
        <f t="shared" si="3"/>
        <v>9770.6</v>
      </c>
      <c r="AD21" s="210">
        <f t="shared" si="4"/>
        <v>6255.9755999999998</v>
      </c>
      <c r="AE21" s="210">
        <f t="shared" si="5"/>
        <v>5234.25</v>
      </c>
      <c r="AF21" s="210">
        <f t="shared" si="6"/>
        <v>3433.6679999999997</v>
      </c>
      <c r="AG21" s="200">
        <f t="shared" si="7"/>
        <v>39210.813600000001</v>
      </c>
    </row>
    <row r="22" spans="1:33" s="23" customFormat="1" x14ac:dyDescent="0.25">
      <c r="A22" s="189" t="s">
        <v>130</v>
      </c>
      <c r="B22" s="160">
        <v>0</v>
      </c>
      <c r="C22" s="161">
        <v>12</v>
      </c>
      <c r="D22" s="207" t="s">
        <v>111</v>
      </c>
      <c r="E22" s="207"/>
      <c r="F22" s="208"/>
      <c r="G22" s="162"/>
      <c r="H22" s="162" t="s">
        <v>52</v>
      </c>
      <c r="I22" s="162" t="s">
        <v>108</v>
      </c>
      <c r="J22" s="208" t="s">
        <v>141</v>
      </c>
      <c r="K22" s="207" t="s">
        <v>175</v>
      </c>
      <c r="L22" s="160" t="s">
        <v>131</v>
      </c>
      <c r="M22" s="160" t="s">
        <v>184</v>
      </c>
      <c r="N22" s="295">
        <f>ROUNDUP(Table3[[#This Row],[Verzekerde Waarde2]]/Table3[[#This Row],[Index nieuw]]*Table3[[#This Row],[Index Q1 2024]],-3)</f>
        <v>10748000</v>
      </c>
      <c r="O22" s="160">
        <v>124.4</v>
      </c>
      <c r="P22" s="163">
        <v>0</v>
      </c>
      <c r="Q22" s="164">
        <f t="shared" si="13"/>
        <v>10540000</v>
      </c>
      <c r="R22" s="164">
        <f t="shared" si="14"/>
        <v>10540000</v>
      </c>
      <c r="S22" s="160">
        <v>122</v>
      </c>
      <c r="T22" s="164">
        <f>U22+SUMIF(Table4[Subnummer],Table3[[#This Row],[Sub]],Table4[Som mutaties])</f>
        <v>9650000</v>
      </c>
      <c r="U22" s="209">
        <v>8719000</v>
      </c>
      <c r="V22" s="160">
        <v>111.7</v>
      </c>
      <c r="W22" s="165">
        <v>0.65</v>
      </c>
      <c r="X22" s="165">
        <v>0.7</v>
      </c>
      <c r="Y22" s="165">
        <v>0.747</v>
      </c>
      <c r="Z22" s="165">
        <v>0.75</v>
      </c>
      <c r="AA22" s="165">
        <v>0.82</v>
      </c>
      <c r="AB22" s="210">
        <f t="shared" si="2"/>
        <v>2740.4</v>
      </c>
      <c r="AC22" s="210">
        <f t="shared" si="3"/>
        <v>1844.4999999999998</v>
      </c>
      <c r="AD22" s="210">
        <f t="shared" si="4"/>
        <v>1181.0070000000001</v>
      </c>
      <c r="AE22" s="210">
        <f t="shared" si="5"/>
        <v>988.125</v>
      </c>
      <c r="AF22" s="210">
        <f t="shared" si="6"/>
        <v>648.20999999999992</v>
      </c>
      <c r="AG22" s="200">
        <f t="shared" si="7"/>
        <v>7402.2419999999993</v>
      </c>
    </row>
    <row r="23" spans="1:33" s="23" customFormat="1" x14ac:dyDescent="0.25">
      <c r="A23" s="189" t="s">
        <v>130</v>
      </c>
      <c r="B23" s="160">
        <v>0</v>
      </c>
      <c r="C23" s="161">
        <v>13</v>
      </c>
      <c r="D23" s="207" t="s">
        <v>111</v>
      </c>
      <c r="E23" s="207"/>
      <c r="F23" s="208"/>
      <c r="G23" s="162"/>
      <c r="H23" s="162" t="s">
        <v>52</v>
      </c>
      <c r="I23" s="162" t="s">
        <v>108</v>
      </c>
      <c r="J23" s="208" t="s">
        <v>142</v>
      </c>
      <c r="K23" s="207" t="s">
        <v>181</v>
      </c>
      <c r="L23" s="160" t="s">
        <v>131</v>
      </c>
      <c r="M23" s="160" t="s">
        <v>184</v>
      </c>
      <c r="N23" s="295">
        <f>ROUNDUP(Table3[[#This Row],[Verzekerde Waarde2]]/Table3[[#This Row],[Index nieuw]]*Table3[[#This Row],[Index Q1 2024]],-3)</f>
        <v>53000</v>
      </c>
      <c r="O23" s="160">
        <v>124.4</v>
      </c>
      <c r="P23" s="163">
        <v>0</v>
      </c>
      <c r="Q23" s="164">
        <f t="shared" si="13"/>
        <v>51000</v>
      </c>
      <c r="R23" s="164">
        <f t="shared" si="14"/>
        <v>51000</v>
      </c>
      <c r="S23" s="160">
        <v>122</v>
      </c>
      <c r="T23" s="164">
        <f>U23+SUMIF(Table4[Subnummer],Table3[[#This Row],[Sub]],Table4[Som mutaties])</f>
        <v>45000</v>
      </c>
      <c r="U23" s="209">
        <v>86000</v>
      </c>
      <c r="V23" s="160">
        <v>109.4</v>
      </c>
      <c r="W23" s="165">
        <v>0.65</v>
      </c>
      <c r="X23" s="165">
        <v>0.7</v>
      </c>
      <c r="Y23" s="165">
        <v>0.747</v>
      </c>
      <c r="Z23" s="165">
        <v>0.75</v>
      </c>
      <c r="AA23" s="165">
        <v>0.82</v>
      </c>
      <c r="AB23" s="210">
        <f t="shared" si="2"/>
        <v>13.26</v>
      </c>
      <c r="AC23" s="210">
        <f t="shared" si="3"/>
        <v>8.9250000000000007</v>
      </c>
      <c r="AD23" s="210">
        <f t="shared" si="4"/>
        <v>5.71455</v>
      </c>
      <c r="AE23" s="210">
        <f t="shared" si="5"/>
        <v>4.78125</v>
      </c>
      <c r="AF23" s="210">
        <f t="shared" si="6"/>
        <v>3.1364999999999998</v>
      </c>
      <c r="AG23" s="200">
        <f t="shared" si="7"/>
        <v>35.817300000000003</v>
      </c>
    </row>
    <row r="24" spans="1:33" s="23" customFormat="1" x14ac:dyDescent="0.25">
      <c r="A24" s="189" t="s">
        <v>130</v>
      </c>
      <c r="B24" s="160">
        <v>0</v>
      </c>
      <c r="C24" s="161">
        <v>14</v>
      </c>
      <c r="D24" s="207" t="s">
        <v>119</v>
      </c>
      <c r="E24" s="207"/>
      <c r="F24" s="208" t="s">
        <v>207</v>
      </c>
      <c r="G24" s="162"/>
      <c r="H24" s="162" t="s">
        <v>52</v>
      </c>
      <c r="I24" s="162" t="s">
        <v>108</v>
      </c>
      <c r="J24" s="208" t="s">
        <v>143</v>
      </c>
      <c r="K24" s="207" t="s">
        <v>174</v>
      </c>
      <c r="L24" s="160" t="s">
        <v>131</v>
      </c>
      <c r="M24" s="160" t="s">
        <v>184</v>
      </c>
      <c r="N24" s="295">
        <f>ROUNDUP(Table3[[#This Row],[Verzekerde Waarde2]]/Table3[[#This Row],[Index nieuw]]*Table3[[#This Row],[Index Q1 2024]],-3)</f>
        <v>20814000</v>
      </c>
      <c r="O24" s="160">
        <v>128.4</v>
      </c>
      <c r="P24" s="163">
        <v>0</v>
      </c>
      <c r="Q24" s="164">
        <f t="shared" si="13"/>
        <v>20100000</v>
      </c>
      <c r="R24" s="164">
        <f t="shared" si="14"/>
        <v>20100000</v>
      </c>
      <c r="S24" s="160">
        <v>124</v>
      </c>
      <c r="T24" s="164">
        <f>U24+SUMIF(Table4[Subnummer],Table3[[#This Row],[Sub]],Table4[Som mutaties])</f>
        <v>18900000</v>
      </c>
      <c r="U24" s="209">
        <v>7794000</v>
      </c>
      <c r="V24" s="160">
        <v>116.6</v>
      </c>
      <c r="W24" s="165">
        <v>0.65</v>
      </c>
      <c r="X24" s="165">
        <v>0.7</v>
      </c>
      <c r="Y24" s="165">
        <v>0.747</v>
      </c>
      <c r="Z24" s="165">
        <v>0.75</v>
      </c>
      <c r="AA24" s="165">
        <v>0.82</v>
      </c>
      <c r="AB24" s="210">
        <f t="shared" si="2"/>
        <v>5226</v>
      </c>
      <c r="AC24" s="210">
        <f t="shared" si="3"/>
        <v>3517.5</v>
      </c>
      <c r="AD24" s="210">
        <f t="shared" si="4"/>
        <v>2252.2049999999999</v>
      </c>
      <c r="AE24" s="210">
        <f t="shared" si="5"/>
        <v>1884.375</v>
      </c>
      <c r="AF24" s="210">
        <f t="shared" si="6"/>
        <v>1236.1499999999996</v>
      </c>
      <c r="AG24" s="200">
        <f t="shared" si="7"/>
        <v>14116.23</v>
      </c>
    </row>
    <row r="25" spans="1:33" s="23" customFormat="1" x14ac:dyDescent="0.25">
      <c r="A25" s="189" t="s">
        <v>130</v>
      </c>
      <c r="B25" s="160">
        <v>0</v>
      </c>
      <c r="C25" s="161">
        <v>15</v>
      </c>
      <c r="D25" s="207" t="s">
        <v>111</v>
      </c>
      <c r="E25" s="207"/>
      <c r="F25" s="208" t="s">
        <v>208</v>
      </c>
      <c r="G25" s="162"/>
      <c r="H25" s="162" t="s">
        <v>52</v>
      </c>
      <c r="I25" s="162" t="s">
        <v>108</v>
      </c>
      <c r="J25" s="208" t="s">
        <v>143</v>
      </c>
      <c r="K25" s="207" t="s">
        <v>174</v>
      </c>
      <c r="L25" s="160" t="s">
        <v>131</v>
      </c>
      <c r="M25" s="160" t="s">
        <v>184</v>
      </c>
      <c r="N25" s="295">
        <f>ROUNDUP(Table3[[#This Row],[Verzekerde Waarde2]]/Table3[[#This Row],[Index nieuw]]*Table3[[#This Row],[Index Q1 2024]],-3)</f>
        <v>1561000</v>
      </c>
      <c r="O25" s="160">
        <v>124.4</v>
      </c>
      <c r="P25" s="163">
        <v>0</v>
      </c>
      <c r="Q25" s="164">
        <f t="shared" si="13"/>
        <v>1530000</v>
      </c>
      <c r="R25" s="164">
        <f t="shared" si="14"/>
        <v>1530000</v>
      </c>
      <c r="S25" s="160">
        <v>122</v>
      </c>
      <c r="T25" s="164">
        <f>U25+SUMIF(Table4[Subnummer],Table3[[#This Row],[Sub]],Table4[Som mutaties])</f>
        <v>1400000</v>
      </c>
      <c r="U25" s="204">
        <v>1264000</v>
      </c>
      <c r="V25" s="160">
        <v>111.7</v>
      </c>
      <c r="W25" s="165">
        <v>0.65</v>
      </c>
      <c r="X25" s="165">
        <v>0.7</v>
      </c>
      <c r="Y25" s="165">
        <v>0.747</v>
      </c>
      <c r="Z25" s="165">
        <v>0.75</v>
      </c>
      <c r="AA25" s="165">
        <v>0.82</v>
      </c>
      <c r="AB25" s="210">
        <f t="shared" si="2"/>
        <v>397.8</v>
      </c>
      <c r="AC25" s="210">
        <f t="shared" si="3"/>
        <v>267.75</v>
      </c>
      <c r="AD25" s="210">
        <f t="shared" si="4"/>
        <v>171.4365</v>
      </c>
      <c r="AE25" s="210">
        <f t="shared" si="5"/>
        <v>143.4375</v>
      </c>
      <c r="AF25" s="210">
        <f t="shared" si="6"/>
        <v>94.094999999999985</v>
      </c>
      <c r="AG25" s="200">
        <f t="shared" si="7"/>
        <v>1074.519</v>
      </c>
    </row>
    <row r="26" spans="1:33" s="23" customFormat="1" x14ac:dyDescent="0.25">
      <c r="A26" s="189" t="s">
        <v>130</v>
      </c>
      <c r="B26" s="160">
        <v>0</v>
      </c>
      <c r="C26" s="161">
        <v>16</v>
      </c>
      <c r="D26" s="207" t="s">
        <v>111</v>
      </c>
      <c r="E26" s="207"/>
      <c r="F26" s="208" t="s">
        <v>146</v>
      </c>
      <c r="G26" s="162"/>
      <c r="H26" s="162" t="s">
        <v>52</v>
      </c>
      <c r="I26" s="162" t="s">
        <v>108</v>
      </c>
      <c r="J26" s="208" t="s">
        <v>143</v>
      </c>
      <c r="K26" s="207" t="s">
        <v>174</v>
      </c>
      <c r="L26" s="160" t="s">
        <v>131</v>
      </c>
      <c r="M26" s="160" t="s">
        <v>184</v>
      </c>
      <c r="N26" s="295">
        <f>ROUNDUP(Table3[[#This Row],[Verzekerde Waarde2]]/Table3[[#This Row],[Index nieuw]]*Table3[[#This Row],[Index Q1 2024]],-3)</f>
        <v>1738000</v>
      </c>
      <c r="O26" s="160">
        <v>124.4</v>
      </c>
      <c r="P26" s="163">
        <v>0</v>
      </c>
      <c r="Q26" s="164">
        <f t="shared" si="13"/>
        <v>1704000</v>
      </c>
      <c r="R26" s="164">
        <f t="shared" si="14"/>
        <v>1704000</v>
      </c>
      <c r="S26" s="160">
        <v>122</v>
      </c>
      <c r="T26" s="164">
        <f>U26+SUMIF(Table4[Subnummer],Table3[[#This Row],[Sub]],Table4[Som mutaties])</f>
        <v>1560000</v>
      </c>
      <c r="U26" s="164">
        <v>1448000</v>
      </c>
      <c r="V26" s="160">
        <v>111.7</v>
      </c>
      <c r="W26" s="165">
        <v>0.65</v>
      </c>
      <c r="X26" s="165">
        <v>0.7</v>
      </c>
      <c r="Y26" s="165">
        <v>0.747</v>
      </c>
      <c r="Z26" s="165">
        <v>0.75</v>
      </c>
      <c r="AA26" s="165">
        <v>0.82</v>
      </c>
      <c r="AB26" s="210">
        <f t="shared" si="2"/>
        <v>443.03999999999996</v>
      </c>
      <c r="AC26" s="210">
        <f t="shared" si="3"/>
        <v>298.2</v>
      </c>
      <c r="AD26" s="210">
        <f t="shared" si="4"/>
        <v>190.93319999999997</v>
      </c>
      <c r="AE26" s="210">
        <f t="shared" si="5"/>
        <v>159.75</v>
      </c>
      <c r="AF26" s="210">
        <f t="shared" si="6"/>
        <v>104.79599999999999</v>
      </c>
      <c r="AG26" s="200">
        <f t="shared" si="7"/>
        <v>1196.7192</v>
      </c>
    </row>
    <row r="27" spans="1:33" s="23" customFormat="1" x14ac:dyDescent="0.25">
      <c r="A27" s="189" t="s">
        <v>130</v>
      </c>
      <c r="B27" s="160">
        <v>0</v>
      </c>
      <c r="C27" s="161">
        <v>17</v>
      </c>
      <c r="D27" s="207" t="s">
        <v>111</v>
      </c>
      <c r="E27" s="207"/>
      <c r="F27" s="208"/>
      <c r="G27" s="162"/>
      <c r="H27" s="162" t="s">
        <v>52</v>
      </c>
      <c r="I27" s="162" t="s">
        <v>108</v>
      </c>
      <c r="J27" s="208" t="s">
        <v>178</v>
      </c>
      <c r="K27" s="207" t="s">
        <v>179</v>
      </c>
      <c r="L27" s="160" t="s">
        <v>131</v>
      </c>
      <c r="M27" s="160" t="s">
        <v>184</v>
      </c>
      <c r="N27" s="295">
        <f>ROUNDUP(Table3[[#This Row],[Verzekerde Waarde2]]/Table3[[#This Row],[Index nieuw]]*Table3[[#This Row],[Index Q1 2024]],-3)</f>
        <v>154000</v>
      </c>
      <c r="O27" s="160">
        <v>124.4</v>
      </c>
      <c r="P27" s="163">
        <v>0</v>
      </c>
      <c r="Q27" s="164">
        <f t="shared" si="13"/>
        <v>151000</v>
      </c>
      <c r="R27" s="164">
        <f t="shared" si="14"/>
        <v>151000</v>
      </c>
      <c r="S27" s="160">
        <v>122</v>
      </c>
      <c r="T27" s="164">
        <f>U27+SUMIF(Table4[Subnummer],Table3[[#This Row],[Sub]],Table4[Som mutaties])</f>
        <v>135000</v>
      </c>
      <c r="U27" s="164">
        <v>0</v>
      </c>
      <c r="V27" s="160">
        <v>109.4</v>
      </c>
      <c r="W27" s="165">
        <v>0.65</v>
      </c>
      <c r="X27" s="165">
        <v>0.7</v>
      </c>
      <c r="Y27" s="165">
        <v>0.747</v>
      </c>
      <c r="Z27" s="165">
        <v>0.75</v>
      </c>
      <c r="AA27" s="165">
        <v>0.82</v>
      </c>
      <c r="AB27" s="210">
        <f t="shared" si="2"/>
        <v>39.260000000000005</v>
      </c>
      <c r="AC27" s="210">
        <f t="shared" si="3"/>
        <v>26.425000000000001</v>
      </c>
      <c r="AD27" s="210">
        <f t="shared" si="4"/>
        <v>16.919549999999997</v>
      </c>
      <c r="AE27" s="210">
        <f t="shared" si="5"/>
        <v>14.15625</v>
      </c>
      <c r="AF27" s="210">
        <f t="shared" si="6"/>
        <v>9.2864999999999984</v>
      </c>
      <c r="AG27" s="200">
        <f t="shared" si="7"/>
        <v>106.04730000000001</v>
      </c>
    </row>
    <row r="28" spans="1:33" s="23" customFormat="1" x14ac:dyDescent="0.25">
      <c r="A28" s="189" t="s">
        <v>130</v>
      </c>
      <c r="B28" s="160">
        <v>0</v>
      </c>
      <c r="C28" s="161">
        <v>18</v>
      </c>
      <c r="D28" s="207" t="s">
        <v>111</v>
      </c>
      <c r="E28" s="207"/>
      <c r="F28" s="208"/>
      <c r="G28" s="162"/>
      <c r="H28" s="162" t="s">
        <v>52</v>
      </c>
      <c r="I28" s="162" t="s">
        <v>108</v>
      </c>
      <c r="J28" s="208" t="s">
        <v>144</v>
      </c>
      <c r="K28" s="207" t="s">
        <v>180</v>
      </c>
      <c r="L28" s="160" t="s">
        <v>131</v>
      </c>
      <c r="M28" s="160" t="s">
        <v>184</v>
      </c>
      <c r="N28" s="295">
        <f>ROUNDUP(Table3[[#This Row],[Verzekerde Waarde2]]/Table3[[#This Row],[Index nieuw]]*Table3[[#This Row],[Index Q1 2024]],-3)</f>
        <v>468000</v>
      </c>
      <c r="O28" s="160">
        <v>124.4</v>
      </c>
      <c r="P28" s="163">
        <v>0</v>
      </c>
      <c r="Q28" s="164">
        <f t="shared" si="13"/>
        <v>458000</v>
      </c>
      <c r="R28" s="164">
        <f t="shared" si="14"/>
        <v>458000</v>
      </c>
      <c r="S28" s="160">
        <v>122</v>
      </c>
      <c r="T28" s="164">
        <f>U28+SUMIF(Table4[Subnummer],Table3[[#This Row],[Sub]],Table4[Som mutaties])</f>
        <v>410000</v>
      </c>
      <c r="U28" s="164">
        <v>0</v>
      </c>
      <c r="V28" s="160">
        <v>109.4</v>
      </c>
      <c r="W28" s="165">
        <v>0.65</v>
      </c>
      <c r="X28" s="165">
        <v>0.7</v>
      </c>
      <c r="Y28" s="165">
        <v>0.747</v>
      </c>
      <c r="Z28" s="165">
        <v>0.75</v>
      </c>
      <c r="AA28" s="165">
        <v>0.82</v>
      </c>
      <c r="AB28" s="210">
        <f t="shared" si="2"/>
        <v>119.08</v>
      </c>
      <c r="AC28" s="210">
        <f t="shared" si="3"/>
        <v>80.150000000000006</v>
      </c>
      <c r="AD28" s="210">
        <f t="shared" si="4"/>
        <v>51.318899999999992</v>
      </c>
      <c r="AE28" s="210">
        <f t="shared" si="5"/>
        <v>42.9375</v>
      </c>
      <c r="AF28" s="210">
        <f t="shared" si="6"/>
        <v>28.166999999999998</v>
      </c>
      <c r="AG28" s="200">
        <f t="shared" si="7"/>
        <v>321.65339999999998</v>
      </c>
    </row>
    <row r="29" spans="1:33" s="23" customFormat="1" x14ac:dyDescent="0.25">
      <c r="A29" s="189" t="s">
        <v>130</v>
      </c>
      <c r="B29" s="160">
        <v>0</v>
      </c>
      <c r="C29" s="161">
        <v>19</v>
      </c>
      <c r="D29" s="207" t="s">
        <v>111</v>
      </c>
      <c r="E29" s="207"/>
      <c r="F29" s="208"/>
      <c r="G29" s="162"/>
      <c r="H29" s="162" t="s">
        <v>52</v>
      </c>
      <c r="I29" s="162" t="s">
        <v>108</v>
      </c>
      <c r="J29" s="208" t="s">
        <v>145</v>
      </c>
      <c r="K29" s="207" t="s">
        <v>177</v>
      </c>
      <c r="L29" s="160" t="s">
        <v>131</v>
      </c>
      <c r="M29" s="160" t="s">
        <v>184</v>
      </c>
      <c r="N29" s="295">
        <f>ROUNDUP(Table3[[#This Row],[Verzekerde Waarde2]]/Table3[[#This Row],[Index nieuw]]*Table3[[#This Row],[Index Q1 2024]],-3)</f>
        <v>393000</v>
      </c>
      <c r="O29" s="160">
        <v>124.4</v>
      </c>
      <c r="P29" s="163">
        <v>0</v>
      </c>
      <c r="Q29" s="164">
        <f t="shared" si="13"/>
        <v>385000</v>
      </c>
      <c r="R29" s="164">
        <f t="shared" si="14"/>
        <v>385000</v>
      </c>
      <c r="S29" s="160">
        <v>122</v>
      </c>
      <c r="T29" s="164">
        <f>U29+SUMIF(Table4[Subnummer],Table3[[#This Row],[Sub]],Table4[Som mutaties])</f>
        <v>345000</v>
      </c>
      <c r="U29" s="164">
        <v>0</v>
      </c>
      <c r="V29" s="160">
        <v>109.4</v>
      </c>
      <c r="W29" s="165">
        <v>0.65</v>
      </c>
      <c r="X29" s="165">
        <v>0.7</v>
      </c>
      <c r="Y29" s="165">
        <v>0.747</v>
      </c>
      <c r="Z29" s="165">
        <v>0.75</v>
      </c>
      <c r="AA29" s="165">
        <v>0.82</v>
      </c>
      <c r="AB29" s="210">
        <f t="shared" si="2"/>
        <v>100.10000000000001</v>
      </c>
      <c r="AC29" s="210">
        <f t="shared" si="3"/>
        <v>67.375</v>
      </c>
      <c r="AD29" s="210">
        <f t="shared" si="4"/>
        <v>43.139250000000004</v>
      </c>
      <c r="AE29" s="210">
        <f t="shared" si="5"/>
        <v>36.09375</v>
      </c>
      <c r="AF29" s="210">
        <f t="shared" si="6"/>
        <v>23.677499999999998</v>
      </c>
      <c r="AG29" s="200">
        <f t="shared" si="7"/>
        <v>270.38550000000004</v>
      </c>
    </row>
    <row r="30" spans="1:33" s="23" customFormat="1" x14ac:dyDescent="0.25">
      <c r="A30" s="189" t="s">
        <v>130</v>
      </c>
      <c r="B30" s="160">
        <v>0</v>
      </c>
      <c r="C30" s="161">
        <v>20</v>
      </c>
      <c r="D30" s="207" t="s">
        <v>111</v>
      </c>
      <c r="E30" s="207"/>
      <c r="F30" s="208" t="s">
        <v>148</v>
      </c>
      <c r="G30" s="162"/>
      <c r="H30" s="162" t="s">
        <v>52</v>
      </c>
      <c r="I30" s="208" t="s">
        <v>108</v>
      </c>
      <c r="J30" s="208" t="s">
        <v>147</v>
      </c>
      <c r="K30" s="207"/>
      <c r="L30" s="207" t="s">
        <v>131</v>
      </c>
      <c r="M30" s="160" t="s">
        <v>184</v>
      </c>
      <c r="N30" s="295">
        <f>ROUNDUP(Table3[[#This Row],[Verzekerde Waarde2]]/Table3[[#This Row],[Index nieuw]]*Table3[[#This Row],[Index Q1 2024]],-3)</f>
        <v>2563000</v>
      </c>
      <c r="O30" s="160">
        <v>124.4</v>
      </c>
      <c r="P30" s="163">
        <v>0</v>
      </c>
      <c r="Q30" s="164">
        <f t="shared" si="13"/>
        <v>2513000</v>
      </c>
      <c r="R30" s="204">
        <f t="shared" si="14"/>
        <v>2513000</v>
      </c>
      <c r="S30" s="207">
        <v>122</v>
      </c>
      <c r="T30" s="164">
        <f>U30+SUMIF(Table4[Subnummer],Table3[[#This Row],[Sub]],Table4[Som mutaties])</f>
        <v>2300210</v>
      </c>
      <c r="U30" s="164">
        <v>2287000</v>
      </c>
      <c r="V30" s="207">
        <v>111.7</v>
      </c>
      <c r="W30" s="165">
        <v>0.65</v>
      </c>
      <c r="X30" s="165">
        <v>0.7</v>
      </c>
      <c r="Y30" s="165">
        <v>0.747</v>
      </c>
      <c r="Z30" s="165">
        <v>0.75</v>
      </c>
      <c r="AA30" s="165">
        <v>0.82</v>
      </c>
      <c r="AB30" s="210">
        <f t="shared" si="2"/>
        <v>653.38000000000011</v>
      </c>
      <c r="AC30" s="210">
        <f t="shared" si="3"/>
        <v>439.77499999999998</v>
      </c>
      <c r="AD30" s="210">
        <f t="shared" si="4"/>
        <v>281.58164999999997</v>
      </c>
      <c r="AE30" s="210">
        <f t="shared" si="5"/>
        <v>235.59375</v>
      </c>
      <c r="AF30" s="210">
        <f t="shared" si="6"/>
        <v>154.54949999999999</v>
      </c>
      <c r="AG30" s="200">
        <f t="shared" si="7"/>
        <v>1764.8799000000004</v>
      </c>
    </row>
    <row r="31" spans="1:33" s="23" customFormat="1" x14ac:dyDescent="0.25">
      <c r="A31" s="189" t="s">
        <v>130</v>
      </c>
      <c r="B31" s="160">
        <v>0</v>
      </c>
      <c r="C31" s="161">
        <v>21</v>
      </c>
      <c r="D31" s="207" t="s">
        <v>111</v>
      </c>
      <c r="E31" s="207"/>
      <c r="F31" s="207" t="s">
        <v>185</v>
      </c>
      <c r="G31" s="162"/>
      <c r="H31" s="162" t="s">
        <v>52</v>
      </c>
      <c r="I31" s="208" t="s">
        <v>108</v>
      </c>
      <c r="J31" s="208" t="s">
        <v>143</v>
      </c>
      <c r="K31" s="207" t="s">
        <v>174</v>
      </c>
      <c r="L31" s="207" t="s">
        <v>131</v>
      </c>
      <c r="M31" s="160" t="s">
        <v>184</v>
      </c>
      <c r="N31" s="295"/>
      <c r="O31" s="160">
        <v>124.4</v>
      </c>
      <c r="P31" s="163">
        <v>0</v>
      </c>
      <c r="Q31" s="164">
        <f t="shared" si="13"/>
        <v>425350</v>
      </c>
      <c r="R31" s="164">
        <f t="shared" si="14"/>
        <v>425350</v>
      </c>
      <c r="S31" s="207"/>
      <c r="T31" s="164">
        <f>U31+SUMIF(Table4[Subnummer],Table3[[#This Row],[Sub]],Table4[Som mutaties])</f>
        <v>425350</v>
      </c>
      <c r="U31" s="209">
        <v>0</v>
      </c>
      <c r="V31" s="207"/>
      <c r="W31" s="165">
        <v>0.65</v>
      </c>
      <c r="X31" s="165">
        <v>0.7</v>
      </c>
      <c r="Y31" s="165">
        <v>0.747</v>
      </c>
      <c r="Z31" s="165">
        <v>0.75</v>
      </c>
      <c r="AA31" s="165">
        <v>0.82</v>
      </c>
      <c r="AB31" s="210">
        <f t="shared" si="2"/>
        <v>110.59100000000001</v>
      </c>
      <c r="AC31" s="210">
        <f t="shared" si="3"/>
        <v>74.436250000000001</v>
      </c>
      <c r="AD31" s="210">
        <f t="shared" si="4"/>
        <v>47.660467499999996</v>
      </c>
      <c r="AE31" s="210">
        <f t="shared" si="5"/>
        <v>39.876562499999999</v>
      </c>
      <c r="AF31" s="210">
        <f t="shared" si="6"/>
        <v>26.159024999999996</v>
      </c>
      <c r="AG31" s="200">
        <f t="shared" si="7"/>
        <v>298.72330499999998</v>
      </c>
    </row>
    <row r="32" spans="1:33" s="23" customFormat="1" x14ac:dyDescent="0.25">
      <c r="A32" s="189" t="s">
        <v>130</v>
      </c>
      <c r="B32" s="160">
        <v>0</v>
      </c>
      <c r="C32" s="206">
        <v>22</v>
      </c>
      <c r="D32" s="207" t="s">
        <v>123</v>
      </c>
      <c r="E32" s="207"/>
      <c r="F32" s="208"/>
      <c r="G32" s="162"/>
      <c r="H32" s="162" t="s">
        <v>52</v>
      </c>
      <c r="I32" s="208" t="s">
        <v>108</v>
      </c>
      <c r="J32" s="208" t="s">
        <v>144</v>
      </c>
      <c r="K32" s="207" t="s">
        <v>180</v>
      </c>
      <c r="L32" s="207" t="s">
        <v>131</v>
      </c>
      <c r="M32" s="160" t="s">
        <v>184</v>
      </c>
      <c r="N32" s="295">
        <f>ROUNDUP(Table3[[#This Row],[Verzekerde Waarde2]]/Table3[[#This Row],[Index nieuw]]*Table3[[#This Row],[Index Q1 2024]],-3)</f>
        <v>596000</v>
      </c>
      <c r="O32" s="160">
        <v>128.4</v>
      </c>
      <c r="P32" s="163">
        <v>0</v>
      </c>
      <c r="Q32" s="164">
        <f t="shared" si="13"/>
        <v>575000</v>
      </c>
      <c r="R32" s="164">
        <f t="shared" si="14"/>
        <v>575000</v>
      </c>
      <c r="S32" s="207">
        <v>124</v>
      </c>
      <c r="T32" s="164">
        <f>U32+SUMIF(Table4[Subnummer],Table3[[#This Row],[Sub]],Table4[Som mutaties])</f>
        <v>530000</v>
      </c>
      <c r="U32" s="209">
        <v>0</v>
      </c>
      <c r="V32" s="207">
        <v>114.3</v>
      </c>
      <c r="W32" s="165">
        <v>0.65</v>
      </c>
      <c r="X32" s="165">
        <v>0.7</v>
      </c>
      <c r="Y32" s="165">
        <v>0.747</v>
      </c>
      <c r="Z32" s="165">
        <v>0.75</v>
      </c>
      <c r="AA32" s="165">
        <v>0.82</v>
      </c>
      <c r="AB32" s="210">
        <f t="shared" si="2"/>
        <v>149.5</v>
      </c>
      <c r="AC32" s="210">
        <f t="shared" si="3"/>
        <v>100.625</v>
      </c>
      <c r="AD32" s="210">
        <f t="shared" si="4"/>
        <v>64.428749999999994</v>
      </c>
      <c r="AE32" s="210">
        <f t="shared" si="5"/>
        <v>53.90625</v>
      </c>
      <c r="AF32" s="210">
        <f t="shared" si="6"/>
        <v>35.362499999999997</v>
      </c>
      <c r="AG32" s="200">
        <f t="shared" si="7"/>
        <v>403.82249999999999</v>
      </c>
    </row>
    <row r="33" spans="1:33" s="23" customFormat="1" x14ac:dyDescent="0.25">
      <c r="A33" s="189" t="s">
        <v>130</v>
      </c>
      <c r="B33" s="160">
        <v>0</v>
      </c>
      <c r="C33" s="206">
        <v>23</v>
      </c>
      <c r="D33" s="207" t="s">
        <v>123</v>
      </c>
      <c r="E33" s="207"/>
      <c r="F33" s="208"/>
      <c r="G33" s="162"/>
      <c r="H33" s="162" t="s">
        <v>52</v>
      </c>
      <c r="I33" s="208" t="s">
        <v>108</v>
      </c>
      <c r="J33" s="208" t="s">
        <v>178</v>
      </c>
      <c r="K33" s="207" t="s">
        <v>179</v>
      </c>
      <c r="L33" s="207" t="s">
        <v>131</v>
      </c>
      <c r="M33" s="160" t="s">
        <v>184</v>
      </c>
      <c r="N33" s="295">
        <f>ROUNDUP(Table3[[#This Row],[Verzekerde Waarde2]]/Table3[[#This Row],[Index nieuw]]*Table3[[#This Row],[Index Q1 2024]],-3)</f>
        <v>130000</v>
      </c>
      <c r="O33" s="160">
        <v>128.4</v>
      </c>
      <c r="P33" s="163">
        <v>0</v>
      </c>
      <c r="Q33" s="164">
        <f t="shared" si="13"/>
        <v>125000</v>
      </c>
      <c r="R33" s="164">
        <f t="shared" si="14"/>
        <v>125000</v>
      </c>
      <c r="S33" s="207">
        <v>124</v>
      </c>
      <c r="T33" s="164">
        <f>U33+SUMIF(Table4[Subnummer],Table3[[#This Row],[Sub]],Table4[Som mutaties])</f>
        <v>115000</v>
      </c>
      <c r="U33" s="209">
        <v>0</v>
      </c>
      <c r="V33" s="207">
        <v>114.3</v>
      </c>
      <c r="W33" s="165">
        <v>0.65</v>
      </c>
      <c r="X33" s="165">
        <v>0.7</v>
      </c>
      <c r="Y33" s="165">
        <v>0.747</v>
      </c>
      <c r="Z33" s="165">
        <v>0.75</v>
      </c>
      <c r="AA33" s="165">
        <v>0.82</v>
      </c>
      <c r="AB33" s="210">
        <f t="shared" si="2"/>
        <v>32.5</v>
      </c>
      <c r="AC33" s="210">
        <f t="shared" si="3"/>
        <v>21.875</v>
      </c>
      <c r="AD33" s="210">
        <f t="shared" si="4"/>
        <v>14.00625</v>
      </c>
      <c r="AE33" s="210">
        <f t="shared" si="5"/>
        <v>11.71875</v>
      </c>
      <c r="AF33" s="210">
        <f t="shared" si="6"/>
        <v>7.6875</v>
      </c>
      <c r="AG33" s="200">
        <f t="shared" si="7"/>
        <v>87.787499999999994</v>
      </c>
    </row>
    <row r="34" spans="1:33" s="23" customFormat="1" x14ac:dyDescent="0.25">
      <c r="A34" s="189" t="s">
        <v>130</v>
      </c>
      <c r="B34" s="205">
        <v>0</v>
      </c>
      <c r="C34" s="161">
        <v>24</v>
      </c>
      <c r="D34" s="207" t="s">
        <v>123</v>
      </c>
      <c r="E34" s="207"/>
      <c r="F34" s="208"/>
      <c r="G34" s="162"/>
      <c r="H34" s="162" t="s">
        <v>52</v>
      </c>
      <c r="I34" s="208" t="s">
        <v>108</v>
      </c>
      <c r="J34" s="208" t="s">
        <v>142</v>
      </c>
      <c r="K34" s="207" t="s">
        <v>181</v>
      </c>
      <c r="L34" s="207" t="s">
        <v>131</v>
      </c>
      <c r="M34" s="160" t="s">
        <v>184</v>
      </c>
      <c r="N34" s="295">
        <f>ROUNDUP(Table3[[#This Row],[Verzekerde Waarde2]]/Table3[[#This Row],[Index nieuw]]*Table3[[#This Row],[Index Q1 2024]],-3)</f>
        <v>63000</v>
      </c>
      <c r="O34" s="160">
        <v>128.4</v>
      </c>
      <c r="P34" s="163">
        <v>0</v>
      </c>
      <c r="Q34" s="164">
        <f t="shared" si="13"/>
        <v>60000</v>
      </c>
      <c r="R34" s="164">
        <f t="shared" si="14"/>
        <v>60000</v>
      </c>
      <c r="S34" s="207">
        <v>124</v>
      </c>
      <c r="T34" s="164">
        <f>U34+SUMIF(Table4[Subnummer],Table3[[#This Row],[Sub]],Table4[Som mutaties])</f>
        <v>55000</v>
      </c>
      <c r="U34" s="209">
        <v>0</v>
      </c>
      <c r="V34" s="207">
        <v>114.3</v>
      </c>
      <c r="W34" s="165">
        <v>0.65</v>
      </c>
      <c r="X34" s="165">
        <v>0.7</v>
      </c>
      <c r="Y34" s="165">
        <v>0.747</v>
      </c>
      <c r="Z34" s="165">
        <v>0.75</v>
      </c>
      <c r="AA34" s="165">
        <v>0.82</v>
      </c>
      <c r="AB34" s="210">
        <f t="shared" si="2"/>
        <v>15.600000000000001</v>
      </c>
      <c r="AC34" s="210">
        <f t="shared" si="3"/>
        <v>10.5</v>
      </c>
      <c r="AD34" s="210">
        <f t="shared" si="4"/>
        <v>6.7229999999999999</v>
      </c>
      <c r="AE34" s="210">
        <f t="shared" si="5"/>
        <v>5.625</v>
      </c>
      <c r="AF34" s="210">
        <f t="shared" si="6"/>
        <v>3.69</v>
      </c>
      <c r="AG34" s="200">
        <f t="shared" si="7"/>
        <v>42.137999999999998</v>
      </c>
    </row>
    <row r="35" spans="1:33" s="23" customFormat="1" ht="102" x14ac:dyDescent="0.25">
      <c r="A35" s="189" t="s">
        <v>130</v>
      </c>
      <c r="B35" s="205">
        <v>0</v>
      </c>
      <c r="C35" s="206">
        <v>25</v>
      </c>
      <c r="D35" s="207" t="s">
        <v>127</v>
      </c>
      <c r="E35" s="207"/>
      <c r="F35" s="208" t="s">
        <v>202</v>
      </c>
      <c r="G35" s="162" t="s">
        <v>200</v>
      </c>
      <c r="H35" s="162" t="s">
        <v>52</v>
      </c>
      <c r="I35" s="208" t="s">
        <v>94</v>
      </c>
      <c r="J35" s="208"/>
      <c r="K35" s="207"/>
      <c r="L35" s="207"/>
      <c r="M35" s="160" t="s">
        <v>184</v>
      </c>
      <c r="N35" s="295">
        <v>1000000</v>
      </c>
      <c r="O35" s="160"/>
      <c r="P35" s="163">
        <v>0</v>
      </c>
      <c r="Q35" s="164">
        <f t="shared" ref="Q35:Q37" si="15">IF(P35=0,R35,(R35+P35)/2)</f>
        <v>1000000</v>
      </c>
      <c r="R35" s="164">
        <f t="shared" ref="R35:R37" si="16">IF(S35=V35,T35,ROUNDUP(T35/V35*S35,-3))</f>
        <v>1000000</v>
      </c>
      <c r="S35" s="207"/>
      <c r="T35" s="164">
        <f>U35+SUMIF(Table4[Subnummer],Table3[[#This Row],[Sub]],Table4[Som mutaties])</f>
        <v>1000000</v>
      </c>
      <c r="U35" s="209">
        <v>0</v>
      </c>
      <c r="V35" s="207"/>
      <c r="W35" s="165">
        <v>0</v>
      </c>
      <c r="X35" s="165">
        <v>0</v>
      </c>
      <c r="Y35" s="165">
        <v>0</v>
      </c>
      <c r="Z35" s="165">
        <v>0</v>
      </c>
      <c r="AA35" s="165">
        <v>0</v>
      </c>
      <c r="AB35" s="210">
        <f t="shared" ref="AB35:AB37" si="17">$Q35*W35/1000*W$9</f>
        <v>0</v>
      </c>
      <c r="AC35" s="210">
        <f t="shared" ref="AC35:AC37" si="18">$Q35*X35/1000*X$9</f>
        <v>0</v>
      </c>
      <c r="AD35" s="210">
        <f t="shared" ref="AD35:AD37" si="19">$Q35*Y35/1000*Y$9</f>
        <v>0</v>
      </c>
      <c r="AE35" s="210">
        <f t="shared" ref="AE35:AE37" si="20">$Q35*Z35/1000*Z$9</f>
        <v>0</v>
      </c>
      <c r="AF35" s="210">
        <f t="shared" ref="AF35:AF37" si="21">$Q35*AA35/1000*AA$9</f>
        <v>0</v>
      </c>
      <c r="AG35" s="200">
        <f t="shared" ref="AG35:AG37" si="22">SUM(AB35:AF35)</f>
        <v>0</v>
      </c>
    </row>
    <row r="36" spans="1:33" s="23" customFormat="1" ht="89.25" x14ac:dyDescent="0.25">
      <c r="A36" s="189" t="s">
        <v>130</v>
      </c>
      <c r="B36" s="205">
        <v>0</v>
      </c>
      <c r="C36" s="206">
        <v>26</v>
      </c>
      <c r="D36" s="207" t="s">
        <v>115</v>
      </c>
      <c r="E36" s="207"/>
      <c r="F36" s="208" t="s">
        <v>201</v>
      </c>
      <c r="G36" s="162" t="s">
        <v>200</v>
      </c>
      <c r="H36" s="162" t="s">
        <v>52</v>
      </c>
      <c r="I36" s="208" t="s">
        <v>94</v>
      </c>
      <c r="J36" s="208"/>
      <c r="K36" s="207"/>
      <c r="L36" s="207"/>
      <c r="M36" s="160" t="s">
        <v>184</v>
      </c>
      <c r="N36" s="297">
        <v>10000000</v>
      </c>
      <c r="O36" s="160"/>
      <c r="P36" s="163">
        <v>0</v>
      </c>
      <c r="Q36" s="164">
        <f t="shared" si="15"/>
        <v>10000000</v>
      </c>
      <c r="R36" s="164">
        <f t="shared" si="16"/>
        <v>10000000</v>
      </c>
      <c r="S36" s="207"/>
      <c r="T36" s="164">
        <f>U36+SUMIF(Table4[Subnummer],Table3[[#This Row],[Sub]],Table4[Som mutaties])</f>
        <v>10000000</v>
      </c>
      <c r="U36" s="209">
        <v>0</v>
      </c>
      <c r="V36" s="207"/>
      <c r="W36" s="165">
        <v>0</v>
      </c>
      <c r="X36" s="165">
        <v>0</v>
      </c>
      <c r="Y36" s="165">
        <v>0</v>
      </c>
      <c r="Z36" s="165">
        <v>0</v>
      </c>
      <c r="AA36" s="165">
        <v>0</v>
      </c>
      <c r="AB36" s="210">
        <f t="shared" si="17"/>
        <v>0</v>
      </c>
      <c r="AC36" s="210">
        <f t="shared" si="18"/>
        <v>0</v>
      </c>
      <c r="AD36" s="210">
        <f t="shared" si="19"/>
        <v>0</v>
      </c>
      <c r="AE36" s="210">
        <f t="shared" si="20"/>
        <v>0</v>
      </c>
      <c r="AF36" s="210">
        <f t="shared" si="21"/>
        <v>0</v>
      </c>
      <c r="AG36" s="200">
        <f t="shared" si="22"/>
        <v>0</v>
      </c>
    </row>
    <row r="37" spans="1:33" s="23" customFormat="1" ht="89.25" x14ac:dyDescent="0.25">
      <c r="A37" s="189" t="s">
        <v>130</v>
      </c>
      <c r="B37" s="205">
        <v>0</v>
      </c>
      <c r="C37" s="206">
        <v>27</v>
      </c>
      <c r="D37" s="207" t="s">
        <v>117</v>
      </c>
      <c r="E37" s="207"/>
      <c r="F37" s="208" t="s">
        <v>203</v>
      </c>
      <c r="G37" s="162" t="s">
        <v>200</v>
      </c>
      <c r="H37" s="162" t="s">
        <v>52</v>
      </c>
      <c r="I37" s="208" t="s">
        <v>94</v>
      </c>
      <c r="J37" s="208"/>
      <c r="K37" s="207"/>
      <c r="L37" s="207"/>
      <c r="M37" s="160" t="s">
        <v>184</v>
      </c>
      <c r="N37" s="297">
        <v>2500000</v>
      </c>
      <c r="O37" s="160"/>
      <c r="P37" s="163">
        <v>0</v>
      </c>
      <c r="Q37" s="164">
        <f t="shared" si="15"/>
        <v>2500000</v>
      </c>
      <c r="R37" s="164">
        <f t="shared" si="16"/>
        <v>2500000</v>
      </c>
      <c r="S37" s="207"/>
      <c r="T37" s="164">
        <f>U37+SUMIF(Table4[Subnummer],Table3[[#This Row],[Sub]],Table4[Som mutaties])</f>
        <v>2500000</v>
      </c>
      <c r="U37" s="209">
        <v>0</v>
      </c>
      <c r="V37" s="207"/>
      <c r="W37" s="165">
        <v>0</v>
      </c>
      <c r="X37" s="165">
        <v>0</v>
      </c>
      <c r="Y37" s="165">
        <v>0</v>
      </c>
      <c r="Z37" s="165">
        <v>0</v>
      </c>
      <c r="AA37" s="165">
        <v>0</v>
      </c>
      <c r="AB37" s="210">
        <f t="shared" si="17"/>
        <v>0</v>
      </c>
      <c r="AC37" s="210">
        <f t="shared" si="18"/>
        <v>0</v>
      </c>
      <c r="AD37" s="210">
        <f t="shared" si="19"/>
        <v>0</v>
      </c>
      <c r="AE37" s="210">
        <f t="shared" si="20"/>
        <v>0</v>
      </c>
      <c r="AF37" s="210">
        <f t="shared" si="21"/>
        <v>0</v>
      </c>
      <c r="AG37" s="200">
        <f t="shared" si="22"/>
        <v>0</v>
      </c>
    </row>
    <row r="38" spans="1:33" ht="13.5" thickBot="1" x14ac:dyDescent="0.3">
      <c r="A38" s="190" t="s">
        <v>53</v>
      </c>
      <c r="B38" s="191"/>
      <c r="C38" s="192"/>
      <c r="D38" s="193"/>
      <c r="E38" s="193"/>
      <c r="F38" s="194"/>
      <c r="G38" s="194"/>
      <c r="H38" s="194"/>
      <c r="I38" s="194"/>
      <c r="J38" s="194"/>
      <c r="K38" s="193"/>
      <c r="L38" s="193"/>
      <c r="M38" s="195"/>
      <c r="N38" s="325">
        <f>SUBTOTAL(109,Table3[Verzekerde waarde])</f>
        <v>299823000</v>
      </c>
      <c r="O38" s="195"/>
      <c r="P38" s="196">
        <f>SUBTOTAL(109,Table3[Vorkbedrag])</f>
        <v>0</v>
      </c>
      <c r="Q38" s="196">
        <f>SUBTOTAL(109,Table3[Premiegrondslag])</f>
        <v>291172350</v>
      </c>
      <c r="R38" s="196">
        <f>SUBTOTAL(109,Table3[Verzekerde Waarde2])</f>
        <v>291172350</v>
      </c>
      <c r="S38" s="197"/>
      <c r="T38" s="198">
        <f>SUBTOTAL(109,Table3[Mutaties])</f>
        <v>273370560</v>
      </c>
      <c r="U38" s="196">
        <f>SUBTOTAL(109,Table3[Verz. Waarde Oud:])</f>
        <v>201010000</v>
      </c>
      <c r="V38" s="197"/>
      <c r="W38" s="192"/>
      <c r="X38" s="192"/>
      <c r="Y38" s="192"/>
      <c r="Z38" s="192"/>
      <c r="AA38" s="192"/>
      <c r="AB38" s="201">
        <f>SUBTOTAL(109,Table3[Jaarpremie 1])</f>
        <v>72194.811000000002</v>
      </c>
      <c r="AC38" s="201">
        <f>SUBTOTAL(109,Table3[Jaarpremie 2])</f>
        <v>48592.661250000005</v>
      </c>
      <c r="AD38" s="201">
        <f>SUBTOTAL(109,Table3[Jaarpremie 3])</f>
        <v>31113.186817500002</v>
      </c>
      <c r="AE38" s="201">
        <f>SUBTOTAL(109,Table3[Jaarpremie 4])</f>
        <v>26031.782812500001</v>
      </c>
      <c r="AF38" s="201">
        <f>SUBTOTAL(109,Table3[Jaarpremie 5])</f>
        <v>17076.849525000001</v>
      </c>
      <c r="AG38" s="202">
        <f>SUBTOTAL(109,Table3[Totale jaarpremie:])</f>
        <v>195009.29140500005</v>
      </c>
    </row>
    <row r="41" spans="1:33" hidden="1" x14ac:dyDescent="0.25">
      <c r="A41" s="169" t="s">
        <v>54</v>
      </c>
      <c r="B41" s="16" t="s">
        <v>54</v>
      </c>
      <c r="C41" s="170"/>
      <c r="D41" s="16"/>
      <c r="E41" s="16" t="s">
        <v>54</v>
      </c>
      <c r="F41" s="22" t="s">
        <v>54</v>
      </c>
      <c r="G41" s="22" t="s">
        <v>54</v>
      </c>
      <c r="H41" s="22" t="s">
        <v>54</v>
      </c>
      <c r="J41" s="22"/>
      <c r="M41" s="16" t="s">
        <v>54</v>
      </c>
      <c r="P41" s="171" t="s">
        <v>54</v>
      </c>
      <c r="Q41" s="171" t="s">
        <v>54</v>
      </c>
      <c r="R41" s="171"/>
      <c r="T41" s="171" t="s">
        <v>54</v>
      </c>
      <c r="U41" s="172" t="s">
        <v>54</v>
      </c>
      <c r="V41" s="16" t="s">
        <v>54</v>
      </c>
      <c r="W41" s="173"/>
      <c r="X41" s="173"/>
      <c r="Y41" s="173"/>
      <c r="Z41" s="173"/>
      <c r="AA41" s="173"/>
      <c r="AB41" s="172"/>
      <c r="AC41" s="172"/>
      <c r="AD41" s="172"/>
      <c r="AE41" s="172"/>
      <c r="AF41" s="172"/>
      <c r="AG41" s="172"/>
    </row>
  </sheetData>
  <sheetProtection formatCells="0" formatRows="0" insertRows="0" deleteRows="0"/>
  <phoneticPr fontId="5" type="noConversion"/>
  <dataValidations count="3">
    <dataValidation type="list" allowBlank="1" showInputMessage="1" showErrorMessage="1" sqref="D11:D37 D41" xr:uid="{01120292-CFD5-4024-9285-AB3464112197}">
      <formula1>Interest</formula1>
    </dataValidation>
    <dataValidation type="list" allowBlank="1" showInputMessage="1" showErrorMessage="1" sqref="H41 H11:H37" xr:uid="{A46D4949-E34B-4AC6-B17A-C4158B4C1F1F}">
      <formula1>Bouwaard</formula1>
    </dataValidation>
    <dataValidation type="list" allowBlank="1" showInputMessage="1" showErrorMessage="1" sqref="I41 I11:I37" xr:uid="{A2AA30C1-EDD4-4BB8-9B89-7DAD80FA1F1F}">
      <formula1>Taxatie</formula1>
    </dataValidation>
  </dataValidations>
  <pageMargins left="0.70866141732283472" right="0.70866141732283472" top="0.74803149606299213" bottom="0.74803149606299213" header="0.31496062992125984" footer="0.31496062992125984"/>
  <pageSetup scale="81" fitToWidth="3" fitToHeight="0" orientation="landscape" horizontalDpi="1200" verticalDpi="1200" r:id="rId1"/>
  <headerFooter>
    <oddFooter>&amp;L&amp;F
Uniek nr e-ABS XXXXXXXXXXXXXXXXXXX</oddFooter>
  </headerFooter>
  <colBreaks count="2" manualBreakCount="2">
    <brk id="12" max="34" man="1"/>
    <brk id="27" max="34" man="1"/>
  </col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A77B-CA43-41E5-8C27-BBC72617EFE7}">
  <dimension ref="A1:F26"/>
  <sheetViews>
    <sheetView tabSelected="1" workbookViewId="0">
      <selection activeCell="J16" sqref="J16"/>
    </sheetView>
  </sheetViews>
  <sheetFormatPr defaultRowHeight="15" x14ac:dyDescent="0.25"/>
  <cols>
    <col min="1" max="1" width="8.5703125" customWidth="1"/>
    <col min="2" max="2" width="32.140625" bestFit="1" customWidth="1"/>
    <col min="3" max="3" width="11" bestFit="1" customWidth="1"/>
    <col min="4" max="4" width="15.5703125" bestFit="1" customWidth="1"/>
    <col min="5" max="5" width="18" bestFit="1" customWidth="1"/>
    <col min="6" max="6" width="12.42578125" bestFit="1" customWidth="1"/>
  </cols>
  <sheetData>
    <row r="1" spans="1:6" x14ac:dyDescent="0.25">
      <c r="A1" t="s">
        <v>55</v>
      </c>
    </row>
    <row r="2" spans="1:6" x14ac:dyDescent="0.25">
      <c r="A2" t="s">
        <v>16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</row>
    <row r="3" spans="1:6" x14ac:dyDescent="0.25">
      <c r="A3" s="166">
        <v>1</v>
      </c>
      <c r="B3" s="220" t="str">
        <f>IFERROR(_xlfn.XLOOKUP(Table8[[#This Row],[Sub]],Table3[Sub],Table3[Verzekerde interest]),"-")</f>
        <v>Gebouwen</v>
      </c>
      <c r="C3" t="s">
        <v>152</v>
      </c>
      <c r="D3" s="167">
        <v>44813</v>
      </c>
      <c r="E3" s="220" t="s">
        <v>193</v>
      </c>
      <c r="F3" s="167">
        <v>47005</v>
      </c>
    </row>
    <row r="4" spans="1:6" x14ac:dyDescent="0.25">
      <c r="A4" s="166">
        <v>2</v>
      </c>
      <c r="B4" s="220" t="str">
        <f>IFERROR(_xlfn.XLOOKUP(Table8[[#This Row],[Sub]],Table3[Sub],Table3[Verzekerde interest]),"-")</f>
        <v>Bedrijfsuitrusting</v>
      </c>
      <c r="C4" t="s">
        <v>152</v>
      </c>
      <c r="D4" s="167">
        <v>44804</v>
      </c>
      <c r="E4" s="220" t="s">
        <v>162</v>
      </c>
      <c r="F4" s="167">
        <v>45900</v>
      </c>
    </row>
    <row r="5" spans="1:6" x14ac:dyDescent="0.25">
      <c r="A5" s="166">
        <v>3</v>
      </c>
      <c r="B5" s="220" t="str">
        <f>IFERROR(_xlfn.XLOOKUP(Table8[[#This Row],[Sub]],Table3[Sub],Table3[Verzekerde interest]),"-")</f>
        <v>Gebouwen</v>
      </c>
      <c r="C5" t="s">
        <v>152</v>
      </c>
      <c r="D5" s="167">
        <v>44813</v>
      </c>
      <c r="E5" s="220" t="s">
        <v>199</v>
      </c>
      <c r="F5" s="167">
        <v>47005</v>
      </c>
    </row>
    <row r="6" spans="1:6" x14ac:dyDescent="0.25">
      <c r="A6" s="166">
        <v>4</v>
      </c>
      <c r="B6" s="220" t="str">
        <f>IFERROR(_xlfn.XLOOKUP(Table8[[#This Row],[Sub]],Table3[Sub],Table3[Verzekerde interest]),"-")</f>
        <v>Bedrijfsuitrusting</v>
      </c>
      <c r="C6" t="s">
        <v>152</v>
      </c>
      <c r="D6" s="167">
        <v>44803</v>
      </c>
      <c r="E6" s="220" t="s">
        <v>161</v>
      </c>
      <c r="F6" s="167">
        <v>45899</v>
      </c>
    </row>
    <row r="7" spans="1:6" x14ac:dyDescent="0.25">
      <c r="A7" s="166">
        <v>5</v>
      </c>
      <c r="B7" s="220" t="str">
        <f>IFERROR(_xlfn.XLOOKUP(Table8[[#This Row],[Sub]],Table3[Sub],Table3[Verzekerde interest]),"-")</f>
        <v>Gebouwen</v>
      </c>
      <c r="C7" t="s">
        <v>152</v>
      </c>
      <c r="D7" s="167">
        <v>44813</v>
      </c>
      <c r="E7" s="220" t="s">
        <v>197</v>
      </c>
      <c r="F7" s="167">
        <v>47005</v>
      </c>
    </row>
    <row r="8" spans="1:6" x14ac:dyDescent="0.25">
      <c r="A8" s="166">
        <v>6</v>
      </c>
      <c r="B8" s="220" t="str">
        <f>IFERROR(_xlfn.XLOOKUP(Table8[[#This Row],[Sub]],Table3[Sub],Table3[Verzekerde interest]),"-")</f>
        <v>Bedrijfsuitrusting</v>
      </c>
      <c r="C8" t="s">
        <v>152</v>
      </c>
      <c r="D8" s="167">
        <v>44811</v>
      </c>
      <c r="E8" s="220" t="s">
        <v>157</v>
      </c>
      <c r="F8" s="167">
        <v>45907</v>
      </c>
    </row>
    <row r="9" spans="1:6" x14ac:dyDescent="0.25">
      <c r="A9" s="166">
        <v>7</v>
      </c>
      <c r="B9" s="220" t="str">
        <f>IFERROR(_xlfn.XLOOKUP(Table8[[#This Row],[Sub]],Table3[Sub],Table3[Verzekerde interest]),"-")</f>
        <v>Gebouwen</v>
      </c>
      <c r="C9" t="s">
        <v>152</v>
      </c>
      <c r="D9" s="167">
        <v>44813</v>
      </c>
      <c r="E9" s="220" t="s">
        <v>160</v>
      </c>
      <c r="F9" s="167">
        <v>47005</v>
      </c>
    </row>
    <row r="10" spans="1:6" x14ac:dyDescent="0.25">
      <c r="A10" s="166">
        <v>8</v>
      </c>
      <c r="B10" s="220" t="str">
        <f>IFERROR(_xlfn.XLOOKUP(Table8[[#This Row],[Sub]],Table3[Sub],Table3[Verzekerde interest]),"-")</f>
        <v>Bedrijfsuitrusting</v>
      </c>
      <c r="C10" t="s">
        <v>152</v>
      </c>
      <c r="D10" s="167">
        <v>44797</v>
      </c>
      <c r="E10" s="220" t="s">
        <v>160</v>
      </c>
      <c r="F10" s="167">
        <v>45893</v>
      </c>
    </row>
    <row r="11" spans="1:6" x14ac:dyDescent="0.25">
      <c r="A11" s="166">
        <v>9</v>
      </c>
      <c r="B11" s="220" t="str">
        <f>IFERROR(_xlfn.XLOOKUP(Table8[[#This Row],[Sub]],Table3[Sub],Table3[Verzekerde interest]),"-")</f>
        <v>Gebouwen</v>
      </c>
      <c r="C11" t="s">
        <v>152</v>
      </c>
      <c r="D11" s="167">
        <v>44818</v>
      </c>
      <c r="E11" s="220" t="s">
        <v>196</v>
      </c>
      <c r="F11" s="167">
        <v>47010</v>
      </c>
    </row>
    <row r="12" spans="1:6" x14ac:dyDescent="0.25">
      <c r="A12" s="166">
        <v>10</v>
      </c>
      <c r="B12" s="220" t="str">
        <f>IFERROR(_xlfn.XLOOKUP(Table8[[#This Row],[Sub]],Table3[Sub],Table3[Verzekerde interest]),"-")</f>
        <v>Bedrijfsuitrusting</v>
      </c>
      <c r="C12" t="s">
        <v>152</v>
      </c>
      <c r="D12" s="167">
        <v>44804</v>
      </c>
      <c r="E12" s="220" t="s">
        <v>163</v>
      </c>
      <c r="F12" s="167">
        <v>45900</v>
      </c>
    </row>
    <row r="13" spans="1:6" x14ac:dyDescent="0.25">
      <c r="A13" s="166">
        <v>11</v>
      </c>
      <c r="B13" s="220" t="str">
        <f>IFERROR(_xlfn.XLOOKUP(Table8[[#This Row],[Sub]],Table3[Sub],Table3[Verzekerde interest]),"-")</f>
        <v>Gebouwen</v>
      </c>
      <c r="C13" t="s">
        <v>152</v>
      </c>
      <c r="D13" s="167">
        <v>44813</v>
      </c>
      <c r="E13" s="220" t="s">
        <v>198</v>
      </c>
      <c r="F13" s="167">
        <v>47005</v>
      </c>
    </row>
    <row r="14" spans="1:6" x14ac:dyDescent="0.25">
      <c r="A14" s="166">
        <v>12</v>
      </c>
      <c r="B14" s="220" t="str">
        <f>IFERROR(_xlfn.XLOOKUP(Table8[[#This Row],[Sub]],Table3[Sub],Table3[Verzekerde interest]),"-")</f>
        <v>Bedrijfsuitrusting</v>
      </c>
      <c r="C14" t="s">
        <v>152</v>
      </c>
      <c r="D14" s="167">
        <v>44809</v>
      </c>
      <c r="E14" s="220" t="s">
        <v>156</v>
      </c>
      <c r="F14" s="167">
        <v>45905</v>
      </c>
    </row>
    <row r="15" spans="1:6" x14ac:dyDescent="0.25">
      <c r="A15" s="166">
        <v>13</v>
      </c>
      <c r="B15" s="220" t="str">
        <f>IFERROR(_xlfn.XLOOKUP(Table8[[#This Row],[Sub]],Table3[Sub],Table3[Verzekerde interest]),"-")</f>
        <v>Bedrijfsuitrusting</v>
      </c>
      <c r="C15" t="s">
        <v>152</v>
      </c>
      <c r="D15" s="167">
        <v>44725</v>
      </c>
      <c r="E15" s="220" t="s">
        <v>164</v>
      </c>
      <c r="F15" s="167">
        <v>45821</v>
      </c>
    </row>
    <row r="16" spans="1:6" x14ac:dyDescent="0.25">
      <c r="A16" s="166">
        <v>14</v>
      </c>
      <c r="B16" s="220" t="str">
        <f>IFERROR(_xlfn.XLOOKUP(Table8[[#This Row],[Sub]],Table3[Sub],Table3[Verzekerde interest]),"-")</f>
        <v>Gebouwen</v>
      </c>
      <c r="C16" t="s">
        <v>152</v>
      </c>
      <c r="D16" s="167">
        <v>44818</v>
      </c>
      <c r="E16" s="220" t="s">
        <v>195</v>
      </c>
      <c r="F16" s="167">
        <v>47010</v>
      </c>
    </row>
    <row r="17" spans="1:6" x14ac:dyDescent="0.25">
      <c r="A17" s="166">
        <v>15</v>
      </c>
      <c r="B17" s="220" t="str">
        <f>IFERROR(_xlfn.XLOOKUP(Table8[[#This Row],[Sub]],Table3[Sub],Table3[Verzekerde interest]),"-")</f>
        <v>Bedrijfsuitrusting</v>
      </c>
      <c r="C17" t="s">
        <v>152</v>
      </c>
      <c r="D17" s="167">
        <v>44799</v>
      </c>
      <c r="E17" s="220" t="s">
        <v>158</v>
      </c>
      <c r="F17" s="167">
        <v>45895</v>
      </c>
    </row>
    <row r="18" spans="1:6" x14ac:dyDescent="0.25">
      <c r="A18" s="166">
        <v>16</v>
      </c>
      <c r="B18" s="220" t="str">
        <f>IFERROR(_xlfn.XLOOKUP(Table8[[#This Row],[Sub]],Table3[Sub],Table3[Verzekerde interest]),"-")</f>
        <v>Bedrijfsuitrusting</v>
      </c>
      <c r="C18" t="s">
        <v>152</v>
      </c>
      <c r="D18" s="167">
        <v>44799</v>
      </c>
      <c r="E18" s="220" t="s">
        <v>159</v>
      </c>
      <c r="F18" s="167">
        <v>45895</v>
      </c>
    </row>
    <row r="19" spans="1:6" x14ac:dyDescent="0.25">
      <c r="A19">
        <v>17</v>
      </c>
      <c r="B19" s="220" t="str">
        <f>IFERROR(_xlfn.XLOOKUP(Table8[[#This Row],[Sub]],Table3[Sub],Table3[Verzekerde interest]),"-")</f>
        <v>Bedrijfsuitrusting</v>
      </c>
      <c r="C19" t="s">
        <v>152</v>
      </c>
      <c r="D19" s="167">
        <v>44725</v>
      </c>
      <c r="E19" s="220" t="s">
        <v>155</v>
      </c>
      <c r="F19" s="167">
        <v>45821</v>
      </c>
    </row>
    <row r="20" spans="1:6" x14ac:dyDescent="0.25">
      <c r="A20" s="166">
        <v>18</v>
      </c>
      <c r="B20" s="220" t="str">
        <f>IFERROR(_xlfn.XLOOKUP(Table8[[#This Row],[Sub]],Table3[Sub],Table3[Verzekerde interest]),"-")</f>
        <v>Bedrijfsuitrusting</v>
      </c>
      <c r="C20" t="s">
        <v>152</v>
      </c>
      <c r="D20" s="167">
        <v>44725</v>
      </c>
      <c r="E20" s="220" t="s">
        <v>154</v>
      </c>
      <c r="F20" s="167">
        <v>45821</v>
      </c>
    </row>
    <row r="21" spans="1:6" x14ac:dyDescent="0.25">
      <c r="A21" s="166">
        <v>19</v>
      </c>
      <c r="B21" s="220" t="str">
        <f>IFERROR(_xlfn.XLOOKUP(Table8[[#This Row],[Sub]],Table3[Sub],Table3[Verzekerde interest]),"-")</f>
        <v>Bedrijfsuitrusting</v>
      </c>
      <c r="C21" t="s">
        <v>152</v>
      </c>
      <c r="D21" s="167">
        <v>44724</v>
      </c>
      <c r="E21" s="220" t="s">
        <v>153</v>
      </c>
      <c r="F21" s="167">
        <v>45820</v>
      </c>
    </row>
    <row r="22" spans="1:6" x14ac:dyDescent="0.25">
      <c r="A22" s="166">
        <v>20</v>
      </c>
      <c r="B22" s="220" t="str">
        <f>IFERROR(_xlfn.XLOOKUP(Table8[[#This Row],[Sub]],Table3[Sub],Table3[Verzekerde interest]),"-")</f>
        <v>Bedrijfsuitrusting</v>
      </c>
      <c r="C22" t="s">
        <v>152</v>
      </c>
      <c r="D22" s="167">
        <v>44811</v>
      </c>
      <c r="E22" s="220" t="s">
        <v>151</v>
      </c>
      <c r="F22" s="167">
        <v>45907</v>
      </c>
    </row>
    <row r="23" spans="1:6" x14ac:dyDescent="0.25">
      <c r="A23" s="166">
        <v>21</v>
      </c>
      <c r="B23" s="220" t="str">
        <f>IFERROR(_xlfn.XLOOKUP(Table8[[#This Row],[Sub]],Table3[Sub],Table3[Verzekerde interest]),"-")</f>
        <v>Bedrijfsuitrusting</v>
      </c>
      <c r="C23" t="s">
        <v>149</v>
      </c>
      <c r="D23" s="167">
        <v>44825</v>
      </c>
      <c r="E23" s="220" t="s">
        <v>150</v>
      </c>
      <c r="F23" s="167">
        <v>45921</v>
      </c>
    </row>
    <row r="24" spans="1:6" x14ac:dyDescent="0.25">
      <c r="A24" s="166">
        <v>22</v>
      </c>
      <c r="B24" s="220" t="str">
        <f>IFERROR(_xlfn.XLOOKUP(Table8[[#This Row],[Sub]],Table3[Sub],Table3[Verzekerde interest]),"-")</f>
        <v>Huurdersbelang</v>
      </c>
      <c r="C24" t="s">
        <v>152</v>
      </c>
      <c r="D24" s="167">
        <v>44725</v>
      </c>
      <c r="E24" s="220" t="s">
        <v>154</v>
      </c>
      <c r="F24" s="167">
        <v>45821</v>
      </c>
    </row>
    <row r="25" spans="1:6" x14ac:dyDescent="0.25">
      <c r="A25">
        <v>23</v>
      </c>
      <c r="B25" s="220" t="str">
        <f>IFERROR(_xlfn.XLOOKUP(Table8[[#This Row],[Sub]],Table3[Sub],Table3[Verzekerde interest]),"-")</f>
        <v>Huurdersbelang</v>
      </c>
      <c r="C25" t="s">
        <v>152</v>
      </c>
      <c r="D25" s="167">
        <v>44725</v>
      </c>
      <c r="E25" s="220" t="s">
        <v>155</v>
      </c>
      <c r="F25" s="167">
        <v>45821</v>
      </c>
    </row>
    <row r="26" spans="1:6" x14ac:dyDescent="0.25">
      <c r="A26" s="166">
        <v>24</v>
      </c>
      <c r="B26" s="220" t="str">
        <f>IFERROR(_xlfn.XLOOKUP(Table8[[#This Row],[Sub]],Table3[Sub],Table3[Verzekerde interest]),"-")</f>
        <v>Huurdersbelang</v>
      </c>
      <c r="C26" t="s">
        <v>152</v>
      </c>
      <c r="D26" s="167">
        <v>44725</v>
      </c>
      <c r="E26" s="220" t="s">
        <v>164</v>
      </c>
      <c r="F26" s="167">
        <v>45821</v>
      </c>
    </row>
  </sheetData>
  <dataValidations count="1">
    <dataValidation type="list" allowBlank="1" showInputMessage="1" showErrorMessage="1" sqref="B3:B26" xr:uid="{35E0CAF5-70B5-4885-AD2B-3E90160A17FD}">
      <formula1>Interest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&amp;L&amp;F
Uniek nr e-ABS XXXXXXXXXXXXXXXXXXX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9570-CFC6-457E-96CC-23459DF77E6F}">
  <sheetPr>
    <pageSetUpPr fitToPage="1"/>
  </sheetPr>
  <dimension ref="A1:AG38"/>
  <sheetViews>
    <sheetView zoomScale="85" zoomScaleNormal="85" workbookViewId="0">
      <selection activeCell="B18" sqref="B18"/>
    </sheetView>
  </sheetViews>
  <sheetFormatPr defaultRowHeight="15" x14ac:dyDescent="0.25"/>
  <cols>
    <col min="1" max="1" width="36.42578125" style="55" bestFit="1" customWidth="1"/>
    <col min="2" max="2" width="89.28515625" style="55" bestFit="1" customWidth="1"/>
    <col min="3" max="3" width="13.28515625" style="55" bestFit="1" customWidth="1"/>
    <col min="4" max="4" width="17.28515625" style="55" customWidth="1"/>
    <col min="5" max="5" width="16.42578125" style="55" bestFit="1" customWidth="1"/>
    <col min="6" max="7" width="15.42578125" style="55" bestFit="1" customWidth="1"/>
    <col min="8" max="8" width="12.85546875" style="55" bestFit="1" customWidth="1"/>
    <col min="9" max="9" width="12.7109375" style="55" bestFit="1" customWidth="1"/>
    <col min="10" max="10" width="16.42578125" style="55" bestFit="1" customWidth="1"/>
    <col min="11" max="11" width="15.85546875" style="55" customWidth="1"/>
    <col min="12" max="12" width="14" style="55" bestFit="1" customWidth="1"/>
    <col min="13" max="13" width="12.42578125" style="55" bestFit="1" customWidth="1"/>
    <col min="14" max="14" width="12" style="55" customWidth="1"/>
    <col min="15" max="15" width="13.85546875" style="55" bestFit="1" customWidth="1"/>
    <col min="16" max="16" width="15.85546875" style="55" bestFit="1" customWidth="1"/>
    <col min="17" max="20" width="20.140625" style="55" customWidth="1"/>
    <col min="21" max="21" width="20.140625" customWidth="1"/>
    <col min="22" max="23" width="18.140625" bestFit="1" customWidth="1"/>
    <col min="24" max="24" width="21.7109375" style="55" bestFit="1" customWidth="1"/>
    <col min="25" max="25" width="22.28515625" style="55" bestFit="1" customWidth="1"/>
    <col min="26" max="26" width="23.85546875" style="55" bestFit="1" customWidth="1"/>
    <col min="27" max="28" width="19.28515625" style="55" bestFit="1" customWidth="1"/>
    <col min="29" max="29" width="21.7109375" style="55" bestFit="1" customWidth="1"/>
    <col min="30" max="30" width="22.28515625" style="55" bestFit="1" customWidth="1"/>
    <col min="31" max="31" width="23.85546875" style="55" bestFit="1" customWidth="1"/>
    <col min="32" max="33" width="12" style="55" customWidth="1"/>
  </cols>
  <sheetData>
    <row r="1" spans="1:33" x14ac:dyDescent="0.25">
      <c r="A1" s="50" t="s">
        <v>61</v>
      </c>
      <c r="B1" s="51"/>
      <c r="C1" s="51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1"/>
      <c r="V1" s="51"/>
      <c r="W1" s="51"/>
      <c r="X1" s="51"/>
      <c r="Y1" s="51"/>
      <c r="Z1" s="51"/>
      <c r="AA1" s="52"/>
      <c r="AB1" s="52"/>
      <c r="AC1" s="52"/>
      <c r="AD1" s="52"/>
      <c r="AE1" s="52"/>
      <c r="AF1" s="53"/>
      <c r="AG1" s="54"/>
    </row>
    <row r="2" spans="1:33" x14ac:dyDescent="0.25">
      <c r="A2" s="12" t="str">
        <f>Overzicht!A2</f>
        <v>Polisnummer</v>
      </c>
      <c r="B2" s="53" t="str">
        <f>Overzicht!B2</f>
        <v>B0100010124-0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</row>
    <row r="3" spans="1:33" x14ac:dyDescent="0.25">
      <c r="A3" s="12" t="str">
        <f>Overzicht!A3</f>
        <v>Verzekeringsnemer</v>
      </c>
      <c r="B3" s="53" t="str">
        <f>Overzicht!B3</f>
        <v>Amsterdamse Hogeschool vd Kunsten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4"/>
    </row>
    <row r="4" spans="1:33" ht="15.75" thickBot="1" x14ac:dyDescent="0.3">
      <c r="A4" s="12" t="str">
        <f>Overzicht!A4</f>
        <v>VNAB-nummer</v>
      </c>
      <c r="B4" s="53">
        <f>Overzicht!B4</f>
        <v>542716609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</row>
    <row r="5" spans="1:33" ht="15.75" thickBot="1" x14ac:dyDescent="0.3">
      <c r="A5" s="56" t="s">
        <v>62</v>
      </c>
      <c r="B5" s="57" t="s">
        <v>63</v>
      </c>
      <c r="C5" s="57" t="s">
        <v>15</v>
      </c>
      <c r="D5" s="57" t="s">
        <v>16</v>
      </c>
      <c r="E5" s="298" t="s">
        <v>64</v>
      </c>
      <c r="F5" s="298"/>
      <c r="G5" s="298"/>
      <c r="H5" s="298"/>
      <c r="I5" s="298"/>
      <c r="J5" s="298"/>
      <c r="K5" s="298"/>
      <c r="L5" s="142" t="s">
        <v>65</v>
      </c>
      <c r="M5" s="58" t="s">
        <v>66</v>
      </c>
      <c r="N5" s="58" t="s">
        <v>67</v>
      </c>
      <c r="O5" s="58" t="s">
        <v>68</v>
      </c>
      <c r="P5" s="143" t="s">
        <v>69</v>
      </c>
      <c r="Q5" s="299" t="s">
        <v>70</v>
      </c>
      <c r="R5" s="300"/>
      <c r="S5" s="300"/>
      <c r="T5" s="300"/>
      <c r="U5" s="301"/>
      <c r="V5" s="302" t="s">
        <v>71</v>
      </c>
      <c r="W5" s="302"/>
      <c r="X5" s="302"/>
      <c r="Y5" s="302"/>
      <c r="Z5" s="302"/>
      <c r="AA5" s="303" t="s">
        <v>72</v>
      </c>
      <c r="AB5" s="303"/>
      <c r="AC5" s="303"/>
      <c r="AD5" s="303"/>
      <c r="AE5" s="303"/>
      <c r="AF5" s="303"/>
      <c r="AG5" s="304"/>
    </row>
    <row r="6" spans="1:33" x14ac:dyDescent="0.25">
      <c r="A6" s="59"/>
      <c r="B6" s="60"/>
      <c r="C6" s="60"/>
      <c r="D6" s="60"/>
      <c r="E6" s="61"/>
      <c r="F6" s="61"/>
      <c r="G6" s="61"/>
      <c r="H6" s="61"/>
      <c r="I6" s="61"/>
      <c r="J6" s="61"/>
      <c r="K6" s="138"/>
      <c r="L6" s="144"/>
      <c r="M6" s="62"/>
      <c r="N6" s="62"/>
      <c r="O6" s="62"/>
      <c r="P6" s="145"/>
      <c r="Q6" s="67"/>
      <c r="R6" s="63"/>
      <c r="S6" s="63"/>
      <c r="T6" s="63"/>
      <c r="U6" s="64"/>
      <c r="V6" s="65" t="str">
        <f>Specificatie!W6</f>
        <v>XL Insurance SE</v>
      </c>
      <c r="W6" s="63" t="str">
        <f>Specificatie!X6</f>
        <v>Allianz Nederland</v>
      </c>
      <c r="X6" s="63" t="str">
        <f>Specificatie!Y6</f>
        <v>ERGO Versicherung AG</v>
      </c>
      <c r="Y6" s="63" t="str">
        <f>Specificatie!Z6</f>
        <v>Nationale Nederlanden</v>
      </c>
      <c r="Z6" s="63" t="str">
        <f>Specificatie!AA6</f>
        <v>Veerhaven Assuradeuren</v>
      </c>
      <c r="AA6" s="67" t="str">
        <f>Specificatie!W6</f>
        <v>XL Insurance SE</v>
      </c>
      <c r="AB6" s="63" t="str">
        <f>Specificatie!X6</f>
        <v>Allianz Nederland</v>
      </c>
      <c r="AC6" s="63" t="str">
        <f>Specificatie!Y6</f>
        <v>ERGO Versicherung AG</v>
      </c>
      <c r="AD6" s="63" t="str">
        <f>Specificatie!Z6</f>
        <v>Nationale Nederlanden</v>
      </c>
      <c r="AE6" s="63" t="str">
        <f>Specificatie!AA6</f>
        <v>Veerhaven Assuradeuren</v>
      </c>
      <c r="AF6" s="63"/>
      <c r="AG6" s="66"/>
    </row>
    <row r="7" spans="1:33" x14ac:dyDescent="0.25">
      <c r="A7" s="68"/>
      <c r="B7" s="69"/>
      <c r="C7" s="69"/>
      <c r="D7" s="70"/>
      <c r="E7" s="69"/>
      <c r="F7" s="70"/>
      <c r="G7" s="70"/>
      <c r="H7" s="70"/>
      <c r="I7" s="70"/>
      <c r="J7" s="69"/>
      <c r="K7" s="139"/>
      <c r="L7" s="68"/>
      <c r="M7" s="71"/>
      <c r="N7" s="71"/>
      <c r="O7" s="71"/>
      <c r="P7" s="76"/>
      <c r="Q7" s="140"/>
      <c r="R7" s="70"/>
      <c r="S7" s="70"/>
      <c r="T7" s="70"/>
      <c r="U7" s="72"/>
      <c r="V7" s="73">
        <f>Specificatie!W9</f>
        <v>0.4</v>
      </c>
      <c r="W7" s="74">
        <f>Specificatie!X9</f>
        <v>0.25</v>
      </c>
      <c r="X7" s="74">
        <f>Specificatie!Y9</f>
        <v>0.15</v>
      </c>
      <c r="Y7" s="74">
        <f>Specificatie!Z9</f>
        <v>0.125</v>
      </c>
      <c r="Z7" s="74">
        <f>Specificatie!AA9</f>
        <v>7.4999999999999997E-2</v>
      </c>
      <c r="AA7" s="75"/>
      <c r="AB7" s="71"/>
      <c r="AC7" s="71"/>
      <c r="AD7" s="71"/>
      <c r="AE7" s="71"/>
      <c r="AF7" s="71" t="s">
        <v>73</v>
      </c>
      <c r="AG7" s="76"/>
    </row>
    <row r="8" spans="1:33" ht="28.5" x14ac:dyDescent="0.25">
      <c r="A8" s="77" t="s">
        <v>62</v>
      </c>
      <c r="B8" s="168" t="s">
        <v>74</v>
      </c>
      <c r="C8" s="168" t="s">
        <v>15</v>
      </c>
      <c r="D8" s="78" t="s">
        <v>75</v>
      </c>
      <c r="E8" s="79" t="s">
        <v>76</v>
      </c>
      <c r="F8" s="78" t="s">
        <v>77</v>
      </c>
      <c r="G8" s="78" t="s">
        <v>78</v>
      </c>
      <c r="H8" s="78" t="s">
        <v>79</v>
      </c>
      <c r="I8" s="78" t="s">
        <v>80</v>
      </c>
      <c r="J8" s="78" t="s">
        <v>81</v>
      </c>
      <c r="K8" s="80" t="s">
        <v>82</v>
      </c>
      <c r="L8" s="77" t="s">
        <v>65</v>
      </c>
      <c r="M8" s="81" t="s">
        <v>66</v>
      </c>
      <c r="N8" s="81" t="s">
        <v>67</v>
      </c>
      <c r="O8" s="81" t="s">
        <v>68</v>
      </c>
      <c r="P8" s="86" t="s">
        <v>69</v>
      </c>
      <c r="Q8" s="141" t="s">
        <v>83</v>
      </c>
      <c r="R8" s="78" t="s">
        <v>84</v>
      </c>
      <c r="S8" s="78" t="s">
        <v>85</v>
      </c>
      <c r="T8" s="78" t="s">
        <v>86</v>
      </c>
      <c r="U8" s="82" t="s">
        <v>73</v>
      </c>
      <c r="V8" s="83" t="s">
        <v>32</v>
      </c>
      <c r="W8" s="84" t="s">
        <v>33</v>
      </c>
      <c r="X8" s="84" t="s">
        <v>34</v>
      </c>
      <c r="Y8" s="84" t="s">
        <v>35</v>
      </c>
      <c r="Z8" s="84" t="s">
        <v>36</v>
      </c>
      <c r="AA8" s="85" t="s">
        <v>87</v>
      </c>
      <c r="AB8" s="84" t="s">
        <v>88</v>
      </c>
      <c r="AC8" s="84" t="s">
        <v>89</v>
      </c>
      <c r="AD8" s="84" t="s">
        <v>90</v>
      </c>
      <c r="AE8" s="84" t="s">
        <v>91</v>
      </c>
      <c r="AF8" s="81" t="s">
        <v>92</v>
      </c>
      <c r="AG8" s="86" t="s">
        <v>93</v>
      </c>
    </row>
    <row r="9" spans="1:33" x14ac:dyDescent="0.25">
      <c r="A9" s="240" t="str">
        <f>IFERROR(_xlfn.XLOOKUP(D9,Specificatie!C:C,Specificatie!A:A),"-")</f>
        <v>Amsterdamse Hogeschool vd Kunsten</v>
      </c>
      <c r="B9" s="223" t="s">
        <v>189</v>
      </c>
      <c r="C9" s="222">
        <f>IFERROR(_xlfn.XLOOKUP(Table4[[#This Row],[Subnummer]],Table3[Sub],Table3[Certificaat]),"-")</f>
        <v>0</v>
      </c>
      <c r="D9" s="241">
        <v>13</v>
      </c>
      <c r="E9" s="242">
        <f>IFERROR(_xlfn.XLOOKUP(Table4[[#This Row],[Subnummer]],Table3[Sub],Table3[Verz. Waarde Oud:]),0)</f>
        <v>86000</v>
      </c>
      <c r="F9" s="229">
        <v>0</v>
      </c>
      <c r="G9" s="229">
        <v>0</v>
      </c>
      <c r="H9" s="229">
        <v>41000</v>
      </c>
      <c r="I9" s="229">
        <v>0</v>
      </c>
      <c r="J9" s="229">
        <f t="shared" ref="J9:J35" si="0">E9+F9+G9-H9-I9</f>
        <v>45000</v>
      </c>
      <c r="K9" s="243">
        <f t="shared" ref="K9:K35" si="1">J9-E9</f>
        <v>-41000</v>
      </c>
      <c r="L9" s="231">
        <v>44725</v>
      </c>
      <c r="M9" s="232">
        <v>44725</v>
      </c>
      <c r="N9" s="244">
        <f t="shared" ref="N9:N35" si="2">M9-L9</f>
        <v>0</v>
      </c>
      <c r="O9" s="222">
        <v>365</v>
      </c>
      <c r="P9" s="234" t="s">
        <v>94</v>
      </c>
      <c r="Q9" s="245">
        <f t="shared" ref="Q9:Q32" si="3">F9*N9/O9</f>
        <v>0</v>
      </c>
      <c r="R9" s="229" cm="1">
        <f t="array" ref="R9">_xlfn.IFS($P9="Nee",G9*$N9/$O9,$P9="Ja",G9*0.5)</f>
        <v>0</v>
      </c>
      <c r="S9" s="229" cm="1">
        <f t="array" ref="S9">_xlfn.IFS($P9="Nee",-(H9*$N9/$O9),$P9="Ja",-(H9*0.5))</f>
        <v>0</v>
      </c>
      <c r="T9" s="229">
        <f t="shared" ref="T9:T32" si="4">-I9*N9/O9</f>
        <v>0</v>
      </c>
      <c r="U9" s="246">
        <f t="shared" ref="U9:U32" si="5">SUM(Q9:T9)</f>
        <v>0</v>
      </c>
      <c r="V9" s="247">
        <f>IFERROR(_xlfn.XLOOKUP(Table4[[#This Row],[Subnummer]],Table3[Sub],Table3[Promillage 1]),0)</f>
        <v>0.65</v>
      </c>
      <c r="W9" s="248">
        <f>IFERROR(_xlfn.XLOOKUP(Table4[[#This Row],[Subnummer]],Table3[Sub],Table3[Promillage 2]),0)</f>
        <v>0.7</v>
      </c>
      <c r="X9" s="248">
        <f>IFERROR(_xlfn.XLOOKUP(Table4[[#This Row],[Subnummer]],Table3[Sub],Table3[Promillage 3]),0)</f>
        <v>0.747</v>
      </c>
      <c r="Y9" s="248">
        <f>IFERROR(_xlfn.XLOOKUP(Table4[[#This Row],[Subnummer]],Table3[Sub],Table3[Promillage 4]),0)</f>
        <v>0.75</v>
      </c>
      <c r="Z9" s="248">
        <f>IFERROR(_xlfn.XLOOKUP(Table4[[#This Row],[Subnummer]],Table3[Sub],Table3[Promillage 5]),0)</f>
        <v>0.82</v>
      </c>
      <c r="AA9" s="249">
        <f t="shared" ref="AA9:AA32" si="6">$U9*V9/1000*V$7</f>
        <v>0</v>
      </c>
      <c r="AB9" s="229">
        <f t="shared" ref="AB9:AB32" si="7">$U9*W9/1000*W$7</f>
        <v>0</v>
      </c>
      <c r="AC9" s="229">
        <f t="shared" ref="AC9:AC32" si="8">$U9*X9/1000*X$7</f>
        <v>0</v>
      </c>
      <c r="AD9" s="229">
        <f t="shared" ref="AD9:AD32" si="9">$U9*Y9/1000*Y$7</f>
        <v>0</v>
      </c>
      <c r="AE9" s="229">
        <f t="shared" ref="AE9:AE32" si="10">$U9*Z9/1000*Z$7</f>
        <v>0</v>
      </c>
      <c r="AF9" s="229">
        <f t="shared" ref="AF9:AF32" si="11">SUM(AA9:AE9)</f>
        <v>0</v>
      </c>
      <c r="AG9" s="250" t="str" cm="1">
        <f t="array" ref="AG9">_xlfn.IFS(AF9=0,"Nihil",AF9&gt;0,"Suppletie",AF9&lt;0,"Restitutie")</f>
        <v>Nihil</v>
      </c>
    </row>
    <row r="10" spans="1:33" x14ac:dyDescent="0.25">
      <c r="A10" s="254" t="str">
        <f>IFERROR(_xlfn.XLOOKUP(D10,Specificatie!C:C,Specificatie!A:A),"-")</f>
        <v>Amsterdamse Hogeschool vd Kunsten</v>
      </c>
      <c r="B10" s="224" t="s">
        <v>190</v>
      </c>
      <c r="C10" s="255">
        <f>IFERROR(_xlfn.XLOOKUP(Table4[[#This Row],[Subnummer]],Table3[Sub],Table3[Certificaat]),"-")</f>
        <v>0</v>
      </c>
      <c r="D10" s="275">
        <v>17</v>
      </c>
      <c r="E10" s="256">
        <f>IFERROR(_xlfn.XLOOKUP(Table4[[#This Row],[Subnummer]],Table3[Sub],Table3[Verz. Waarde Oud:]),0)</f>
        <v>0</v>
      </c>
      <c r="F10" s="257">
        <v>135000</v>
      </c>
      <c r="G10" s="258">
        <v>0</v>
      </c>
      <c r="H10" s="258">
        <v>0</v>
      </c>
      <c r="I10" s="258">
        <v>0</v>
      </c>
      <c r="J10" s="258">
        <f t="shared" si="0"/>
        <v>135000</v>
      </c>
      <c r="K10" s="267">
        <f t="shared" si="1"/>
        <v>135000</v>
      </c>
      <c r="L10" s="259">
        <v>44725</v>
      </c>
      <c r="M10" s="260">
        <v>44725</v>
      </c>
      <c r="N10" s="268">
        <f t="shared" si="2"/>
        <v>0</v>
      </c>
      <c r="O10" s="255">
        <v>365</v>
      </c>
      <c r="P10" s="261" t="s">
        <v>94</v>
      </c>
      <c r="Q10" s="262">
        <f t="shared" si="3"/>
        <v>0</v>
      </c>
      <c r="R10" s="258" cm="1">
        <f t="array" ref="R10">_xlfn.IFS($P10="Nee",G10*$N10/$O10,$P10="Ja",G10*0.5)</f>
        <v>0</v>
      </c>
      <c r="S10" s="258" cm="1">
        <f t="array" ref="S10">_xlfn.IFS($P10="Nee",-(H10*$N10/$O10),$P10="Ja",-(H10*0.5))</f>
        <v>0</v>
      </c>
      <c r="T10" s="258">
        <f t="shared" si="4"/>
        <v>0</v>
      </c>
      <c r="U10" s="263">
        <f t="shared" si="5"/>
        <v>0</v>
      </c>
      <c r="V10" s="264">
        <f>IFERROR(_xlfn.XLOOKUP(Table4[[#This Row],[Subnummer]],Table3[Sub],Table3[Promillage 1]),0)</f>
        <v>0.65</v>
      </c>
      <c r="W10" s="265">
        <f>IFERROR(_xlfn.XLOOKUP(Table4[[#This Row],[Subnummer]],Table3[Sub],Table3[Promillage 2]),0)</f>
        <v>0.7</v>
      </c>
      <c r="X10" s="265">
        <f>IFERROR(_xlfn.XLOOKUP(Table4[[#This Row],[Subnummer]],Table3[Sub],Table3[Promillage 3]),0)</f>
        <v>0.747</v>
      </c>
      <c r="Y10" s="265">
        <f>IFERROR(_xlfn.XLOOKUP(Table4[[#This Row],[Subnummer]],Table3[Sub],Table3[Promillage 4]),0)</f>
        <v>0.75</v>
      </c>
      <c r="Z10" s="265">
        <f>IFERROR(_xlfn.XLOOKUP(Table4[[#This Row],[Subnummer]],Table3[Sub],Table3[Promillage 5]),0)</f>
        <v>0.82</v>
      </c>
      <c r="AA10" s="279">
        <f t="shared" si="6"/>
        <v>0</v>
      </c>
      <c r="AB10" s="258">
        <f t="shared" si="7"/>
        <v>0</v>
      </c>
      <c r="AC10" s="258">
        <f t="shared" si="8"/>
        <v>0</v>
      </c>
      <c r="AD10" s="258">
        <f t="shared" si="9"/>
        <v>0</v>
      </c>
      <c r="AE10" s="258">
        <f t="shared" si="10"/>
        <v>0</v>
      </c>
      <c r="AF10" s="258">
        <f t="shared" si="11"/>
        <v>0</v>
      </c>
      <c r="AG10" s="266" t="str" cm="1">
        <f t="array" ref="AG10">_xlfn.IFS(AF10=0,"Nihil",AF10&gt;0,"Suppletie",AF10&lt;0,"Restitutie")</f>
        <v>Nihil</v>
      </c>
    </row>
    <row r="11" spans="1:33" x14ac:dyDescent="0.25">
      <c r="A11" s="254" t="str">
        <f>IFERROR(_xlfn.XLOOKUP(D11,Specificatie!C:C,Specificatie!A:A),"-")</f>
        <v>Amsterdamse Hogeschool vd Kunsten</v>
      </c>
      <c r="B11" s="224" t="s">
        <v>190</v>
      </c>
      <c r="C11" s="255">
        <f>IFERROR(_xlfn.XLOOKUP(Table4[[#This Row],[Subnummer]],Table3[Sub],Table3[Certificaat]),"-")</f>
        <v>0</v>
      </c>
      <c r="D11" s="275">
        <v>18</v>
      </c>
      <c r="E11" s="256">
        <f>IFERROR(_xlfn.XLOOKUP(Table4[[#This Row],[Subnummer]],Table3[Sub],Table3[Verz. Waarde Oud:]),0)</f>
        <v>0</v>
      </c>
      <c r="F11" s="257">
        <v>410000</v>
      </c>
      <c r="G11" s="258">
        <v>0</v>
      </c>
      <c r="H11" s="258">
        <v>0</v>
      </c>
      <c r="I11" s="258">
        <v>0</v>
      </c>
      <c r="J11" s="258">
        <f t="shared" si="0"/>
        <v>410000</v>
      </c>
      <c r="K11" s="267">
        <f t="shared" si="1"/>
        <v>410000</v>
      </c>
      <c r="L11" s="259">
        <v>44725</v>
      </c>
      <c r="M11" s="260">
        <v>44725</v>
      </c>
      <c r="N11" s="268">
        <f t="shared" si="2"/>
        <v>0</v>
      </c>
      <c r="O11" s="255">
        <v>365</v>
      </c>
      <c r="P11" s="261" t="s">
        <v>94</v>
      </c>
      <c r="Q11" s="262">
        <f t="shared" si="3"/>
        <v>0</v>
      </c>
      <c r="R11" s="258" cm="1">
        <f t="array" ref="R11">_xlfn.IFS($P11="Nee",G11*$N11/$O11,$P11="Ja",G11*0.5)</f>
        <v>0</v>
      </c>
      <c r="S11" s="258" cm="1">
        <f t="array" ref="S11">_xlfn.IFS($P11="Nee",-(H11*$N11/$O11),$P11="Ja",-(H11*0.5))</f>
        <v>0</v>
      </c>
      <c r="T11" s="258">
        <f t="shared" si="4"/>
        <v>0</v>
      </c>
      <c r="U11" s="263">
        <f t="shared" si="5"/>
        <v>0</v>
      </c>
      <c r="V11" s="264">
        <f>IFERROR(_xlfn.XLOOKUP(Table4[[#This Row],[Subnummer]],Table3[Sub],Table3[Promillage 1]),0)</f>
        <v>0.65</v>
      </c>
      <c r="W11" s="265">
        <f>IFERROR(_xlfn.XLOOKUP(Table4[[#This Row],[Subnummer]],Table3[Sub],Table3[Promillage 2]),0)</f>
        <v>0.7</v>
      </c>
      <c r="X11" s="265">
        <f>IFERROR(_xlfn.XLOOKUP(Table4[[#This Row],[Subnummer]],Table3[Sub],Table3[Promillage 3]),0)</f>
        <v>0.747</v>
      </c>
      <c r="Y11" s="265">
        <f>IFERROR(_xlfn.XLOOKUP(Table4[[#This Row],[Subnummer]],Table3[Sub],Table3[Promillage 4]),0)</f>
        <v>0.75</v>
      </c>
      <c r="Z11" s="265">
        <f>IFERROR(_xlfn.XLOOKUP(Table4[[#This Row],[Subnummer]],Table3[Sub],Table3[Promillage 5]),0)</f>
        <v>0.82</v>
      </c>
      <c r="AA11" s="279">
        <f t="shared" si="6"/>
        <v>0</v>
      </c>
      <c r="AB11" s="258">
        <f t="shared" si="7"/>
        <v>0</v>
      </c>
      <c r="AC11" s="258">
        <f t="shared" si="8"/>
        <v>0</v>
      </c>
      <c r="AD11" s="258">
        <f t="shared" si="9"/>
        <v>0</v>
      </c>
      <c r="AE11" s="258">
        <f t="shared" si="10"/>
        <v>0</v>
      </c>
      <c r="AF11" s="258">
        <f t="shared" si="11"/>
        <v>0</v>
      </c>
      <c r="AG11" s="266" t="str" cm="1">
        <f t="array" ref="AG11">_xlfn.IFS(AF11=0,"Nihil",AF11&gt;0,"Suppletie",AF11&lt;0,"Restitutie")</f>
        <v>Nihil</v>
      </c>
    </row>
    <row r="12" spans="1:33" x14ac:dyDescent="0.25">
      <c r="A12" s="254" t="str">
        <f>IFERROR(_xlfn.XLOOKUP(D12,Specificatie!C:C,Specificatie!A:A),"-")</f>
        <v>Amsterdamse Hogeschool vd Kunsten</v>
      </c>
      <c r="B12" s="224" t="s">
        <v>190</v>
      </c>
      <c r="C12" s="255">
        <f>IFERROR(_xlfn.XLOOKUP(Table4[[#This Row],[Subnummer]],Table3[Sub],Table3[Certificaat]),"-")</f>
        <v>0</v>
      </c>
      <c r="D12" s="275">
        <v>19</v>
      </c>
      <c r="E12" s="256">
        <f>IFERROR(_xlfn.XLOOKUP(Table4[[#This Row],[Subnummer]],Table3[Sub],Table3[Verz. Waarde Oud:]),0)</f>
        <v>0</v>
      </c>
      <c r="F12" s="257">
        <v>345000</v>
      </c>
      <c r="G12" s="258">
        <v>0</v>
      </c>
      <c r="H12" s="258">
        <v>0</v>
      </c>
      <c r="I12" s="258">
        <v>0</v>
      </c>
      <c r="J12" s="258">
        <f t="shared" si="0"/>
        <v>345000</v>
      </c>
      <c r="K12" s="267">
        <f t="shared" si="1"/>
        <v>345000</v>
      </c>
      <c r="L12" s="259">
        <v>44725</v>
      </c>
      <c r="M12" s="260">
        <v>44725</v>
      </c>
      <c r="N12" s="268">
        <f t="shared" si="2"/>
        <v>0</v>
      </c>
      <c r="O12" s="255">
        <v>365</v>
      </c>
      <c r="P12" s="261" t="s">
        <v>94</v>
      </c>
      <c r="Q12" s="262">
        <f t="shared" si="3"/>
        <v>0</v>
      </c>
      <c r="R12" s="258" cm="1">
        <f t="array" ref="R12">_xlfn.IFS($P12="Nee",G12*$N12/$O12,$P12="Ja",G12*0.5)</f>
        <v>0</v>
      </c>
      <c r="S12" s="258" cm="1">
        <f t="array" ref="S12">_xlfn.IFS($P12="Nee",-(H12*$N12/$O12),$P12="Ja",-(H12*0.5))</f>
        <v>0</v>
      </c>
      <c r="T12" s="258">
        <f t="shared" si="4"/>
        <v>0</v>
      </c>
      <c r="U12" s="263">
        <f t="shared" si="5"/>
        <v>0</v>
      </c>
      <c r="V12" s="264">
        <f>IFERROR(_xlfn.XLOOKUP(Table4[[#This Row],[Subnummer]],Table3[Sub],Table3[Promillage 1]),0)</f>
        <v>0.65</v>
      </c>
      <c r="W12" s="265">
        <f>IFERROR(_xlfn.XLOOKUP(Table4[[#This Row],[Subnummer]],Table3[Sub],Table3[Promillage 2]),0)</f>
        <v>0.7</v>
      </c>
      <c r="X12" s="265">
        <f>IFERROR(_xlfn.XLOOKUP(Table4[[#This Row],[Subnummer]],Table3[Sub],Table3[Promillage 3]),0)</f>
        <v>0.747</v>
      </c>
      <c r="Y12" s="265">
        <f>IFERROR(_xlfn.XLOOKUP(Table4[[#This Row],[Subnummer]],Table3[Sub],Table3[Promillage 4]),0)</f>
        <v>0.75</v>
      </c>
      <c r="Z12" s="265">
        <f>IFERROR(_xlfn.XLOOKUP(Table4[[#This Row],[Subnummer]],Table3[Sub],Table3[Promillage 5]),0)</f>
        <v>0.82</v>
      </c>
      <c r="AA12" s="279">
        <f t="shared" si="6"/>
        <v>0</v>
      </c>
      <c r="AB12" s="258">
        <f t="shared" si="7"/>
        <v>0</v>
      </c>
      <c r="AC12" s="258">
        <f t="shared" si="8"/>
        <v>0</v>
      </c>
      <c r="AD12" s="258">
        <f t="shared" si="9"/>
        <v>0</v>
      </c>
      <c r="AE12" s="258">
        <f t="shared" si="10"/>
        <v>0</v>
      </c>
      <c r="AF12" s="258">
        <f t="shared" si="11"/>
        <v>0</v>
      </c>
      <c r="AG12" s="266" t="str" cm="1">
        <f t="array" ref="AG12">_xlfn.IFS(AF12=0,"Nihil",AF12&gt;0,"Suppletie",AF12&lt;0,"Restitutie")</f>
        <v>Nihil</v>
      </c>
    </row>
    <row r="13" spans="1:33" x14ac:dyDescent="0.25">
      <c r="A13" s="240" t="str">
        <f>IFERROR(_xlfn.XLOOKUP(D13,Specificatie!C:C,Specificatie!A:A),"-")</f>
        <v>Amsterdamse Hogeschool vd Kunsten</v>
      </c>
      <c r="B13" s="223" t="s">
        <v>191</v>
      </c>
      <c r="C13" s="222">
        <f>IFERROR(_xlfn.XLOOKUP(Table4[[#This Row],[Subnummer]],Table3[Sub],Table3[Certificaat]),"-")</f>
        <v>0</v>
      </c>
      <c r="D13" s="241">
        <v>22</v>
      </c>
      <c r="E13" s="242">
        <f>IFERROR(_xlfn.XLOOKUP(Table4[[#This Row],[Subnummer]],Table3[Sub],Table3[Verz. Waarde Oud:]),0)</f>
        <v>0</v>
      </c>
      <c r="F13" s="229">
        <v>530000</v>
      </c>
      <c r="G13" s="229">
        <v>0</v>
      </c>
      <c r="H13" s="229">
        <v>0</v>
      </c>
      <c r="I13" s="229">
        <v>0</v>
      </c>
      <c r="J13" s="229">
        <f t="shared" si="0"/>
        <v>530000</v>
      </c>
      <c r="K13" s="243">
        <f t="shared" si="1"/>
        <v>530000</v>
      </c>
      <c r="L13" s="231">
        <v>44725</v>
      </c>
      <c r="M13" s="232">
        <v>44725</v>
      </c>
      <c r="N13" s="244">
        <f t="shared" si="2"/>
        <v>0</v>
      </c>
      <c r="O13" s="222">
        <v>365</v>
      </c>
      <c r="P13" s="234" t="s">
        <v>94</v>
      </c>
      <c r="Q13" s="245">
        <f t="shared" si="3"/>
        <v>0</v>
      </c>
      <c r="R13" s="229" cm="1">
        <f t="array" ref="R13">_xlfn.IFS($P13="Nee",G13*$N13/$O13,$P13="Ja",G13*0.5)</f>
        <v>0</v>
      </c>
      <c r="S13" s="229" cm="1">
        <f t="array" ref="S13">_xlfn.IFS($P13="Nee",-(H13*$N13/$O13),$P13="Ja",-(H13*0.5))</f>
        <v>0</v>
      </c>
      <c r="T13" s="229">
        <f t="shared" si="4"/>
        <v>0</v>
      </c>
      <c r="U13" s="246">
        <f t="shared" si="5"/>
        <v>0</v>
      </c>
      <c r="V13" s="247">
        <f>IFERROR(_xlfn.XLOOKUP(Table4[[#This Row],[Subnummer]],Table3[Sub],Table3[Promillage 1]),0)</f>
        <v>0.65</v>
      </c>
      <c r="W13" s="248">
        <f>IFERROR(_xlfn.XLOOKUP(Table4[[#This Row],[Subnummer]],Table3[Sub],Table3[Promillage 2]),0)</f>
        <v>0.7</v>
      </c>
      <c r="X13" s="248">
        <f>IFERROR(_xlfn.XLOOKUP(Table4[[#This Row],[Subnummer]],Table3[Sub],Table3[Promillage 3]),0)</f>
        <v>0.747</v>
      </c>
      <c r="Y13" s="248">
        <f>IFERROR(_xlfn.XLOOKUP(Table4[[#This Row],[Subnummer]],Table3[Sub],Table3[Promillage 4]),0)</f>
        <v>0.75</v>
      </c>
      <c r="Z13" s="248">
        <f>IFERROR(_xlfn.XLOOKUP(Table4[[#This Row],[Subnummer]],Table3[Sub],Table3[Promillage 5]),0)</f>
        <v>0.82</v>
      </c>
      <c r="AA13" s="249">
        <f t="shared" si="6"/>
        <v>0</v>
      </c>
      <c r="AB13" s="229">
        <f t="shared" si="7"/>
        <v>0</v>
      </c>
      <c r="AC13" s="229">
        <f t="shared" si="8"/>
        <v>0</v>
      </c>
      <c r="AD13" s="229">
        <f t="shared" si="9"/>
        <v>0</v>
      </c>
      <c r="AE13" s="229">
        <f t="shared" si="10"/>
        <v>0</v>
      </c>
      <c r="AF13" s="229">
        <f t="shared" si="11"/>
        <v>0</v>
      </c>
      <c r="AG13" s="250" t="str" cm="1">
        <f t="array" ref="AG13">_xlfn.IFS(AF13=0,"Nihil",AF13&gt;0,"Suppletie",AF13&lt;0,"Restitutie")</f>
        <v>Nihil</v>
      </c>
    </row>
    <row r="14" spans="1:33" x14ac:dyDescent="0.25">
      <c r="A14" s="240" t="str">
        <f>IFERROR(_xlfn.XLOOKUP(D14,Specificatie!C:C,Specificatie!A:A),"-")</f>
        <v>Amsterdamse Hogeschool vd Kunsten</v>
      </c>
      <c r="B14" s="223" t="s">
        <v>191</v>
      </c>
      <c r="C14" s="222">
        <f>IFERROR(_xlfn.XLOOKUP(Table4[[#This Row],[Subnummer]],Table3[Sub],Table3[Certificaat]),"-")</f>
        <v>0</v>
      </c>
      <c r="D14" s="241">
        <v>23</v>
      </c>
      <c r="E14" s="242">
        <f>IFERROR(_xlfn.XLOOKUP(Table4[[#This Row],[Subnummer]],Table3[Sub],Table3[Verz. Waarde Oud:]),0)</f>
        <v>0</v>
      </c>
      <c r="F14" s="229">
        <v>115000</v>
      </c>
      <c r="G14" s="229">
        <v>0</v>
      </c>
      <c r="H14" s="229">
        <v>0</v>
      </c>
      <c r="I14" s="229">
        <v>0</v>
      </c>
      <c r="J14" s="229">
        <f t="shared" si="0"/>
        <v>115000</v>
      </c>
      <c r="K14" s="243">
        <f t="shared" si="1"/>
        <v>115000</v>
      </c>
      <c r="L14" s="231">
        <v>44725</v>
      </c>
      <c r="M14" s="232">
        <v>44725</v>
      </c>
      <c r="N14" s="244">
        <f t="shared" si="2"/>
        <v>0</v>
      </c>
      <c r="O14" s="222">
        <v>365</v>
      </c>
      <c r="P14" s="234" t="s">
        <v>94</v>
      </c>
      <c r="Q14" s="245">
        <f t="shared" si="3"/>
        <v>0</v>
      </c>
      <c r="R14" s="229" cm="1">
        <f t="array" ref="R14">_xlfn.IFS($P14="Nee",G14*$N14/$O14,$P14="Ja",G14*0.5)</f>
        <v>0</v>
      </c>
      <c r="S14" s="229" cm="1">
        <f t="array" ref="S14">_xlfn.IFS($P14="Nee",-(H14*$N14/$O14),$P14="Ja",-(H14*0.5))</f>
        <v>0</v>
      </c>
      <c r="T14" s="229">
        <f t="shared" si="4"/>
        <v>0</v>
      </c>
      <c r="U14" s="246">
        <f t="shared" si="5"/>
        <v>0</v>
      </c>
      <c r="V14" s="247">
        <f>IFERROR(_xlfn.XLOOKUP(Table4[[#This Row],[Subnummer]],Table3[Sub],Table3[Promillage 1]),0)</f>
        <v>0.65</v>
      </c>
      <c r="W14" s="248">
        <f>IFERROR(_xlfn.XLOOKUP(Table4[[#This Row],[Subnummer]],Table3[Sub],Table3[Promillage 2]),0)</f>
        <v>0.7</v>
      </c>
      <c r="X14" s="248">
        <f>IFERROR(_xlfn.XLOOKUP(Table4[[#This Row],[Subnummer]],Table3[Sub],Table3[Promillage 3]),0)</f>
        <v>0.747</v>
      </c>
      <c r="Y14" s="248">
        <f>IFERROR(_xlfn.XLOOKUP(Table4[[#This Row],[Subnummer]],Table3[Sub],Table3[Promillage 4]),0)</f>
        <v>0.75</v>
      </c>
      <c r="Z14" s="248">
        <f>IFERROR(_xlfn.XLOOKUP(Table4[[#This Row],[Subnummer]],Table3[Sub],Table3[Promillage 5]),0)</f>
        <v>0.82</v>
      </c>
      <c r="AA14" s="249">
        <f t="shared" si="6"/>
        <v>0</v>
      </c>
      <c r="AB14" s="229">
        <f t="shared" si="7"/>
        <v>0</v>
      </c>
      <c r="AC14" s="229">
        <f t="shared" si="8"/>
        <v>0</v>
      </c>
      <c r="AD14" s="229">
        <f t="shared" si="9"/>
        <v>0</v>
      </c>
      <c r="AE14" s="229">
        <f t="shared" si="10"/>
        <v>0</v>
      </c>
      <c r="AF14" s="229">
        <f t="shared" si="11"/>
        <v>0</v>
      </c>
      <c r="AG14" s="250" t="str" cm="1">
        <f t="array" ref="AG14">_xlfn.IFS(AF14=0,"Nihil",AF14&gt;0,"Suppletie",AF14&lt;0,"Restitutie")</f>
        <v>Nihil</v>
      </c>
    </row>
    <row r="15" spans="1:33" x14ac:dyDescent="0.25">
      <c r="A15" s="240" t="str">
        <f>IFERROR(_xlfn.XLOOKUP(D15,Specificatie!C:C,Specificatie!A:A),"-")</f>
        <v>Amsterdamse Hogeschool vd Kunsten</v>
      </c>
      <c r="B15" s="223" t="s">
        <v>191</v>
      </c>
      <c r="C15" s="222">
        <f>IFERROR(_xlfn.XLOOKUP(Table4[[#This Row],[Subnummer]],Table3[Sub],Table3[Certificaat]),"-")</f>
        <v>0</v>
      </c>
      <c r="D15" s="241">
        <v>24</v>
      </c>
      <c r="E15" s="242">
        <f>IFERROR(_xlfn.XLOOKUP(Table4[[#This Row],[Subnummer]],Table3[Sub],Table3[Verz. Waarde Oud:]),0)</f>
        <v>0</v>
      </c>
      <c r="F15" s="229">
        <v>55000</v>
      </c>
      <c r="G15" s="229">
        <v>0</v>
      </c>
      <c r="H15" s="229">
        <v>0</v>
      </c>
      <c r="I15" s="229">
        <v>0</v>
      </c>
      <c r="J15" s="229">
        <f t="shared" si="0"/>
        <v>55000</v>
      </c>
      <c r="K15" s="243">
        <f t="shared" si="1"/>
        <v>55000</v>
      </c>
      <c r="L15" s="231">
        <v>44725</v>
      </c>
      <c r="M15" s="232">
        <v>44725</v>
      </c>
      <c r="N15" s="244">
        <f t="shared" si="2"/>
        <v>0</v>
      </c>
      <c r="O15" s="222">
        <v>365</v>
      </c>
      <c r="P15" s="234" t="s">
        <v>94</v>
      </c>
      <c r="Q15" s="245">
        <f t="shared" si="3"/>
        <v>0</v>
      </c>
      <c r="R15" s="229" cm="1">
        <f t="array" ref="R15">_xlfn.IFS($P15="Nee",G15*$N15/$O15,$P15="Ja",G15*0.5)</f>
        <v>0</v>
      </c>
      <c r="S15" s="229" cm="1">
        <f t="array" ref="S15">_xlfn.IFS($P15="Nee",-(H15*$N15/$O15),$P15="Ja",-(H15*0.5))</f>
        <v>0</v>
      </c>
      <c r="T15" s="229">
        <f t="shared" si="4"/>
        <v>0</v>
      </c>
      <c r="U15" s="246">
        <f t="shared" si="5"/>
        <v>0</v>
      </c>
      <c r="V15" s="247">
        <f>IFERROR(_xlfn.XLOOKUP(Table4[[#This Row],[Subnummer]],Table3[Sub],Table3[Promillage 1]),0)</f>
        <v>0.65</v>
      </c>
      <c r="W15" s="248">
        <f>IFERROR(_xlfn.XLOOKUP(Table4[[#This Row],[Subnummer]],Table3[Sub],Table3[Promillage 2]),0)</f>
        <v>0.7</v>
      </c>
      <c r="X15" s="248">
        <f>IFERROR(_xlfn.XLOOKUP(Table4[[#This Row],[Subnummer]],Table3[Sub],Table3[Promillage 3]),0)</f>
        <v>0.747</v>
      </c>
      <c r="Y15" s="248">
        <f>IFERROR(_xlfn.XLOOKUP(Table4[[#This Row],[Subnummer]],Table3[Sub],Table3[Promillage 4]),0)</f>
        <v>0.75</v>
      </c>
      <c r="Z15" s="248">
        <f>IFERROR(_xlfn.XLOOKUP(Table4[[#This Row],[Subnummer]],Table3[Sub],Table3[Promillage 5]),0)</f>
        <v>0.82</v>
      </c>
      <c r="AA15" s="249">
        <f t="shared" si="6"/>
        <v>0</v>
      </c>
      <c r="AB15" s="229">
        <f t="shared" si="7"/>
        <v>0</v>
      </c>
      <c r="AC15" s="229">
        <f t="shared" si="8"/>
        <v>0</v>
      </c>
      <c r="AD15" s="229">
        <f t="shared" si="9"/>
        <v>0</v>
      </c>
      <c r="AE15" s="229">
        <f t="shared" si="10"/>
        <v>0</v>
      </c>
      <c r="AF15" s="229">
        <f t="shared" si="11"/>
        <v>0</v>
      </c>
      <c r="AG15" s="250" t="str" cm="1">
        <f t="array" ref="AG15">_xlfn.IFS(AF15=0,"Nihil",AF15&gt;0,"Suppletie",AF15&lt;0,"Restitutie")</f>
        <v>Nihil</v>
      </c>
    </row>
    <row r="16" spans="1:33" x14ac:dyDescent="0.25">
      <c r="A16" s="225" t="str">
        <f>IFERROR(_xlfn.XLOOKUP(D16,Table3[Sub],Table3[Verzekerde]),"-")</f>
        <v>Amsterdamse Hogeschool vd Kunsten</v>
      </c>
      <c r="B16" s="223" t="s">
        <v>188</v>
      </c>
      <c r="C16" s="222">
        <f>IFERROR(_xlfn.XLOOKUP(Table4[[#This Row],[Subnummer]],Table3[Sub],Table3[Certificaat]),"-")</f>
        <v>0</v>
      </c>
      <c r="D16" s="226">
        <v>8</v>
      </c>
      <c r="E16" s="227">
        <f>IFERROR(_xlfn.XLOOKUP(Table4[[#This Row],[Subnummer]],Table3[Sub],Table3[Verz. Waarde Oud:]),0)</f>
        <v>1699000</v>
      </c>
      <c r="F16" s="228">
        <v>0</v>
      </c>
      <c r="G16" s="228">
        <v>601000</v>
      </c>
      <c r="H16" s="228">
        <v>0</v>
      </c>
      <c r="I16" s="228">
        <v>0</v>
      </c>
      <c r="J16" s="228">
        <f t="shared" si="0"/>
        <v>2300000</v>
      </c>
      <c r="K16" s="230">
        <f t="shared" si="1"/>
        <v>601000</v>
      </c>
      <c r="L16" s="231">
        <v>44797</v>
      </c>
      <c r="M16" s="232">
        <v>44797</v>
      </c>
      <c r="N16" s="233">
        <f t="shared" si="2"/>
        <v>0</v>
      </c>
      <c r="O16" s="222">
        <v>365</v>
      </c>
      <c r="P16" s="234" t="s">
        <v>94</v>
      </c>
      <c r="Q16" s="235">
        <f t="shared" si="3"/>
        <v>0</v>
      </c>
      <c r="R16" s="228" cm="1">
        <f t="array" ref="R16">_xlfn.IFS($P16="Nee",G16*$N16/$O16,$P16="Ja",G16*0.5)</f>
        <v>0</v>
      </c>
      <c r="S16" s="228" cm="1">
        <f t="array" ref="S16">_xlfn.IFS($P16="Nee",-(H16*$N16/$O16),$P16="Ja",-(H16*0.5))</f>
        <v>0</v>
      </c>
      <c r="T16" s="228">
        <f t="shared" si="4"/>
        <v>0</v>
      </c>
      <c r="U16" s="236">
        <f t="shared" si="5"/>
        <v>0</v>
      </c>
      <c r="V16" s="237">
        <f>IFERROR(_xlfn.XLOOKUP(Table4[[#This Row],[Subnummer]],Table3[Sub],Table3[Promillage 1]),0)</f>
        <v>0.65</v>
      </c>
      <c r="W16" s="238">
        <f>IFERROR(_xlfn.XLOOKUP(Table4[[#This Row],[Subnummer]],Table3[Sub],Table3[Promillage 2]),0)</f>
        <v>0.7</v>
      </c>
      <c r="X16" s="238">
        <f>IFERROR(_xlfn.XLOOKUP(Table4[[#This Row],[Subnummer]],Table3[Sub],Table3[Promillage 3]),0)</f>
        <v>0.747</v>
      </c>
      <c r="Y16" s="238">
        <f>IFERROR(_xlfn.XLOOKUP(Table4[[#This Row],[Subnummer]],Table3[Sub],Table3[Promillage 4]),0)</f>
        <v>0.75</v>
      </c>
      <c r="Z16" s="238">
        <f>IFERROR(_xlfn.XLOOKUP(Table4[[#This Row],[Subnummer]],Table3[Sub],Table3[Promillage 5]),0)</f>
        <v>0.82</v>
      </c>
      <c r="AA16" s="239">
        <f t="shared" si="6"/>
        <v>0</v>
      </c>
      <c r="AB16" s="228">
        <f t="shared" si="7"/>
        <v>0</v>
      </c>
      <c r="AC16" s="228">
        <f t="shared" si="8"/>
        <v>0</v>
      </c>
      <c r="AD16" s="228">
        <f t="shared" si="9"/>
        <v>0</v>
      </c>
      <c r="AE16" s="228">
        <f t="shared" si="10"/>
        <v>0</v>
      </c>
      <c r="AF16" s="228">
        <f t="shared" si="11"/>
        <v>0</v>
      </c>
      <c r="AG16" s="234" t="str" cm="1">
        <f t="array" ref="AG16">_xlfn.IFS(AF16=0,"Nihil",AF16&gt;0,"Suppletie",AF16&lt;0,"Restitutie")</f>
        <v>Nihil</v>
      </c>
    </row>
    <row r="17" spans="1:33" x14ac:dyDescent="0.25">
      <c r="A17" s="225" t="str">
        <f>IFERROR(_xlfn.XLOOKUP(D17,Table3[Sub],Table3[Verzekerde]),"-")</f>
        <v>Amsterdamse Hogeschool vd Kunsten</v>
      </c>
      <c r="B17" s="223" t="s">
        <v>188</v>
      </c>
      <c r="C17" s="222">
        <f>IFERROR(_xlfn.XLOOKUP(Table4[[#This Row],[Subnummer]],Table3[Sub],Table3[Certificaat]),"-")</f>
        <v>0</v>
      </c>
      <c r="D17" s="226">
        <v>15</v>
      </c>
      <c r="E17" s="227">
        <f>IFERROR(_xlfn.XLOOKUP(Table4[[#This Row],[Subnummer]],Table3[Sub],Table3[Verz. Waarde Oud:]),0)</f>
        <v>1264000</v>
      </c>
      <c r="F17" s="228">
        <v>0</v>
      </c>
      <c r="G17" s="228">
        <v>136000</v>
      </c>
      <c r="H17" s="228">
        <v>0</v>
      </c>
      <c r="I17" s="228">
        <v>0</v>
      </c>
      <c r="J17" s="228">
        <f t="shared" si="0"/>
        <v>1400000</v>
      </c>
      <c r="K17" s="230">
        <f t="shared" si="1"/>
        <v>136000</v>
      </c>
      <c r="L17" s="231">
        <v>44799</v>
      </c>
      <c r="M17" s="232">
        <v>44799</v>
      </c>
      <c r="N17" s="233">
        <f t="shared" si="2"/>
        <v>0</v>
      </c>
      <c r="O17" s="222">
        <v>365</v>
      </c>
      <c r="P17" s="234" t="s">
        <v>94</v>
      </c>
      <c r="Q17" s="235">
        <f t="shared" si="3"/>
        <v>0</v>
      </c>
      <c r="R17" s="228" cm="1">
        <f t="array" ref="R17">_xlfn.IFS($P17="Nee",G17*$N17/$O17,$P17="Ja",G17*0.5)</f>
        <v>0</v>
      </c>
      <c r="S17" s="228" cm="1">
        <f t="array" ref="S17">_xlfn.IFS($P17="Nee",-(H17*$N17/$O17),$P17="Ja",-(H17*0.5))</f>
        <v>0</v>
      </c>
      <c r="T17" s="228">
        <f t="shared" si="4"/>
        <v>0</v>
      </c>
      <c r="U17" s="236">
        <f t="shared" si="5"/>
        <v>0</v>
      </c>
      <c r="V17" s="237">
        <f>IFERROR(_xlfn.XLOOKUP(Table4[[#This Row],[Subnummer]],Table3[Sub],Table3[Promillage 1]),0)</f>
        <v>0.65</v>
      </c>
      <c r="W17" s="238">
        <f>IFERROR(_xlfn.XLOOKUP(Table4[[#This Row],[Subnummer]],Table3[Sub],Table3[Promillage 2]),0)</f>
        <v>0.7</v>
      </c>
      <c r="X17" s="238">
        <f>IFERROR(_xlfn.XLOOKUP(Table4[[#This Row],[Subnummer]],Table3[Sub],Table3[Promillage 3]),0)</f>
        <v>0.747</v>
      </c>
      <c r="Y17" s="238">
        <f>IFERROR(_xlfn.XLOOKUP(Table4[[#This Row],[Subnummer]],Table3[Sub],Table3[Promillage 4]),0)</f>
        <v>0.75</v>
      </c>
      <c r="Z17" s="238">
        <f>IFERROR(_xlfn.XLOOKUP(Table4[[#This Row],[Subnummer]],Table3[Sub],Table3[Promillage 5]),0)</f>
        <v>0.82</v>
      </c>
      <c r="AA17" s="239">
        <f t="shared" si="6"/>
        <v>0</v>
      </c>
      <c r="AB17" s="228">
        <f t="shared" si="7"/>
        <v>0</v>
      </c>
      <c r="AC17" s="228">
        <f t="shared" si="8"/>
        <v>0</v>
      </c>
      <c r="AD17" s="228">
        <f t="shared" si="9"/>
        <v>0</v>
      </c>
      <c r="AE17" s="228">
        <f t="shared" si="10"/>
        <v>0</v>
      </c>
      <c r="AF17" s="228">
        <f t="shared" si="11"/>
        <v>0</v>
      </c>
      <c r="AG17" s="234" t="str" cm="1">
        <f t="array" ref="AG17">_xlfn.IFS(AF17=0,"Nihil",AF17&gt;0,"Suppletie",AF17&lt;0,"Restitutie")</f>
        <v>Nihil</v>
      </c>
    </row>
    <row r="18" spans="1:33" x14ac:dyDescent="0.25">
      <c r="A18" s="225" t="str">
        <f>IFERROR(_xlfn.XLOOKUP(D18,Table3[Sub],Table3[Verzekerde]),"-")</f>
        <v>Amsterdamse Hogeschool vd Kunsten</v>
      </c>
      <c r="B18" s="223" t="s">
        <v>188</v>
      </c>
      <c r="C18" s="222">
        <f>IFERROR(_xlfn.XLOOKUP(Table4[[#This Row],[Subnummer]],Table3[Sub],Table3[Certificaat]),"-")</f>
        <v>0</v>
      </c>
      <c r="D18" s="226">
        <v>16</v>
      </c>
      <c r="E18" s="227">
        <f>IFERROR(_xlfn.XLOOKUP(Table4[[#This Row],[Subnummer]],Table3[Sub],Table3[Verz. Waarde Oud:]),0)</f>
        <v>1448000</v>
      </c>
      <c r="F18" s="228">
        <v>0</v>
      </c>
      <c r="G18" s="228">
        <v>112000</v>
      </c>
      <c r="H18" s="228">
        <v>0</v>
      </c>
      <c r="I18" s="228">
        <v>0</v>
      </c>
      <c r="J18" s="228">
        <f t="shared" si="0"/>
        <v>1560000</v>
      </c>
      <c r="K18" s="230">
        <f t="shared" si="1"/>
        <v>112000</v>
      </c>
      <c r="L18" s="231">
        <v>44799</v>
      </c>
      <c r="M18" s="232">
        <v>44799</v>
      </c>
      <c r="N18" s="233">
        <f t="shared" si="2"/>
        <v>0</v>
      </c>
      <c r="O18" s="222">
        <v>365</v>
      </c>
      <c r="P18" s="234" t="s">
        <v>94</v>
      </c>
      <c r="Q18" s="235">
        <f t="shared" si="3"/>
        <v>0</v>
      </c>
      <c r="R18" s="228" cm="1">
        <f t="array" ref="R18">_xlfn.IFS($P18="Nee",G18*$N18/$O18,$P18="Ja",G18*0.5)</f>
        <v>0</v>
      </c>
      <c r="S18" s="228" cm="1">
        <f t="array" ref="S18">_xlfn.IFS($P18="Nee",-(H18*$N18/$O18),$P18="Ja",-(H18*0.5))</f>
        <v>0</v>
      </c>
      <c r="T18" s="228">
        <f t="shared" si="4"/>
        <v>0</v>
      </c>
      <c r="U18" s="236">
        <f t="shared" si="5"/>
        <v>0</v>
      </c>
      <c r="V18" s="237">
        <f>IFERROR(_xlfn.XLOOKUP(Table4[[#This Row],[Subnummer]],Table3[Sub],Table3[Promillage 1]),0)</f>
        <v>0.65</v>
      </c>
      <c r="W18" s="238">
        <f>IFERROR(_xlfn.XLOOKUP(Table4[[#This Row],[Subnummer]],Table3[Sub],Table3[Promillage 2]),0)</f>
        <v>0.7</v>
      </c>
      <c r="X18" s="238">
        <f>IFERROR(_xlfn.XLOOKUP(Table4[[#This Row],[Subnummer]],Table3[Sub],Table3[Promillage 3]),0)</f>
        <v>0.747</v>
      </c>
      <c r="Y18" s="238">
        <f>IFERROR(_xlfn.XLOOKUP(Table4[[#This Row],[Subnummer]],Table3[Sub],Table3[Promillage 4]),0)</f>
        <v>0.75</v>
      </c>
      <c r="Z18" s="238">
        <f>IFERROR(_xlfn.XLOOKUP(Table4[[#This Row],[Subnummer]],Table3[Sub],Table3[Promillage 5]),0)</f>
        <v>0.82</v>
      </c>
      <c r="AA18" s="239">
        <f t="shared" si="6"/>
        <v>0</v>
      </c>
      <c r="AB18" s="228">
        <f t="shared" si="7"/>
        <v>0</v>
      </c>
      <c r="AC18" s="228">
        <f t="shared" si="8"/>
        <v>0</v>
      </c>
      <c r="AD18" s="228">
        <f t="shared" si="9"/>
        <v>0</v>
      </c>
      <c r="AE18" s="228">
        <f t="shared" si="10"/>
        <v>0</v>
      </c>
      <c r="AF18" s="228">
        <f t="shared" si="11"/>
        <v>0</v>
      </c>
      <c r="AG18" s="234" t="str" cm="1">
        <f t="array" ref="AG18">_xlfn.IFS(AF18=0,"Nihil",AF18&gt;0,"Suppletie",AF18&lt;0,"Restitutie")</f>
        <v>Nihil</v>
      </c>
    </row>
    <row r="19" spans="1:33" x14ac:dyDescent="0.25">
      <c r="A19" s="240" t="str">
        <f>IFERROR(_xlfn.XLOOKUP(D19,Specificatie!C:C,Specificatie!A:A),"-")</f>
        <v>Amsterdamse Hogeschool vd Kunsten</v>
      </c>
      <c r="B19" s="223" t="s">
        <v>188</v>
      </c>
      <c r="C19" s="222">
        <f>IFERROR(_xlfn.XLOOKUP(Table4[[#This Row],[Subnummer]],Table3[Sub],Table3[Certificaat]),"-")</f>
        <v>0</v>
      </c>
      <c r="D19" s="252">
        <v>4</v>
      </c>
      <c r="E19" s="242">
        <f>IFERROR(_xlfn.XLOOKUP(Table4[[#This Row],[Subnummer]],Table3[Sub],Table3[Verz. Waarde Oud:]),0)</f>
        <v>13560000</v>
      </c>
      <c r="F19" s="229">
        <v>0</v>
      </c>
      <c r="G19" s="229">
        <v>2240000</v>
      </c>
      <c r="H19" s="229">
        <v>0</v>
      </c>
      <c r="I19" s="229">
        <v>0</v>
      </c>
      <c r="J19" s="229">
        <f t="shared" si="0"/>
        <v>15800000</v>
      </c>
      <c r="K19" s="243">
        <f t="shared" si="1"/>
        <v>2240000</v>
      </c>
      <c r="L19" s="231">
        <v>44803</v>
      </c>
      <c r="M19" s="232">
        <v>44803</v>
      </c>
      <c r="N19" s="244">
        <f t="shared" si="2"/>
        <v>0</v>
      </c>
      <c r="O19" s="222">
        <v>365</v>
      </c>
      <c r="P19" s="234" t="s">
        <v>94</v>
      </c>
      <c r="Q19" s="245">
        <f t="shared" si="3"/>
        <v>0</v>
      </c>
      <c r="R19" s="229" cm="1">
        <f t="array" ref="R19">_xlfn.IFS($P19="Nee",G19*$N19/$O19,$P19="Ja",G19*0.5)</f>
        <v>0</v>
      </c>
      <c r="S19" s="229" cm="1">
        <f t="array" ref="S19">_xlfn.IFS($P19="Nee",-(H19*$N19/$O19),$P19="Ja",-(H19*0.5))</f>
        <v>0</v>
      </c>
      <c r="T19" s="229">
        <f t="shared" si="4"/>
        <v>0</v>
      </c>
      <c r="U19" s="246">
        <f t="shared" si="5"/>
        <v>0</v>
      </c>
      <c r="V19" s="247">
        <f>IFERROR(_xlfn.XLOOKUP(Table4[[#This Row],[Subnummer]],Table3[Sub],Table3[Promillage 1]),0)</f>
        <v>0.65</v>
      </c>
      <c r="W19" s="248">
        <f>IFERROR(_xlfn.XLOOKUP(Table4[[#This Row],[Subnummer]],Table3[Sub],Table3[Promillage 2]),0)</f>
        <v>0.7</v>
      </c>
      <c r="X19" s="248">
        <f>IFERROR(_xlfn.XLOOKUP(Table4[[#This Row],[Subnummer]],Table3[Sub],Table3[Promillage 3]),0)</f>
        <v>0.747</v>
      </c>
      <c r="Y19" s="248">
        <f>IFERROR(_xlfn.XLOOKUP(Table4[[#This Row],[Subnummer]],Table3[Sub],Table3[Promillage 4]),0)</f>
        <v>0.75</v>
      </c>
      <c r="Z19" s="248">
        <f>IFERROR(_xlfn.XLOOKUP(Table4[[#This Row],[Subnummer]],Table3[Sub],Table3[Promillage 5]),0)</f>
        <v>0.82</v>
      </c>
      <c r="AA19" s="229">
        <f t="shared" si="6"/>
        <v>0</v>
      </c>
      <c r="AB19" s="229">
        <f t="shared" si="7"/>
        <v>0</v>
      </c>
      <c r="AC19" s="229">
        <f t="shared" si="8"/>
        <v>0</v>
      </c>
      <c r="AD19" s="229">
        <f t="shared" si="9"/>
        <v>0</v>
      </c>
      <c r="AE19" s="229">
        <f t="shared" si="10"/>
        <v>0</v>
      </c>
      <c r="AF19" s="229">
        <f t="shared" si="11"/>
        <v>0</v>
      </c>
      <c r="AG19" s="250" t="str" cm="1">
        <f t="array" ref="AG19">_xlfn.IFS(AF19=0,"Nihil",AF19&gt;0,"Suppletie",AF19&lt;0,"Restitutie")</f>
        <v>Nihil</v>
      </c>
    </row>
    <row r="20" spans="1:33" x14ac:dyDescent="0.25">
      <c r="A20" s="240" t="str">
        <f>IFERROR(_xlfn.XLOOKUP(D20,Specificatie!C:C,Specificatie!A:A),"-")</f>
        <v>Amsterdamse Hogeschool vd Kunsten</v>
      </c>
      <c r="B20" s="223" t="s">
        <v>188</v>
      </c>
      <c r="C20" s="222">
        <f>IFERROR(_xlfn.XLOOKUP(Table4[[#This Row],[Subnummer]],Table3[Sub],Table3[Certificaat]),"-")</f>
        <v>0</v>
      </c>
      <c r="D20" s="252">
        <v>2</v>
      </c>
      <c r="E20" s="242">
        <f>IFERROR(_xlfn.XLOOKUP(Table4[[#This Row],[Subnummer]],Table3[Sub],Table3[Verz. Waarde Oud:]),0)</f>
        <v>1487000</v>
      </c>
      <c r="F20" s="229">
        <v>0</v>
      </c>
      <c r="G20" s="229">
        <v>283000</v>
      </c>
      <c r="H20" s="229">
        <v>0</v>
      </c>
      <c r="I20" s="229">
        <v>0</v>
      </c>
      <c r="J20" s="229">
        <f t="shared" si="0"/>
        <v>1770000</v>
      </c>
      <c r="K20" s="243">
        <f t="shared" si="1"/>
        <v>283000</v>
      </c>
      <c r="L20" s="231">
        <v>44804</v>
      </c>
      <c r="M20" s="232">
        <v>44804</v>
      </c>
      <c r="N20" s="244">
        <f t="shared" si="2"/>
        <v>0</v>
      </c>
      <c r="O20" s="222">
        <v>365</v>
      </c>
      <c r="P20" s="234" t="s">
        <v>94</v>
      </c>
      <c r="Q20" s="245">
        <f t="shared" si="3"/>
        <v>0</v>
      </c>
      <c r="R20" s="229" cm="1">
        <f t="array" ref="R20">_xlfn.IFS($P20="Nee",G20*$N20/$O20,$P20="Ja",G20*0.5)</f>
        <v>0</v>
      </c>
      <c r="S20" s="229" cm="1">
        <f t="array" ref="S20">_xlfn.IFS($P20="Nee",-(H20*$N20/$O20),$P20="Ja",-(H20*0.5))</f>
        <v>0</v>
      </c>
      <c r="T20" s="229">
        <f t="shared" si="4"/>
        <v>0</v>
      </c>
      <c r="U20" s="246">
        <f t="shared" si="5"/>
        <v>0</v>
      </c>
      <c r="V20" s="247">
        <f>IFERROR(_xlfn.XLOOKUP(Table4[[#This Row],[Subnummer]],Table3[Sub],Table3[Promillage 1]),0)</f>
        <v>0.65</v>
      </c>
      <c r="W20" s="248">
        <f>IFERROR(_xlfn.XLOOKUP(Table4[[#This Row],[Subnummer]],Table3[Sub],Table3[Promillage 2]),0)</f>
        <v>0.7</v>
      </c>
      <c r="X20" s="248">
        <f>IFERROR(_xlfn.XLOOKUP(Table4[[#This Row],[Subnummer]],Table3[Sub],Table3[Promillage 3]),0)</f>
        <v>0.747</v>
      </c>
      <c r="Y20" s="248">
        <f>IFERROR(_xlfn.XLOOKUP(Table4[[#This Row],[Subnummer]],Table3[Sub],Table3[Promillage 4]),0)</f>
        <v>0.75</v>
      </c>
      <c r="Z20" s="248">
        <f>IFERROR(_xlfn.XLOOKUP(Table4[[#This Row],[Subnummer]],Table3[Sub],Table3[Promillage 5]),0)</f>
        <v>0.82</v>
      </c>
      <c r="AA20" s="229">
        <f t="shared" si="6"/>
        <v>0</v>
      </c>
      <c r="AB20" s="229">
        <f t="shared" si="7"/>
        <v>0</v>
      </c>
      <c r="AC20" s="229">
        <f t="shared" si="8"/>
        <v>0</v>
      </c>
      <c r="AD20" s="229">
        <f t="shared" si="9"/>
        <v>0</v>
      </c>
      <c r="AE20" s="229">
        <f t="shared" si="10"/>
        <v>0</v>
      </c>
      <c r="AF20" s="229">
        <f t="shared" si="11"/>
        <v>0</v>
      </c>
      <c r="AG20" s="250" t="str" cm="1">
        <f t="array" ref="AG20">_xlfn.IFS(AF20=0,"Nihil",AF20&gt;0,"Suppletie",AF20&lt;0,"Restitutie")</f>
        <v>Nihil</v>
      </c>
    </row>
    <row r="21" spans="1:33" x14ac:dyDescent="0.25">
      <c r="A21" s="240" t="str">
        <f>IFERROR(_xlfn.XLOOKUP(D21,Specificatie!C:C,Specificatie!A:A),"-")</f>
        <v>Amsterdamse Hogeschool vd Kunsten</v>
      </c>
      <c r="B21" s="223" t="s">
        <v>189</v>
      </c>
      <c r="C21" s="222">
        <f>IFERROR(_xlfn.XLOOKUP(Table4[[#This Row],[Subnummer]],Table3[Sub],Table3[Certificaat]),"-")</f>
        <v>0</v>
      </c>
      <c r="D21" s="252">
        <v>10</v>
      </c>
      <c r="E21" s="242">
        <f>IFERROR(_xlfn.XLOOKUP(Table4[[#This Row],[Subnummer]],Table3[Sub],Table3[Verz. Waarde Oud:]),0)</f>
        <v>257000</v>
      </c>
      <c r="F21" s="229">
        <v>0</v>
      </c>
      <c r="G21" s="229">
        <v>0</v>
      </c>
      <c r="H21" s="229">
        <v>27000</v>
      </c>
      <c r="I21" s="229">
        <v>0</v>
      </c>
      <c r="J21" s="229">
        <f t="shared" si="0"/>
        <v>230000</v>
      </c>
      <c r="K21" s="243">
        <f t="shared" si="1"/>
        <v>-27000</v>
      </c>
      <c r="L21" s="231">
        <v>44804</v>
      </c>
      <c r="M21" s="232">
        <v>44804</v>
      </c>
      <c r="N21" s="244">
        <f t="shared" si="2"/>
        <v>0</v>
      </c>
      <c r="O21" s="222">
        <v>365</v>
      </c>
      <c r="P21" s="234" t="s">
        <v>94</v>
      </c>
      <c r="Q21" s="245">
        <f t="shared" si="3"/>
        <v>0</v>
      </c>
      <c r="R21" s="229" cm="1">
        <f t="array" ref="R21">_xlfn.IFS($P21="Nee",G21*$N21/$O21,$P21="Ja",G21*0.5)</f>
        <v>0</v>
      </c>
      <c r="S21" s="229" cm="1">
        <f t="array" ref="S21">_xlfn.IFS($P21="Nee",-(H21*$N21/$O21),$P21="Ja",-(H21*0.5))</f>
        <v>0</v>
      </c>
      <c r="T21" s="229">
        <f t="shared" si="4"/>
        <v>0</v>
      </c>
      <c r="U21" s="246">
        <f t="shared" si="5"/>
        <v>0</v>
      </c>
      <c r="V21" s="247">
        <f>IFERROR(_xlfn.XLOOKUP(Table4[[#This Row],[Subnummer]],Table3[Sub],Table3[Promillage 1]),0)</f>
        <v>0.65</v>
      </c>
      <c r="W21" s="248">
        <f>IFERROR(_xlfn.XLOOKUP(Table4[[#This Row],[Subnummer]],Table3[Sub],Table3[Promillage 2]),0)</f>
        <v>0.7</v>
      </c>
      <c r="X21" s="248">
        <f>IFERROR(_xlfn.XLOOKUP(Table4[[#This Row],[Subnummer]],Table3[Sub],Table3[Promillage 3]),0)</f>
        <v>0.747</v>
      </c>
      <c r="Y21" s="248">
        <f>IFERROR(_xlfn.XLOOKUP(Table4[[#This Row],[Subnummer]],Table3[Sub],Table3[Promillage 4]),0)</f>
        <v>0.75</v>
      </c>
      <c r="Z21" s="248">
        <f>IFERROR(_xlfn.XLOOKUP(Table4[[#This Row],[Subnummer]],Table3[Sub],Table3[Promillage 5]),0)</f>
        <v>0.82</v>
      </c>
      <c r="AA21" s="229">
        <f t="shared" si="6"/>
        <v>0</v>
      </c>
      <c r="AB21" s="229">
        <f t="shared" si="7"/>
        <v>0</v>
      </c>
      <c r="AC21" s="229">
        <f t="shared" si="8"/>
        <v>0</v>
      </c>
      <c r="AD21" s="229">
        <f t="shared" si="9"/>
        <v>0</v>
      </c>
      <c r="AE21" s="229">
        <f t="shared" si="10"/>
        <v>0</v>
      </c>
      <c r="AF21" s="229">
        <f t="shared" si="11"/>
        <v>0</v>
      </c>
      <c r="AG21" s="250" t="str" cm="1">
        <f t="array" ref="AG21">_xlfn.IFS(AF21=0,"Nihil",AF21&gt;0,"Suppletie",AF21&lt;0,"Restitutie")</f>
        <v>Nihil</v>
      </c>
    </row>
    <row r="22" spans="1:33" x14ac:dyDescent="0.25">
      <c r="A22" s="225" t="str">
        <f>IFERROR(_xlfn.XLOOKUP(D22,Table3[Sub],Table3[Verzekerde]),"-")</f>
        <v>Amsterdamse Hogeschool vd Kunsten</v>
      </c>
      <c r="B22" s="223" t="s">
        <v>188</v>
      </c>
      <c r="C22" s="222">
        <f>IFERROR(_xlfn.XLOOKUP(Table4[[#This Row],[Subnummer]],Table3[Sub],Table3[Certificaat]),"-")</f>
        <v>0</v>
      </c>
      <c r="D22" s="251">
        <v>12</v>
      </c>
      <c r="E22" s="227">
        <f>IFERROR(_xlfn.XLOOKUP(Table4[[#This Row],[Subnummer]],Table3[Sub],Table3[Verz. Waarde Oud:]),0)</f>
        <v>8719000</v>
      </c>
      <c r="F22" s="228">
        <v>0</v>
      </c>
      <c r="G22" s="228">
        <v>931000</v>
      </c>
      <c r="H22" s="228">
        <v>0</v>
      </c>
      <c r="I22" s="228">
        <v>0</v>
      </c>
      <c r="J22" s="228">
        <f t="shared" si="0"/>
        <v>9650000</v>
      </c>
      <c r="K22" s="230">
        <f t="shared" si="1"/>
        <v>931000</v>
      </c>
      <c r="L22" s="231">
        <v>44809</v>
      </c>
      <c r="M22" s="232">
        <v>44809</v>
      </c>
      <c r="N22" s="233">
        <f t="shared" si="2"/>
        <v>0</v>
      </c>
      <c r="O22" s="222">
        <v>365</v>
      </c>
      <c r="P22" s="234" t="s">
        <v>94</v>
      </c>
      <c r="Q22" s="235">
        <f t="shared" si="3"/>
        <v>0</v>
      </c>
      <c r="R22" s="228" cm="1">
        <f t="array" ref="R22">_xlfn.IFS($P22="Nee",G22*$N22/$O22,$P22="Ja",G22*0.5)</f>
        <v>0</v>
      </c>
      <c r="S22" s="228" cm="1">
        <f t="array" ref="S22">_xlfn.IFS($P22="Nee",-(H22*$N22/$O22),$P22="Ja",-(H22*0.5))</f>
        <v>0</v>
      </c>
      <c r="T22" s="228">
        <f t="shared" si="4"/>
        <v>0</v>
      </c>
      <c r="U22" s="236">
        <f t="shared" si="5"/>
        <v>0</v>
      </c>
      <c r="V22" s="237">
        <f>IFERROR(_xlfn.XLOOKUP(Table4[[#This Row],[Subnummer]],Table3[Sub],Table3[Promillage 1]),0)</f>
        <v>0.65</v>
      </c>
      <c r="W22" s="238">
        <f>IFERROR(_xlfn.XLOOKUP(Table4[[#This Row],[Subnummer]],Table3[Sub],Table3[Promillage 2]),0)</f>
        <v>0.7</v>
      </c>
      <c r="X22" s="238">
        <f>IFERROR(_xlfn.XLOOKUP(Table4[[#This Row],[Subnummer]],Table3[Sub],Table3[Promillage 3]),0)</f>
        <v>0.747</v>
      </c>
      <c r="Y22" s="238">
        <f>IFERROR(_xlfn.XLOOKUP(Table4[[#This Row],[Subnummer]],Table3[Sub],Table3[Promillage 4]),0)</f>
        <v>0.75</v>
      </c>
      <c r="Z22" s="238">
        <f>IFERROR(_xlfn.XLOOKUP(Table4[[#This Row],[Subnummer]],Table3[Sub],Table3[Promillage 5]),0)</f>
        <v>0.82</v>
      </c>
      <c r="AA22" s="228">
        <f t="shared" si="6"/>
        <v>0</v>
      </c>
      <c r="AB22" s="228">
        <f t="shared" si="7"/>
        <v>0</v>
      </c>
      <c r="AC22" s="228">
        <f t="shared" si="8"/>
        <v>0</v>
      </c>
      <c r="AD22" s="228">
        <f t="shared" si="9"/>
        <v>0</v>
      </c>
      <c r="AE22" s="228">
        <f t="shared" si="10"/>
        <v>0</v>
      </c>
      <c r="AF22" s="228">
        <f t="shared" si="11"/>
        <v>0</v>
      </c>
      <c r="AG22" s="234" t="str" cm="1">
        <f t="array" ref="AG22">_xlfn.IFS(AF22=0,"Nihil",AF22&gt;0,"Suppletie",AF22&lt;0,"Restitutie")</f>
        <v>Nihil</v>
      </c>
    </row>
    <row r="23" spans="1:33" x14ac:dyDescent="0.25">
      <c r="A23" s="225" t="str">
        <f>IFERROR(_xlfn.XLOOKUP(D23,Table3[Sub],Table3[Verzekerde]),"-")</f>
        <v>Amsterdamse Hogeschool vd Kunsten</v>
      </c>
      <c r="B23" s="223" t="s">
        <v>188</v>
      </c>
      <c r="C23" s="222">
        <f>IFERROR(_xlfn.XLOOKUP(Table4[[#This Row],[Subnummer]],Table3[Sub],Table3[Certificaat]),"-")</f>
        <v>0</v>
      </c>
      <c r="D23" s="251">
        <v>6</v>
      </c>
      <c r="E23" s="227">
        <f>IFERROR(_xlfn.XLOOKUP(Table4[[#This Row],[Subnummer]],Table3[Sub],Table3[Verz. Waarde Oud:]),0)</f>
        <v>8808000</v>
      </c>
      <c r="F23" s="228">
        <v>0</v>
      </c>
      <c r="G23" s="228">
        <v>92000</v>
      </c>
      <c r="H23" s="228">
        <v>0</v>
      </c>
      <c r="I23" s="228">
        <v>0</v>
      </c>
      <c r="J23" s="228">
        <f t="shared" si="0"/>
        <v>8900000</v>
      </c>
      <c r="K23" s="253">
        <f t="shared" si="1"/>
        <v>92000</v>
      </c>
      <c r="L23" s="231">
        <v>44811</v>
      </c>
      <c r="M23" s="232">
        <v>44811</v>
      </c>
      <c r="N23" s="222">
        <f t="shared" si="2"/>
        <v>0</v>
      </c>
      <c r="O23" s="222">
        <v>365</v>
      </c>
      <c r="P23" s="234" t="s">
        <v>94</v>
      </c>
      <c r="Q23" s="235">
        <f t="shared" si="3"/>
        <v>0</v>
      </c>
      <c r="R23" s="228" cm="1">
        <f t="array" ref="R23">_xlfn.IFS($P23="Nee",G23*$N23/$O23,$P23="Ja",G23*0.5)</f>
        <v>0</v>
      </c>
      <c r="S23" s="228" cm="1">
        <f t="array" ref="S23">_xlfn.IFS($P23="Nee",-(H23*$N23/$O23),$P23="Ja",-(H23*0.5))</f>
        <v>0</v>
      </c>
      <c r="T23" s="228">
        <f t="shared" si="4"/>
        <v>0</v>
      </c>
      <c r="U23" s="236">
        <f t="shared" si="5"/>
        <v>0</v>
      </c>
      <c r="V23" s="237">
        <f>IFERROR(_xlfn.XLOOKUP(Table4[[#This Row],[Subnummer]],Table3[Sub],Table3[Promillage 1]),0)</f>
        <v>0.65</v>
      </c>
      <c r="W23" s="238">
        <f>IFERROR(_xlfn.XLOOKUP(Table4[[#This Row],[Subnummer]],Table3[Sub],Table3[Promillage 2]),0)</f>
        <v>0.7</v>
      </c>
      <c r="X23" s="238">
        <f>IFERROR(_xlfn.XLOOKUP(Table4[[#This Row],[Subnummer]],Table3[Sub],Table3[Promillage 3]),0)</f>
        <v>0.747</v>
      </c>
      <c r="Y23" s="238">
        <f>IFERROR(_xlfn.XLOOKUP(Table4[[#This Row],[Subnummer]],Table3[Sub],Table3[Promillage 4]),0)</f>
        <v>0.75</v>
      </c>
      <c r="Z23" s="238">
        <f>IFERROR(_xlfn.XLOOKUP(Table4[[#This Row],[Subnummer]],Table3[Sub],Table3[Promillage 5]),0)</f>
        <v>0.82</v>
      </c>
      <c r="AA23" s="228">
        <f t="shared" si="6"/>
        <v>0</v>
      </c>
      <c r="AB23" s="228">
        <f t="shared" si="7"/>
        <v>0</v>
      </c>
      <c r="AC23" s="228">
        <f t="shared" si="8"/>
        <v>0</v>
      </c>
      <c r="AD23" s="228">
        <f t="shared" si="9"/>
        <v>0</v>
      </c>
      <c r="AE23" s="228">
        <f t="shared" si="10"/>
        <v>0</v>
      </c>
      <c r="AF23" s="228">
        <f t="shared" si="11"/>
        <v>0</v>
      </c>
      <c r="AG23" s="234" t="str" cm="1">
        <f t="array" ref="AG23">_xlfn.IFS(AF23=0,"Nihil",AF23&gt;0,"Suppletie",AF23&lt;0,"Restitutie")</f>
        <v>Nihil</v>
      </c>
    </row>
    <row r="24" spans="1:33" x14ac:dyDescent="0.25">
      <c r="A24" s="240" t="str">
        <f>IFERROR(_xlfn.XLOOKUP(D24,Specificatie!C:C,Specificatie!A:A),"-")</f>
        <v>Amsterdamse Hogeschool vd Kunsten</v>
      </c>
      <c r="B24" s="223" t="s">
        <v>188</v>
      </c>
      <c r="C24" s="222">
        <f>IFERROR(_xlfn.XLOOKUP(Table4[[#This Row],[Subnummer]],Table3[Sub],Table3[Certificaat]),"-")</f>
        <v>0</v>
      </c>
      <c r="D24" s="252">
        <v>20</v>
      </c>
      <c r="E24" s="242">
        <f>IFERROR(_xlfn.XLOOKUP(Table4[[#This Row],[Subnummer]],Table3[Sub],Table3[Verz. Waarde Oud:]),0)</f>
        <v>2287000</v>
      </c>
      <c r="F24" s="229">
        <v>0</v>
      </c>
      <c r="G24" s="229">
        <v>13210</v>
      </c>
      <c r="H24" s="229">
        <v>0</v>
      </c>
      <c r="I24" s="229">
        <v>0</v>
      </c>
      <c r="J24" s="229">
        <f t="shared" si="0"/>
        <v>2300210</v>
      </c>
      <c r="K24" s="269">
        <f t="shared" si="1"/>
        <v>13210</v>
      </c>
      <c r="L24" s="270">
        <v>44811</v>
      </c>
      <c r="M24" s="271">
        <v>44811</v>
      </c>
      <c r="N24" s="223">
        <f t="shared" si="2"/>
        <v>0</v>
      </c>
      <c r="O24" s="223">
        <v>365</v>
      </c>
      <c r="P24" s="250" t="s">
        <v>94</v>
      </c>
      <c r="Q24" s="245">
        <f t="shared" si="3"/>
        <v>0</v>
      </c>
      <c r="R24" s="229" cm="1">
        <f t="array" ref="R24">_xlfn.IFS($P24="Nee",G24*$N24/$O24,$P24="Ja",G24*0.5)</f>
        <v>0</v>
      </c>
      <c r="S24" s="229" cm="1">
        <f t="array" ref="S24">_xlfn.IFS($P24="Nee",-(H24*$N24/$O24),$P24="Ja",-(H24*0.5))</f>
        <v>0</v>
      </c>
      <c r="T24" s="229">
        <f t="shared" si="4"/>
        <v>0</v>
      </c>
      <c r="U24" s="246">
        <f t="shared" si="5"/>
        <v>0</v>
      </c>
      <c r="V24" s="247">
        <f>IFERROR(_xlfn.XLOOKUP(Table4[[#This Row],[Subnummer]],Table3[Sub],Table3[Promillage 1]),0)</f>
        <v>0.65</v>
      </c>
      <c r="W24" s="248">
        <f>IFERROR(_xlfn.XLOOKUP(Table4[[#This Row],[Subnummer]],Table3[Sub],Table3[Promillage 2]),0)</f>
        <v>0.7</v>
      </c>
      <c r="X24" s="248">
        <f>IFERROR(_xlfn.XLOOKUP(Table4[[#This Row],[Subnummer]],Table3[Sub],Table3[Promillage 3]),0)</f>
        <v>0.747</v>
      </c>
      <c r="Y24" s="248">
        <f>IFERROR(_xlfn.XLOOKUP(Table4[[#This Row],[Subnummer]],Table3[Sub],Table3[Promillage 4]),0)</f>
        <v>0.75</v>
      </c>
      <c r="Z24" s="248">
        <f>IFERROR(_xlfn.XLOOKUP(Table4[[#This Row],[Subnummer]],Table3[Sub],Table3[Promillage 5]),0)</f>
        <v>0.82</v>
      </c>
      <c r="AA24" s="229">
        <f t="shared" si="6"/>
        <v>0</v>
      </c>
      <c r="AB24" s="229">
        <f t="shared" si="7"/>
        <v>0</v>
      </c>
      <c r="AC24" s="229">
        <f t="shared" si="8"/>
        <v>0</v>
      </c>
      <c r="AD24" s="229">
        <f t="shared" si="9"/>
        <v>0</v>
      </c>
      <c r="AE24" s="229">
        <f t="shared" si="10"/>
        <v>0</v>
      </c>
      <c r="AF24" s="229">
        <f t="shared" si="11"/>
        <v>0</v>
      </c>
      <c r="AG24" s="250" t="str" cm="1">
        <f t="array" ref="AG24">_xlfn.IFS(AF24=0,"Nihil",AF24&gt;0,"Suppletie",AF24&lt;0,"Restitutie")</f>
        <v>Nihil</v>
      </c>
    </row>
    <row r="25" spans="1:33" x14ac:dyDescent="0.25">
      <c r="A25" s="225" t="str">
        <f>IFERROR(_xlfn.XLOOKUP(D25,Table3[Sub],Table3[Verzekerde]),"-")</f>
        <v>Amsterdamse Hogeschool vd Kunsten</v>
      </c>
      <c r="B25" s="222" t="s">
        <v>187</v>
      </c>
      <c r="C25" s="222">
        <f>IFERROR(_xlfn.XLOOKUP(Table4[[#This Row],[Subnummer]],Table3[Sub],Table3[Certificaat]),"-")</f>
        <v>0</v>
      </c>
      <c r="D25" s="251">
        <v>1</v>
      </c>
      <c r="E25" s="227">
        <f>IFERROR(_xlfn.XLOOKUP(Table4[[#This Row],[Subnummer]],Table3[Sub],Table3[Verz. Waarde Oud:]),0)</f>
        <v>10898000</v>
      </c>
      <c r="F25" s="228">
        <v>0</v>
      </c>
      <c r="G25" s="228">
        <v>1102000</v>
      </c>
      <c r="H25" s="229">
        <v>0</v>
      </c>
      <c r="I25" s="228">
        <v>0</v>
      </c>
      <c r="J25" s="228">
        <f t="shared" si="0"/>
        <v>12000000</v>
      </c>
      <c r="K25" s="253">
        <f t="shared" si="1"/>
        <v>1102000</v>
      </c>
      <c r="L25" s="231">
        <v>44813</v>
      </c>
      <c r="M25" s="232">
        <v>44813</v>
      </c>
      <c r="N25" s="222">
        <f t="shared" si="2"/>
        <v>0</v>
      </c>
      <c r="O25" s="222">
        <v>365</v>
      </c>
      <c r="P25" s="234" t="s">
        <v>94</v>
      </c>
      <c r="Q25" s="235">
        <f t="shared" si="3"/>
        <v>0</v>
      </c>
      <c r="R25" s="228" cm="1">
        <f t="array" ref="R25">_xlfn.IFS($P25="Nee",G25*$N25/$O25,$P25="Ja",G25*0.5)</f>
        <v>0</v>
      </c>
      <c r="S25" s="228" cm="1">
        <f t="array" ref="S25">_xlfn.IFS($P25="Nee",-(H25*$N25/$O25),$P25="Ja",-(H25*0.5))</f>
        <v>0</v>
      </c>
      <c r="T25" s="228">
        <f t="shared" si="4"/>
        <v>0</v>
      </c>
      <c r="U25" s="236">
        <f t="shared" si="5"/>
        <v>0</v>
      </c>
      <c r="V25" s="237">
        <f>IFERROR(_xlfn.XLOOKUP(Table4[[#This Row],[Subnummer]],Table3[Sub],Table3[Promillage 1]),0)</f>
        <v>0.65</v>
      </c>
      <c r="W25" s="238">
        <f>IFERROR(_xlfn.XLOOKUP(Table4[[#This Row],[Subnummer]],Table3[Sub],Table3[Promillage 2]),0)</f>
        <v>0.7</v>
      </c>
      <c r="X25" s="238">
        <f>IFERROR(_xlfn.XLOOKUP(Table4[[#This Row],[Subnummer]],Table3[Sub],Table3[Promillage 3]),0)</f>
        <v>0.747</v>
      </c>
      <c r="Y25" s="238">
        <f>IFERROR(_xlfn.XLOOKUP(Table4[[#This Row],[Subnummer]],Table3[Sub],Table3[Promillage 4]),0)</f>
        <v>0.75</v>
      </c>
      <c r="Z25" s="238">
        <f>IFERROR(_xlfn.XLOOKUP(Table4[[#This Row],[Subnummer]],Table3[Sub],Table3[Promillage 5]),0)</f>
        <v>0.82</v>
      </c>
      <c r="AA25" s="228">
        <f t="shared" si="6"/>
        <v>0</v>
      </c>
      <c r="AB25" s="228">
        <f t="shared" si="7"/>
        <v>0</v>
      </c>
      <c r="AC25" s="228">
        <f t="shared" si="8"/>
        <v>0</v>
      </c>
      <c r="AD25" s="228">
        <f t="shared" si="9"/>
        <v>0</v>
      </c>
      <c r="AE25" s="228">
        <f t="shared" si="10"/>
        <v>0</v>
      </c>
      <c r="AF25" s="228">
        <f t="shared" si="11"/>
        <v>0</v>
      </c>
      <c r="AG25" s="234" t="str" cm="1">
        <f t="array" ref="AG25">_xlfn.IFS(AF25=0,"Nihil",AF25&gt;0,"Suppletie",AF25&lt;0,"Restitutie")</f>
        <v>Nihil</v>
      </c>
    </row>
    <row r="26" spans="1:33" x14ac:dyDescent="0.25">
      <c r="A26" s="225" t="str">
        <f>IFERROR(_xlfn.XLOOKUP(D26,Table3[Sub],Table3[Verzekerde]),"-")</f>
        <v>Amsterdamse Hogeschool vd Kunsten</v>
      </c>
      <c r="B26" s="222" t="s">
        <v>187</v>
      </c>
      <c r="C26" s="222">
        <f>IFERROR(_xlfn.XLOOKUP(Table4[[#This Row],[Subnummer]],Table3[Sub],Table3[Certificaat]),"-")</f>
        <v>0</v>
      </c>
      <c r="D26" s="251">
        <v>3</v>
      </c>
      <c r="E26" s="227">
        <f>IFERROR(_xlfn.XLOOKUP(Table4[[#This Row],[Subnummer]],Table3[Sub],Table3[Verz. Waarde Oud:]),0)</f>
        <v>56098000</v>
      </c>
      <c r="F26" s="229">
        <v>0</v>
      </c>
      <c r="G26" s="228">
        <v>20602000</v>
      </c>
      <c r="H26" s="229">
        <v>0</v>
      </c>
      <c r="I26" s="228">
        <v>0</v>
      </c>
      <c r="J26" s="228">
        <f t="shared" si="0"/>
        <v>76700000</v>
      </c>
      <c r="K26" s="230">
        <f t="shared" si="1"/>
        <v>20602000</v>
      </c>
      <c r="L26" s="231">
        <v>44813</v>
      </c>
      <c r="M26" s="232">
        <v>44927</v>
      </c>
      <c r="N26" s="233">
        <f t="shared" si="2"/>
        <v>114</v>
      </c>
      <c r="O26" s="222">
        <v>365</v>
      </c>
      <c r="P26" s="234" t="s">
        <v>94</v>
      </c>
      <c r="Q26" s="235">
        <f t="shared" si="3"/>
        <v>0</v>
      </c>
      <c r="R26" s="228" cm="1">
        <f t="array" ref="R26">_xlfn.IFS($P26="Nee",G26*$N26/$O26,$P26="Ja",G26*0.5)</f>
        <v>6434597.2602739725</v>
      </c>
      <c r="S26" s="228" cm="1">
        <f t="array" ref="S26">_xlfn.IFS($P26="Nee",-(H26*$N26/$O26),$P26="Ja",-(H26*0.5))</f>
        <v>0</v>
      </c>
      <c r="T26" s="228">
        <f t="shared" si="4"/>
        <v>0</v>
      </c>
      <c r="U26" s="236">
        <f t="shared" si="5"/>
        <v>6434597.2602739725</v>
      </c>
      <c r="V26" s="237">
        <f>IFERROR(_xlfn.XLOOKUP(Table4[[#This Row],[Subnummer]],Table3[Sub],Table3[Promillage 1]),0)</f>
        <v>0.65</v>
      </c>
      <c r="W26" s="238">
        <f>IFERROR(_xlfn.XLOOKUP(Table4[[#This Row],[Subnummer]],Table3[Sub],Table3[Promillage 2]),0)</f>
        <v>0.7</v>
      </c>
      <c r="X26" s="238">
        <f>IFERROR(_xlfn.XLOOKUP(Table4[[#This Row],[Subnummer]],Table3[Sub],Table3[Promillage 3]),0)</f>
        <v>0.747</v>
      </c>
      <c r="Y26" s="238">
        <f>IFERROR(_xlfn.XLOOKUP(Table4[[#This Row],[Subnummer]],Table3[Sub],Table3[Promillage 4]),0)</f>
        <v>0.75</v>
      </c>
      <c r="Z26" s="238">
        <f>IFERROR(_xlfn.XLOOKUP(Table4[[#This Row],[Subnummer]],Table3[Sub],Table3[Promillage 5]),0)</f>
        <v>0.82</v>
      </c>
      <c r="AA26" s="228">
        <f t="shared" si="6"/>
        <v>1672.9952876712332</v>
      </c>
      <c r="AB26" s="228">
        <f t="shared" si="7"/>
        <v>1126.054520547945</v>
      </c>
      <c r="AC26" s="228">
        <f t="shared" si="8"/>
        <v>720.9966230136987</v>
      </c>
      <c r="AD26" s="228">
        <f t="shared" si="9"/>
        <v>603.24349315068503</v>
      </c>
      <c r="AE26" s="228">
        <f t="shared" si="10"/>
        <v>395.7277315068493</v>
      </c>
      <c r="AF26" s="228">
        <f t="shared" si="11"/>
        <v>4519.0176558904113</v>
      </c>
      <c r="AG26" s="234" t="str" cm="1">
        <f t="array" ref="AG26">_xlfn.IFS(AF26=0,"Nihil",AF26&gt;0,"Suppletie",AF26&lt;0,"Restitutie")</f>
        <v>Suppletie</v>
      </c>
    </row>
    <row r="27" spans="1:33" x14ac:dyDescent="0.25">
      <c r="A27" s="225" t="str">
        <f>IFERROR(_xlfn.XLOOKUP(D27,Table3[Sub],Table3[Verzekerde]),"-")</f>
        <v>Amsterdamse Hogeschool vd Kunsten</v>
      </c>
      <c r="B27" s="222" t="s">
        <v>187</v>
      </c>
      <c r="C27" s="222">
        <f>IFERROR(_xlfn.XLOOKUP(Table4[[#This Row],[Subnummer]],Table3[Sub],Table3[Certificaat]),"-")</f>
        <v>0</v>
      </c>
      <c r="D27" s="251">
        <v>5</v>
      </c>
      <c r="E27" s="227">
        <f>IFERROR(_xlfn.XLOOKUP(Table4[[#This Row],[Subnummer]],Table3[Sub],Table3[Verz. Waarde Oud:]),0)</f>
        <v>28052000</v>
      </c>
      <c r="F27" s="228">
        <v>0</v>
      </c>
      <c r="G27" s="228">
        <v>3798000</v>
      </c>
      <c r="H27" s="229">
        <v>0</v>
      </c>
      <c r="I27" s="228">
        <v>0</v>
      </c>
      <c r="J27" s="228">
        <f t="shared" si="0"/>
        <v>31850000</v>
      </c>
      <c r="K27" s="230">
        <f t="shared" si="1"/>
        <v>3798000</v>
      </c>
      <c r="L27" s="231">
        <v>44813</v>
      </c>
      <c r="M27" s="232">
        <v>44813</v>
      </c>
      <c r="N27" s="233">
        <f t="shared" si="2"/>
        <v>0</v>
      </c>
      <c r="O27" s="222">
        <v>365</v>
      </c>
      <c r="P27" s="234" t="s">
        <v>94</v>
      </c>
      <c r="Q27" s="235">
        <f t="shared" si="3"/>
        <v>0</v>
      </c>
      <c r="R27" s="228" cm="1">
        <f t="array" ref="R27">_xlfn.IFS($P27="Nee",G27*$N27/$O27,$P27="Ja",G27*0.5)</f>
        <v>0</v>
      </c>
      <c r="S27" s="228" cm="1">
        <f t="array" ref="S27">_xlfn.IFS($P27="Nee",-(H27*$N27/$O27),$P27="Ja",-(H27*0.5))</f>
        <v>0</v>
      </c>
      <c r="T27" s="228">
        <f t="shared" si="4"/>
        <v>0</v>
      </c>
      <c r="U27" s="236">
        <f t="shared" si="5"/>
        <v>0</v>
      </c>
      <c r="V27" s="237">
        <f>IFERROR(_xlfn.XLOOKUP(Table4[[#This Row],[Subnummer]],Table3[Sub],Table3[Promillage 1]),0)</f>
        <v>0.65</v>
      </c>
      <c r="W27" s="238">
        <f>IFERROR(_xlfn.XLOOKUP(Table4[[#This Row],[Subnummer]],Table3[Sub],Table3[Promillage 2]),0)</f>
        <v>0.7</v>
      </c>
      <c r="X27" s="238">
        <f>IFERROR(_xlfn.XLOOKUP(Table4[[#This Row],[Subnummer]],Table3[Sub],Table3[Promillage 3]),0)</f>
        <v>0.747</v>
      </c>
      <c r="Y27" s="238">
        <f>IFERROR(_xlfn.XLOOKUP(Table4[[#This Row],[Subnummer]],Table3[Sub],Table3[Promillage 4]),0)</f>
        <v>0.75</v>
      </c>
      <c r="Z27" s="238">
        <f>IFERROR(_xlfn.XLOOKUP(Table4[[#This Row],[Subnummer]],Table3[Sub],Table3[Promillage 5]),0)</f>
        <v>0.82</v>
      </c>
      <c r="AA27" s="228">
        <f t="shared" si="6"/>
        <v>0</v>
      </c>
      <c r="AB27" s="228">
        <f t="shared" si="7"/>
        <v>0</v>
      </c>
      <c r="AC27" s="228">
        <f t="shared" si="8"/>
        <v>0</v>
      </c>
      <c r="AD27" s="228">
        <f t="shared" si="9"/>
        <v>0</v>
      </c>
      <c r="AE27" s="228">
        <f t="shared" si="10"/>
        <v>0</v>
      </c>
      <c r="AF27" s="228">
        <f t="shared" si="11"/>
        <v>0</v>
      </c>
      <c r="AG27" s="234" t="str" cm="1">
        <f t="array" ref="AG27">_xlfn.IFS(AF27=0,"Nihil",AF27&gt;0,"Suppletie",AF27&lt;0,"Restitutie")</f>
        <v>Nihil</v>
      </c>
    </row>
    <row r="28" spans="1:33" x14ac:dyDescent="0.25">
      <c r="A28" s="225" t="str">
        <f>IFERROR(_xlfn.XLOOKUP(D28,Table3[Sub],Table3[Verzekerde]),"-")</f>
        <v>Amsterdamse Hogeschool vd Kunsten</v>
      </c>
      <c r="B28" s="222" t="s">
        <v>187</v>
      </c>
      <c r="C28" s="222">
        <f>IFERROR(_xlfn.XLOOKUP(Table4[[#This Row],[Subnummer]],Table3[Sub],Table3[Certificaat]),"-")</f>
        <v>0</v>
      </c>
      <c r="D28" s="251">
        <v>7</v>
      </c>
      <c r="E28" s="227">
        <f>IFERROR(_xlfn.XLOOKUP(Table4[[#This Row],[Subnummer]],Table3[Sub],Table3[Verz. Waarde Oud:]),0)</f>
        <v>13908000</v>
      </c>
      <c r="F28" s="228">
        <v>0</v>
      </c>
      <c r="G28" s="228">
        <v>3442000</v>
      </c>
      <c r="H28" s="229">
        <v>0</v>
      </c>
      <c r="I28" s="228">
        <v>0</v>
      </c>
      <c r="J28" s="228">
        <f t="shared" si="0"/>
        <v>17350000</v>
      </c>
      <c r="K28" s="253">
        <f t="shared" si="1"/>
        <v>3442000</v>
      </c>
      <c r="L28" s="231">
        <v>44813</v>
      </c>
      <c r="M28" s="232">
        <v>44813</v>
      </c>
      <c r="N28" s="233">
        <f t="shared" si="2"/>
        <v>0</v>
      </c>
      <c r="O28" s="222">
        <v>365</v>
      </c>
      <c r="P28" s="234" t="s">
        <v>94</v>
      </c>
      <c r="Q28" s="235">
        <f t="shared" si="3"/>
        <v>0</v>
      </c>
      <c r="R28" s="228" cm="1">
        <f t="array" ref="R28">_xlfn.IFS($P28="Nee",G28*$N28/$O28,$P28="Ja",G28*0.5)</f>
        <v>0</v>
      </c>
      <c r="S28" s="228" cm="1">
        <f t="array" ref="S28">_xlfn.IFS($P28="Nee",-(H28*$N28/$O28),$P28="Ja",-(H28*0.5))</f>
        <v>0</v>
      </c>
      <c r="T28" s="228">
        <f t="shared" si="4"/>
        <v>0</v>
      </c>
      <c r="U28" s="236">
        <f t="shared" si="5"/>
        <v>0</v>
      </c>
      <c r="V28" s="237">
        <f>IFERROR(_xlfn.XLOOKUP(Table4[[#This Row],[Subnummer]],Table3[Sub],Table3[Promillage 1]),0)</f>
        <v>0.65</v>
      </c>
      <c r="W28" s="238">
        <f>IFERROR(_xlfn.XLOOKUP(Table4[[#This Row],[Subnummer]],Table3[Sub],Table3[Promillage 2]),0)</f>
        <v>0.7</v>
      </c>
      <c r="X28" s="238">
        <f>IFERROR(_xlfn.XLOOKUP(Table4[[#This Row],[Subnummer]],Table3[Sub],Table3[Promillage 3]),0)</f>
        <v>0.747</v>
      </c>
      <c r="Y28" s="238">
        <f>IFERROR(_xlfn.XLOOKUP(Table4[[#This Row],[Subnummer]],Table3[Sub],Table3[Promillage 4]),0)</f>
        <v>0.75</v>
      </c>
      <c r="Z28" s="238">
        <f>IFERROR(_xlfn.XLOOKUP(Table4[[#This Row],[Subnummer]],Table3[Sub],Table3[Promillage 5]),0)</f>
        <v>0.82</v>
      </c>
      <c r="AA28" s="228">
        <f t="shared" si="6"/>
        <v>0</v>
      </c>
      <c r="AB28" s="228">
        <f t="shared" si="7"/>
        <v>0</v>
      </c>
      <c r="AC28" s="228">
        <f t="shared" si="8"/>
        <v>0</v>
      </c>
      <c r="AD28" s="228">
        <f t="shared" si="9"/>
        <v>0</v>
      </c>
      <c r="AE28" s="228">
        <f t="shared" si="10"/>
        <v>0</v>
      </c>
      <c r="AF28" s="228">
        <f t="shared" si="11"/>
        <v>0</v>
      </c>
      <c r="AG28" s="234" t="str" cm="1">
        <f t="array" ref="AG28">_xlfn.IFS(AF28=0,"Nihil",AF28&gt;0,"Suppletie",AF28&lt;0,"Restitutie")</f>
        <v>Nihil</v>
      </c>
    </row>
    <row r="29" spans="1:33" x14ac:dyDescent="0.25">
      <c r="A29" s="225" t="str">
        <f>IFERROR(_xlfn.XLOOKUP(D29,Table3[Sub],Table3[Verzekerde]),"-")</f>
        <v>Amsterdamse Hogeschool vd Kunsten</v>
      </c>
      <c r="B29" s="222" t="s">
        <v>187</v>
      </c>
      <c r="C29" s="222">
        <f>IFERROR(_xlfn.XLOOKUP(Table4[[#This Row],[Subnummer]],Table3[Sub],Table3[Certificaat]),"-")</f>
        <v>0</v>
      </c>
      <c r="D29" s="251">
        <v>11</v>
      </c>
      <c r="E29" s="227">
        <f>IFERROR(_xlfn.XLOOKUP(Table4[[#This Row],[Subnummer]],Table3[Sub],Table3[Verz. Waarde Oud:]),0)</f>
        <v>40756000</v>
      </c>
      <c r="F29" s="229">
        <v>0</v>
      </c>
      <c r="G29" s="228">
        <v>11744000</v>
      </c>
      <c r="H29" s="228">
        <v>0</v>
      </c>
      <c r="I29" s="228">
        <v>0</v>
      </c>
      <c r="J29" s="228">
        <f t="shared" si="0"/>
        <v>52500000</v>
      </c>
      <c r="K29" s="230">
        <f t="shared" si="1"/>
        <v>11744000</v>
      </c>
      <c r="L29" s="231">
        <v>44813</v>
      </c>
      <c r="M29" s="232">
        <v>44927</v>
      </c>
      <c r="N29" s="233">
        <f t="shared" si="2"/>
        <v>114</v>
      </c>
      <c r="O29" s="222">
        <v>365</v>
      </c>
      <c r="P29" s="234" t="s">
        <v>94</v>
      </c>
      <c r="Q29" s="235">
        <f t="shared" si="3"/>
        <v>0</v>
      </c>
      <c r="R29" s="228" cm="1">
        <f t="array" ref="R29">_xlfn.IFS($P29="Nee",G29*$N29/$O29,$P29="Ja",G29*0.5)</f>
        <v>3667989.0410958906</v>
      </c>
      <c r="S29" s="228" cm="1">
        <f t="array" ref="S29">_xlfn.IFS($P29="Nee",-(H29*$N29/$O29),$P29="Ja",-(H29*0.5))</f>
        <v>0</v>
      </c>
      <c r="T29" s="228">
        <f t="shared" si="4"/>
        <v>0</v>
      </c>
      <c r="U29" s="236">
        <f t="shared" si="5"/>
        <v>3667989.0410958906</v>
      </c>
      <c r="V29" s="237">
        <f>IFERROR(_xlfn.XLOOKUP(Table4[[#This Row],[Subnummer]],Table3[Sub],Table3[Promillage 1]),0)</f>
        <v>0.65</v>
      </c>
      <c r="W29" s="238">
        <f>IFERROR(_xlfn.XLOOKUP(Table4[[#This Row],[Subnummer]],Table3[Sub],Table3[Promillage 2]),0)</f>
        <v>0.7</v>
      </c>
      <c r="X29" s="238">
        <f>IFERROR(_xlfn.XLOOKUP(Table4[[#This Row],[Subnummer]],Table3[Sub],Table3[Promillage 3]),0)</f>
        <v>0.747</v>
      </c>
      <c r="Y29" s="238">
        <f>IFERROR(_xlfn.XLOOKUP(Table4[[#This Row],[Subnummer]],Table3[Sub],Table3[Promillage 4]),0)</f>
        <v>0.75</v>
      </c>
      <c r="Z29" s="238">
        <f>IFERROR(_xlfn.XLOOKUP(Table4[[#This Row],[Subnummer]],Table3[Sub],Table3[Promillage 5]),0)</f>
        <v>0.82</v>
      </c>
      <c r="AA29" s="228">
        <f t="shared" si="6"/>
        <v>953.67715068493146</v>
      </c>
      <c r="AB29" s="228">
        <f t="shared" si="7"/>
        <v>641.89808219178076</v>
      </c>
      <c r="AC29" s="228">
        <f t="shared" si="8"/>
        <v>410.99817205479457</v>
      </c>
      <c r="AD29" s="228">
        <f t="shared" si="9"/>
        <v>343.87397260273974</v>
      </c>
      <c r="AE29" s="228">
        <f t="shared" si="10"/>
        <v>225.58132602739727</v>
      </c>
      <c r="AF29" s="228">
        <f t="shared" si="11"/>
        <v>2576.0287035616439</v>
      </c>
      <c r="AG29" s="234" t="str" cm="1">
        <f t="array" ref="AG29">_xlfn.IFS(AF29=0,"Nihil",AF29&gt;0,"Suppletie",AF29&lt;0,"Restitutie")</f>
        <v>Suppletie</v>
      </c>
    </row>
    <row r="30" spans="1:33" x14ac:dyDescent="0.25">
      <c r="A30" s="225" t="str">
        <f>IFERROR(_xlfn.XLOOKUP(D30,Table3[Sub],Table3[Verzekerde]),"-")</f>
        <v>Amsterdamse Hogeschool vd Kunsten</v>
      </c>
      <c r="B30" s="222" t="s">
        <v>187</v>
      </c>
      <c r="C30" s="222">
        <f>IFERROR(_xlfn.XLOOKUP(Table4[[#This Row],[Subnummer]],Table3[Sub],Table3[Certificaat]),"-")</f>
        <v>0</v>
      </c>
      <c r="D30" s="251">
        <v>9</v>
      </c>
      <c r="E30" s="227">
        <f>IFERROR(_xlfn.XLOOKUP(Table4[[#This Row],[Subnummer]],Table3[Sub],Table3[Verz. Waarde Oud:]),0)</f>
        <v>3889000</v>
      </c>
      <c r="F30" s="228">
        <v>0</v>
      </c>
      <c r="G30" s="228">
        <v>711000</v>
      </c>
      <c r="H30" s="228">
        <v>0</v>
      </c>
      <c r="I30" s="228">
        <v>0</v>
      </c>
      <c r="J30" s="228">
        <f t="shared" si="0"/>
        <v>4600000</v>
      </c>
      <c r="K30" s="230">
        <f t="shared" si="1"/>
        <v>711000</v>
      </c>
      <c r="L30" s="231">
        <v>44818</v>
      </c>
      <c r="M30" s="232">
        <v>44818</v>
      </c>
      <c r="N30" s="233">
        <f t="shared" si="2"/>
        <v>0</v>
      </c>
      <c r="O30" s="222">
        <v>365</v>
      </c>
      <c r="P30" s="234" t="s">
        <v>94</v>
      </c>
      <c r="Q30" s="235">
        <f t="shared" si="3"/>
        <v>0</v>
      </c>
      <c r="R30" s="228" cm="1">
        <f t="array" ref="R30">_xlfn.IFS($P30="Nee",G30*$N30/$O30,$P30="Ja",G30*0.5)</f>
        <v>0</v>
      </c>
      <c r="S30" s="228" cm="1">
        <f t="array" ref="S30">_xlfn.IFS($P30="Nee",-(H30*$N30/$O30),$P30="Ja",-(H30*0.5))</f>
        <v>0</v>
      </c>
      <c r="T30" s="228">
        <f t="shared" si="4"/>
        <v>0</v>
      </c>
      <c r="U30" s="236">
        <f t="shared" si="5"/>
        <v>0</v>
      </c>
      <c r="V30" s="237">
        <f>IFERROR(_xlfn.XLOOKUP(Table4[[#This Row],[Subnummer]],Table3[Sub],Table3[Promillage 1]),0)</f>
        <v>0.65</v>
      </c>
      <c r="W30" s="238">
        <f>IFERROR(_xlfn.XLOOKUP(Table4[[#This Row],[Subnummer]],Table3[Sub],Table3[Promillage 2]),0)</f>
        <v>0.7</v>
      </c>
      <c r="X30" s="238">
        <f>IFERROR(_xlfn.XLOOKUP(Table4[[#This Row],[Subnummer]],Table3[Sub],Table3[Promillage 3]),0)</f>
        <v>0.747</v>
      </c>
      <c r="Y30" s="238">
        <f>IFERROR(_xlfn.XLOOKUP(Table4[[#This Row],[Subnummer]],Table3[Sub],Table3[Promillage 4]),0)</f>
        <v>0.75</v>
      </c>
      <c r="Z30" s="238">
        <f>IFERROR(_xlfn.XLOOKUP(Table4[[#This Row],[Subnummer]],Table3[Sub],Table3[Promillage 5]),0)</f>
        <v>0.82</v>
      </c>
      <c r="AA30" s="228">
        <f t="shared" si="6"/>
        <v>0</v>
      </c>
      <c r="AB30" s="228">
        <f t="shared" si="7"/>
        <v>0</v>
      </c>
      <c r="AC30" s="228">
        <f t="shared" si="8"/>
        <v>0</v>
      </c>
      <c r="AD30" s="228">
        <f t="shared" si="9"/>
        <v>0</v>
      </c>
      <c r="AE30" s="228">
        <f t="shared" si="10"/>
        <v>0</v>
      </c>
      <c r="AF30" s="228">
        <f t="shared" si="11"/>
        <v>0</v>
      </c>
      <c r="AG30" s="234" t="str" cm="1">
        <f t="array" ref="AG30">_xlfn.IFS(AF30=0,"Nihil",AF30&gt;0,"Suppletie",AF30&lt;0,"Restitutie")</f>
        <v>Nihil</v>
      </c>
    </row>
    <row r="31" spans="1:33" x14ac:dyDescent="0.25">
      <c r="A31" s="225" t="str">
        <f>IFERROR(_xlfn.XLOOKUP(D31,Table3[Sub],Table3[Verzekerde]),"-")</f>
        <v>Amsterdamse Hogeschool vd Kunsten</v>
      </c>
      <c r="B31" s="222" t="s">
        <v>187</v>
      </c>
      <c r="C31" s="222">
        <f>IFERROR(_xlfn.XLOOKUP(Table4[[#This Row],[Subnummer]],Table3[Sub],Table3[Certificaat]),"-")</f>
        <v>0</v>
      </c>
      <c r="D31" s="251">
        <v>14</v>
      </c>
      <c r="E31" s="227">
        <f>IFERROR(_xlfn.XLOOKUP(Table4[[#This Row],[Subnummer]],Table3[Sub],Table3[Verz. Waarde Oud:]),0)</f>
        <v>7794000</v>
      </c>
      <c r="F31" s="228">
        <v>0</v>
      </c>
      <c r="G31" s="228">
        <v>11106000</v>
      </c>
      <c r="H31" s="228">
        <v>0</v>
      </c>
      <c r="I31" s="228">
        <v>0</v>
      </c>
      <c r="J31" s="228">
        <f t="shared" si="0"/>
        <v>18900000</v>
      </c>
      <c r="K31" s="253">
        <f t="shared" si="1"/>
        <v>11106000</v>
      </c>
      <c r="L31" s="231">
        <v>44818</v>
      </c>
      <c r="M31" s="232">
        <v>44927</v>
      </c>
      <c r="N31" s="233">
        <f t="shared" si="2"/>
        <v>109</v>
      </c>
      <c r="O31" s="222">
        <v>365</v>
      </c>
      <c r="P31" s="234" t="s">
        <v>94</v>
      </c>
      <c r="Q31" s="235">
        <f t="shared" si="3"/>
        <v>0</v>
      </c>
      <c r="R31" s="228" cm="1">
        <f t="array" ref="R31">_xlfn.IFS($P31="Nee",G31*$N31/$O31,$P31="Ja",G31*0.5)</f>
        <v>3316586.3013698631</v>
      </c>
      <c r="S31" s="228" cm="1">
        <f t="array" ref="S31">_xlfn.IFS($P31="Nee",-(H31*$N31/$O31),$P31="Ja",-(H31*0.5))</f>
        <v>0</v>
      </c>
      <c r="T31" s="228">
        <f t="shared" si="4"/>
        <v>0</v>
      </c>
      <c r="U31" s="236">
        <f t="shared" si="5"/>
        <v>3316586.3013698631</v>
      </c>
      <c r="V31" s="237">
        <f>IFERROR(_xlfn.XLOOKUP(Table4[[#This Row],[Subnummer]],Table3[Sub],Table3[Promillage 1]),0)</f>
        <v>0.65</v>
      </c>
      <c r="W31" s="238">
        <f>IFERROR(_xlfn.XLOOKUP(Table4[[#This Row],[Subnummer]],Table3[Sub],Table3[Promillage 2]),0)</f>
        <v>0.7</v>
      </c>
      <c r="X31" s="238">
        <f>IFERROR(_xlfn.XLOOKUP(Table4[[#This Row],[Subnummer]],Table3[Sub],Table3[Promillage 3]),0)</f>
        <v>0.747</v>
      </c>
      <c r="Y31" s="238">
        <f>IFERROR(_xlfn.XLOOKUP(Table4[[#This Row],[Subnummer]],Table3[Sub],Table3[Promillage 4]),0)</f>
        <v>0.75</v>
      </c>
      <c r="Z31" s="238">
        <f>IFERROR(_xlfn.XLOOKUP(Table4[[#This Row],[Subnummer]],Table3[Sub],Table3[Promillage 5]),0)</f>
        <v>0.82</v>
      </c>
      <c r="AA31" s="228">
        <f t="shared" si="6"/>
        <v>862.31243835616442</v>
      </c>
      <c r="AB31" s="228">
        <f t="shared" si="7"/>
        <v>580.40260273972592</v>
      </c>
      <c r="AC31" s="228">
        <f t="shared" si="8"/>
        <v>371.62349506849318</v>
      </c>
      <c r="AD31" s="228">
        <f t="shared" si="9"/>
        <v>310.92996575342465</v>
      </c>
      <c r="AE31" s="228">
        <f t="shared" si="10"/>
        <v>203.97005753424654</v>
      </c>
      <c r="AF31" s="228">
        <f t="shared" si="11"/>
        <v>2329.2385594520547</v>
      </c>
      <c r="AG31" s="234" t="str" cm="1">
        <f t="array" ref="AG31">_xlfn.IFS(AF31=0,"Nihil",AF31&gt;0,"Suppletie",AF31&lt;0,"Restitutie")</f>
        <v>Suppletie</v>
      </c>
    </row>
    <row r="32" spans="1:33" x14ac:dyDescent="0.25">
      <c r="A32" s="240" t="str">
        <f>IFERROR(_xlfn.XLOOKUP(D32,Specificatie!C:C,Specificatie!A:A),"-")</f>
        <v>Amsterdamse Hogeschool vd Kunsten</v>
      </c>
      <c r="B32" s="223" t="s">
        <v>192</v>
      </c>
      <c r="C32" s="222">
        <f>IFERROR(_xlfn.XLOOKUP(Table4[[#This Row],[Subnummer]],Table3[Sub],Table3[Certificaat]),"-")</f>
        <v>0</v>
      </c>
      <c r="D32" s="241">
        <v>21</v>
      </c>
      <c r="E32" s="242">
        <f>IFERROR(_xlfn.XLOOKUP(Table4[[#This Row],[Subnummer]],Table3[Sub],Table3[Verz. Waarde Oud:]),0)</f>
        <v>0</v>
      </c>
      <c r="F32" s="229">
        <v>425350</v>
      </c>
      <c r="G32" s="229">
        <v>0</v>
      </c>
      <c r="H32" s="229">
        <v>0</v>
      </c>
      <c r="I32" s="229">
        <v>0</v>
      </c>
      <c r="J32" s="229">
        <f t="shared" si="0"/>
        <v>425350</v>
      </c>
      <c r="K32" s="243">
        <f t="shared" si="1"/>
        <v>425350</v>
      </c>
      <c r="L32" s="270">
        <v>44825</v>
      </c>
      <c r="M32" s="271">
        <v>44825</v>
      </c>
      <c r="N32" s="244">
        <f t="shared" si="2"/>
        <v>0</v>
      </c>
      <c r="O32" s="223">
        <v>365</v>
      </c>
      <c r="P32" s="250" t="s">
        <v>94</v>
      </c>
      <c r="Q32" s="245">
        <f t="shared" si="3"/>
        <v>0</v>
      </c>
      <c r="R32" s="229" cm="1">
        <f t="array" ref="R32">_xlfn.IFS($P32="Nee",G32*$N32/$O32,$P32="Ja",G32*0.5)</f>
        <v>0</v>
      </c>
      <c r="S32" s="229" cm="1">
        <f t="array" ref="S32">_xlfn.IFS($P32="Nee",-(H32*$N32/$O32),$P32="Ja",-(H32*0.5))</f>
        <v>0</v>
      </c>
      <c r="T32" s="229">
        <f t="shared" si="4"/>
        <v>0</v>
      </c>
      <c r="U32" s="246">
        <f t="shared" si="5"/>
        <v>0</v>
      </c>
      <c r="V32" s="247">
        <f>IFERROR(_xlfn.XLOOKUP(Table4[[#This Row],[Subnummer]],Table3[Sub],Table3[Promillage 1]),0)</f>
        <v>0.65</v>
      </c>
      <c r="W32" s="248">
        <f>IFERROR(_xlfn.XLOOKUP(Table4[[#This Row],[Subnummer]],Table3[Sub],Table3[Promillage 2]),0)</f>
        <v>0.7</v>
      </c>
      <c r="X32" s="248">
        <f>IFERROR(_xlfn.XLOOKUP(Table4[[#This Row],[Subnummer]],Table3[Sub],Table3[Promillage 3]),0)</f>
        <v>0.747</v>
      </c>
      <c r="Y32" s="248">
        <f>IFERROR(_xlfn.XLOOKUP(Table4[[#This Row],[Subnummer]],Table3[Sub],Table3[Promillage 4]),0)</f>
        <v>0.75</v>
      </c>
      <c r="Z32" s="248">
        <f>IFERROR(_xlfn.XLOOKUP(Table4[[#This Row],[Subnummer]],Table3[Sub],Table3[Promillage 5]),0)</f>
        <v>0.82</v>
      </c>
      <c r="AA32" s="249">
        <f t="shared" si="6"/>
        <v>0</v>
      </c>
      <c r="AB32" s="229">
        <f t="shared" si="7"/>
        <v>0</v>
      </c>
      <c r="AC32" s="229">
        <f t="shared" si="8"/>
        <v>0</v>
      </c>
      <c r="AD32" s="229">
        <f t="shared" si="9"/>
        <v>0</v>
      </c>
      <c r="AE32" s="229">
        <f t="shared" si="10"/>
        <v>0</v>
      </c>
      <c r="AF32" s="229">
        <f t="shared" si="11"/>
        <v>0</v>
      </c>
      <c r="AG32" s="250" t="str" cm="1">
        <f t="array" ref="AG32">_xlfn.IFS(AF32=0,"Nihil",AF32&gt;0,"Suppletie",AF32&lt;0,"Restitutie")</f>
        <v>Nihil</v>
      </c>
    </row>
    <row r="33" spans="1:33" x14ac:dyDescent="0.25">
      <c r="A33" s="281" t="s">
        <v>130</v>
      </c>
      <c r="B33" s="282" t="s">
        <v>192</v>
      </c>
      <c r="C33" s="283">
        <v>0</v>
      </c>
      <c r="D33" s="284">
        <v>25</v>
      </c>
      <c r="E33" s="285">
        <v>0</v>
      </c>
      <c r="F33" s="286">
        <v>1000000</v>
      </c>
      <c r="G33" s="286">
        <v>0</v>
      </c>
      <c r="H33" s="286">
        <v>0</v>
      </c>
      <c r="I33" s="286">
        <v>0</v>
      </c>
      <c r="J33" s="286">
        <f t="shared" si="0"/>
        <v>1000000</v>
      </c>
      <c r="K33" s="243">
        <f t="shared" si="1"/>
        <v>1000000</v>
      </c>
      <c r="L33" s="287">
        <v>44705</v>
      </c>
      <c r="M33" s="288">
        <v>44927</v>
      </c>
      <c r="N33" s="244">
        <f t="shared" si="2"/>
        <v>222</v>
      </c>
      <c r="O33" s="282">
        <v>365</v>
      </c>
      <c r="P33" s="289" t="s">
        <v>94</v>
      </c>
      <c r="Q33" s="245">
        <f t="shared" ref="Q33:Q35" si="12">F33*N33/O33</f>
        <v>608219.17808219173</v>
      </c>
      <c r="R33" s="229" cm="1">
        <f t="array" ref="R33">_xlfn.IFS($P33="Nee",G33*$N33/$O33,$P33="Ja",G33*0.5)</f>
        <v>0</v>
      </c>
      <c r="S33" s="229" cm="1">
        <f t="array" ref="S33">_xlfn.IFS($P33="Nee",-(H33*$N33/$O33),$P33="Ja",-(H33*0.5))</f>
        <v>0</v>
      </c>
      <c r="T33" s="229">
        <f t="shared" ref="T33:T35" si="13">-I33*N33/O33</f>
        <v>0</v>
      </c>
      <c r="U33" s="246">
        <f t="shared" ref="U33:U35" si="14">SUM(Q33:T33)</f>
        <v>608219.17808219173</v>
      </c>
      <c r="V33" s="247">
        <f>IFERROR(_xlfn.XLOOKUP(Table4[[#This Row],[Subnummer]],Table3[Sub],Table3[Promillage 1]),0)</f>
        <v>0</v>
      </c>
      <c r="W33" s="248">
        <f>IFERROR(_xlfn.XLOOKUP(Table4[[#This Row],[Subnummer]],Table3[Sub],Table3[Promillage 2]),0)</f>
        <v>0</v>
      </c>
      <c r="X33" s="248">
        <f>IFERROR(_xlfn.XLOOKUP(Table4[[#This Row],[Subnummer]],Table3[Sub],Table3[Promillage 3]),0)</f>
        <v>0</v>
      </c>
      <c r="Y33" s="248">
        <f>IFERROR(_xlfn.XLOOKUP(Table4[[#This Row],[Subnummer]],Table3[Sub],Table3[Promillage 4]),0)</f>
        <v>0</v>
      </c>
      <c r="Z33" s="248">
        <f>IFERROR(_xlfn.XLOOKUP(Table4[[#This Row],[Subnummer]],Table3[Sub],Table3[Promillage 5]),0)</f>
        <v>0</v>
      </c>
      <c r="AA33" s="249">
        <f t="shared" ref="AA33:AA35" si="15">$U33*V33/1000*V$7</f>
        <v>0</v>
      </c>
      <c r="AB33" s="229">
        <f t="shared" ref="AB33:AB35" si="16">$U33*W33/1000*W$7</f>
        <v>0</v>
      </c>
      <c r="AC33" s="229">
        <f t="shared" ref="AC33:AC35" si="17">$U33*X33/1000*X$7</f>
        <v>0</v>
      </c>
      <c r="AD33" s="229">
        <f t="shared" ref="AD33:AD35" si="18">$U33*Y33/1000*Y$7</f>
        <v>0</v>
      </c>
      <c r="AE33" s="229">
        <f t="shared" ref="AE33:AE35" si="19">$U33*Z33/1000*Z$7</f>
        <v>0</v>
      </c>
      <c r="AF33" s="229">
        <f t="shared" ref="AF33:AF35" si="20">SUM(AA33:AE33)</f>
        <v>0</v>
      </c>
      <c r="AG33" s="250" t="str" cm="1">
        <f t="array" ref="AG33">_xlfn.IFS(AF33=0,"Nihil",AF33&gt;0,"Suppletie",AF33&lt;0,"Restitutie")</f>
        <v>Nihil</v>
      </c>
    </row>
    <row r="34" spans="1:33" x14ac:dyDescent="0.25">
      <c r="A34" s="240" t="s">
        <v>130</v>
      </c>
      <c r="B34" s="223" t="s">
        <v>192</v>
      </c>
      <c r="C34" s="222">
        <v>0</v>
      </c>
      <c r="D34" s="252">
        <v>26</v>
      </c>
      <c r="E34" s="227">
        <v>0</v>
      </c>
      <c r="F34" s="228">
        <v>10000000</v>
      </c>
      <c r="G34" s="228">
        <v>0</v>
      </c>
      <c r="H34" s="228">
        <v>0</v>
      </c>
      <c r="I34" s="228">
        <v>0</v>
      </c>
      <c r="J34" s="228">
        <f t="shared" si="0"/>
        <v>10000000</v>
      </c>
      <c r="K34" s="243">
        <f t="shared" si="1"/>
        <v>10000000</v>
      </c>
      <c r="L34" s="270">
        <v>44705</v>
      </c>
      <c r="M34" s="271">
        <v>44927</v>
      </c>
      <c r="N34" s="244">
        <f t="shared" si="2"/>
        <v>222</v>
      </c>
      <c r="O34" s="223">
        <v>365</v>
      </c>
      <c r="P34" s="250" t="s">
        <v>94</v>
      </c>
      <c r="Q34" s="245">
        <f t="shared" si="12"/>
        <v>6082191.7808219176</v>
      </c>
      <c r="R34" s="229" cm="1">
        <f t="array" ref="R34">_xlfn.IFS($P34="Nee",G34*$N34/$O34,$P34="Ja",G34*0.5)</f>
        <v>0</v>
      </c>
      <c r="S34" s="229" cm="1">
        <f t="array" ref="S34">_xlfn.IFS($P34="Nee",-(H34*$N34/$O34),$P34="Ja",-(H34*0.5))</f>
        <v>0</v>
      </c>
      <c r="T34" s="229">
        <f t="shared" si="13"/>
        <v>0</v>
      </c>
      <c r="U34" s="246">
        <f t="shared" si="14"/>
        <v>6082191.7808219176</v>
      </c>
      <c r="V34" s="247">
        <f>IFERROR(_xlfn.XLOOKUP(Table4[[#This Row],[Subnummer]],Table3[Sub],Table3[Promillage 1]),0)</f>
        <v>0</v>
      </c>
      <c r="W34" s="248">
        <f>IFERROR(_xlfn.XLOOKUP(Table4[[#This Row],[Subnummer]],Table3[Sub],Table3[Promillage 2]),0)</f>
        <v>0</v>
      </c>
      <c r="X34" s="248">
        <f>IFERROR(_xlfn.XLOOKUP(Table4[[#This Row],[Subnummer]],Table3[Sub],Table3[Promillage 3]),0)</f>
        <v>0</v>
      </c>
      <c r="Y34" s="248">
        <f>IFERROR(_xlfn.XLOOKUP(Table4[[#This Row],[Subnummer]],Table3[Sub],Table3[Promillage 4]),0)</f>
        <v>0</v>
      </c>
      <c r="Z34" s="248">
        <f>IFERROR(_xlfn.XLOOKUP(Table4[[#This Row],[Subnummer]],Table3[Sub],Table3[Promillage 5]),0)</f>
        <v>0</v>
      </c>
      <c r="AA34" s="249">
        <f t="shared" si="15"/>
        <v>0</v>
      </c>
      <c r="AB34" s="229">
        <f t="shared" si="16"/>
        <v>0</v>
      </c>
      <c r="AC34" s="229">
        <f t="shared" si="17"/>
        <v>0</v>
      </c>
      <c r="AD34" s="229">
        <f t="shared" si="18"/>
        <v>0</v>
      </c>
      <c r="AE34" s="229">
        <f t="shared" si="19"/>
        <v>0</v>
      </c>
      <c r="AF34" s="229">
        <f t="shared" si="20"/>
        <v>0</v>
      </c>
      <c r="AG34" s="250" t="str" cm="1">
        <f t="array" ref="AG34">_xlfn.IFS(AF34=0,"Nihil",AF34&gt;0,"Suppletie",AF34&lt;0,"Restitutie")</f>
        <v>Nihil</v>
      </c>
    </row>
    <row r="35" spans="1:33" ht="15.75" thickBot="1" x14ac:dyDescent="0.3">
      <c r="A35" s="272" t="s">
        <v>130</v>
      </c>
      <c r="B35" s="278" t="s">
        <v>192</v>
      </c>
      <c r="C35" s="273">
        <v>0</v>
      </c>
      <c r="D35" s="292">
        <v>27</v>
      </c>
      <c r="E35" s="293">
        <v>0</v>
      </c>
      <c r="F35" s="294">
        <v>2500000</v>
      </c>
      <c r="G35" s="294">
        <v>0</v>
      </c>
      <c r="H35" s="294">
        <v>0</v>
      </c>
      <c r="I35" s="294">
        <v>0</v>
      </c>
      <c r="J35" s="294">
        <f t="shared" si="0"/>
        <v>2500000</v>
      </c>
      <c r="K35" s="243">
        <f t="shared" si="1"/>
        <v>2500000</v>
      </c>
      <c r="L35" s="276">
        <v>44705</v>
      </c>
      <c r="M35" s="277">
        <v>44927</v>
      </c>
      <c r="N35" s="244">
        <f t="shared" si="2"/>
        <v>222</v>
      </c>
      <c r="O35" s="278">
        <v>365</v>
      </c>
      <c r="P35" s="274" t="s">
        <v>94</v>
      </c>
      <c r="Q35" s="245">
        <f t="shared" si="12"/>
        <v>1520547.9452054794</v>
      </c>
      <c r="R35" s="229" cm="1">
        <f t="array" ref="R35">_xlfn.IFS($P35="Nee",G35*$N35/$O35,$P35="Ja",G35*0.5)</f>
        <v>0</v>
      </c>
      <c r="S35" s="229" cm="1">
        <f t="array" ref="S35">_xlfn.IFS($P35="Nee",-(H35*$N35/$O35),$P35="Ja",-(H35*0.5))</f>
        <v>0</v>
      </c>
      <c r="T35" s="229">
        <f t="shared" si="13"/>
        <v>0</v>
      </c>
      <c r="U35" s="246">
        <f t="shared" si="14"/>
        <v>1520547.9452054794</v>
      </c>
      <c r="V35" s="247">
        <f>IFERROR(_xlfn.XLOOKUP(Table4[[#This Row],[Subnummer]],Table3[Sub],Table3[Promillage 1]),0)</f>
        <v>0</v>
      </c>
      <c r="W35" s="248">
        <f>IFERROR(_xlfn.XLOOKUP(Table4[[#This Row],[Subnummer]],Table3[Sub],Table3[Promillage 2]),0)</f>
        <v>0</v>
      </c>
      <c r="X35" s="248">
        <f>IFERROR(_xlfn.XLOOKUP(Table4[[#This Row],[Subnummer]],Table3[Sub],Table3[Promillage 3]),0)</f>
        <v>0</v>
      </c>
      <c r="Y35" s="248">
        <f>IFERROR(_xlfn.XLOOKUP(Table4[[#This Row],[Subnummer]],Table3[Sub],Table3[Promillage 4]),0)</f>
        <v>0</v>
      </c>
      <c r="Z35" s="248">
        <f>IFERROR(_xlfn.XLOOKUP(Table4[[#This Row],[Subnummer]],Table3[Sub],Table3[Promillage 5]),0)</f>
        <v>0</v>
      </c>
      <c r="AA35" s="249">
        <f t="shared" si="15"/>
        <v>0</v>
      </c>
      <c r="AB35" s="229">
        <f t="shared" si="16"/>
        <v>0</v>
      </c>
      <c r="AC35" s="229">
        <f t="shared" si="17"/>
        <v>0</v>
      </c>
      <c r="AD35" s="229">
        <f t="shared" si="18"/>
        <v>0</v>
      </c>
      <c r="AE35" s="229">
        <f t="shared" si="19"/>
        <v>0</v>
      </c>
      <c r="AF35" s="229">
        <f t="shared" si="20"/>
        <v>0</v>
      </c>
      <c r="AG35" s="250" t="str" cm="1">
        <f t="array" ref="AG35">_xlfn.IFS(AF35=0,"Nihil",AF35&gt;0,"Suppletie",AF35&lt;0,"Restitutie")</f>
        <v>Nihil</v>
      </c>
    </row>
    <row r="36" spans="1:33" ht="15.75" thickBot="1" x14ac:dyDescent="0.3">
      <c r="A36" s="87" t="s">
        <v>73</v>
      </c>
      <c r="B36" s="290"/>
      <c r="C36" s="87"/>
      <c r="D36" s="88"/>
      <c r="E36" s="89">
        <f>SUBTOTAL(109,Table4[Oud])</f>
        <v>201010000</v>
      </c>
      <c r="F36" s="89">
        <f>SUBTOTAL(109,Table4[Investering Nieuw])</f>
        <v>15515350</v>
      </c>
      <c r="G36" s="89">
        <f>SUBTOTAL(109,Table4[Investering bestaand])</f>
        <v>56913210</v>
      </c>
      <c r="H36" s="291">
        <f>SUBTOTAL(109,Table4[Verlaging])</f>
        <v>68000</v>
      </c>
      <c r="I36" s="291">
        <f>SUBTOTAL(109,Table4[Afvoer])</f>
        <v>0</v>
      </c>
      <c r="J36" s="89">
        <f>SUBTOTAL(109,Table4[Inclusief mutatie])</f>
        <v>273370560</v>
      </c>
      <c r="K36" s="89">
        <f>SUBTOTAL(109,Table4[Som mutaties])</f>
        <v>72360560</v>
      </c>
      <c r="L36" s="87"/>
      <c r="M36" s="88"/>
      <c r="N36" s="88"/>
      <c r="O36" s="88"/>
      <c r="P36" s="93"/>
      <c r="Q36" s="92">
        <f>SUBTOTAL(109,Table4[Investering nieuw2])</f>
        <v>8210958.9041095879</v>
      </c>
      <c r="R36" s="89">
        <f>SUBTOTAL(109,Table4[Investering bestaand2])</f>
        <v>13419172.602739725</v>
      </c>
      <c r="S36" s="89">
        <f>SUBTOTAL(109,Table4[Verlaging2])</f>
        <v>0</v>
      </c>
      <c r="T36" s="89">
        <f>SUBTOTAL(109,Table4[Afvoer2])</f>
        <v>0</v>
      </c>
      <c r="U36" s="89">
        <f>SUBTOTAL(109,Table4[Totaal])</f>
        <v>21630131.506849315</v>
      </c>
      <c r="V36" s="90"/>
      <c r="W36" s="91"/>
      <c r="X36" s="91"/>
      <c r="Y36" s="91"/>
      <c r="Z36" s="91"/>
      <c r="AA36" s="92">
        <f>SUBTOTAL(109,Table4[Verzekeraar 12])</f>
        <v>3488.984876712329</v>
      </c>
      <c r="AB36" s="92">
        <f>SUBTOTAL(109,Table4[Verzekeraar 23])</f>
        <v>2348.3552054794518</v>
      </c>
      <c r="AC36" s="92">
        <f>SUBTOTAL(109,Table4[Verzekeraar 34])</f>
        <v>1503.6182901369864</v>
      </c>
      <c r="AD36" s="92">
        <f>SUBTOTAL(109,Table4[Verzekeraar 45])</f>
        <v>1258.0474315068495</v>
      </c>
      <c r="AE36" s="92">
        <f>SUBTOTAL(109,Table4[Verzekeraar 56])</f>
        <v>825.27911506849307</v>
      </c>
      <c r="AF36" s="92">
        <f>SUBTOTAL(109,Table4[Totaal2])</f>
        <v>9424.2849189041099</v>
      </c>
      <c r="AG36" s="93"/>
    </row>
    <row r="38" spans="1:33" x14ac:dyDescent="0.25">
      <c r="D38" s="94"/>
    </row>
  </sheetData>
  <sheetProtection formatColumns="0" insertRows="0" deleteRows="0"/>
  <mergeCells count="4">
    <mergeCell ref="E5:K5"/>
    <mergeCell ref="Q5:U5"/>
    <mergeCell ref="V5:Z5"/>
    <mergeCell ref="AA5:AG5"/>
  </mergeCells>
  <phoneticPr fontId="5" type="noConversion"/>
  <dataValidations count="1">
    <dataValidation type="list" allowBlank="1" showInputMessage="1" showErrorMessage="1" sqref="P9:P35" xr:uid="{64D9E925-208A-4155-956D-CBEDFFFC7C3A}">
      <formula1>CAD</formula1>
    </dataValidation>
  </dataValidations>
  <pageMargins left="0.70866141732283472" right="0.70866141732283472" top="0.74803149606299213" bottom="0.74803149606299213" header="0.31496062992125984" footer="0.31496062992125984"/>
  <pageSetup paperSize="9" scale="94" fitToWidth="5" fitToHeight="0" orientation="landscape" horizontalDpi="1200" verticalDpi="1200" r:id="rId1"/>
  <headerFooter>
    <oddFooter>&amp;L&amp;F
Uniek nr e-ABS XXXXXXXXXXXXXXXXXXX</oddFooter>
  </headerFooter>
  <colBreaks count="2" manualBreakCount="2">
    <brk id="11" max="1048575" man="1"/>
    <brk id="21" max="1048575" man="1"/>
  </colBreak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2096-F122-4979-B8DD-F18F20F45C12}">
  <sheetPr>
    <pageSetUpPr fitToPage="1"/>
  </sheetPr>
  <dimension ref="A1:I18"/>
  <sheetViews>
    <sheetView showGridLines="0" zoomScaleNormal="100" workbookViewId="0">
      <selection activeCell="D43" sqref="D43"/>
    </sheetView>
  </sheetViews>
  <sheetFormatPr defaultColWidth="23.140625" defaultRowHeight="14.25" x14ac:dyDescent="0.25"/>
  <cols>
    <col min="1" max="1" width="28" style="4" bestFit="1" customWidth="1"/>
    <col min="2" max="2" width="18.42578125" style="4" customWidth="1"/>
    <col min="3" max="4" width="17.28515625" style="4" bestFit="1" customWidth="1"/>
    <col min="5" max="5" width="27.140625" style="4" customWidth="1"/>
    <col min="6" max="6" width="18" style="4" customWidth="1"/>
    <col min="7" max="8" width="17.28515625" style="4" bestFit="1" customWidth="1"/>
    <col min="9" max="12" width="23.140625" style="4" customWidth="1"/>
    <col min="13" max="16384" width="23.140625" style="4"/>
  </cols>
  <sheetData>
    <row r="1" spans="1:9" s="3" customFormat="1" x14ac:dyDescent="0.25">
      <c r="A1" s="3" t="s">
        <v>95</v>
      </c>
    </row>
    <row r="2" spans="1:9" s="3" customFormat="1" x14ac:dyDescent="0.25">
      <c r="A2" s="3" t="str">
        <f>Overzicht!B2</f>
        <v>B0100010124-0</v>
      </c>
    </row>
    <row r="3" spans="1:9" s="3" customFormat="1" x14ac:dyDescent="0.25">
      <c r="A3" s="3" t="str">
        <f>Overzicht!B3</f>
        <v>Amsterdamse Hogeschool vd Kunsten</v>
      </c>
    </row>
    <row r="4" spans="1:9" x14ac:dyDescent="0.25">
      <c r="A4" s="218">
        <f>Overzicht!B4</f>
        <v>542716609</v>
      </c>
      <c r="B4" s="3"/>
    </row>
    <row r="5" spans="1:9" x14ac:dyDescent="0.25">
      <c r="A5" s="3"/>
      <c r="B5" s="3"/>
    </row>
    <row r="7" spans="1:9" x14ac:dyDescent="0.25">
      <c r="A7" s="5" t="s">
        <v>96</v>
      </c>
      <c r="B7" s="5" t="s">
        <v>97</v>
      </c>
      <c r="C7" s="37"/>
      <c r="D7" s="37"/>
    </row>
    <row r="8" spans="1:9" ht="15" x14ac:dyDescent="0.25">
      <c r="A8" s="38" t="s">
        <v>98</v>
      </c>
      <c r="B8" s="39">
        <f>Overzicht!B7</f>
        <v>45292</v>
      </c>
    </row>
    <row r="9" spans="1:9" ht="15" x14ac:dyDescent="0.25">
      <c r="A9" s="38" t="s">
        <v>5</v>
      </c>
      <c r="B9" s="39">
        <f>Overzicht!C7</f>
        <v>45658</v>
      </c>
    </row>
    <row r="11" spans="1:9" x14ac:dyDescent="0.25">
      <c r="A11" s="4" t="s">
        <v>15</v>
      </c>
      <c r="B11" s="4">
        <v>0</v>
      </c>
      <c r="I11" s="6"/>
    </row>
    <row r="12" spans="1:9" ht="30" x14ac:dyDescent="0.25">
      <c r="A12" s="110" t="s">
        <v>99</v>
      </c>
      <c r="B12" s="111" t="s">
        <v>100</v>
      </c>
      <c r="C12" s="111" t="s">
        <v>101</v>
      </c>
      <c r="D12" s="111" t="s">
        <v>8</v>
      </c>
      <c r="E12" s="221" t="s">
        <v>182</v>
      </c>
      <c r="F12" s="112" t="s">
        <v>102</v>
      </c>
    </row>
    <row r="13" spans="1:9" x14ac:dyDescent="0.25">
      <c r="A13" s="108" t="str">
        <f>Specificatie!$W$6</f>
        <v>XL Insurance SE</v>
      </c>
      <c r="B13" s="106">
        <f>Specificatie!$W$7</f>
        <v>118858</v>
      </c>
      <c r="C13" s="146">
        <f>Specificatie!$W$9</f>
        <v>0.4</v>
      </c>
      <c r="D13" s="107">
        <f>SUMIF(Table3[Certificaat],$B11,Table3[Jaarpremie 1])</f>
        <v>72194.811000000002</v>
      </c>
      <c r="E13" s="107">
        <v>60078.2</v>
      </c>
      <c r="F13" s="109">
        <f>D13-E13</f>
        <v>12116.611000000004</v>
      </c>
    </row>
    <row r="14" spans="1:9" x14ac:dyDescent="0.25">
      <c r="A14" s="108" t="str">
        <f>Specificatie!$X$6</f>
        <v>Allianz Nederland</v>
      </c>
      <c r="B14" s="106">
        <f>Specificatie!$X$7</f>
        <v>230159</v>
      </c>
      <c r="C14" s="146">
        <f>Specificatie!$X$9</f>
        <v>0.25</v>
      </c>
      <c r="D14" s="107">
        <f>SUMIF(Table3[Certificaat],$B11,Table3[Jaarpremie 2])</f>
        <v>48592.661250000005</v>
      </c>
      <c r="E14" s="107">
        <v>40437.25</v>
      </c>
      <c r="F14" s="109">
        <f t="shared" ref="F14:F17" si="0">D14-E14</f>
        <v>8155.4112500000047</v>
      </c>
    </row>
    <row r="15" spans="1:9" x14ac:dyDescent="0.25">
      <c r="A15" s="108" t="str">
        <f>Specificatie!$Y$6</f>
        <v>ERGO Versicherung AG</v>
      </c>
      <c r="B15" s="106">
        <f>Specificatie!$Y$7</f>
        <v>380267</v>
      </c>
      <c r="C15" s="146">
        <f>Specificatie!$Y$9</f>
        <v>0.15</v>
      </c>
      <c r="D15" s="107">
        <f>SUMIF(Table3[Certificaat],$B11,Table3[Jaarpremie 3])</f>
        <v>31113.186817500002</v>
      </c>
      <c r="E15" s="107">
        <v>25891.39</v>
      </c>
      <c r="F15" s="109">
        <f t="shared" si="0"/>
        <v>5221.7968175000024</v>
      </c>
    </row>
    <row r="16" spans="1:9" x14ac:dyDescent="0.25">
      <c r="A16" s="108" t="str">
        <f>Specificatie!$Z$6</f>
        <v>Nationale Nederlanden</v>
      </c>
      <c r="B16" s="106">
        <f>Specificatie!$Z$7</f>
        <v>916</v>
      </c>
      <c r="C16" s="146">
        <f>Specificatie!$Z$9</f>
        <v>0.125</v>
      </c>
      <c r="D16" s="107">
        <f>SUMIF(Table3[Certificaat],$B11,Table3[Jaarpremie 4])</f>
        <v>26031.782812500001</v>
      </c>
      <c r="E16" s="107">
        <v>21662.81</v>
      </c>
      <c r="F16" s="109">
        <f t="shared" si="0"/>
        <v>4368.9728125000001</v>
      </c>
    </row>
    <row r="17" spans="1:6" x14ac:dyDescent="0.25">
      <c r="A17" s="108" t="str">
        <f>Specificatie!$AA$6</f>
        <v>Veerhaven Assuradeuren</v>
      </c>
      <c r="B17" s="106">
        <f>Specificatie!$AA$7</f>
        <v>413707</v>
      </c>
      <c r="C17" s="146">
        <f>Specificatie!$AA$9</f>
        <v>7.4999999999999997E-2</v>
      </c>
      <c r="D17" s="107">
        <f>SUMIF(Table3[Certificaat],$B11,Table3[Jaarpremie 5])</f>
        <v>17076.849525000001</v>
      </c>
      <c r="E17" s="107">
        <v>14210.81</v>
      </c>
      <c r="F17" s="109">
        <f t="shared" si="0"/>
        <v>2866.039525000002</v>
      </c>
    </row>
    <row r="18" spans="1:6" ht="15" x14ac:dyDescent="0.25">
      <c r="A18" s="147" t="s">
        <v>53</v>
      </c>
      <c r="B18" s="148"/>
      <c r="C18" s="149">
        <f>SUBTOTAL(109,Table1[Aandeel])</f>
        <v>1</v>
      </c>
      <c r="D18" s="150">
        <f>SUBTOTAL(109,Table1[Jaarpremie])</f>
        <v>195009.291405</v>
      </c>
      <c r="E18" s="150">
        <f>SUBTOTAL(109,Table1[Al geboekt met nota 6807390 d.d. 29-03-2023])</f>
        <v>162280.46</v>
      </c>
      <c r="F18" s="150">
        <f>SUBTOTAL(109,Table1[Nog te boeken])</f>
        <v>32728.831405000012</v>
      </c>
    </row>
  </sheetData>
  <printOptions horizontalCentered="1"/>
  <pageMargins left="0.25" right="0.25" top="0.75" bottom="0.75" header="0.3" footer="0.3"/>
  <pageSetup orientation="landscape" horizontalDpi="1200" verticalDpi="1200" r:id="rId1"/>
  <headerFooter>
    <oddFooter>&amp;L&amp;F
Uniek nr e-ABS XXXXXXXXXXXXXXXXXXX</oddFooter>
  </headerFooter>
  <ignoredErrors>
    <ignoredError sqref="D13:D17 D18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46BBD-BDCB-4C13-829A-532461D6730A}">
  <sheetPr>
    <pageSetUpPr fitToPage="1"/>
  </sheetPr>
  <dimension ref="A1:F44"/>
  <sheetViews>
    <sheetView showGridLines="0" zoomScaleNormal="100" workbookViewId="0">
      <selection activeCell="G10" sqref="G10"/>
    </sheetView>
  </sheetViews>
  <sheetFormatPr defaultColWidth="23.140625" defaultRowHeight="14.25" x14ac:dyDescent="0.25"/>
  <cols>
    <col min="1" max="1" width="28" style="4" bestFit="1" customWidth="1"/>
    <col min="2" max="2" width="18.42578125" style="4" customWidth="1"/>
    <col min="3" max="3" width="17.28515625" style="4" bestFit="1" customWidth="1"/>
    <col min="4" max="4" width="21.28515625" style="4" customWidth="1"/>
    <col min="5" max="5" width="18.7109375" style="4" customWidth="1"/>
    <col min="6" max="16384" width="23.140625" style="4"/>
  </cols>
  <sheetData>
    <row r="1" spans="1:6" s="3" customFormat="1" x14ac:dyDescent="0.25">
      <c r="A1" s="3" t="s">
        <v>103</v>
      </c>
    </row>
    <row r="2" spans="1:6" s="3" customFormat="1" x14ac:dyDescent="0.25">
      <c r="A2" s="3" t="str">
        <f>Overzicht!B2</f>
        <v>B0100010124-0</v>
      </c>
    </row>
    <row r="3" spans="1:6" s="3" customFormat="1" x14ac:dyDescent="0.25">
      <c r="A3" s="3" t="str">
        <f>Overzicht!B3</f>
        <v>Amsterdamse Hogeschool vd Kunsten</v>
      </c>
    </row>
    <row r="4" spans="1:6" x14ac:dyDescent="0.25">
      <c r="A4" s="218">
        <f>Overzicht!B4</f>
        <v>542716609</v>
      </c>
      <c r="B4" s="3"/>
    </row>
    <row r="5" spans="1:6" x14ac:dyDescent="0.25">
      <c r="A5" s="3"/>
      <c r="B5" s="3"/>
    </row>
    <row r="7" spans="1:6" x14ac:dyDescent="0.25">
      <c r="A7" s="5" t="s">
        <v>96</v>
      </c>
      <c r="B7" s="5" t="s">
        <v>97</v>
      </c>
      <c r="C7" s="37"/>
      <c r="D7" s="37"/>
    </row>
    <row r="8" spans="1:6" ht="15" x14ac:dyDescent="0.25">
      <c r="A8" s="38" t="s">
        <v>4</v>
      </c>
      <c r="B8" s="39">
        <v>44813</v>
      </c>
    </row>
    <row r="9" spans="1:6" ht="15" x14ac:dyDescent="0.25">
      <c r="A9" s="38" t="s">
        <v>5</v>
      </c>
      <c r="B9" s="39">
        <v>44927</v>
      </c>
    </row>
    <row r="11" spans="1:6" x14ac:dyDescent="0.25">
      <c r="A11" s="4" t="s">
        <v>15</v>
      </c>
      <c r="B11" s="4">
        <v>0</v>
      </c>
    </row>
    <row r="12" spans="1:6" ht="15" x14ac:dyDescent="0.25">
      <c r="A12" s="110" t="s">
        <v>99</v>
      </c>
      <c r="B12" s="111" t="s">
        <v>100</v>
      </c>
      <c r="C12" s="111" t="s">
        <v>101</v>
      </c>
      <c r="D12" s="112" t="s">
        <v>104</v>
      </c>
      <c r="E12" s="216" t="s">
        <v>169</v>
      </c>
      <c r="F12" s="216" t="s">
        <v>102</v>
      </c>
    </row>
    <row r="13" spans="1:6" x14ac:dyDescent="0.25">
      <c r="A13" s="108" t="str">
        <f>Specificatie!$W$6</f>
        <v>XL Insurance SE</v>
      </c>
      <c r="B13" s="106">
        <f>Specificatie!$W$7</f>
        <v>118858</v>
      </c>
      <c r="C13" s="146">
        <f>Specificatie!$W$9</f>
        <v>0.4</v>
      </c>
      <c r="D13" s="109">
        <f>SUMIFS(Table4[Verzekeraar 12],Table4[Mutatiedatum],$B8,Table4[Certificaat],$B11)</f>
        <v>2626.6724383561645</v>
      </c>
      <c r="E13" s="214">
        <v>0</v>
      </c>
      <c r="F13" s="214">
        <f>Table2[[#This Row],[Boeking/restitutie]]-Table2[[#This Row],[Reeds geboekt]]</f>
        <v>2626.6724383561645</v>
      </c>
    </row>
    <row r="14" spans="1:6" x14ac:dyDescent="0.25">
      <c r="A14" s="108" t="str">
        <f>Specificatie!$X$6</f>
        <v>Allianz Nederland</v>
      </c>
      <c r="B14" s="106">
        <f>Specificatie!$X$7</f>
        <v>230159</v>
      </c>
      <c r="C14" s="146">
        <f>Specificatie!$X$9</f>
        <v>0.25</v>
      </c>
      <c r="D14" s="109">
        <f>SUMIFS(Table4[Verzekeraar 23],Table4[Mutatiedatum],$B8,Table4[Certificaat],$B11)</f>
        <v>1767.9526027397258</v>
      </c>
      <c r="E14" s="213">
        <v>0</v>
      </c>
      <c r="F14" s="213">
        <f>Table2[[#This Row],[Boeking/restitutie]]-Table2[[#This Row],[Reeds geboekt]]</f>
        <v>1767.9526027397258</v>
      </c>
    </row>
    <row r="15" spans="1:6" x14ac:dyDescent="0.25">
      <c r="A15" s="108" t="str">
        <f>Specificatie!$Y$6</f>
        <v>ERGO Versicherung AG</v>
      </c>
      <c r="B15" s="106">
        <f>Specificatie!$Y$7</f>
        <v>380267</v>
      </c>
      <c r="C15" s="146">
        <f>Specificatie!$Y$9</f>
        <v>0.15</v>
      </c>
      <c r="D15" s="109">
        <f>SUMIFS(Table4[Verzekeraar 34],Table4[Mutatiedatum],$B8,Table4[Certificaat],$B11)</f>
        <v>1131.9947950684932</v>
      </c>
      <c r="E15" s="213">
        <v>0</v>
      </c>
      <c r="F15" s="213">
        <f>Table2[[#This Row],[Boeking/restitutie]]-Table2[[#This Row],[Reeds geboekt]]</f>
        <v>1131.9947950684932</v>
      </c>
    </row>
    <row r="16" spans="1:6" x14ac:dyDescent="0.25">
      <c r="A16" s="108" t="str">
        <f>Specificatie!$Z$6</f>
        <v>Nationale Nederlanden</v>
      </c>
      <c r="B16" s="106">
        <f>Specificatie!$Z$7</f>
        <v>916</v>
      </c>
      <c r="C16" s="146">
        <f>Specificatie!$Z$9</f>
        <v>0.125</v>
      </c>
      <c r="D16" s="109">
        <f>SUMIFS(Table4[Verzekeraar 45],Table4[Mutatiedatum],$B8,Table4[Certificaat],$B11)</f>
        <v>947.11746575342477</v>
      </c>
      <c r="E16" s="213">
        <v>0</v>
      </c>
      <c r="F16" s="213">
        <f>Table2[[#This Row],[Boeking/restitutie]]-Table2[[#This Row],[Reeds geboekt]]</f>
        <v>947.11746575342477</v>
      </c>
    </row>
    <row r="17" spans="1:6" x14ac:dyDescent="0.25">
      <c r="A17" s="108" t="str">
        <f>Specificatie!$AA$6</f>
        <v>Veerhaven Assuradeuren</v>
      </c>
      <c r="B17" s="106">
        <f>Specificatie!$AA$7</f>
        <v>413707</v>
      </c>
      <c r="C17" s="146">
        <f>Specificatie!$AA$9</f>
        <v>7.4999999999999997E-2</v>
      </c>
      <c r="D17" s="109">
        <f>SUMIFS(Table4[Verzekeraar 56],Table4[Mutatiedatum],$B8,Table4[Certificaat],$B11)</f>
        <v>621.30905753424656</v>
      </c>
      <c r="E17" s="215">
        <v>0</v>
      </c>
      <c r="F17" s="215">
        <f>Table2[[#This Row],[Boeking/restitutie]]-Table2[[#This Row],[Reeds geboekt]]</f>
        <v>621.30905753424656</v>
      </c>
    </row>
    <row r="18" spans="1:6" ht="15" x14ac:dyDescent="0.25">
      <c r="A18" s="147" t="s">
        <v>53</v>
      </c>
      <c r="B18" s="148"/>
      <c r="C18" s="149">
        <f>SUBTOTAL(109,Table2[Aandeel])</f>
        <v>1</v>
      </c>
      <c r="D18" s="217">
        <f>SUBTOTAL(109,Table2[Boeking/restitutie])</f>
        <v>7095.0463594520552</v>
      </c>
      <c r="E18" s="217">
        <f>SUBTOTAL(109,Table2[Reeds geboekt])</f>
        <v>0</v>
      </c>
      <c r="F18" s="217">
        <f>SUBTOTAL(109,Table2[Nog te boeken])</f>
        <v>7095.0463594520552</v>
      </c>
    </row>
    <row r="21" spans="1:6" x14ac:dyDescent="0.25">
      <c r="A21" s="5" t="s">
        <v>96</v>
      </c>
      <c r="B21" s="5" t="s">
        <v>97</v>
      </c>
      <c r="C21" s="37"/>
      <c r="D21" s="37"/>
    </row>
    <row r="22" spans="1:6" ht="15" x14ac:dyDescent="0.25">
      <c r="A22" s="38" t="s">
        <v>4</v>
      </c>
      <c r="B22" s="39">
        <v>44818</v>
      </c>
    </row>
    <row r="23" spans="1:6" ht="15" x14ac:dyDescent="0.25">
      <c r="A23" s="38" t="s">
        <v>5</v>
      </c>
      <c r="B23" s="39">
        <v>44927</v>
      </c>
    </row>
    <row r="25" spans="1:6" x14ac:dyDescent="0.25">
      <c r="A25" s="4" t="s">
        <v>15</v>
      </c>
      <c r="B25" s="4">
        <v>0</v>
      </c>
    </row>
    <row r="26" spans="1:6" ht="15" x14ac:dyDescent="0.25">
      <c r="A26" s="110" t="s">
        <v>99</v>
      </c>
      <c r="B26" s="111" t="s">
        <v>100</v>
      </c>
      <c r="C26" s="111" t="s">
        <v>101</v>
      </c>
      <c r="D26" s="112" t="s">
        <v>104</v>
      </c>
      <c r="E26" s="216" t="s">
        <v>169</v>
      </c>
      <c r="F26" s="216" t="s">
        <v>102</v>
      </c>
    </row>
    <row r="27" spans="1:6" x14ac:dyDescent="0.25">
      <c r="A27" s="108" t="str">
        <f>Specificatie!$W$6</f>
        <v>XL Insurance SE</v>
      </c>
      <c r="B27" s="106">
        <f>Specificatie!$W$7</f>
        <v>118858</v>
      </c>
      <c r="C27" s="146">
        <f>Specificatie!$W$9</f>
        <v>0.4</v>
      </c>
      <c r="D27" s="109">
        <f>SUMIFS(Table4[Verzekeraar 12],Table4[Mutatiedatum],$B22,Table4[Certificaat],$B25)</f>
        <v>862.31243835616442</v>
      </c>
      <c r="E27" s="214">
        <v>0</v>
      </c>
      <c r="F27" s="214">
        <f>Table26[[#This Row],[Boeking/restitutie]]-Table26[[#This Row],[Reeds geboekt]]</f>
        <v>862.31243835616442</v>
      </c>
    </row>
    <row r="28" spans="1:6" x14ac:dyDescent="0.25">
      <c r="A28" s="108" t="str">
        <f>Specificatie!$X$6</f>
        <v>Allianz Nederland</v>
      </c>
      <c r="B28" s="106">
        <f>Specificatie!$X$7</f>
        <v>230159</v>
      </c>
      <c r="C28" s="146">
        <f>Specificatie!$X$9</f>
        <v>0.25</v>
      </c>
      <c r="D28" s="109">
        <f>SUMIFS(Table4[Verzekeraar 23],Table4[Mutatiedatum],$B22,Table4[Certificaat],$B25)</f>
        <v>580.40260273972592</v>
      </c>
      <c r="E28" s="213">
        <v>0</v>
      </c>
      <c r="F28" s="213">
        <f>Table26[[#This Row],[Boeking/restitutie]]-Table26[[#This Row],[Reeds geboekt]]</f>
        <v>580.40260273972592</v>
      </c>
    </row>
    <row r="29" spans="1:6" x14ac:dyDescent="0.25">
      <c r="A29" s="108" t="str">
        <f>Specificatie!$Y$6</f>
        <v>ERGO Versicherung AG</v>
      </c>
      <c r="B29" s="106">
        <f>Specificatie!$Y$7</f>
        <v>380267</v>
      </c>
      <c r="C29" s="146">
        <f>Specificatie!$Y$9</f>
        <v>0.15</v>
      </c>
      <c r="D29" s="109">
        <f>SUMIFS(Table4[Verzekeraar 34],Table4[Mutatiedatum],$B22,Table4[Certificaat],$B25)</f>
        <v>371.62349506849318</v>
      </c>
      <c r="E29" s="213">
        <v>0</v>
      </c>
      <c r="F29" s="213">
        <f>Table26[[#This Row],[Boeking/restitutie]]-Table26[[#This Row],[Reeds geboekt]]</f>
        <v>371.62349506849318</v>
      </c>
    </row>
    <row r="30" spans="1:6" x14ac:dyDescent="0.25">
      <c r="A30" s="108" t="str">
        <f>Specificatie!$Z$6</f>
        <v>Nationale Nederlanden</v>
      </c>
      <c r="B30" s="106">
        <f>Specificatie!$Z$7</f>
        <v>916</v>
      </c>
      <c r="C30" s="146">
        <f>Specificatie!$Z$9</f>
        <v>0.125</v>
      </c>
      <c r="D30" s="109">
        <f>SUMIFS(Table4[Verzekeraar 45],Table4[Mutatiedatum],$B22,Table4[Certificaat],$B25)</f>
        <v>310.92996575342465</v>
      </c>
      <c r="E30" s="213">
        <v>0</v>
      </c>
      <c r="F30" s="213">
        <f>Table26[[#This Row],[Boeking/restitutie]]-Table26[[#This Row],[Reeds geboekt]]</f>
        <v>310.92996575342465</v>
      </c>
    </row>
    <row r="31" spans="1:6" x14ac:dyDescent="0.25">
      <c r="A31" s="108" t="str">
        <f>Specificatie!$AA$6</f>
        <v>Veerhaven Assuradeuren</v>
      </c>
      <c r="B31" s="106">
        <f>Specificatie!$AA$7</f>
        <v>413707</v>
      </c>
      <c r="C31" s="146">
        <f>Specificatie!$AA$9</f>
        <v>7.4999999999999997E-2</v>
      </c>
      <c r="D31" s="109">
        <f>SUMIFS(Table4[Verzekeraar 56],Table4[Mutatiedatum],$B22,Table4[Certificaat],$B25)</f>
        <v>203.97005753424654</v>
      </c>
      <c r="E31" s="215">
        <v>0</v>
      </c>
      <c r="F31" s="215">
        <f>Table26[[#This Row],[Boeking/restitutie]]-Table26[[#This Row],[Reeds geboekt]]</f>
        <v>203.97005753424654</v>
      </c>
    </row>
    <row r="32" spans="1:6" ht="15" x14ac:dyDescent="0.25">
      <c r="A32" s="147" t="s">
        <v>53</v>
      </c>
      <c r="B32" s="148"/>
      <c r="C32" s="149">
        <f>SUBTOTAL(109,Table26[Aandeel])</f>
        <v>1</v>
      </c>
      <c r="D32" s="217">
        <f>SUBTOTAL(109,Table26[Boeking/restitutie])</f>
        <v>2329.2385594520547</v>
      </c>
      <c r="E32" s="217">
        <f>SUBTOTAL(109,Table26[Reeds geboekt])</f>
        <v>0</v>
      </c>
      <c r="F32" s="217">
        <f>SUBTOTAL(109,Table26[Nog te boeken])</f>
        <v>2329.2385594520547</v>
      </c>
    </row>
    <row r="35" spans="1:6" ht="15" x14ac:dyDescent="0.25">
      <c r="A35" s="219" t="s">
        <v>183</v>
      </c>
    </row>
    <row r="37" spans="1:6" x14ac:dyDescent="0.25">
      <c r="A37" s="4" t="s">
        <v>15</v>
      </c>
      <c r="B37" s="4">
        <v>0</v>
      </c>
    </row>
    <row r="38" spans="1:6" ht="15" x14ac:dyDescent="0.25">
      <c r="A38" s="110" t="s">
        <v>99</v>
      </c>
      <c r="B38" s="111" t="s">
        <v>100</v>
      </c>
      <c r="C38" s="111" t="s">
        <v>101</v>
      </c>
      <c r="D38" s="112" t="s">
        <v>104</v>
      </c>
      <c r="E38" s="216" t="s">
        <v>169</v>
      </c>
      <c r="F38" s="216" t="s">
        <v>102</v>
      </c>
    </row>
    <row r="39" spans="1:6" x14ac:dyDescent="0.25">
      <c r="A39" s="108" t="str">
        <f>Specificatie!$W$6</f>
        <v>XL Insurance SE</v>
      </c>
      <c r="B39" s="106">
        <f>Specificatie!$W$7</f>
        <v>118858</v>
      </c>
      <c r="C39" s="146">
        <f>Specificatie!$W$9</f>
        <v>0.4</v>
      </c>
      <c r="D39" s="109">
        <f>D13+D27</f>
        <v>3488.984876712329</v>
      </c>
      <c r="E39" s="109">
        <f>E13+E27</f>
        <v>0</v>
      </c>
      <c r="F39" s="214">
        <f>Table267[[#This Row],[Boeking/restitutie]]-Table267[[#This Row],[Reeds geboekt]]</f>
        <v>3488.984876712329</v>
      </c>
    </row>
    <row r="40" spans="1:6" x14ac:dyDescent="0.25">
      <c r="A40" s="108" t="str">
        <f>Specificatie!$X$6</f>
        <v>Allianz Nederland</v>
      </c>
      <c r="B40" s="106">
        <f>Specificatie!$X$7</f>
        <v>230159</v>
      </c>
      <c r="C40" s="146">
        <f>Specificatie!$X$9</f>
        <v>0.25</v>
      </c>
      <c r="D40" s="109">
        <f t="shared" ref="D40:E40" si="0">D14+D28</f>
        <v>2348.3552054794518</v>
      </c>
      <c r="E40" s="109">
        <f t="shared" si="0"/>
        <v>0</v>
      </c>
      <c r="F40" s="213">
        <f>Table267[[#This Row],[Boeking/restitutie]]-Table267[[#This Row],[Reeds geboekt]]</f>
        <v>2348.3552054794518</v>
      </c>
    </row>
    <row r="41" spans="1:6" x14ac:dyDescent="0.25">
      <c r="A41" s="108" t="str">
        <f>Specificatie!$Y$6</f>
        <v>ERGO Versicherung AG</v>
      </c>
      <c r="B41" s="106">
        <f>Specificatie!$Y$7</f>
        <v>380267</v>
      </c>
      <c r="C41" s="146">
        <f>Specificatie!$Y$9</f>
        <v>0.15</v>
      </c>
      <c r="D41" s="109">
        <f t="shared" ref="D41:E41" si="1">D15+D29</f>
        <v>1503.6182901369864</v>
      </c>
      <c r="E41" s="109">
        <f t="shared" si="1"/>
        <v>0</v>
      </c>
      <c r="F41" s="213">
        <f>Table267[[#This Row],[Boeking/restitutie]]-Table267[[#This Row],[Reeds geboekt]]</f>
        <v>1503.6182901369864</v>
      </c>
    </row>
    <row r="42" spans="1:6" x14ac:dyDescent="0.25">
      <c r="A42" s="108" t="str">
        <f>Specificatie!$Z$6</f>
        <v>Nationale Nederlanden</v>
      </c>
      <c r="B42" s="106">
        <f>Specificatie!$Z$7</f>
        <v>916</v>
      </c>
      <c r="C42" s="146">
        <f>Specificatie!$Z$9</f>
        <v>0.125</v>
      </c>
      <c r="D42" s="109">
        <f t="shared" ref="D42:E42" si="2">D16+D30</f>
        <v>1258.0474315068495</v>
      </c>
      <c r="E42" s="109">
        <f t="shared" si="2"/>
        <v>0</v>
      </c>
      <c r="F42" s="213">
        <f>Table267[[#This Row],[Boeking/restitutie]]-Table267[[#This Row],[Reeds geboekt]]</f>
        <v>1258.0474315068495</v>
      </c>
    </row>
    <row r="43" spans="1:6" x14ac:dyDescent="0.25">
      <c r="A43" s="108" t="str">
        <f>Specificatie!$AA$6</f>
        <v>Veerhaven Assuradeuren</v>
      </c>
      <c r="B43" s="106">
        <f>Specificatie!$AA$7</f>
        <v>413707</v>
      </c>
      <c r="C43" s="146">
        <f>Specificatie!$AA$9</f>
        <v>7.4999999999999997E-2</v>
      </c>
      <c r="D43" s="109">
        <f t="shared" ref="D43:E43" si="3">D17+D31</f>
        <v>825.27911506849307</v>
      </c>
      <c r="E43" s="109">
        <f t="shared" si="3"/>
        <v>0</v>
      </c>
      <c r="F43" s="215">
        <f>Table267[[#This Row],[Boeking/restitutie]]-Table267[[#This Row],[Reeds geboekt]]</f>
        <v>825.27911506849307</v>
      </c>
    </row>
    <row r="44" spans="1:6" ht="15" x14ac:dyDescent="0.25">
      <c r="A44" s="147" t="s">
        <v>53</v>
      </c>
      <c r="B44" s="148"/>
      <c r="C44" s="149">
        <f>SUBTOTAL(109,Table267[Aandeel])</f>
        <v>1</v>
      </c>
      <c r="D44" s="217">
        <f>SUBTOTAL(109,Table267[Boeking/restitutie])</f>
        <v>9424.2849189041099</v>
      </c>
      <c r="E44" s="217">
        <f>SUBTOTAL(109,Table267[Reeds geboekt])</f>
        <v>0</v>
      </c>
      <c r="F44" s="217">
        <f>SUBTOTAL(109,Table267[Nog te boeken])</f>
        <v>9424.2849189041099</v>
      </c>
    </row>
  </sheetData>
  <phoneticPr fontId="5" type="noConversion"/>
  <printOptions horizontalCentered="1"/>
  <pageMargins left="0.25" right="0.25" top="0.75" bottom="0.75" header="0.3" footer="0.3"/>
  <pageSetup scale="82" orientation="landscape" horizontalDpi="1200" verticalDpi="1200" r:id="rId1"/>
  <headerFooter>
    <oddFooter>&amp;L&amp;F
Uniek nr e-ABS XXXXXXXXXXXXXXXXXXX</oddFooter>
  </headerFooter>
  <ignoredErrors>
    <ignoredError sqref="D14:D17" calculatedColumn="1"/>
  </ignoredErrors>
  <tableParts count="3"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A4A44-A812-4F49-957D-CE376EF762B5}">
  <dimension ref="A1:D18"/>
  <sheetViews>
    <sheetView workbookViewId="0">
      <selection activeCell="D14" sqref="D14"/>
    </sheetView>
  </sheetViews>
  <sheetFormatPr defaultRowHeight="15" x14ac:dyDescent="0.25"/>
  <cols>
    <col min="1" max="1" width="30.28515625" customWidth="1"/>
    <col min="2" max="2" width="20.28515625" bestFit="1" customWidth="1"/>
  </cols>
  <sheetData>
    <row r="1" spans="1:4" x14ac:dyDescent="0.25">
      <c r="A1" s="1" t="s">
        <v>105</v>
      </c>
      <c r="B1" s="1" t="s">
        <v>21</v>
      </c>
      <c r="C1" s="1" t="s">
        <v>106</v>
      </c>
      <c r="D1" s="1" t="s">
        <v>107</v>
      </c>
    </row>
    <row r="2" spans="1:4" x14ac:dyDescent="0.25">
      <c r="A2" s="36" t="s">
        <v>52</v>
      </c>
      <c r="B2" s="36" t="s">
        <v>52</v>
      </c>
      <c r="C2" t="s">
        <v>108</v>
      </c>
      <c r="D2" s="36" t="s">
        <v>52</v>
      </c>
    </row>
    <row r="3" spans="1:4" x14ac:dyDescent="0.25">
      <c r="A3" t="s">
        <v>109</v>
      </c>
      <c r="B3" t="s">
        <v>110</v>
      </c>
      <c r="C3" t="s">
        <v>94</v>
      </c>
      <c r="D3" t="s">
        <v>108</v>
      </c>
    </row>
    <row r="4" spans="1:4" x14ac:dyDescent="0.25">
      <c r="A4" t="s">
        <v>111</v>
      </c>
      <c r="B4" t="s">
        <v>112</v>
      </c>
      <c r="D4" t="s">
        <v>94</v>
      </c>
    </row>
    <row r="5" spans="1:4" x14ac:dyDescent="0.25">
      <c r="A5" t="s">
        <v>113</v>
      </c>
      <c r="B5" t="s">
        <v>114</v>
      </c>
    </row>
    <row r="6" spans="1:4" x14ac:dyDescent="0.25">
      <c r="A6" t="s">
        <v>115</v>
      </c>
      <c r="B6" t="s">
        <v>116</v>
      </c>
    </row>
    <row r="7" spans="1:4" x14ac:dyDescent="0.25">
      <c r="A7" t="s">
        <v>117</v>
      </c>
    </row>
    <row r="8" spans="1:4" x14ac:dyDescent="0.25">
      <c r="A8" t="s">
        <v>118</v>
      </c>
    </row>
    <row r="9" spans="1:4" x14ac:dyDescent="0.25">
      <c r="A9" t="s">
        <v>119</v>
      </c>
    </row>
    <row r="10" spans="1:4" x14ac:dyDescent="0.25">
      <c r="A10" t="s">
        <v>120</v>
      </c>
    </row>
    <row r="11" spans="1:4" x14ac:dyDescent="0.25">
      <c r="A11" t="s">
        <v>121</v>
      </c>
    </row>
    <row r="12" spans="1:4" x14ac:dyDescent="0.25">
      <c r="A12" t="s">
        <v>122</v>
      </c>
    </row>
    <row r="13" spans="1:4" x14ac:dyDescent="0.25">
      <c r="A13" t="s">
        <v>123</v>
      </c>
    </row>
    <row r="14" spans="1:4" x14ac:dyDescent="0.25">
      <c r="A14" t="s">
        <v>124</v>
      </c>
    </row>
    <row r="15" spans="1:4" x14ac:dyDescent="0.25">
      <c r="A15" t="s">
        <v>125</v>
      </c>
    </row>
    <row r="16" spans="1:4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</sheetData>
  <sortState xmlns:xlrd2="http://schemas.microsoft.com/office/spreadsheetml/2017/richdata2" ref="A3:A18">
    <sortCondition ref="A3:A18"/>
  </sortState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304d66-90c6-4335-b1c9-5b3984399988">
      <Terms xmlns="http://schemas.microsoft.com/office/infopath/2007/PartnerControls"/>
    </lcf76f155ced4ddcb4097134ff3c332f>
    <TaxCatchAll xmlns="41d8d177-be5a-477d-be00-e01547a293a3" xsi:nil="true"/>
  </documentManagement>
</p:properties>
</file>

<file path=customXml/item2.xml><?xml version="1.0" encoding="utf-8"?>
<titus xmlns="http://schemas.titus.com/TitusProperties/">
  <TitusGUID xmlns="">d4593a47-9ab2-41a4-a810-754c1629e5e0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362D23840384AA44F195D95F9E0FB" ma:contentTypeVersion="10" ma:contentTypeDescription="Create a new document." ma:contentTypeScope="" ma:versionID="d313bd36494f7e7115fce37fb728cbb0">
  <xsd:schema xmlns:xsd="http://www.w3.org/2001/XMLSchema" xmlns:xs="http://www.w3.org/2001/XMLSchema" xmlns:p="http://schemas.microsoft.com/office/2006/metadata/properties" xmlns:ns2="38304d66-90c6-4335-b1c9-5b3984399988" xmlns:ns3="41d8d177-be5a-477d-be00-e01547a293a3" targetNamespace="http://schemas.microsoft.com/office/2006/metadata/properties" ma:root="true" ma:fieldsID="4d5efe2d74536367d40b5617b8f09945" ns2:_="" ns3:_="">
    <xsd:import namespace="38304d66-90c6-4335-b1c9-5b3984399988"/>
    <xsd:import namespace="41d8d177-be5a-477d-be00-e01547a29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04d66-90c6-4335-b1c9-5b3984399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fdf30fe-1347-464b-aacb-c31a0be72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8d177-be5a-477d-be00-e01547a293a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941151a-63b3-4332-b62e-f2b7c2e016f0}" ma:internalName="TaxCatchAll" ma:showField="CatchAllData" ma:web="41d8d177-be5a-477d-be00-e01547a29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3C7FDF-D4C7-40F7-8F63-C8D7D6EC81B0}">
  <ds:schemaRefs>
    <ds:schemaRef ds:uri="http://schemas.microsoft.com/office/2006/metadata/properties"/>
    <ds:schemaRef ds:uri="http://schemas.microsoft.com/office/infopath/2007/PartnerControls"/>
    <ds:schemaRef ds:uri="38304d66-90c6-4335-b1c9-5b3984399988"/>
    <ds:schemaRef ds:uri="41d8d177-be5a-477d-be00-e01547a293a3"/>
  </ds:schemaRefs>
</ds:datastoreItem>
</file>

<file path=customXml/itemProps2.xml><?xml version="1.0" encoding="utf-8"?>
<ds:datastoreItem xmlns:ds="http://schemas.openxmlformats.org/officeDocument/2006/customXml" ds:itemID="{613F31DE-3B01-40A8-B731-E4B0F5438F9F}">
  <ds:schemaRefs>
    <ds:schemaRef ds:uri="http://schemas.titus.com/TitusProperties/"/>
    <ds:schemaRef ds:uri=""/>
  </ds:schemaRefs>
</ds:datastoreItem>
</file>

<file path=customXml/itemProps3.xml><?xml version="1.0" encoding="utf-8"?>
<ds:datastoreItem xmlns:ds="http://schemas.openxmlformats.org/officeDocument/2006/customXml" ds:itemID="{AF696BB9-AB99-4C23-8D5C-9E6D16F96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04d66-90c6-4335-b1c9-5b3984399988"/>
    <ds:schemaRef ds:uri="41d8d177-be5a-477d-be00-e01547a29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E56B9C-DAB9-4075-8DE6-12EF5B4A86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Overzicht</vt:lpstr>
      <vt:lpstr>Specificatie</vt:lpstr>
      <vt:lpstr>Taxaties</vt:lpstr>
      <vt:lpstr>Mutaties</vt:lpstr>
      <vt:lpstr>Verrekening Jaarpremie</vt:lpstr>
      <vt:lpstr>Verrekening Pro Rata-CAD</vt:lpstr>
      <vt:lpstr>Data</vt:lpstr>
      <vt:lpstr>Bouwaard</vt:lpstr>
      <vt:lpstr>CAD</vt:lpstr>
      <vt:lpstr>Interest</vt:lpstr>
      <vt:lpstr>Specificatie!Print_Area</vt:lpstr>
      <vt:lpstr>Specificatie!Print_Titles</vt:lpstr>
      <vt:lpstr>Taxatie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van Doornewaard</dc:creator>
  <cp:keywords/>
  <dc:description/>
  <cp:lastModifiedBy>Eline Jongste</cp:lastModifiedBy>
  <cp:revision/>
  <cp:lastPrinted>2023-07-06T12:05:56Z</cp:lastPrinted>
  <dcterms:created xsi:type="dcterms:W3CDTF">2019-07-21T11:45:44Z</dcterms:created>
  <dcterms:modified xsi:type="dcterms:W3CDTF">2024-09-17T06:54:32Z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0x010100072362D23840384AA44F195D95F9E0FB</vt:lpwstr>
  </property>
  <property fmtid="{D5CDD505-2E9C-101B-9397-08002B2CF9AE}" pid="3" name="TitusGUID">
    <vt:lpwstr>d4593a47-9ab2-41a4-a810-754c1629e5e0</vt:lpwstr>
  </property>
  <property fmtid="{D5CDD505-2E9C-101B-9397-08002B2CF9AE}" pid="4" name="AonClassification">
    <vt:lpwstr>ADC_class_200</vt:lpwstr>
  </property>
  <property fmtid="{D5CDD505-2E9C-101B-9397-08002B2CF9AE}" pid="5" name="MediaServiceImageTags">
    <vt:lpwstr/>
  </property>
  <property fmtid="{D5CDD505-2E9C-101B-9397-08002B2CF9AE}" pid="6" name="MSIP_Label_9043f10a-881e-4653-a55e-02ca2cc829dc_Enabled">
    <vt:lpwstr>true</vt:lpwstr>
  </property>
  <property fmtid="{D5CDD505-2E9C-101B-9397-08002B2CF9AE}" pid="7" name="MSIP_Label_9043f10a-881e-4653-a55e-02ca2cc829dc_SetDate">
    <vt:lpwstr>2024-09-10T08:10:06Z</vt:lpwstr>
  </property>
  <property fmtid="{D5CDD505-2E9C-101B-9397-08002B2CF9AE}" pid="8" name="MSIP_Label_9043f10a-881e-4653-a55e-02ca2cc829dc_Method">
    <vt:lpwstr>Standard</vt:lpwstr>
  </property>
  <property fmtid="{D5CDD505-2E9C-101B-9397-08002B2CF9AE}" pid="9" name="MSIP_Label_9043f10a-881e-4653-a55e-02ca2cc829dc_Name">
    <vt:lpwstr>ADC_class_200</vt:lpwstr>
  </property>
  <property fmtid="{D5CDD505-2E9C-101B-9397-08002B2CF9AE}" pid="10" name="MSIP_Label_9043f10a-881e-4653-a55e-02ca2cc829dc_SiteId">
    <vt:lpwstr>94cfddbc-0627-494a-ad7a-29aea3aea832</vt:lpwstr>
  </property>
  <property fmtid="{D5CDD505-2E9C-101B-9397-08002B2CF9AE}" pid="11" name="MSIP_Label_9043f10a-881e-4653-a55e-02ca2cc829dc_ActionId">
    <vt:lpwstr>645fbdff-3bcc-4473-b7e5-dcf538a578cc</vt:lpwstr>
  </property>
  <property fmtid="{D5CDD505-2E9C-101B-9397-08002B2CF9AE}" pid="12" name="MSIP_Label_9043f10a-881e-4653-a55e-02ca2cc829dc_ContentBits">
    <vt:lpwstr>0</vt:lpwstr>
  </property>
</Properties>
</file>